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14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4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5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6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7.xml" ContentType="application/vnd.openxmlformats-officedocument.drawing+xml"/>
  <Override PartName="/xl/drawings/drawing26.xml" ContentType="application/vnd.openxmlformats-officedocument.drawing+xml"/>
  <Override PartName="/xl/drawings/drawing8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nnections.xml" ContentType="application/vnd.openxmlformats-officedocument.spreadsheetml.connection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ustomProperty1.bin" ContentType="application/vnd.openxmlformats-officedocument.spreadsheetml.customProperty"/>
  <Override PartName="/xl/ctrlProps/ctrlProp1.xml" ContentType="application/vnd.ms-excel.controlproperties+xml"/>
  <Override PartName="/xl/customProperty2.bin" ContentType="application/vnd.openxmlformats-officedocument.spreadsheetml.customProperty"/>
  <Override PartName="/xl/ctrlProps/ctrlProp2.xml" ContentType="application/vnd.ms-excel.controlproperties+xml"/>
  <Override PartName="/xl/ctrlProps/ctrlProp3.xml" ContentType="application/vnd.ms-excel.controlproperties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2.xml" ContentType="application/vnd.openxmlformats-officedocument.spreadsheetml.comment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omments3.xml" ContentType="application/vnd.openxmlformats-officedocument.spreadsheetml.comment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omments4.xml" ContentType="application/vnd.openxmlformats-officedocument.spreadsheetml.comment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omments5.xml" ContentType="application/vnd.openxmlformats-officedocument.spreadsheetml.comment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omments6.xml" ContentType="application/vnd.openxmlformats-officedocument.spreadsheetml.comment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omments7.xml" ContentType="application/vnd.openxmlformats-officedocument.spreadsheetml.comment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124.xml" ContentType="application/vnd.ms-excel.controlproperties+xml"/>
  <Override PartName="/xl/comments17.xml" ContentType="application/vnd.openxmlformats-officedocument.spreadsheetml.comment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80.xml" ContentType="application/vnd.ms-excel.controlpropertie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comments10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omments8.xml" ContentType="application/vnd.openxmlformats-officedocument.spreadsheetml.comments+xml"/>
  <Override PartName="/xl/ctrlProps/ctrlProp74.xml" ContentType="application/vnd.ms-excel.controlproperties+xml"/>
  <Override PartName="/xl/threadedComments/threadedComment1.xml" ContentType="application/vnd.ms-excel.threadedcomment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omments11.xml" ContentType="application/vnd.openxmlformats-officedocument.spreadsheetml.comments+xml"/>
  <Override PartName="/xl/comments9.xml" ContentType="application/vnd.openxmlformats-officedocument.spreadsheetml.comment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omments12.xml" ContentType="application/vnd.openxmlformats-officedocument.spreadsheetml.comment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omments13.xml" ContentType="application/vnd.openxmlformats-officedocument.spreadsheetml.comments+xml"/>
  <Override PartName="/xl/ctrlProps/ctrlProp85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omments14.xml" ContentType="application/vnd.openxmlformats-officedocument.spreadsheetml.comment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omments15.xml" ContentType="application/vnd.openxmlformats-officedocument.spreadsheetml.comments+xml"/>
  <Override PartName="/xl/ctrlProps/ctrlProp86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omments16.xml" ContentType="application/vnd.openxmlformats-officedocument.spreadsheetml.comments+xml"/>
  <Override PartName="/xl/ctrlProps/ctrlProp7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G:\My Drive\~C4P-HPV Tool 2023\C4P_In_Process\Requested Fixes to Version 4.3\"/>
    </mc:Choice>
  </mc:AlternateContent>
  <xr:revisionPtr revIDLastSave="0" documentId="13_ncr:1_{61E59252-5E36-4456-9BCB-6F6B99399E0C}" xr6:coauthVersionLast="47" xr6:coauthVersionMax="47" xr10:uidLastSave="{00000000-0000-0000-0000-000000000000}"/>
  <bookViews>
    <workbookView xWindow="-120" yWindow="-120" windowWidth="38640" windowHeight="21120" tabRatio="857" firstSheet="2" activeTab="2" xr2:uid="{00000000-000D-0000-FFFF-FFFF00000000}"/>
  </bookViews>
  <sheets>
    <sheet name="DB" sheetId="352" state="hidden" r:id="rId1"/>
    <sheet name="LANG" sheetId="351" state="hidden" r:id="rId2"/>
    <sheet name="Cover" sheetId="4" r:id="rId3"/>
    <sheet name="Contents" sheetId="5" r:id="rId4"/>
    <sheet name="Pres_Out_Sc" sheetId="333" r:id="rId5"/>
    <sheet name="Dashboard" sheetId="343" r:id="rId6"/>
    <sheet name="Analysis" sheetId="329" r:id="rId7"/>
    <sheet name="Developer_Only_To" sheetId="338" r:id="rId8"/>
    <sheet name="Assumptions" sheetId="87" r:id="rId9"/>
    <sheet name="LABELS" sheetId="24" r:id="rId10"/>
    <sheet name="TIME_SERIES" sheetId="10" r:id="rId11"/>
    <sheet name="ECONOMICS" sheetId="253" r:id="rId12"/>
    <sheet name="COUNTS" sheetId="317" r:id="rId13"/>
    <sheet name="COVERAGE" sheetId="321" r:id="rId14"/>
    <sheet name="VACCS_&amp;_SUPPLIES" sheetId="324" r:id="rId15"/>
    <sheet name="SERVICE_DELIVERY" sheetId="301" r:id="rId16"/>
    <sheet name="MICROPLANNING" sheetId="283" r:id="rId17"/>
    <sheet name="TRAINING" sheetId="284" r:id="rId18"/>
    <sheet name="SENSITISATION" sheetId="285" r:id="rId19"/>
    <sheet name="SOCIAL_MOBILISATION" sheetId="286" r:id="rId20"/>
    <sheet name="SUPERVISION" sheetId="247" r:id="rId21"/>
    <sheet name="OTHER" sheetId="336" r:id="rId22"/>
    <sheet name="COLD_CHAIN_EXPANS" sheetId="345" r:id="rId23"/>
    <sheet name="CAPITAL_INVESTS_OTH" sheetId="348" r:id="rId24"/>
    <sheet name="Outputs" sheetId="249" r:id="rId25"/>
    <sheet name="COUNTS_and_COVERAGE_Summary" sheetId="322" r:id="rId26"/>
    <sheet name="COST_SUMMARY" sheetId="309" r:id="rId27"/>
    <sheet name="COLD_CHAIN" sheetId="346" r:id="rId28"/>
    <sheet name="CAP_OTH" sheetId="349" r:id="rId29"/>
    <sheet name="COSTS_DETAILED_SUMMARY" sheetId="311" r:id="rId30"/>
    <sheet name="APPENDIX" sheetId="8" r:id="rId31"/>
    <sheet name="Detailed_Costing_Worksheets" sheetId="310" r:id="rId32"/>
    <sheet name="MICRO_DETAILED_COST_WKSHT" sheetId="279" r:id="rId33"/>
    <sheet name="TRAIN_DETAILED_COST_WKSHT" sheetId="280" r:id="rId34"/>
    <sheet name="SD_DETAILED_COST_WKSHT" sheetId="307" r:id="rId35"/>
    <sheet name="SENS_DETAILED_COST_WKSHT" sheetId="281" r:id="rId36"/>
    <sheet name="SOCMOB_DETAILED_COST_WKSHT" sheetId="282" r:id="rId37"/>
    <sheet name="SUPV_DETAILED_COST_WKSHT" sheetId="246" r:id="rId38"/>
    <sheet name="OTHER_DETAILED_COST_WKSHT" sheetId="337" r:id="rId39"/>
    <sheet name="Checks" sheetId="9" r:id="rId40"/>
    <sheet name="DEVELOPER_Sc" sheetId="316" r:id="rId41"/>
    <sheet name="CALCS_COVERAGE" sheetId="323" r:id="rId42"/>
    <sheet name="VACCS_&amp;_SUPPLIES_To" sheetId="327" r:id="rId43"/>
    <sheet name="CALCS_Annual" sheetId="251" r:id="rId44"/>
    <sheet name="CALCS_DETAILED" sheetId="250" r:id="rId45"/>
    <sheet name="6.3_Variable_Lookups" sheetId="123" state="hidden" r:id="rId46"/>
    <sheet name="Time_Lu" sheetId="11" state="hidden" r:id="rId47"/>
    <sheet name="Analy_Lu" sheetId="330" state="hidden" r:id="rId48"/>
    <sheet name="Vacc_Lu" sheetId="326" state="hidden" r:id="rId49"/>
    <sheet name="Lbl_Lu" sheetId="244" state="hidden" r:id="rId50"/>
    <sheet name="Econ_Lu" sheetId="254" state="hidden" r:id="rId51"/>
    <sheet name="Count_Lu" sheetId="320" state="hidden" r:id="rId52"/>
    <sheet name="CVG_Lu" sheetId="340" state="hidden" r:id="rId53"/>
    <sheet name="MICRO_Lu" sheetId="252" state="hidden" r:id="rId54"/>
    <sheet name="OTHER_Lu" sheetId="339" state="hidden" r:id="rId55"/>
    <sheet name="COLD_Lu" sheetId="347" state="hidden" r:id="rId56"/>
    <sheet name="CAP_OTH_Lu" sheetId="350" state="hidden" r:id="rId57"/>
    <sheet name="TRAIN_Lu" sheetId="261" state="hidden" r:id="rId58"/>
    <sheet name="SENS_Lu" sheetId="312" state="hidden" r:id="rId59"/>
    <sheet name="SOCMOB_Lu" sheetId="313" state="hidden" r:id="rId60"/>
    <sheet name="SD_Lu" sheetId="314" state="hidden" r:id="rId61"/>
    <sheet name="SUPV_Lu" sheetId="315" state="hidden" r:id="rId62"/>
  </sheets>
  <definedNames>
    <definedName name="_xlcn.WorksheetConnection_DashboardC7E131" hidden="1">Dashboard!$C$7:$F$14</definedName>
    <definedName name="Alt_Chk_1_Hdg" hidden="1">SERVICE_DELIVERY!$B$172</definedName>
    <definedName name="Alt_Chk_4_Hdg" hidden="1">SERVICE_DELIVERY!$B$27</definedName>
    <definedName name="Alt_Chk_5_Hdg" hidden="1">SERVICE_DELIVERY!$B$27</definedName>
    <definedName name="Alt_Chks_Msg">Checks!$J$213</definedName>
    <definedName name="Alt_Chks_Ttl_Areas">Checks!$M$219</definedName>
    <definedName name="Analy_Exchange_Rate">Developer_Only_To!$E$21</definedName>
    <definedName name="BA_Alt_Chks" hidden="1">Checks!$210:$219</definedName>
    <definedName name="BA_Err_Chks" hidden="1">Checks!$3:$209</definedName>
    <definedName name="BPMMC1" hidden="1">TIME_SERIES!$3:$15</definedName>
    <definedName name="BPMMC2" hidden="1">Time_Lu!$3:$91</definedName>
    <definedName name="CA_Alt_Chks">Checks!$K$217:$K$217</definedName>
    <definedName name="CA_Alt_Chks_Area_Names">Checks!$B$217:$B$217</definedName>
    <definedName name="CA_Alt_Chks_Flags">Checks!$M$217:$M$217</definedName>
    <definedName name="CA_Alt_Chks_Inc">Checks!$L$217:$L$217</definedName>
    <definedName name="CA_Err_Chks">Checks!$K$10:$K$207</definedName>
    <definedName name="CA_Err_Chks_Area_Names">Checks!$B$10:$B$207</definedName>
    <definedName name="CA_Err_Chks_Flags">Checks!$M$10:$M$207</definedName>
    <definedName name="CA_Err_Chks_Inc">Checks!$L$10:$L$207</definedName>
    <definedName name="CB_Alt_Chks_Show_Msg">Checks!$B$213</definedName>
    <definedName name="CB_Err_Chks_Show_Msg">Checks!$B$6</definedName>
    <definedName name="Db_AddCISP_y1">'VACCS_&amp;_SUPPLIES'!$J$47</definedName>
    <definedName name="Db_AddCISP_y2">'VACCS_&amp;_SUPPLIES'!$K$47</definedName>
    <definedName name="Db_AddCISP_y3">'VACCS_&amp;_SUPPLIES'!$L$47</definedName>
    <definedName name="Db_AddCISP_y4">'VACCS_&amp;_SUPPLIES'!$M$47</definedName>
    <definedName name="Db_AddCISP_y5">'VACCS_&amp;_SUPPLIES'!$N$47</definedName>
    <definedName name="Db_AddCSBP_y1">'VACCS_&amp;_SUPPLIES'!$J$55</definedName>
    <definedName name="Db_AddCSBP_y2">'VACCS_&amp;_SUPPLIES'!$K$55</definedName>
    <definedName name="Db_AddCSBP_y3">'VACCS_&amp;_SUPPLIES'!$L$55</definedName>
    <definedName name="Db_AddCSBP_y4">'VACCS_&amp;_SUPPLIES'!$M$55</definedName>
    <definedName name="Db_AddCSBP_y5">'VACCS_&amp;_SUPPLIES'!$N$55</definedName>
    <definedName name="Db_AddCVacP_y1">'VACCS_&amp;_SUPPLIES'!$J$38</definedName>
    <definedName name="Db_AddCVacP_y2">'VACCS_&amp;_SUPPLIES'!$K$38</definedName>
    <definedName name="Db_AddCVacP_y3">'VACCS_&amp;_SUPPLIES'!$L$38</definedName>
    <definedName name="Db_AddCVacP_y4">'VACCS_&amp;_SUPPLIES'!$M$38</definedName>
    <definedName name="Db_AddCVacP_y5">'VACCS_&amp;_SUPPLIES'!$N$38</definedName>
    <definedName name="Db_ColdCANtotalE_FC">Analysis!$I$780</definedName>
    <definedName name="Db_ColdCANtotalE_LC">Analysis!$I$743</definedName>
    <definedName name="Db_ColdCANtotalF_FC">Analysis!$I$761</definedName>
    <definedName name="Db_ColdCANtotalF_LC">Analysis!$I$726</definedName>
    <definedName name="Db_ColdCANy1E_FC">Analysis!$J$780</definedName>
    <definedName name="Db_ColdCANy1E_LC">Analysis!$J$743</definedName>
    <definedName name="Db_ColdCANy1F_FC">Analysis!$J$761</definedName>
    <definedName name="Db_ColdCANy1F_LC">Analysis!$J$726</definedName>
    <definedName name="Db_ColdCANy2E_FC">Analysis!$K$780</definedName>
    <definedName name="Db_ColdCANy2E_LC">Analysis!$K$743</definedName>
    <definedName name="Db_ColdCANy2F_FC">Analysis!$K$761</definedName>
    <definedName name="Db_ColdCANy2F_LC">Analysis!$K$726</definedName>
    <definedName name="Db_ColdCANy3E_FC">Analysis!$L$780</definedName>
    <definedName name="Db_ColdCANy3E_LC">Analysis!$L$743</definedName>
    <definedName name="Db_ColdCANy3F_FC">Analysis!$L$761</definedName>
    <definedName name="Db_ColdCANy3F_LC">Analysis!$L$726</definedName>
    <definedName name="Db_ColdCANy4E_FC">Analysis!$M$780</definedName>
    <definedName name="Db_ColdCANy4E_LC">Analysis!$M$743</definedName>
    <definedName name="Db_ColdCANy4F_FC">Analysis!$M$761</definedName>
    <definedName name="Db_ColdCANy4F_LC">Analysis!$M$726</definedName>
    <definedName name="Db_ColdCANy5E_FC">Analysis!$N$780</definedName>
    <definedName name="Db_ColdCANy5E_LC">Analysis!$N$743</definedName>
    <definedName name="Db_ColdCANy5F_FC">Analysis!$N$761</definedName>
    <definedName name="Db_ColdCANy5F_LC">Analysis!$N$726</definedName>
    <definedName name="Db_ColdCtotalE_FC">Analysis!$I$708</definedName>
    <definedName name="Db_ColdCtotalE_LC">Analysis!$I$676</definedName>
    <definedName name="Db_ColdCtotalF_FC">Analysis!$I$693</definedName>
    <definedName name="Db_ColdCtotalF_LC">Analysis!$I$660</definedName>
    <definedName name="Db_ColdCy1E_FC">Analysis!$J$708</definedName>
    <definedName name="Db_ColdCy1E_LC">Analysis!$J$676</definedName>
    <definedName name="Db_ColdCy1F_FC">Analysis!$J$693</definedName>
    <definedName name="Db_ColdCy1F_LC">Analysis!$J$660</definedName>
    <definedName name="Db_ColdCy2E_FC">Analysis!$K$708</definedName>
    <definedName name="Db_ColdCy2E_LC">Analysis!$K$676</definedName>
    <definedName name="Db_ColdCy2F_FC">Analysis!$K$693</definedName>
    <definedName name="Db_ColdCy2F_LC">Analysis!$K$660</definedName>
    <definedName name="Db_ColdCy3E_FC">Analysis!$L$708</definedName>
    <definedName name="Db_ColdCy3E_LC">Analysis!$L$676</definedName>
    <definedName name="Db_ColdCy3F_FC">Analysis!$L$693</definedName>
    <definedName name="Db_ColdCy3F_LC">Analysis!$L$660</definedName>
    <definedName name="Db_ColdCy4E_FC">Analysis!$M$708</definedName>
    <definedName name="Db_ColdCy4E_LC">Analysis!$M$676</definedName>
    <definedName name="Db_ColdCy4F_FC">Analysis!$M$693</definedName>
    <definedName name="Db_ColdCy4F_LC">Analysis!$M$660</definedName>
    <definedName name="Db_ColdCy5E_FC">Analysis!$N$708</definedName>
    <definedName name="Db_ColdCy5E_LC">Analysis!$N$676</definedName>
    <definedName name="Db_ColdCy5F_FC">Analysis!$N$693</definedName>
    <definedName name="Db_ColdCy5F_LC">Analysis!$N$660</definedName>
    <definedName name="Db_CostMethod">TIME_SERIES!$H$6</definedName>
    <definedName name="Db_DisRate">ECONOMICS!$E$15</definedName>
    <definedName name="Db_Dose1">COUNTS_and_COVERAGE_Summary!$I$76</definedName>
    <definedName name="Db_Dose1_G1SG1_y1">COUNTS_and_COVERAGE_Summary!$J$47</definedName>
    <definedName name="Db_Dose1_G1SG1_y2">COUNTS_and_COVERAGE_Summary!$K$47</definedName>
    <definedName name="Db_Dose1_G1SG1_y3">COUNTS_and_COVERAGE_Summary!$L$47</definedName>
    <definedName name="Db_Dose1_G1SG1_y4">COUNTS_and_COVERAGE_Summary!$M$47</definedName>
    <definedName name="Db_Dose1_G1SG1_y5">COUNTS_and_COVERAGE_Summary!$N$47</definedName>
    <definedName name="Db_Dose1_G1SG2_y1">COUNTS_and_COVERAGE_Summary!$J$48</definedName>
    <definedName name="Db_Dose1_G1SG2_y2">COUNTS_and_COVERAGE_Summary!$K$48</definedName>
    <definedName name="Db_Dose1_G1SG2_y3">COUNTS_and_COVERAGE_Summary!$L$48</definedName>
    <definedName name="Db_Dose1_G1SG2_y4">COUNTS_and_COVERAGE_Summary!$M$48</definedName>
    <definedName name="Db_Dose1_G1SG2_y5">COUNTS_and_COVERAGE_Summary!$N$48</definedName>
    <definedName name="Db_Dose1_G2SG1_y1">COUNTS_and_COVERAGE_Summary!$J$60</definedName>
    <definedName name="Db_Dose1_G2SG1_y2">COUNTS_and_COVERAGE_Summary!$K$60</definedName>
    <definedName name="Db_Dose1_G2SG1_y3">COUNTS_and_COVERAGE_Summary!$L$60</definedName>
    <definedName name="Db_Dose1_G2SG1_y4">COUNTS_and_COVERAGE_Summary!$M$60</definedName>
    <definedName name="Db_Dose1_G2SG1_y5">COUNTS_and_COVERAGE_Summary!$N$60</definedName>
    <definedName name="Db_Dose1_G2SG2_y1">COUNTS_and_COVERAGE_Summary!$J$61</definedName>
    <definedName name="Db_Dose1_G2SG2_y2">COUNTS_and_COVERAGE_Summary!$K$61</definedName>
    <definedName name="Db_Dose1_G2SG2_y3">COUNTS_and_COVERAGE_Summary!$L$61</definedName>
    <definedName name="Db_Dose1_G2SG2_y4">COUNTS_and_COVERAGE_Summary!$M$61</definedName>
    <definedName name="Db_Dose1_G2SG2_y5">COUNTS_and_COVERAGE_Summary!$N$61</definedName>
    <definedName name="Db_Dose1_GV1_y1_pro">SERVICE_DELIVERY!$J$68</definedName>
    <definedName name="Db_Dose1_GV1_y1_retro">SERVICE_DELIVERY!$J$182</definedName>
    <definedName name="Db_Dose1_GV1_y2_pro">SERVICE_DELIVERY!$K$68</definedName>
    <definedName name="Db_Dose1_GV1_y2_retro">SERVICE_DELIVERY!$K$182</definedName>
    <definedName name="Db_Dose1_GV1_y3_pro">SERVICE_DELIVERY!$L$68</definedName>
    <definedName name="Db_Dose1_GV1_y3_retro">SERVICE_DELIVERY!$L$182</definedName>
    <definedName name="Db_Dose1_GV1_y4_pro">SERVICE_DELIVERY!$M$68</definedName>
    <definedName name="Db_Dose1_GV1_y4_retro">SERVICE_DELIVERY!$M$182</definedName>
    <definedName name="Db_Dose1_GV1_y5_pro">SERVICE_DELIVERY!$N$68</definedName>
    <definedName name="Db_Dose1_GV1_y5_retro">SERVICE_DELIVERY!$N$182</definedName>
    <definedName name="Db_Dose1_GV2_y1_pro">SERVICE_DELIVERY!$J$69</definedName>
    <definedName name="Db_Dose1_GV2_y1_retro">SERVICE_DELIVERY!$J$183</definedName>
    <definedName name="Db_Dose1_GV2_y2_pro">SERVICE_DELIVERY!$K$69</definedName>
    <definedName name="Db_Dose1_GV2_y2_retro">SERVICE_DELIVERY!$K$183</definedName>
    <definedName name="Db_Dose1_GV2_y3_pro">SERVICE_DELIVERY!$L$69</definedName>
    <definedName name="Db_Dose1_GV2_y3_retro">SERVICE_DELIVERY!$L$183</definedName>
    <definedName name="Db_Dose1_GV2_y4_pro">SERVICE_DELIVERY!$M$69</definedName>
    <definedName name="Db_Dose1_GV2_y4_retro">SERVICE_DELIVERY!$M$183</definedName>
    <definedName name="Db_Dose1_GV2_y5_pro">SERVICE_DELIVERY!$N$69</definedName>
    <definedName name="Db_Dose1_GV2_y5_retro">SERVICE_DELIVERY!$N$183</definedName>
    <definedName name="Db_Dose1_SV1_y1_pro">SERVICE_DELIVERY!$J$61</definedName>
    <definedName name="Db_Dose1_SV1_y1_retro">SERVICE_DELIVERY!$J$178</definedName>
    <definedName name="Db_Dose1_SV1_y2_pro">SERVICE_DELIVERY!$K$61</definedName>
    <definedName name="Db_Dose1_SV1_y2_retro">SERVICE_DELIVERY!$K$178</definedName>
    <definedName name="Db_Dose1_SV1_y3_pro">SERVICE_DELIVERY!$L$61</definedName>
    <definedName name="Db_Dose1_SV1_y3_retro">SERVICE_DELIVERY!$L$178</definedName>
    <definedName name="Db_Dose1_SV1_y4_pro">SERVICE_DELIVERY!$M$61</definedName>
    <definedName name="Db_Dose1_SV1_y4_retro">SERVICE_DELIVERY!$M$178</definedName>
    <definedName name="Db_Dose1_SV1_y5_pro">SERVICE_DELIVERY!$N$61</definedName>
    <definedName name="Db_Dose1_SV1_y5_retro">SERVICE_DELIVERY!$N$178</definedName>
    <definedName name="Db_Dose1_SV2_y1_pro">SERVICE_DELIVERY!$J$62</definedName>
    <definedName name="Db_Dose1_SV2_y1_retro">SERVICE_DELIVERY!$J$179</definedName>
    <definedName name="Db_Dose1_SV2_y2_pro">SERVICE_DELIVERY!$K$62</definedName>
    <definedName name="Db_Dose1_SV2_y2_retro">SERVICE_DELIVERY!$K$179</definedName>
    <definedName name="Db_Dose1_SV2_y3_pro">SERVICE_DELIVERY!$L$62</definedName>
    <definedName name="Db_Dose1_SV2_y3_retro">SERVICE_DELIVERY!$L$179</definedName>
    <definedName name="Db_Dose1_SV2_y4_pro">SERVICE_DELIVERY!$M$62</definedName>
    <definedName name="Db_Dose1_SV2_y4_retro">SERVICE_DELIVERY!$M$179</definedName>
    <definedName name="Db_Dose1_SV2_y5_pro">SERVICE_DELIVERY!$N$62</definedName>
    <definedName name="Db_Dose1_SV2_y5_retro">SERVICE_DELIVERY!$N$179</definedName>
    <definedName name="Db_Dose2">COUNTS_and_COVERAGE_Summary!$I$109</definedName>
    <definedName name="Db_Dose2_G1SG1_y1">COUNTS_and_COVERAGE_Summary!$J$83</definedName>
    <definedName name="Db_Dose2_G1SG1_y2">COUNTS_and_COVERAGE_Summary!$K$83</definedName>
    <definedName name="Db_Dose2_G1SG1_y3">COUNTS_and_COVERAGE_Summary!$L$83</definedName>
    <definedName name="Db_Dose2_G1SG1_y4">COUNTS_and_COVERAGE_Summary!$M$83</definedName>
    <definedName name="Db_Dose2_G1SG1_y5">COUNTS_and_COVERAGE_Summary!$N$83</definedName>
    <definedName name="Db_Dose2_G1SG2_y1">COUNTS_and_COVERAGE_Summary!$J$84</definedName>
    <definedName name="Db_Dose2_G1SG2_y2">COUNTS_and_COVERAGE_Summary!$K$84</definedName>
    <definedName name="Db_Dose2_G1SG2_y3">COUNTS_and_COVERAGE_Summary!$L$84</definedName>
    <definedName name="Db_Dose2_G1SG2_y4">COUNTS_and_COVERAGE_Summary!$M$84</definedName>
    <definedName name="Db_Dose2_G1SG2_y5">COUNTS_and_COVERAGE_Summary!$N$84</definedName>
    <definedName name="Db_Dose2_G2SG1_y1">COUNTS_and_COVERAGE_Summary!$J$94</definedName>
    <definedName name="Db_Dose2_G2SG1_y2">COUNTS_and_COVERAGE_Summary!$K$94</definedName>
    <definedName name="Db_Dose2_G2SG1_y3">COUNTS_and_COVERAGE_Summary!$L$94</definedName>
    <definedName name="Db_Dose2_G2SG1_y4">COUNTS_and_COVERAGE_Summary!$M$94</definedName>
    <definedName name="Db_Dose2_G2SG1_y5">COUNTS_and_COVERAGE_Summary!$N$94</definedName>
    <definedName name="Db_Dose2_G2SG2_y1">COUNTS_and_COVERAGE_Summary!$J$95</definedName>
    <definedName name="Db_Dose2_G2SG2_y2">COUNTS_and_COVERAGE_Summary!$K$95</definedName>
    <definedName name="Db_Dose2_G2SG2_y3">COUNTS_and_COVERAGE_Summary!$L$95</definedName>
    <definedName name="Db_Dose2_G2SG2_y4">COUNTS_and_COVERAGE_Summary!$M$95</definedName>
    <definedName name="Db_Dose2_G2SG2_y5">COUNTS_and_COVERAGE_Summary!$N$95</definedName>
    <definedName name="Db_Dose2_GV1_y1_pro">SERVICE_DELIVERY!$J$121</definedName>
    <definedName name="Db_Dose2_GV1_y1_retro">SERVICE_DELIVERY!$J$203</definedName>
    <definedName name="Db_Dose2_GV1_y2_pro">SERVICE_DELIVERY!$K$121</definedName>
    <definedName name="Db_Dose2_GV1_y2_retro">SERVICE_DELIVERY!$K$203</definedName>
    <definedName name="Db_Dose2_GV1_y3_pro">SERVICE_DELIVERY!$L$121</definedName>
    <definedName name="Db_Dose2_GV1_y3_retro">SERVICE_DELIVERY!$L$203</definedName>
    <definedName name="Db_Dose2_GV1_y4_pro">SERVICE_DELIVERY!$M$121</definedName>
    <definedName name="Db_Dose2_GV1_y4_retro">SERVICE_DELIVERY!$M$203</definedName>
    <definedName name="Db_Dose2_GV1_y5_pro">SERVICE_DELIVERY!$N$121</definedName>
    <definedName name="Db_Dose2_GV1_y5_retro">SERVICE_DELIVERY!$N$203</definedName>
    <definedName name="Db_Dose2_GV2_y1_pro">SERVICE_DELIVERY!$J$122</definedName>
    <definedName name="Db_Dose2_GV2_y1_retro">SERVICE_DELIVERY!$J$204</definedName>
    <definedName name="Db_Dose2_GV2_y2_pro">SERVICE_DELIVERY!$K$122</definedName>
    <definedName name="Db_Dose2_GV2_y2_retro">SERVICE_DELIVERY!$K$204</definedName>
    <definedName name="Db_Dose2_GV2_y3_pro">SERVICE_DELIVERY!$L$122</definedName>
    <definedName name="Db_Dose2_GV2_y3_retro">SERVICE_DELIVERY!$L$204</definedName>
    <definedName name="Db_Dose2_GV2_y4_pro">SERVICE_DELIVERY!$M$122</definedName>
    <definedName name="Db_Dose2_GV2_y4_retro">SERVICE_DELIVERY!$M$204</definedName>
    <definedName name="Db_Dose2_GV2_y5_pro">SERVICE_DELIVERY!$N$122</definedName>
    <definedName name="Db_Dose2_GV2_y5_retro">SERVICE_DELIVERY!$N$204</definedName>
    <definedName name="Db_Dose2_SV1_y1_pro">SERVICE_DELIVERY!$J$114</definedName>
    <definedName name="Db_Dose2_SV1_y1_retro">SERVICE_DELIVERY!$J$199</definedName>
    <definedName name="Db_Dose2_SV1_y2_pro">SERVICE_DELIVERY!$K$114</definedName>
    <definedName name="Db_Dose2_SV1_y2_retro">SERVICE_DELIVERY!$K$199</definedName>
    <definedName name="Db_Dose2_SV1_y3_pro">SERVICE_DELIVERY!$L$114</definedName>
    <definedName name="Db_Dose2_SV1_y3_retro">SERVICE_DELIVERY!$L$199</definedName>
    <definedName name="Db_Dose2_SV1_y4_pro">SERVICE_DELIVERY!$M$114</definedName>
    <definedName name="Db_Dose2_SV1_y4_retro">SERVICE_DELIVERY!$M$199</definedName>
    <definedName name="Db_Dose2_SV1_y5_pro">SERVICE_DELIVERY!$N$114</definedName>
    <definedName name="Db_Dose2_SV1_y5_retro">SERVICE_DELIVERY!$N$199</definedName>
    <definedName name="Db_Dose2_SV2_y1_pro">SERVICE_DELIVERY!$J$115</definedName>
    <definedName name="Db_Dose2_SV2_y1_retro">SERVICE_DELIVERY!$J$200</definedName>
    <definedName name="Db_Dose2_SV2_y2_pro">SERVICE_DELIVERY!$K$115</definedName>
    <definedName name="Db_Dose2_SV2_y2_retro">SERVICE_DELIVERY!$K$200</definedName>
    <definedName name="Db_Dose2_SV2_y3_pro">SERVICE_DELIVERY!$L$115</definedName>
    <definedName name="Db_Dose2_SV2_y3_retro">SERVICE_DELIVERY!$L$200</definedName>
    <definedName name="Db_Dose2_SV2_y4_pro">SERVICE_DELIVERY!$M$115</definedName>
    <definedName name="Db_Dose2_SV2_y4_retro">SERVICE_DELIVERY!$M$200</definedName>
    <definedName name="Db_Dose2_SV2_y5_pro">SERVICE_DELIVERY!$N$115</definedName>
    <definedName name="Db_Dose2_SV2_y5_retro">SERVICE_DELIVERY!$N$200</definedName>
    <definedName name="Db_DosePerOut_y1">COUNTS!$J$25</definedName>
    <definedName name="Db_DosePerOut_y2">COUNTS!$K$25</definedName>
    <definedName name="Db_DosePerOut_y3">COUNTS!$L$25</definedName>
    <definedName name="Db_DosePerOut_y4">COUNTS!$M$25</definedName>
    <definedName name="Db_DosePerOut_y5">COUNTS!$N$25</definedName>
    <definedName name="Db_ExRate">ECONOMICS!$E$13</definedName>
    <definedName name="Db_FC">ECONOMICS!$E$7</definedName>
    <definedName name="Db_HF_Out_Num_y1">COUNTS!$J$23</definedName>
    <definedName name="Db_HF_Out_Num_y2">COUNTS!$K$23</definedName>
    <definedName name="Db_HF_Out_Num_y3">COUNTS!$L$23</definedName>
    <definedName name="Db_HF_Out_Num_y4">COUNTS!$M$23</definedName>
    <definedName name="Db_HF_Out_Num_y5">COUNTS!$N$23</definedName>
    <definedName name="Db_HF_SV_Num_y1">COUNTS!$J$22</definedName>
    <definedName name="Db_HF_SV_Num_y2">COUNTS!$K$22</definedName>
    <definedName name="Db_HF_SV_Num_y3">COUNTS!$L$22</definedName>
    <definedName name="Db_HF_SV_Num_y4">COUNTS!$M$22</definedName>
    <definedName name="Db_HF_SV_Num_y5">COUNTS!$N$22</definedName>
    <definedName name="Db_LC">ECONOMICS!$E$8</definedName>
    <definedName name="Db_Micro1Num">Analysis!$I$115</definedName>
    <definedName name="Db_Micro2Num">Analysis!$I$117</definedName>
    <definedName name="Db_Micro3Num">Analysis!$I$119</definedName>
    <definedName name="Db_Micro4Num">Analysis!$I$121</definedName>
    <definedName name="Db_MicroCtotalE_FC">Analysis!$I$170</definedName>
    <definedName name="Db_MicroCtotalE_LC">Analysis!$I$146</definedName>
    <definedName name="Db_MicroCtotalF_FC">Analysis!$I$160</definedName>
    <definedName name="Db_MicroCtotalF_LC">Analysis!$I$135</definedName>
    <definedName name="Db_MicroCy1E_FC">Analysis!$J$170</definedName>
    <definedName name="Db_MicroCy1E_LC">Analysis!$J$146</definedName>
    <definedName name="Db_MicroCy1F_FC">Analysis!$J$160</definedName>
    <definedName name="Db_MicroCy1F_LC">Analysis!$J$135</definedName>
    <definedName name="Db_MicroCy2E_FC">Analysis!$K$170</definedName>
    <definedName name="Db_MicroCy2E_LC">Analysis!$K$146</definedName>
    <definedName name="Db_MicroCy2F_FC">Analysis!$K$160</definedName>
    <definedName name="Db_MicroCy2F_LC">Analysis!$K$135</definedName>
    <definedName name="Db_MicroCy3E_FC">Analysis!$L$170</definedName>
    <definedName name="Db_MicroCy3E_LC">Analysis!$L$146</definedName>
    <definedName name="Db_MicroCy3F_FC">Analysis!$L$160</definedName>
    <definedName name="Db_MicroCy3F_LC">Analysis!$L$135</definedName>
    <definedName name="Db_MicroCy4E_FC">Analysis!$M$170</definedName>
    <definedName name="Db_MicroCy4E_LC">Analysis!$M$146</definedName>
    <definedName name="Db_MicroCy4F_FC">Analysis!$M$160</definedName>
    <definedName name="Db_MicroCy4F_LC">Analysis!$M$135</definedName>
    <definedName name="Db_MicroCy5E_FC">Analysis!$N$170</definedName>
    <definedName name="Db_MicroCy5E_LC">Analysis!$N$146</definedName>
    <definedName name="Db_MicroCy5F_FC">Analysis!$N$160</definedName>
    <definedName name="Db_MicroCy5F_LC">Analysis!$N$135</definedName>
    <definedName name="Db_Name">LABELS!$E$8</definedName>
    <definedName name="Db_OthCap10Num">Analysis!$I$799</definedName>
    <definedName name="Db_OthCap1Num">Analysis!$I$790</definedName>
    <definedName name="Db_OthCap2Num">Analysis!$I$791</definedName>
    <definedName name="Db_OthCap3Num">Analysis!$I$792</definedName>
    <definedName name="Db_OthCap4Num">Analysis!$I$793</definedName>
    <definedName name="Db_OthCap5Num">Analysis!$I$794</definedName>
    <definedName name="Db_OthCap6Num">Analysis!$I$795</definedName>
    <definedName name="Db_OthCap7Num">Analysis!$I$796</definedName>
    <definedName name="Db_OthCap8Num">Analysis!$I$797</definedName>
    <definedName name="Db_OthCap9Num">Analysis!$I$798</definedName>
    <definedName name="Db_OthCapCANtotalE_FC">Analysis!$I$937</definedName>
    <definedName name="Db_OthCapCANtotalE_LC">Analysis!$I$902</definedName>
    <definedName name="Db_OthCapCANtotalF_FC">Analysis!$I$920</definedName>
    <definedName name="Db_OthCapCANtotalF_LC">Analysis!$I$883</definedName>
    <definedName name="Db_OthCapCANy1E_FC">Analysis!$J$937</definedName>
    <definedName name="Db_OthCapCANy1E_LC">Analysis!$J$902</definedName>
    <definedName name="Db_OthCapCANy1F_FC">Analysis!$J$920</definedName>
    <definedName name="Db_OthCapCANy1F_LC">Analysis!$J$883</definedName>
    <definedName name="Db_OthCapCANy2E_FC">Analysis!$K$937</definedName>
    <definedName name="Db_OthCapCANy2E_LC">Analysis!$K$902</definedName>
    <definedName name="Db_OthCapCANy2F_FC">Analysis!$K$920</definedName>
    <definedName name="Db_OthCapCANy2F_LC">Analysis!$K$883</definedName>
    <definedName name="Db_OthCapCANy3E_FC">Analysis!$L$937</definedName>
    <definedName name="Db_OthCapCANy3E_LC">Analysis!$L$902</definedName>
    <definedName name="Db_OthCapCANy3F_FC">Analysis!$L$920</definedName>
    <definedName name="Db_OthCapCANy3F_LC">Analysis!$L$883</definedName>
    <definedName name="Db_OthCapCANy4E_FC">Analysis!$M$937</definedName>
    <definedName name="Db_OthCapCANy4E_LC">Analysis!$M$902</definedName>
    <definedName name="Db_OthCapCANy4F_FC">Analysis!$M$920</definedName>
    <definedName name="Db_OthCapCANy4F_LC">Analysis!$M$883</definedName>
    <definedName name="Db_OthCapCANy5E_FC">Analysis!$N$937</definedName>
    <definedName name="Db_OthCapCANy5E_LC">Analysis!$N$902</definedName>
    <definedName name="Db_OthCapCANy5F_FC">Analysis!$N$920</definedName>
    <definedName name="Db_OthCapCANy5F_LC">Analysis!$N$883</definedName>
    <definedName name="Db_OthCapCtotalE_FC">Analysis!$I$865</definedName>
    <definedName name="Db_OthCapCtotalE_LC">Analysis!$I$832</definedName>
    <definedName name="Db_OthCapCtotalF_FC">Analysis!$I$850</definedName>
    <definedName name="Db_OthCapCtotalF_LC">Analysis!$I$818</definedName>
    <definedName name="Db_OthCapCy1E_FC">Analysis!$J$865</definedName>
    <definedName name="Db_OthCapCy1E_LC">Analysis!$J$832</definedName>
    <definedName name="Db_OthCapCy1F_FC">Analysis!$J$850</definedName>
    <definedName name="Db_OthCapCy1F_LC">Analysis!$J$818</definedName>
    <definedName name="Db_OthCapCy2E_FC">Analysis!$K$865</definedName>
    <definedName name="Db_OthCapCy2E_LC">Analysis!$K$832</definedName>
    <definedName name="Db_OthCapCy2F_FC">Analysis!$K$850</definedName>
    <definedName name="Db_OthCapCy2F_LC">Analysis!$K$818</definedName>
    <definedName name="Db_OthCapCy3E_FC">Analysis!$L$865</definedName>
    <definedName name="Db_OthCapCy3E_LC">Analysis!$L$832</definedName>
    <definedName name="Db_OthCapCy3F_FC">Analysis!$L$850</definedName>
    <definedName name="Db_OthCapCy3F_LC">Analysis!$L$818</definedName>
    <definedName name="Db_OthCapCy4E_FC">Analysis!$M$865</definedName>
    <definedName name="Db_OthCapCy4E_LC">Analysis!$M$832</definedName>
    <definedName name="Db_OthCapCy4F_FC">Analysis!$M$850</definedName>
    <definedName name="Db_OthCapCy4F_LC">Analysis!$M$818</definedName>
    <definedName name="Db_OthCapCy5E_FC">Analysis!$N$865</definedName>
    <definedName name="Db_OthCapCy5E_LC">Analysis!$N$832</definedName>
    <definedName name="Db_OthCapCy5F_FC">Analysis!$N$850</definedName>
    <definedName name="Db_OthCapCy5F_LC">Analysis!$N$818</definedName>
    <definedName name="Db_OthRecur1Num">Analysis!$I$560</definedName>
    <definedName name="Db_OthRecur2Num">Analysis!$I$562</definedName>
    <definedName name="Db_OthRecur3Num">Analysis!$I$564</definedName>
    <definedName name="Db_OthRecur4Num">Analysis!$I$566</definedName>
    <definedName name="Db_OthRecur5Num">Analysis!$I$568</definedName>
    <definedName name="Db_OthRecurCtotalE_FC">Analysis!$I$619</definedName>
    <definedName name="Db_OthRecurCtotalE_LC">Analysis!$I$594</definedName>
    <definedName name="Db_OthRecurCtotalF_FC">Analysis!$I$608</definedName>
    <definedName name="Db_OthRecurCtotalF_LC">Analysis!$I$582</definedName>
    <definedName name="Db_OthRecurCy1E_FC">Analysis!$J$619</definedName>
    <definedName name="Db_OthRecurCy1E_LC">Analysis!$J$594</definedName>
    <definedName name="Db_OthRecurCy1F_FC">Analysis!$J$608</definedName>
    <definedName name="Db_OthRecurCy1F_LC">Analysis!$J$582</definedName>
    <definedName name="Db_OthRecurCy2E_FC">Analysis!$K$619</definedName>
    <definedName name="Db_OthRecurCy2E_LC">Analysis!$K$594</definedName>
    <definedName name="Db_OthRecurCy2F_FC">Analysis!$K$608</definedName>
    <definedName name="Db_OthRecurCy2F_LC">Analysis!$K$582</definedName>
    <definedName name="Db_OthRecurCy3E_FC">Analysis!$L$619</definedName>
    <definedName name="Db_OthRecurCy3E_LC">Analysis!$L$594</definedName>
    <definedName name="Db_OthRecurCy3F_FC">Analysis!$L$608</definedName>
    <definedName name="Db_OthRecurCy3F_LC">Analysis!$L$582</definedName>
    <definedName name="Db_OthRecurCy4E_FC">Analysis!$M$619</definedName>
    <definedName name="Db_OthRecurCy4E_LC">Analysis!$M$594</definedName>
    <definedName name="Db_OthRecurCy4F_FC">Analysis!$M$608</definedName>
    <definedName name="Db_OthRecurCy4F_LC">Analysis!$M$582</definedName>
    <definedName name="Db_OthRecurCy5E_FC">Analysis!$N$619</definedName>
    <definedName name="Db_OthRecurCy5E_LC">Analysis!$N$594</definedName>
    <definedName name="Db_OthRecurCy5F_FC">Analysis!$N$608</definedName>
    <definedName name="Db_OthRecurCy5F_LC">Analysis!$N$582</definedName>
    <definedName name="Db_OutNumPerHFyr_y1">COUNTS!$J$24</definedName>
    <definedName name="Db_OutNumPerHFyr_y2">COUNTS!$K$24</definedName>
    <definedName name="Db_OutNumPerHFyr_y3">COUNTS!$L$24</definedName>
    <definedName name="Db_OutNumPerHFyr_y4">COUNTS!$M$24</definedName>
    <definedName name="Db_OutNumPerHFyr_y5">COUNTS!$N$24</definedName>
    <definedName name="Db_SchNum_y1">COUNTS!$J$12</definedName>
    <definedName name="Db_SchNum_y2">COUNTS!$K$12</definedName>
    <definedName name="Db_SchNum_y3">COUNTS!$L$12</definedName>
    <definedName name="Db_SchNum_y4">COUNTS!$M$12</definedName>
    <definedName name="Db_SchNum_y5">COUNTS!$N$12</definedName>
    <definedName name="Db_Sen1Num">Analysis!$I$250</definedName>
    <definedName name="Db_Sen2Num">Analysis!$I$252</definedName>
    <definedName name="Db_Sen3Num">Analysis!$I$254</definedName>
    <definedName name="Db_Sen4Num">Analysis!$I$256</definedName>
    <definedName name="Db_Sen5Num">Analysis!$I$258</definedName>
    <definedName name="Db_Sen6Num">Analysis!$I$260</definedName>
    <definedName name="Db_SenCtotalE_FC">Analysis!$I$316</definedName>
    <definedName name="Db_SenCtotalE_LC">Analysis!$I$289</definedName>
    <definedName name="Db_SenCtotalF_FC">Analysis!$I$304</definedName>
    <definedName name="Db_SenCtotalF_LC">Analysis!$I$276</definedName>
    <definedName name="Db_SenCy1E_FC">Analysis!$J$316</definedName>
    <definedName name="Db_SenCy1E_LC">Analysis!$J$289</definedName>
    <definedName name="Db_SenCy1F_FC">Analysis!$J$304</definedName>
    <definedName name="Db_SenCy1F_LC">Analysis!$J$276</definedName>
    <definedName name="Db_SenCy2E_FC">Analysis!$K$316</definedName>
    <definedName name="Db_SenCy2E_LC">Analysis!$K$289</definedName>
    <definedName name="Db_SenCy2F_FC">Analysis!$K$304</definedName>
    <definedName name="Db_SenCy2F_LC">Analysis!$K$276</definedName>
    <definedName name="Db_SenCy3E_FC">Analysis!$L$316</definedName>
    <definedName name="Db_SenCy3E_LC">Analysis!$L$289</definedName>
    <definedName name="Db_SenCy3F_FC">Analysis!$L$304</definedName>
    <definedName name="Db_SenCy3F_LC">Analysis!$L$276</definedName>
    <definedName name="Db_SenCy4E_FC">Analysis!$M$316</definedName>
    <definedName name="Db_SenCy4E_LC">Analysis!$M$289</definedName>
    <definedName name="Db_SenCy4F_FC">Analysis!$M$304</definedName>
    <definedName name="Db_SenCy4F_LC">Analysis!$M$276</definedName>
    <definedName name="Db_SenCy5E_FC">Analysis!$N$316</definedName>
    <definedName name="Db_SenCy5E_LC">Analysis!$N$289</definedName>
    <definedName name="Db_SenCy5F_FC">Analysis!$N$304</definedName>
    <definedName name="Db_SenCy5F_LC">Analysis!$N$276</definedName>
    <definedName name="Db_SerC_GV1_totalE_FC">Analysis!$I$468</definedName>
    <definedName name="Db_SerC_GV1_totalE_LC">Analysis!$I$445</definedName>
    <definedName name="Db_SerC_GV1_totalF_FC">Analysis!$I$458</definedName>
    <definedName name="Db_SerC_GV1_totalF_LC">Analysis!$I$434</definedName>
    <definedName name="Db_SerC_GV1_y1E_FC">Analysis!$J$468</definedName>
    <definedName name="Db_SerC_GV1_y1E_LC">Analysis!$J$445</definedName>
    <definedName name="Db_SerC_GV1_y1F_FC">Analysis!$J$458</definedName>
    <definedName name="Db_SerC_GV1_y1F_LC">Analysis!$J$434</definedName>
    <definedName name="Db_SerC_GV1_y2E_FC">Analysis!$K$468</definedName>
    <definedName name="Db_SerC_GV1_y2E_LC">Analysis!$K$445</definedName>
    <definedName name="Db_SerC_GV1_y2F_FC">Analysis!$K$458</definedName>
    <definedName name="Db_SerC_GV1_y2F_LC">Analysis!$K$434</definedName>
    <definedName name="Db_SerC_GV1_y3E_FC">Analysis!$L$468</definedName>
    <definedName name="Db_SerC_GV1_y3E_LC">Analysis!$L$445</definedName>
    <definedName name="Db_SerC_GV1_y3F_FC">Analysis!$L$458</definedName>
    <definedName name="Db_SerC_GV1_y3F_LC">Analysis!$L$434</definedName>
    <definedName name="Db_SerC_GV1_y4E_FC">Analysis!$M$468</definedName>
    <definedName name="Db_SerC_GV1_y4E_LC">Analysis!$M$445</definedName>
    <definedName name="Db_SerC_GV1_y4F_FC">Analysis!$M$458</definedName>
    <definedName name="Db_SerC_GV1_y4F_LC">Analysis!$M$434</definedName>
    <definedName name="Db_SerC_GV1_y5E_FC">Analysis!$N$468</definedName>
    <definedName name="Db_SerC_GV1_y5E_LC">Analysis!$N$445</definedName>
    <definedName name="Db_SerC_GV1_y5F_FC">Analysis!$N$458</definedName>
    <definedName name="Db_SerC_GV1_y5F_LC">Analysis!$N$434</definedName>
    <definedName name="Db_SerC_GV2_totalE_FC">Analysis!$I$469</definedName>
    <definedName name="Db_SerC_GV2_totalE_LC">Analysis!$I$446</definedName>
    <definedName name="Db_SerC_GV2_totalF_FC">Analysis!$I$459</definedName>
    <definedName name="Db_SerC_GV2_totalF_LC">Analysis!$I$435</definedName>
    <definedName name="Db_SerC_GV2_y1E_FC">Analysis!$J$469</definedName>
    <definedName name="Db_SerC_GV2_y1E_LC">Analysis!$J$446</definedName>
    <definedName name="Db_SerC_GV2_y1F_FC">Analysis!$J$459</definedName>
    <definedName name="Db_SerC_GV2_y1F_LC">Analysis!$J$435</definedName>
    <definedName name="Db_SerC_GV2_y2E_FC">Analysis!$K$469</definedName>
    <definedName name="Db_SerC_GV2_y2E_LC">Analysis!$K$446</definedName>
    <definedName name="Db_SerC_GV2_y2F_FC">Analysis!$K$459</definedName>
    <definedName name="Db_SerC_GV2_y2F_LC">Analysis!$K$435</definedName>
    <definedName name="Db_SerC_GV2_y3E_FC">Analysis!$L$469</definedName>
    <definedName name="Db_SerC_GV2_y3E_LC">Analysis!$L$446</definedName>
    <definedName name="Db_SerC_GV2_y3F_FC">Analysis!$L$459</definedName>
    <definedName name="Db_SerC_GV2_y3F_LC">Analysis!$L$435</definedName>
    <definedName name="Db_SerC_GV2_y4E_FC">Analysis!$M$469</definedName>
    <definedName name="Db_SerC_GV2_y4E_LC">Analysis!$M$446</definedName>
    <definedName name="Db_SerC_GV2_y4F_FC">Analysis!$M$459</definedName>
    <definedName name="Db_SerC_GV2_y4F_LC">Analysis!$M$435</definedName>
    <definedName name="Db_SerC_GV2_y5E_FC">Analysis!$N$469</definedName>
    <definedName name="Db_SerC_GV2_y5E_LC">Analysis!$N$446</definedName>
    <definedName name="Db_SerC_GV2_y5F_FC">Analysis!$N$459</definedName>
    <definedName name="Db_SerC_GV2_y5F_LC">Analysis!$N$435</definedName>
    <definedName name="Db_SerC_SV1_totalE_FC">Analysis!$I$466</definedName>
    <definedName name="Db_SerC_SV1_totalE_LC">Analysis!$I$443</definedName>
    <definedName name="Db_SerC_SV1_totalF_FC">Analysis!$I$456</definedName>
    <definedName name="Db_SerC_SV1_totalF_LC">Analysis!$I$432</definedName>
    <definedName name="Db_SerC_SV1_y1E_FC">Analysis!$J$466</definedName>
    <definedName name="Db_SerC_SV1_y1E_LC">Analysis!$J$443</definedName>
    <definedName name="Db_SerC_SV1_y1F_FC">Analysis!$J$456</definedName>
    <definedName name="Db_SerC_SV1_y1F_LC">Analysis!$J$432</definedName>
    <definedName name="Db_SerC_SV1_y2E_FC">Analysis!$K$466</definedName>
    <definedName name="Db_SerC_SV1_y2E_LC">Analysis!$K$443</definedName>
    <definedName name="Db_SerC_SV1_y2F_FC">Analysis!$K$456</definedName>
    <definedName name="Db_SerC_SV1_y2F_LC">Analysis!$K$432</definedName>
    <definedName name="Db_SerC_SV1_y3E_FC">Analysis!$L$466</definedName>
    <definedName name="Db_SerC_SV1_y3E_LC">Analysis!$L$443</definedName>
    <definedName name="Db_SerC_SV1_y3F_FC">Analysis!$L$456</definedName>
    <definedName name="Db_SerC_SV1_y3F_LC">Analysis!$L$432</definedName>
    <definedName name="Db_SerC_SV1_y4E_FC">Analysis!$M$466</definedName>
    <definedName name="Db_SerC_SV1_y4E_LC">Analysis!$M$443</definedName>
    <definedName name="Db_SerC_SV1_y4F_FC">Analysis!$M$456</definedName>
    <definedName name="Db_SerC_SV1_y4F_LC">Analysis!$M$432</definedName>
    <definedName name="Db_SerC_SV1_y5E_FC">Analysis!$N$466</definedName>
    <definedName name="Db_SerC_SV1_y5E_LC">Analysis!$N$443</definedName>
    <definedName name="Db_SerC_SV1_y5F_FC">Analysis!$N$456</definedName>
    <definedName name="Db_SerC_SV1_y5F_LC">Analysis!$N$432</definedName>
    <definedName name="Db_SerC_SV2_totalE_FC">Analysis!$I$467</definedName>
    <definedName name="Db_SerC_SV2_totalE_LC">Analysis!$I$444</definedName>
    <definedName name="Db_SerC_SV2_totalF_FC">Analysis!$I$457</definedName>
    <definedName name="Db_SerC_SV2_totalF_LC">Analysis!$I$433</definedName>
    <definedName name="Db_SerC_SV2_y1E_FC">Analysis!$J$467</definedName>
    <definedName name="Db_SerC_SV2_y1E_LC">Analysis!$J$444</definedName>
    <definedName name="Db_SerC_SV2_y1F_FC">Analysis!$J$457</definedName>
    <definedName name="Db_SerC_SV2_y1F_LC">Analysis!$J$433</definedName>
    <definedName name="Db_SerC_SV2_y2E_FC">Analysis!$K$467</definedName>
    <definedName name="Db_SerC_SV2_y2E_LC">Analysis!$K$444</definedName>
    <definedName name="Db_SerC_SV2_y2F_FC">Analysis!$K$457</definedName>
    <definedName name="Db_SerC_SV2_y2F_LC">Analysis!$K$433</definedName>
    <definedName name="Db_SerC_SV2_y3E_FC">Analysis!$L$467</definedName>
    <definedName name="Db_SerC_SV2_y3E_LC">Analysis!$L$444</definedName>
    <definedName name="Db_SerC_SV2_y3F_FC">Analysis!$L$457</definedName>
    <definedName name="Db_SerC_SV2_y3F_LC">Analysis!$L$433</definedName>
    <definedName name="Db_SerC_SV2_y4E_FC">Analysis!$M$467</definedName>
    <definedName name="Db_SerC_SV2_y4E_LC">Analysis!$M$444</definedName>
    <definedName name="Db_SerC_SV2_y4F_FC">Analysis!$M$457</definedName>
    <definedName name="Db_SerC_SV2_y4F_LC">Analysis!$M$433</definedName>
    <definedName name="Db_SerC_SV2_y5E_FC">Analysis!$N$467</definedName>
    <definedName name="Db_SerC_SV2_y5E_LC">Analysis!$N$444</definedName>
    <definedName name="Db_SerC_SV2_y5F_FC">Analysis!$N$457</definedName>
    <definedName name="Db_SerC_SV2_y5F_LC">Analysis!$N$433</definedName>
    <definedName name="Db_SerCtotalE_FC">Analysis!$I$470</definedName>
    <definedName name="Db_SerCtotalE_LC">Analysis!$I$447</definedName>
    <definedName name="Db_SerCtotalF_FC">Analysis!$I$460</definedName>
    <definedName name="Db_SerCtotalF_LC">Analysis!$I$436</definedName>
    <definedName name="Db_SerCy1E_FC">Analysis!$J$470</definedName>
    <definedName name="Db_SerCy1E_LC">Analysis!$J$447</definedName>
    <definedName name="Db_SerCy1F_FC">Analysis!$J$460</definedName>
    <definedName name="Db_SerCy1F_LC">Analysis!$J$436</definedName>
    <definedName name="Db_SerCy2E_FC">Analysis!$K$470</definedName>
    <definedName name="Db_SerCy2E_LC">Analysis!$K$447</definedName>
    <definedName name="Db_SerCy2F_FC">Analysis!$K$460</definedName>
    <definedName name="Db_SerCy2F_LC">Analysis!$K$436</definedName>
    <definedName name="Db_SerCy3E_FC">Analysis!$L$470</definedName>
    <definedName name="Db_SerCy3E_LC">Analysis!$L$447</definedName>
    <definedName name="Db_SerCy3F_FC">Analysis!$L$460</definedName>
    <definedName name="Db_SerCy3F_LC">Analysis!$L$436</definedName>
    <definedName name="Db_SerCy4E_FC">Analysis!$M$470</definedName>
    <definedName name="Db_SerCy4E_LC">Analysis!$M$447</definedName>
    <definedName name="Db_SerCy4F_FC">Analysis!$M$460</definedName>
    <definedName name="Db_SerCy4F_LC">Analysis!$M$436</definedName>
    <definedName name="Db_SerCy5E_FC">Analysis!$N$470</definedName>
    <definedName name="Db_SerCy5E_LC">Analysis!$N$447</definedName>
    <definedName name="Db_SerCy5F_FC">Analysis!$N$460</definedName>
    <definedName name="Db_SerCy5F_LC">Analysis!$N$436</definedName>
    <definedName name="Db_SerTypeGV1">LABELS!$E$57</definedName>
    <definedName name="Db_SerTypeGV2">LABELS!$E$58</definedName>
    <definedName name="Db_SerTypeSV1">LABELS!$E$53</definedName>
    <definedName name="Db_SerTypeSV2">LABELS!$E$54</definedName>
    <definedName name="Db_Soc1Num">Analysis!$I$329</definedName>
    <definedName name="Db_Soc2Num">Analysis!$I$331</definedName>
    <definedName name="Db_Soc3Num">Analysis!$I$333</definedName>
    <definedName name="Db_Soc4Num">Analysis!$I$335</definedName>
    <definedName name="Db_Soc5Num">Analysis!$I$337</definedName>
    <definedName name="Db_Soc6Num">Analysis!$I$339</definedName>
    <definedName name="Db_Soc7Num">Analysis!$I$341</definedName>
    <definedName name="Db_Soc8Num">Analysis!$I$343</definedName>
    <definedName name="Db_SocCtotalE_FC">Analysis!$I$407</definedName>
    <definedName name="Db_SocCtotalE_LC">Analysis!$I$376</definedName>
    <definedName name="Db_SocCtotalF_FC">Analysis!$I$393</definedName>
    <definedName name="Db_SocCtotalF_LC">Analysis!$I$361</definedName>
    <definedName name="Db_SocCy1E_FC">Analysis!$J$407</definedName>
    <definedName name="Db_SocCy1E_LC">Analysis!$J$376</definedName>
    <definedName name="Db_SocCy1F_FC">Analysis!$J$393</definedName>
    <definedName name="Db_SocCy1F_LC">Analysis!$J$361</definedName>
    <definedName name="Db_SocCy2E_FC">Analysis!$K$407</definedName>
    <definedName name="Db_SocCy2E_LC">Analysis!$K$376</definedName>
    <definedName name="Db_SocCy2F_FC">Analysis!$K$393</definedName>
    <definedName name="Db_SocCy2F_LC">Analysis!$K$361</definedName>
    <definedName name="Db_SocCy3E_FC">Analysis!$L$407</definedName>
    <definedName name="Db_SocCy3E_LC">Analysis!$L$376</definedName>
    <definedName name="Db_SocCy3F_FC">Analysis!$L$393</definedName>
    <definedName name="Db_SocCy3F_LC">Analysis!$L$361</definedName>
    <definedName name="Db_SocCy4E_FC">Analysis!$M$407</definedName>
    <definedName name="Db_SocCy4E_LC">Analysis!$M$376</definedName>
    <definedName name="Db_SocCy4F_FC">Analysis!$M$393</definedName>
    <definedName name="Db_SocCy4F_LC">Analysis!$M$361</definedName>
    <definedName name="Db_SocCy5E_FC">Analysis!$N$407</definedName>
    <definedName name="Db_SocCy5E_LC">Analysis!$N$376</definedName>
    <definedName name="Db_SocCy5F_FC">Analysis!$N$393</definedName>
    <definedName name="Db_SocCy5F_LC">Analysis!$N$361</definedName>
    <definedName name="Db_SubsidyISP">'VACCS_&amp;_SUPPLIES'!$H$111</definedName>
    <definedName name="Db_SubsidyISP_y1">'VACCS_&amp;_SUPPLIES'!$J$28</definedName>
    <definedName name="Db_SubsidyISP_y2">'VACCS_&amp;_SUPPLIES'!$K$28</definedName>
    <definedName name="Db_SubsidyISP_y3">'VACCS_&amp;_SUPPLIES'!$L$28</definedName>
    <definedName name="Db_SubsidyISP_y4">'VACCS_&amp;_SUPPLIES'!$M$28</definedName>
    <definedName name="Db_SubsidyISP_y5">'VACCS_&amp;_SUPPLIES'!$N$28</definedName>
    <definedName name="Db_SubsidySBP">'VACCS_&amp;_SUPPLIES'!$H$120</definedName>
    <definedName name="Db_SubsidySBP_y1">'VACCS_&amp;_SUPPLIES'!$J$29</definedName>
    <definedName name="Db_SubsidySBP_y2">'VACCS_&amp;_SUPPLIES'!$K$29</definedName>
    <definedName name="Db_SubsidySBP_y3">'VACCS_&amp;_SUPPLIES'!$L$29</definedName>
    <definedName name="Db_SubsidySBP_y4">'VACCS_&amp;_SUPPLIES'!$M$29</definedName>
    <definedName name="Db_SubsidySBP_y5">'VACCS_&amp;_SUPPLIES'!$N$29</definedName>
    <definedName name="Db_SubsidyVacP">'VACCS_&amp;_SUPPLIES'!$H$105</definedName>
    <definedName name="Db_SubsidyVacP_y1">'VACCS_&amp;_SUPPLIES'!$J$27</definedName>
    <definedName name="Db_SubsidyVacP_y2">'VACCS_&amp;_SUPPLIES'!$K$27</definedName>
    <definedName name="Db_SubsidyVacP_y3">'VACCS_&amp;_SUPPLIES'!$L$27</definedName>
    <definedName name="Db_SubsidyVacP_y4">'VACCS_&amp;_SUPPLIES'!$M$27</definedName>
    <definedName name="Db_SubsidyVacP_y5">'VACCS_&amp;_SUPPLIES'!$N$27</definedName>
    <definedName name="Db_Sup1Num">Analysis!$I$481</definedName>
    <definedName name="Db_Sup2Num">Analysis!$I$482</definedName>
    <definedName name="Db_Sup3Num">Analysis!$I$483</definedName>
    <definedName name="Db_Sup4Num">Analysis!$I$484</definedName>
    <definedName name="Db_Sup5Num">Analysis!$I$485</definedName>
    <definedName name="Db_Sup6Num">Analysis!$I$486</definedName>
    <definedName name="Db_Sup7Num">Analysis!$I$487</definedName>
    <definedName name="Db_SupCtotalE_FC">Analysis!$I$547</definedName>
    <definedName name="Db_SupCtotalE_LC">Analysis!$I$518</definedName>
    <definedName name="Db_SupCtotalF_FC">Analysis!$I$534</definedName>
    <definedName name="Db_SupCtotalF_LC">Analysis!$I$504</definedName>
    <definedName name="Db_SupCy1E_FC">Analysis!$J$547</definedName>
    <definedName name="Db_SupCy1E_LC">Analysis!$J$518</definedName>
    <definedName name="Db_SupCy1F_FC">Analysis!$J$534</definedName>
    <definedName name="Db_SupCy1F_LC">Analysis!$J$504</definedName>
    <definedName name="Db_SupCy2E_FC">Analysis!$K$547</definedName>
    <definedName name="Db_SupCy2E_LC">Analysis!$K$518</definedName>
    <definedName name="Db_SupCy2F_FC">Analysis!$K$534</definedName>
    <definedName name="Db_SupCy2F_LC">Analysis!$K$504</definedName>
    <definedName name="Db_SupCy3E_FC">Analysis!$L$547</definedName>
    <definedName name="Db_SupCy3E_LC">Analysis!$L$518</definedName>
    <definedName name="Db_SupCy3F_FC">Analysis!$L$534</definedName>
    <definedName name="Db_SupCy3F_LC">Analysis!$L$504</definedName>
    <definedName name="Db_SupCy4E_FC">Analysis!$M$547</definedName>
    <definedName name="Db_SupCy4E_LC">Analysis!$M$518</definedName>
    <definedName name="Db_SupCy4F_FC">Analysis!$M$534</definedName>
    <definedName name="Db_SupCy4F_LC">Analysis!$M$504</definedName>
    <definedName name="Db_SupCy5E_FC">Analysis!$N$547</definedName>
    <definedName name="Db_SupCy5E_LC">Analysis!$N$518</definedName>
    <definedName name="Db_SupCy5F_FC">Analysis!$N$534</definedName>
    <definedName name="Db_SupCy5F_LC">Analysis!$N$504</definedName>
    <definedName name="Db_TarPopG1">LABELS!$E$21</definedName>
    <definedName name="Db_TarPopG1PerSch_y1">COUNTS!$J$13</definedName>
    <definedName name="Db_TarPopG1PerSch_y2">COUNTS!$K$13</definedName>
    <definedName name="Db_TarPopG1PerSch_y3">COUNTS!$L$13</definedName>
    <definedName name="Db_TarPopG1PerSch_y4">COUNTS!$M$13</definedName>
    <definedName name="Db_TarPopG1PerSch_y5">COUNTS!$N$13</definedName>
    <definedName name="Db_TarPopG2">LABELS!$E$22</definedName>
    <definedName name="Db_TarPopG2PerSch_y1">COUNTS!$J$14</definedName>
    <definedName name="Db_TarPopG2PerSch_y2">COUNTS!$K$14</definedName>
    <definedName name="Db_TarPopG2PerSch_y3">COUNTS!$L$14</definedName>
    <definedName name="Db_TarPopG2PerSch_y4">COUNTS!$M$14</definedName>
    <definedName name="Db_TarPopG2PerSch_y5">COUNTS!$N$14</definedName>
    <definedName name="Db_TarPopSG1">LABELS!$E$25</definedName>
    <definedName name="Db_TarPopSG2">LABELS!$E$26</definedName>
    <definedName name="Db_TarPopSize_G1SG1_y1">Analysis!$J$13</definedName>
    <definedName name="Db_TarPopSize_G1SG1_y2">Analysis!$K$13</definedName>
    <definedName name="Db_TarPopSize_G1SG1_y3">Analysis!$L$13</definedName>
    <definedName name="Db_TarPopSize_G1SG1_y4">Analysis!$M$13</definedName>
    <definedName name="Db_TarPopSize_G1SG1_y5">Analysis!$N$13</definedName>
    <definedName name="Db_TarPopSize_G1SG2_y1">Analysis!$J$14</definedName>
    <definedName name="Db_TarPopSize_G1SG2_y2">Analysis!$K$14</definedName>
    <definedName name="Db_TarPopSize_G1SG2_y3">Analysis!$L$14</definedName>
    <definedName name="Db_TarPopSize_G1SG2_y4">Analysis!$M$14</definedName>
    <definedName name="Db_TarPopSize_G1SG2_y5">Analysis!$N$14</definedName>
    <definedName name="Db_TarPopSize_G2SG1_y1">Analysis!$J$18</definedName>
    <definedName name="Db_TarPopSize_G2SG1_y2">Analysis!$K$18</definedName>
    <definedName name="Db_TarPopSize_G2SG1_y3">Analysis!$L$18</definedName>
    <definedName name="Db_TarPopSize_G2SG1_y4">Analysis!$M$18</definedName>
    <definedName name="Db_TarPopSize_G2SG1_y5">Analysis!$N$18</definedName>
    <definedName name="Db_TarPopSize_G2SG2_y1">Analysis!$J$19</definedName>
    <definedName name="Db_TarPopSize_G2SG2_y2">Analysis!$K$19</definedName>
    <definedName name="Db_TarPopSize_G2SG2_y3">Analysis!$L$19</definedName>
    <definedName name="Db_TarPopSize_G2SG2_y4">Analysis!$M$19</definedName>
    <definedName name="Db_TarPopSize_G2SG2_y5">Analysis!$N$19</definedName>
    <definedName name="Db_TarPopSize_total">Analysis!$I$22</definedName>
    <definedName name="Db_Train1Num">Analysis!$I$183</definedName>
    <definedName name="Db_Train2Num">Analysis!$I$185</definedName>
    <definedName name="Db_Train3Num">Analysis!$I$187</definedName>
    <definedName name="Db_Train4Num">Analysis!$I$189</definedName>
    <definedName name="Db_TrainCtotalE_FC">Analysis!$I$237</definedName>
    <definedName name="Db_TrainCtotalE_LC">Analysis!$I$214</definedName>
    <definedName name="Db_TrainCtotalF_FC">Analysis!$I$227</definedName>
    <definedName name="Db_TrainCtotalF_LC">Analysis!$I$203</definedName>
    <definedName name="Db_TrainCy1E_FC">Analysis!$J$237</definedName>
    <definedName name="Db_TrainCy1E_LC">Analysis!$J$214</definedName>
    <definedName name="Db_TrainCy1F_FC">Analysis!$J$227</definedName>
    <definedName name="Db_TrainCy1F_LC">Analysis!$J$203</definedName>
    <definedName name="Db_TrainCy2E_FC">Analysis!$K$237</definedName>
    <definedName name="Db_TrainCy2E_LC">Analysis!$K$214</definedName>
    <definedName name="Db_TrainCy2F_FC">Analysis!$K$227</definedName>
    <definedName name="Db_TrainCy2F_LC">Analysis!$K$203</definedName>
    <definedName name="Db_TrainCy3E_FC">Analysis!$L$237</definedName>
    <definedName name="Db_TrainCy3E_LC">Analysis!$L$214</definedName>
    <definedName name="Db_TrainCy3F_FC">Analysis!$L$227</definedName>
    <definedName name="Db_TrainCy3F_LC">Analysis!$L$203</definedName>
    <definedName name="Db_TrainCy4E_FC">Analysis!$M$237</definedName>
    <definedName name="Db_TrainCy4E_LC">Analysis!$M$214</definedName>
    <definedName name="Db_TrainCy4F_FC">Analysis!$M$227</definedName>
    <definedName name="Db_TrainCy4F_LC">Analysis!$M$203</definedName>
    <definedName name="Db_TrainCy5E_FC">Analysis!$N$237</definedName>
    <definedName name="Db_TrainCy5E_LC">Analysis!$N$214</definedName>
    <definedName name="Db_TrainCy5F_FC">Analysis!$N$227</definedName>
    <definedName name="Db_TrainCy5F_LC">Analysis!$N$203</definedName>
    <definedName name="Db_VacCtotalE_FC">Analysis!$I$102</definedName>
    <definedName name="Db_VacCtotalE_LC">Analysis!$I$81</definedName>
    <definedName name="Db_VacCtotalF_FC">Analysis!$I$93</definedName>
    <definedName name="Db_VacCtotalF_LC">Analysis!$I$72</definedName>
    <definedName name="Db_VacCy1E_FC">Analysis!$J$102</definedName>
    <definedName name="Db_VacCy1E_LC">Analysis!$J$81</definedName>
    <definedName name="Db_VacCy1F_FC">Analysis!$J$93</definedName>
    <definedName name="Db_VacCy1F_LC">Analysis!$J$72</definedName>
    <definedName name="Db_VacCy2E_FC">Analysis!$K$102</definedName>
    <definedName name="Db_VacCy2E_LC">Analysis!$K$81</definedName>
    <definedName name="Db_VacCy2F_FC">Analysis!$K$93</definedName>
    <definedName name="Db_VacCy2F_LC">Analysis!$K$72</definedName>
    <definedName name="Db_VacCy3E_FC">Analysis!$L$102</definedName>
    <definedName name="Db_VacCy3E_LC">Analysis!$L$81</definedName>
    <definedName name="Db_VacCy3F_FC">Analysis!$L$93</definedName>
    <definedName name="Db_VacCy3F_LC">Analysis!$L$72</definedName>
    <definedName name="Db_VacCy4E_FC">Analysis!$M$102</definedName>
    <definedName name="Db_VacCy4E_LC">Analysis!$M$81</definedName>
    <definedName name="Db_VacCy4F_FC">Analysis!$M$93</definedName>
    <definedName name="Db_VacCy4F_LC">Analysis!$M$72</definedName>
    <definedName name="Db_VacCy5E_FC">Analysis!$N$102</definedName>
    <definedName name="Db_VacCy5E_LC">Analysis!$N$81</definedName>
    <definedName name="Db_VacCy5F_FC">Analysis!$N$93</definedName>
    <definedName name="Db_VacCy5F_LC">Analysis!$N$72</definedName>
    <definedName name="Db_VacGV1Num">Analysis!$I$422</definedName>
    <definedName name="Db_VacGV2Num">Analysis!$I$423</definedName>
    <definedName name="Db_VacSV1Num">Analysis!$I$420</definedName>
    <definedName name="Db_VacSV2Num">Analysis!$I$421</definedName>
    <definedName name="DD_Current_Lang">Cover!$O$4</definedName>
    <definedName name="DD_LVL2_ACTV_10_Annual_Currency_Select">SOCIAL_MOBILISATION!$E$172</definedName>
    <definedName name="DD_LVL2_ACTV_10_Currency_Selected">SOCMOB_DETAILED_COST_WKSHT!$E$407</definedName>
    <definedName name="DD_LVL2_ACTV_10_Input_Detail_or_Freeform">SOCIAL_MOBILISATION!$E$174</definedName>
    <definedName name="DD_LVL2_ACTV_11_Annual_Currency_Select">SOCIAL_MOBILISATION!$E$215</definedName>
    <definedName name="DD_LVL2_ACTV_11_Currency_Selected">SOCMOB_DETAILED_COST_WKSHT!$E$506</definedName>
    <definedName name="DD_LVL2_ACTV_11_Input_Detail_or_Freeform">SOCIAL_MOBILISATION!$E$217</definedName>
    <definedName name="DD_LVL2_ACTV_12_Annual_Currency_Select">SERVICE_DELIVERY!$E$268</definedName>
    <definedName name="DD_LVL2_ACTV_12_Currency_Selected">SD_DETAILED_COST_WKSHT!$E$116</definedName>
    <definedName name="DD_LVL2_ACTV_12_Input_Detail_or_Freeform">SERVICE_DELIVERY!$E$270</definedName>
    <definedName name="DD_LVL2_ACTV_13_Annual_Currency_Select">SERVICE_DELIVERY!$E$292</definedName>
    <definedName name="DD_LVL2_ACTV_13_Currency_Selected">SD_DETAILED_COST_WKSHT!$E$215</definedName>
    <definedName name="DD_LVL2_ACTV_13_Input_Detail_or_Freeform">SERVICE_DELIVERY!$E$294</definedName>
    <definedName name="DD_LVL2_ACTV_14_Annual_Currency_Select">SUPERVISION!$E$209</definedName>
    <definedName name="DD_LVL2_ACTV_14_Currency_Selected">SUPV_DETAILED_COST_WKSHT!$E$504</definedName>
    <definedName name="DD_LVL2_ACTV_14_Input_Detail_or_Freeform">SUPERVISION!$E$211</definedName>
    <definedName name="DD_LVL2_ACTV_15_Annual_Currency_Select">SUPERVISION!$E$252</definedName>
    <definedName name="DD_LVL2_ACTV_15_Currency_Selected">SUPV_DETAILED_COST_WKSHT!$E$603</definedName>
    <definedName name="DD_LVL2_ACTV_15_Input_Detail_or_Freeform">SUPERVISION!$E$254</definedName>
    <definedName name="DD_LVL2_ACTV_16_Annual_Currency_Select">OTHER!$E$163</definedName>
    <definedName name="DD_LVL2_ACTV_16_Currency_Selected">OTHER_DETAILED_COST_WKSHT!$E$407</definedName>
    <definedName name="DD_LVL2_ACTV_16_Input_Detail_or_Freeform">OTHER!$E$165</definedName>
    <definedName name="DD_LVL2_ACTV_18_Annual_Currency_Select">SENSITISATION!$E$172</definedName>
    <definedName name="DD_LVL2_ACTV_18_Currency_Selected">SENS_DETAILED_COST_WKSHT!$E$407</definedName>
    <definedName name="DD_LVL2_ACTV_18_Input_Detail_or_Freeform">SENSITISATION!$E$174</definedName>
    <definedName name="DD_LVL2_ACTV_19_Annual_Currency_Select">SENSITISATION!$E$215</definedName>
    <definedName name="DD_LVL2_ACTV_19_Currency_Selected">SENS_DETAILED_COST_WKSHT!$E$506</definedName>
    <definedName name="DD_LVL2_ACTV_19_Input_Detail_or_Freeform">SENSITISATION!$E$217</definedName>
    <definedName name="DD_LVL2_ACTV_2_Annual_Currency_Select">TRAINING!$E$129</definedName>
    <definedName name="DD_LVL2_ACTV_2_Currency_Selected">TRAIN_DETAILED_COST_WKSHT!$E$308</definedName>
    <definedName name="DD_LVL2_ACTV_2_Input_Detail_or_Freeform">TRAINING!$E$131</definedName>
    <definedName name="DD_LVL2_ACTV_20_Annual_Currency_Select">MICROPLANNING!$E$135</definedName>
    <definedName name="DD_LVL2_ACTV_20_Currency_Selected">MICRO_DETAILED_COST_WKSHT!$E$305</definedName>
    <definedName name="DD_LVL2_ACTV_20_Input_Detail_or_Freeform">MICROPLANNING!$E$137</definedName>
    <definedName name="DD_LVL2_ACTV_21_Annual_Currency_Select">SOCIAL_MOBILISATION!$E$301</definedName>
    <definedName name="DD_LVL2_ACTV_21_Currency_Selected">SOCMOB_DETAILED_COST_WKSHT!$E$704</definedName>
    <definedName name="DD_LVL2_ACTV_21_Input_Detail_or_Freeform">SOCIAL_MOBILISATION!$E$303</definedName>
    <definedName name="DD_LVL2_ACTV_3_Annual_Currency_Select">SENSITISATION!$E$129</definedName>
    <definedName name="DD_LVL2_ACTV_3_Currency_Selected">SENS_DETAILED_COST_WKSHT!$E$308</definedName>
    <definedName name="DD_LVL2_ACTV_3_Input_Detail_or_Freeform">SENSITISATION!$E$131</definedName>
    <definedName name="DD_LVL2_ACTV_4_Annual_Currency_Select">SOCIAL_MOBILISATION!$E$129</definedName>
    <definedName name="DD_LVL2_ACTV_4_Currency_Selected">SOCMOB_DETAILED_COST_WKSHT!$E$308</definedName>
    <definedName name="DD_LVL2_ACTV_4_Input_Detail_or_Freeform">SOCIAL_MOBILISATION!$E$131</definedName>
    <definedName name="DD_LVL2_ACTV_5_Annual_Currency_Select">SUPERVISION!$E$166</definedName>
    <definedName name="DD_LVL2_ACTV_5_Currency_Selected">SUPV_DETAILED_COST_WKSHT!$E$405</definedName>
    <definedName name="DD_LVL2_ACTV_5_Input_Detail_or_Freeform">SUPERVISION!$E$168</definedName>
    <definedName name="DD_LVL2_ACTV_6_Annual_Currency_Select">SERVICE_DELIVERY!$E$244</definedName>
    <definedName name="DD_LVL2_ACTV_6_Currency_Selected">SD_DETAILED_COST_WKSHT!$E$17</definedName>
    <definedName name="DD_LVL2_ACTV_6_Input_Detail_or_Freeform">SERVICE_DELIVERY!$E$246</definedName>
    <definedName name="DD_LVL2_ACTV_7_Annual_Currency_Select">OTHER!$E$122</definedName>
    <definedName name="DD_LVL2_ACTV_7_Currency_Selected">OTHER_DETAILED_COST_WKSHT!$E$308</definedName>
    <definedName name="DD_LVL2_ACTV_7_Input_Detail_or_Freeform">OTHER!$E$124</definedName>
    <definedName name="DD_LVL2_ACTV_8_Annual_Currency_Select">SOCIAL_MOBILISATION!$E$258</definedName>
    <definedName name="DD_LVL2_ACTV_8_Currency_Selected">SOCMOB_DETAILED_COST_WKSHT!$E$605</definedName>
    <definedName name="DD_LVL2_ACTV_8_Input_Detail_or_Freeform">SOCIAL_MOBILISATION!$E$260</definedName>
    <definedName name="DD_LVL2_ACTV_9_Annual_Currency_Select">SERVICE_DELIVERY!$E$317</definedName>
    <definedName name="DD_LVL2_ACTV_9_Currency_Selected">SD_DETAILED_COST_WKSHT!$E$314</definedName>
    <definedName name="DD_LVL2_ACTV_9_Input_Detail_or_Freeform">SERVICE_DELIVERY!$E$319</definedName>
    <definedName name="DD_LVL2_ACTV_Annual_Currency_Select">MICROPLANNING!$E$92</definedName>
    <definedName name="DD_LVL2_ACTV_Currency_Selected">MICRO_DETAILED_COST_WKSHT!$E$206</definedName>
    <definedName name="DD_LVL2_ACTV_Input_Detail_or_Freeform">MICROPLANNING!$E$94</definedName>
    <definedName name="DD_TOP_ACTV_10_Annual_Currency_Used">SENSITISATION!$E$53</definedName>
    <definedName name="DD_TOP_ACTV_10_Detailed_Currency_Used">SENS_DETAILED_COST_WKSHT!$E$112</definedName>
    <definedName name="DD_TOP_ACTV_10_Input_Detail_or_Freeform">SENSITISATION!$E$55</definedName>
    <definedName name="DD_TOP_ACTV_11_Annual_Currency_Used">SENSITISATION!$E$90</definedName>
    <definedName name="DD_TOP_ACTV_11_Detailed_Currency_Used">SENS_DETAILED_COST_WKSHT!$E$209</definedName>
    <definedName name="DD_TOP_ACTV_11_Input_Detail_or_Freeform">SENSITISATION!$E$92</definedName>
    <definedName name="DD_TOP_ACTV_13_Annual_Currency_Used">TRAINING!$E$53</definedName>
    <definedName name="DD_TOP_ACTV_13_Detailed_Currency_Used">TRAIN_DETAILED_COST_WKSHT!$E$112</definedName>
    <definedName name="DD_TOP_ACTV_13_Input_Detail_or_Freeform">TRAINING!$E$55</definedName>
    <definedName name="DD_TOP_ACTV_14_Annual_Currency_Used">TRAINING!$E$90</definedName>
    <definedName name="DD_TOP_ACTV_14_Detailed_Currency_Used">TRAIN_DETAILED_COST_WKSHT!$E$209</definedName>
    <definedName name="DD_TOP_ACTV_14_Input_Detail_or_Freeform">TRAINING!$E$92</definedName>
    <definedName name="DD_TOP_ACTV_15_Annual_Currency_Used">SOCIAL_MOBILISATION!$E$53</definedName>
    <definedName name="DD_TOP_ACTV_15_Detailed_Currency_Used">SOCMOB_DETAILED_COST_WKSHT!$E$112</definedName>
    <definedName name="DD_TOP_ACTV_15_Input_Detail_or_Freeform">SOCIAL_MOBILISATION!$E$55</definedName>
    <definedName name="DD_TOP_ACTV_16_Annual_Currency_Used">SOCIAL_MOBILISATION!$E$90</definedName>
    <definedName name="DD_TOP_ACTV_16_Detailed_Currency_Used">SOCMOB_DETAILED_COST_WKSHT!$E$209</definedName>
    <definedName name="DD_TOP_ACTV_16_Input_Detail_or_Freeform">SOCIAL_MOBILISATION!$E$92</definedName>
    <definedName name="DD_TOP_ACTV_17_Annual_Currency_Used">SUPERVISION!$E$53</definedName>
    <definedName name="DD_TOP_ACTV_17_Detailed_Currency_Used">SUPV_DETAILED_COST_WKSHT!$E$112</definedName>
    <definedName name="DD_TOP_ACTV_17_Input_Detail_or_Freeform">SUPERVISION!$E$55</definedName>
    <definedName name="DD_TOP_ACTV_18_Annual_Currency_Used">SUPERVISION!$E$90</definedName>
    <definedName name="DD_TOP_ACTV_18_Detailed_Currency_Used">SUPV_DETAILED_COST_WKSHT!$E$209</definedName>
    <definedName name="DD_TOP_ACTV_18_Input_Detail_or_Freeform">SUPERVISION!$E$92</definedName>
    <definedName name="DD_TOP_ACTV_19_Annual_Currency_Used">OTHER!$E$85</definedName>
    <definedName name="DD_TOP_ACTV_19_Detailed_Currency_Used">OTHER_DETAILED_COST_WKSHT!$E$209</definedName>
    <definedName name="DD_TOP_ACTV_19_Input_Detail_or_Freeform">OTHER!$E$87</definedName>
    <definedName name="DD_TOP_ACTV_2_Annual_Currency_Used">TRAINING!$E$16</definedName>
    <definedName name="DD_TOP_ACTV_2_Detailed_Currency_Used">TRAIN_DETAILED_COST_WKSHT!$E$15</definedName>
    <definedName name="DD_TOP_ACTV_2_Input_Detail_or_Freeform">TRAINING!$E$18</definedName>
    <definedName name="DD_TOP_ACTV_20_Annual_Currency_Used">OTHER!$E$50</definedName>
    <definedName name="DD_TOP_ACTV_20_Detailed_Currency_Used">OTHER_DETAILED_COST_WKSHT!$E$112</definedName>
    <definedName name="DD_TOP_ACTV_20_Input_Detail_or_Freeform">OTHER!$E$52</definedName>
    <definedName name="DD_TOP_ACTV_3_Annual_Currency_Used">SENSITISATION!$E$16</definedName>
    <definedName name="DD_TOP_ACTV_3_Detailed_Currency_Used">SENS_DETAILED_COST_WKSHT!$E$15</definedName>
    <definedName name="DD_TOP_ACTV_3_Input_Detail_or_Freeform">SENSITISATION!$E$18</definedName>
    <definedName name="DD_TOP_ACTV_4_Annual_Currency_Used">SOCIAL_MOBILISATION!$E$16</definedName>
    <definedName name="DD_TOP_ACTV_4_Detailed_Currency_Used">SOCMOB_DETAILED_COST_WKSHT!$E$15</definedName>
    <definedName name="DD_TOP_ACTV_4_Input_Detail_or_Freeform">SOCIAL_MOBILISATION!$E$18</definedName>
    <definedName name="DD_TOP_ACTV_5_Annual_Currency_Used">SUPERVISION!$E$16</definedName>
    <definedName name="DD_TOP_ACTV_5_Detailed_Currency_Used">SUPV_DETAILED_COST_WKSHT!$E$15</definedName>
    <definedName name="DD_TOP_ACTV_5_Input_Detail_or_Freeform">SUPERVISION!$E$18</definedName>
    <definedName name="DD_TOP_ACTV_6_Annual_Currency_Used">OTHER!$E$16</definedName>
    <definedName name="DD_TOP_ACTV_6_Detailed_Currency_Used">OTHER_DETAILED_COST_WKSHT!$E$15</definedName>
    <definedName name="DD_TOP_ACTV_6_Input_Detail_or_Freeform">OTHER!$E$18</definedName>
    <definedName name="DD_TOP_ACTV_7_Annual_Currency_Used">MICROPLANNING!$E$53</definedName>
    <definedName name="DD_TOP_ACTV_7_Detailed_Currency_Used">MICRO_DETAILED_COST_WKSHT!$E$107</definedName>
    <definedName name="DD_TOP_ACTV_7_Input_Detail_or_Freeform">MICROPLANNING!$E$55</definedName>
    <definedName name="DD_TOP_ACTV_8_Annual_Currency_Used">SUPERVISION!$E$127</definedName>
    <definedName name="DD_TOP_ACTV_8_Detailed_Currency_Used">SUPV_DETAILED_COST_WKSHT!$E$306</definedName>
    <definedName name="DD_TOP_ACTV_8_Input_Detail_or_Freeform">SUPERVISION!$E$129</definedName>
    <definedName name="DD_TOP_ACTV_Annual_Currency_Used">MICROPLANNING!$E$16</definedName>
    <definedName name="DD_TOP_ACTV_Detailed_Currency_Used">MICRO_DETAILED_COST_WKSHT!$E$15</definedName>
    <definedName name="DD_TOP_ACTV_Input_Detail_or_Freeform">MICROPLANNING!$E$18</definedName>
    <definedName name="DD_TS_Denom">TIME_SERIES!$I$14</definedName>
    <definedName name="DD_TS_Fin_Yr_End_Mth">TIME_SERIES!$H$9</definedName>
    <definedName name="DD_Vacc_Applied_Input_Currency">'VACCS_&amp;_SUPPLIES'!$H$14</definedName>
    <definedName name="Err_Chk_1_Hdg" hidden="1">MICRO_DETAILED_COST_WKSHT!$B$24</definedName>
    <definedName name="Err_Chk_10_Hdg" hidden="1">MICROPLANNING!$B$88</definedName>
    <definedName name="Err_Chk_100_Hdg" hidden="1">MICROPLANNING!$B$51</definedName>
    <definedName name="Err_Chk_101_Hdg" hidden="1">MICRO_DETAILED_COST_WKSHT!$B$314</definedName>
    <definedName name="Err_Chk_102_Hdg" hidden="1">MICRO_DETAILED_COST_WKSHT!$B$337</definedName>
    <definedName name="Err_Chk_103_Hdg" hidden="1">MICRO_DETAILED_COST_WKSHT!$B$355</definedName>
    <definedName name="Err_Chk_104_Hdg" hidden="1">MICRO_DETAILED_COST_WKSHT!$B$373</definedName>
    <definedName name="Err_Chk_105_Hdg" hidden="1">MICROPLANNING!$B$131</definedName>
    <definedName name="Err_Chk_106_Hdg" hidden="1">SOCMOB_DETAILED_COST_WKSHT!$B$614</definedName>
    <definedName name="Err_Chk_107_Hdg" hidden="1">SOCMOB_DETAILED_COST_WKSHT!$B$637</definedName>
    <definedName name="Err_Chk_108_Hdg" hidden="1">SOCMOB_DETAILED_COST_WKSHT!$B$655</definedName>
    <definedName name="Err_Chk_109_Hdg" hidden="1">SOCMOB_DETAILED_COST_WKSHT!$B$673</definedName>
    <definedName name="Err_Chk_11_Hdg" hidden="1">SD_DETAILED_COST_WKSHT!$B$323</definedName>
    <definedName name="Err_Chk_110_Hdg" hidden="1">SOCIAL_MOBILISATION!$B$254</definedName>
    <definedName name="Err_Chk_111_Hdg" hidden="1">SENS_DETAILED_COST_WKSHT!$B$121</definedName>
    <definedName name="Err_Chk_112_Hdg" hidden="1">SENS_DETAILED_COST_WKSHT!$B$144</definedName>
    <definedName name="Err_Chk_113_Hdg" hidden="1">SENS_DETAILED_COST_WKSHT!$B$162</definedName>
    <definedName name="Err_Chk_114_Hdg" hidden="1">SENS_DETAILED_COST_WKSHT!$B$180</definedName>
    <definedName name="Err_Chk_115_Hdg" hidden="1">SENSITISATION!$B$51</definedName>
    <definedName name="Err_Chk_116_Hdg" hidden="1">SENS_DETAILED_COST_WKSHT!$B$218</definedName>
    <definedName name="Err_Chk_117_Hdg" hidden="1">SENS_DETAILED_COST_WKSHT!$B$241</definedName>
    <definedName name="Err_Chk_118_Hdg" hidden="1">SENS_DETAILED_COST_WKSHT!$B$259</definedName>
    <definedName name="Err_Chk_119_Hdg" hidden="1">SENS_DETAILED_COST_WKSHT!$B$277</definedName>
    <definedName name="Err_Chk_12_Hdg" hidden="1">SD_DETAILED_COST_WKSHT!$B$346</definedName>
    <definedName name="Err_Chk_120_Hdg" hidden="1">SENSITISATION!$B$88</definedName>
    <definedName name="Err_Chk_121_Hdg" hidden="1">SOCMOB_DETAILED_COST_WKSHT!$B$713</definedName>
    <definedName name="Err_Chk_122_Hdg" hidden="1">SOCMOB_DETAILED_COST_WKSHT!$B$736</definedName>
    <definedName name="Err_Chk_123_Hdg" hidden="1">SOCMOB_DETAILED_COST_WKSHT!$B$754</definedName>
    <definedName name="Err_Chk_124_Hdg" hidden="1">SOCMOB_DETAILED_COST_WKSHT!$B$772</definedName>
    <definedName name="Err_Chk_125_Hdg" hidden="1">SOCIAL_MOBILISATION!$B$297</definedName>
    <definedName name="Err_Chk_126_Hdg" hidden="1">TRAIN_DETAILED_COST_WKSHT!$B$121</definedName>
    <definedName name="Err_Chk_127_Hdg" hidden="1">TRAIN_DETAILED_COST_WKSHT!$B$144</definedName>
    <definedName name="Err_Chk_128_Hdg" hidden="1">TRAIN_DETAILED_COST_WKSHT!$B$162</definedName>
    <definedName name="Err_Chk_129_Hdg" hidden="1">TRAIN_DETAILED_COST_WKSHT!$B$180</definedName>
    <definedName name="Err_Chk_13_Hdg" hidden="1">SD_DETAILED_COST_WKSHT!$B$364</definedName>
    <definedName name="Err_Chk_130_Hdg" hidden="1">TRAINING!$B$51</definedName>
    <definedName name="Err_Chk_131_Hdg" hidden="1">TRAIN_DETAILED_COST_WKSHT!$B$218</definedName>
    <definedName name="Err_Chk_132_Hdg" hidden="1">TRAIN_DETAILED_COST_WKSHT!$B$241</definedName>
    <definedName name="Err_Chk_133_Hdg" hidden="1">TRAIN_DETAILED_COST_WKSHT!$B$259</definedName>
    <definedName name="Err_Chk_134_Hdg" hidden="1">TRAIN_DETAILED_COST_WKSHT!$B$277</definedName>
    <definedName name="Err_Chk_135_Hdg" hidden="1">TRAINING!$B$88</definedName>
    <definedName name="Err_Chk_14_Hdg" hidden="1">SD_DETAILED_COST_WKSHT!$B$382</definedName>
    <definedName name="Err_Chk_146_Hdg" hidden="1">SOCMOB_DETAILED_COST_WKSHT!$B$121</definedName>
    <definedName name="Err_Chk_147_Hdg" hidden="1">SOCMOB_DETAILED_COST_WKSHT!$B$144</definedName>
    <definedName name="Err_Chk_148_Hdg" hidden="1">SOCMOB_DETAILED_COST_WKSHT!$B$162</definedName>
    <definedName name="Err_Chk_149_Hdg" hidden="1">SOCMOB_DETAILED_COST_WKSHT!$B$180</definedName>
    <definedName name="Err_Chk_15_Hdg" hidden="1">SERVICE_DELIVERY!$B$313</definedName>
    <definedName name="Err_Chk_150_Hdg" hidden="1">SOCIAL_MOBILISATION!$B$51</definedName>
    <definedName name="Err_Chk_151_Hdg" hidden="1">SOCMOB_DETAILED_COST_WKSHT!$B$218</definedName>
    <definedName name="Err_Chk_152_Hdg" hidden="1">SOCMOB_DETAILED_COST_WKSHT!$B$241</definedName>
    <definedName name="Err_Chk_153_Hdg" hidden="1">SOCMOB_DETAILED_COST_WKSHT!$B$259</definedName>
    <definedName name="Err_Chk_154_Hdg" hidden="1">SOCMOB_DETAILED_COST_WKSHT!$B$277</definedName>
    <definedName name="Err_Chk_155_Hdg" hidden="1">SOCIAL_MOBILISATION!$B$88</definedName>
    <definedName name="Err_Chk_156_Hdg" hidden="1">SOCMOB_DETAILED_COST_WKSHT!$B$416</definedName>
    <definedName name="Err_Chk_157_Hdg" hidden="1">SOCMOB_DETAILED_COST_WKSHT!$B$439</definedName>
    <definedName name="Err_Chk_158_Hdg" hidden="1">SOCMOB_DETAILED_COST_WKSHT!$B$457</definedName>
    <definedName name="Err_Chk_159_Hdg" hidden="1">SOCMOB_DETAILED_COST_WKSHT!$B$475</definedName>
    <definedName name="Err_Chk_16_Hdg" hidden="1">TRAIN_DETAILED_COST_WKSHT!$B$24</definedName>
    <definedName name="Err_Chk_160_Hdg" hidden="1">SOCIAL_MOBILISATION!$B$168</definedName>
    <definedName name="Err_Chk_161_Hdg" hidden="1">SOCMOB_DETAILED_COST_WKSHT!$B$515</definedName>
    <definedName name="Err_Chk_162_Hdg" hidden="1">SOCMOB_DETAILED_COST_WKSHT!$B$538</definedName>
    <definedName name="Err_Chk_163_Hdg" hidden="1">SOCMOB_DETAILED_COST_WKSHT!$B$556</definedName>
    <definedName name="Err_Chk_164_Hdg" hidden="1">SOCMOB_DETAILED_COST_WKSHT!$B$574</definedName>
    <definedName name="Err_Chk_165_Hdg" hidden="1">SOCIAL_MOBILISATION!$B$211</definedName>
    <definedName name="Err_Chk_166_Hdg" hidden="1">SD_DETAILED_COST_WKSHT!$B$125</definedName>
    <definedName name="Err_Chk_167_Hdg" hidden="1">SD_DETAILED_COST_WKSHT!$B$148</definedName>
    <definedName name="Err_Chk_168_Hdg" hidden="1">SD_DETAILED_COST_WKSHT!$B$166</definedName>
    <definedName name="Err_Chk_169_Hdg" hidden="1">SD_DETAILED_COST_WKSHT!$B$184</definedName>
    <definedName name="Err_Chk_17_Hdg" hidden="1">TRAIN_DETAILED_COST_WKSHT!$B$47</definedName>
    <definedName name="Err_Chk_170_Hdg" hidden="1">SERVICE_DELIVERY!$B$264</definedName>
    <definedName name="Err_Chk_171_Hdg" hidden="1">SD_DETAILED_COST_WKSHT!$B$224</definedName>
    <definedName name="Err_Chk_172_Hdg" hidden="1">SD_DETAILED_COST_WKSHT!$B$247</definedName>
    <definedName name="Err_Chk_173_Hdg" hidden="1">SD_DETAILED_COST_WKSHT!$B$265</definedName>
    <definedName name="Err_Chk_174_Hdg" hidden="1">SD_DETAILED_COST_WKSHT!$B$283</definedName>
    <definedName name="Err_Chk_175_Hdg" hidden="1">SERVICE_DELIVERY!$B$288</definedName>
    <definedName name="Err_Chk_176_Hdg" hidden="1">SUPV_DETAILED_COST_WKSHT!$B$121</definedName>
    <definedName name="Err_Chk_177_Hdg" hidden="1">SUPV_DETAILED_COST_WKSHT!$B$144</definedName>
    <definedName name="Err_Chk_178_Hdg" hidden="1">SUPV_DETAILED_COST_WKSHT!$B$162</definedName>
    <definedName name="Err_Chk_179_Hdg" hidden="1">SUPV_DETAILED_COST_WKSHT!$B$180</definedName>
    <definedName name="Err_Chk_18_Hdg" hidden="1">TRAIN_DETAILED_COST_WKSHT!$B$65</definedName>
    <definedName name="Err_Chk_180_Hdg" hidden="1">SUPERVISION!$B$51</definedName>
    <definedName name="Err_Chk_181_Hdg" hidden="1">SUPV_DETAILED_COST_WKSHT!$B$218</definedName>
    <definedName name="Err_Chk_182_Hdg" hidden="1">SUPV_DETAILED_COST_WKSHT!$B$241</definedName>
    <definedName name="Err_Chk_183_Hdg" hidden="1">SUPV_DETAILED_COST_WKSHT!$B$259</definedName>
    <definedName name="Err_Chk_184_Hdg" hidden="1">SUPV_DETAILED_COST_WKSHT!$B$277</definedName>
    <definedName name="Err_Chk_185_Hdg" hidden="1">SUPERVISION!$B$88</definedName>
    <definedName name="Err_Chk_186_Hdg" hidden="1">SUPV_DETAILED_COST_WKSHT!$B$513</definedName>
    <definedName name="Err_Chk_187_Hdg" hidden="1">SUPV_DETAILED_COST_WKSHT!$B$536</definedName>
    <definedName name="Err_Chk_188_Hdg" hidden="1">SUPV_DETAILED_COST_WKSHT!$B$554</definedName>
    <definedName name="Err_Chk_189_Hdg" hidden="1">SUPV_DETAILED_COST_WKSHT!$B$572</definedName>
    <definedName name="Err_Chk_19_Hdg" hidden="1">TRAIN_DETAILED_COST_WKSHT!$B$83</definedName>
    <definedName name="Err_Chk_190_Hdg" hidden="1">SUPERVISION!$B$205</definedName>
    <definedName name="Err_Chk_191_Hdg" hidden="1">SUPV_DETAILED_COST_WKSHT!$B$612</definedName>
    <definedName name="Err_Chk_192_Hdg" hidden="1">SUPV_DETAILED_COST_WKSHT!$B$635</definedName>
    <definedName name="Err_Chk_193_Hdg" hidden="1">SUPV_DETAILED_COST_WKSHT!$B$653</definedName>
    <definedName name="Err_Chk_194_Hdg" hidden="1">SUPV_DETAILED_COST_WKSHT!$B$671</definedName>
    <definedName name="Err_Chk_195_Hdg" hidden="1">SUPERVISION!$B$248</definedName>
    <definedName name="Err_Chk_196_Hdg" hidden="1">OTHER_DETAILED_COST_WKSHT!$B$218</definedName>
    <definedName name="Err_Chk_197_Hdg" hidden="1">OTHER_DETAILED_COST_WKSHT!$B$241</definedName>
    <definedName name="Err_Chk_198_Hdg" hidden="1">OTHER_DETAILED_COST_WKSHT!$B$259</definedName>
    <definedName name="Err_Chk_199_Hdg" hidden="1">OTHER_DETAILED_COST_WKSHT!$B$180</definedName>
    <definedName name="Err_Chk_2_Hdg" hidden="1">MICRO_DETAILED_COST_WKSHT!$B$42</definedName>
    <definedName name="Err_Chk_20_Hdg" hidden="1">TRAINING!$B$14</definedName>
    <definedName name="Err_Chk_200_Hdg" hidden="1">OTHER!$B$83</definedName>
    <definedName name="Err_Chk_201_Hdg" hidden="1">OTHER_DETAILED_COST_WKSHT!$B$121</definedName>
    <definedName name="Err_Chk_202_Hdg" hidden="1">OTHER_DETAILED_COST_WKSHT!$B$144</definedName>
    <definedName name="Err_Chk_203_Hdg" hidden="1">OTHER_DETAILED_COST_WKSHT!$B$162</definedName>
    <definedName name="Err_Chk_204_Hdg" hidden="1">OTHER_DETAILED_COST_WKSHT!$B$277</definedName>
    <definedName name="Err_Chk_205_Hdg" hidden="1">OTHER!$B$48</definedName>
    <definedName name="Err_Chk_206_Hdg" hidden="1">OTHER_DETAILED_COST_WKSHT!$B$416</definedName>
    <definedName name="Err_Chk_207_Hdg" hidden="1">OTHER_DETAILED_COST_WKSHT!$B$439</definedName>
    <definedName name="Err_Chk_208_Hdg" hidden="1">OTHER_DETAILED_COST_WKSHT!$B$457</definedName>
    <definedName name="Err_Chk_209_Hdg" hidden="1">OTHER_DETAILED_COST_WKSHT!$B$475</definedName>
    <definedName name="Err_Chk_21_Hdg" hidden="1">SENS_DETAILED_COST_WKSHT!$B$24</definedName>
    <definedName name="Err_Chk_210_Hdg" hidden="1">OTHER!$B$159</definedName>
    <definedName name="Err_Chk_216_Hdg" hidden="1">SUPV_DETAILED_COST_WKSHT!$B$315</definedName>
    <definedName name="Err_Chk_217_Hdg" hidden="1">SUPV_DETAILED_COST_WKSHT!$B$338</definedName>
    <definedName name="Err_Chk_218_Hdg" hidden="1">SUPV_DETAILED_COST_WKSHT!$B$356</definedName>
    <definedName name="Err_Chk_219_Hdg" hidden="1">SUPV_DETAILED_COST_WKSHT!$B$374</definedName>
    <definedName name="Err_Chk_22_Hdg" hidden="1">SENS_DETAILED_COST_WKSHT!$B$47</definedName>
    <definedName name="Err_Chk_220_Hdg" hidden="1">SUPERVISION!$B$125</definedName>
    <definedName name="Err_Chk_221_Hdg" hidden="1">SENS_DETAILED_COST_WKSHT!$B$416</definedName>
    <definedName name="Err_Chk_222_Hdg" hidden="1">SENS_DETAILED_COST_WKSHT!$B$439</definedName>
    <definedName name="Err_Chk_223_Hdg" hidden="1">SENS_DETAILED_COST_WKSHT!$B$457</definedName>
    <definedName name="Err_Chk_224_Hdg" hidden="1">SENS_DETAILED_COST_WKSHT!$B$475</definedName>
    <definedName name="Err_Chk_225_Hdg" hidden="1">SENSITISATION!$B$168</definedName>
    <definedName name="Err_Chk_226_Hdg" hidden="1">SENS_DETAILED_COST_WKSHT!$B$515</definedName>
    <definedName name="Err_Chk_227_Hdg" hidden="1">SENS_DETAILED_COST_WKSHT!$B$538</definedName>
    <definedName name="Err_Chk_228_Hdg" hidden="1">SENS_DETAILED_COST_WKSHT!$B$556</definedName>
    <definedName name="Err_Chk_229_Hdg" hidden="1">SENS_DETAILED_COST_WKSHT!$B$574</definedName>
    <definedName name="Err_Chk_23_Hdg" hidden="1">SENS_DETAILED_COST_WKSHT!$B$65</definedName>
    <definedName name="Err_Chk_230_Hdg" hidden="1">SENSITISATION!$B$211</definedName>
    <definedName name="Err_Chk_24_Hdg" hidden="1">SENS_DETAILED_COST_WKSHT!$B$83</definedName>
    <definedName name="Err_Chk_25_Hdg" hidden="1">SENSITISATION!$B$14</definedName>
    <definedName name="Err_Chk_26_Hdg" hidden="1">SOCMOB_DETAILED_COST_WKSHT!$B$24</definedName>
    <definedName name="Err_Chk_27_Hdg" hidden="1">SOCMOB_DETAILED_COST_WKSHT!$B$47</definedName>
    <definedName name="Err_Chk_28_Hdg" hidden="1">SOCMOB_DETAILED_COST_WKSHT!$B$65</definedName>
    <definedName name="Err_Chk_29_Hdg" hidden="1">SOCMOB_DETAILED_COST_WKSHT!$B$83</definedName>
    <definedName name="Err_Chk_3_Hdg" hidden="1">MICRO_DETAILED_COST_WKSHT!$B$60</definedName>
    <definedName name="Err_Chk_30_Hdg" hidden="1">SOCIAL_MOBILISATION!$B$14</definedName>
    <definedName name="Err_Chk_31_Hdg" hidden="1">SUPV_DETAILED_COST_WKSHT!$B$24</definedName>
    <definedName name="Err_Chk_32_Hdg" hidden="1">SUPV_DETAILED_COST_WKSHT!$B$47</definedName>
    <definedName name="Err_Chk_33_Hdg" hidden="1">SUPV_DETAILED_COST_WKSHT!$B$65</definedName>
    <definedName name="Err_Chk_34_Hdg" hidden="1">SUPV_DETAILED_COST_WKSHT!$B$83</definedName>
    <definedName name="Err_Chk_35_Hdg" hidden="1">SUPERVISION!$B$14</definedName>
    <definedName name="Err_Chk_36_Hdg" hidden="1">TRAIN_DETAILED_COST_WKSHT!$B$317</definedName>
    <definedName name="Err_Chk_37_Hdg" hidden="1">TRAIN_DETAILED_COST_WKSHT!$B$340</definedName>
    <definedName name="Err_Chk_38_Hdg" hidden="1">TRAIN_DETAILED_COST_WKSHT!$B$358</definedName>
    <definedName name="Err_Chk_39_Hdg" hidden="1">TRAIN_DETAILED_COST_WKSHT!$B$376</definedName>
    <definedName name="Err_Chk_4_Hdg" hidden="1">MICRO_DETAILED_COST_WKSHT!$B$78</definedName>
    <definedName name="Err_Chk_40_Hdg" hidden="1">TRAINING!$B$125</definedName>
    <definedName name="Err_Chk_41_Hdg" hidden="1">SERVICE_DELIVERY!$B$27</definedName>
    <definedName name="Err_Chk_42_Hdg" hidden="1">COVERAGE!$B$221</definedName>
    <definedName name="Err_Chk_44_Hdg" hidden="1">COVERAGE!$B$142</definedName>
    <definedName name="Err_Chk_45_Hdg" hidden="1">COVERAGE!$B$142</definedName>
    <definedName name="Err_Chk_46_Hdg" hidden="1">SENS_DETAILED_COST_WKSHT!$B$317</definedName>
    <definedName name="Err_Chk_47_Hdg" hidden="1">SENS_DETAILED_COST_WKSHT!$B$340</definedName>
    <definedName name="Err_Chk_48_Hdg" hidden="1">SENS_DETAILED_COST_WKSHT!$B$358</definedName>
    <definedName name="Err_Chk_49_Hdg" hidden="1">SENS_DETAILED_COST_WKSHT!$B$376</definedName>
    <definedName name="Err_Chk_5_Hdg" hidden="1">MICROPLANNING!$B$14</definedName>
    <definedName name="Err_Chk_50_Hdg" hidden="1">SENSITISATION!$B$125</definedName>
    <definedName name="Err_Chk_51_Hdg" hidden="1">SOCMOB_DETAILED_COST_WKSHT!$B$317</definedName>
    <definedName name="Err_Chk_52_Hdg" hidden="1">SOCMOB_DETAILED_COST_WKSHT!$B$340</definedName>
    <definedName name="Err_Chk_53_Hdg" hidden="1">SOCMOB_DETAILED_COST_WKSHT!$B$358</definedName>
    <definedName name="Err_Chk_54_Hdg" hidden="1">SOCMOB_DETAILED_COST_WKSHT!$B$376</definedName>
    <definedName name="Err_Chk_55_Hdg" hidden="1">SOCIAL_MOBILISATION!$B$125</definedName>
    <definedName name="Err_Chk_56_Hdg" hidden="1">SUPV_DETAILED_COST_WKSHT!$B$414</definedName>
    <definedName name="Err_Chk_57_Hdg" hidden="1">SUPV_DETAILED_COST_WKSHT!$B$437</definedName>
    <definedName name="Err_Chk_58_Hdg" hidden="1">SUPV_DETAILED_COST_WKSHT!$B$455</definedName>
    <definedName name="Err_Chk_59_Hdg" hidden="1">SUPV_DETAILED_COST_WKSHT!$B$473</definedName>
    <definedName name="Err_Chk_6_Hdg" hidden="1">MICRO_DETAILED_COST_WKSHT!$B$215</definedName>
    <definedName name="Err_Chk_60_Hdg" hidden="1">SUPERVISION!$B$162</definedName>
    <definedName name="Err_Chk_61_Hdg" hidden="1">COVERAGE!$B$142</definedName>
    <definedName name="Err_Chk_62_Hdg" hidden="1">COVERAGE!$B$167</definedName>
    <definedName name="Err_Chk_63_Hdg" hidden="1">COVERAGE!$B$167</definedName>
    <definedName name="Err_Chk_64_Hdg" hidden="1">COVERAGE!$B$193</definedName>
    <definedName name="Err_Chk_7_Hdg" hidden="1">MICRO_DETAILED_COST_WKSHT!$B$238</definedName>
    <definedName name="Err_Chk_76_Hdg" hidden="1">SD_DETAILED_COST_WKSHT!$B$26</definedName>
    <definedName name="Err_Chk_77_Hdg" hidden="1">SD_DETAILED_COST_WKSHT!$B$49</definedName>
    <definedName name="Err_Chk_78_Hdg" hidden="1">SD_DETAILED_COST_WKSHT!$B$67</definedName>
    <definedName name="Err_Chk_79_Hdg" hidden="1">SD_DETAILED_COST_WKSHT!$B$85</definedName>
    <definedName name="Err_Chk_8_Hdg" hidden="1">MICRO_DETAILED_COST_WKSHT!$B$256</definedName>
    <definedName name="Err_Chk_80_Hdg" hidden="1">SERVICE_DELIVERY!$B$240</definedName>
    <definedName name="Err_Chk_86_Hdg" hidden="1">OTHER_DETAILED_COST_WKSHT!$B$24</definedName>
    <definedName name="Err_Chk_87_Hdg" hidden="1">OTHER_DETAILED_COST_WKSHT!$B$47</definedName>
    <definedName name="Err_Chk_88_Hdg" hidden="1">OTHER_DETAILED_COST_WKSHT!$B$65</definedName>
    <definedName name="Err_Chk_89_Hdg" hidden="1">OTHER_DETAILED_COST_WKSHT!$B$83</definedName>
    <definedName name="Err_Chk_9_Hdg" hidden="1">MICRO_DETAILED_COST_WKSHT!$B$274</definedName>
    <definedName name="Err_Chk_90_Hdg" hidden="1">OTHER!$B$14</definedName>
    <definedName name="Err_Chk_91_Hdg" hidden="1">OTHER_DETAILED_COST_WKSHT!$B$317</definedName>
    <definedName name="Err_Chk_92_Hdg" hidden="1">OTHER_DETAILED_COST_WKSHT!$B$340</definedName>
    <definedName name="Err_Chk_93_Hdg" hidden="1">OTHER_DETAILED_COST_WKSHT!$B$358</definedName>
    <definedName name="Err_Chk_94_Hdg" hidden="1">OTHER_DETAILED_COST_WKSHT!$B$376</definedName>
    <definedName name="Err_Chk_95_Hdg" hidden="1">OTHER!$B$118</definedName>
    <definedName name="Err_Chk_96_Hdg" hidden="1">MICRO_DETAILED_COST_WKSHT!$B$116</definedName>
    <definedName name="Err_Chk_97_Hdg" hidden="1">MICRO_DETAILED_COST_WKSHT!$B$139</definedName>
    <definedName name="Err_Chk_98_Hdg" hidden="1">MICRO_DETAILED_COST_WKSHT!$B$157</definedName>
    <definedName name="Err_Chk_99_Hdg" hidden="1">MICRO_DETAILED_COST_WKSHT!$B$175</definedName>
    <definedName name="Err_Chks_Msg">Checks!$J$6</definedName>
    <definedName name="Err_Chks_Ttl_Areas">Checks!$M$209</definedName>
    <definedName name="HL_Alt_Chk">Checks!$B$211</definedName>
    <definedName name="HL_Alt_Chk_1" hidden="1">SERVICE_DELIVERY!$G$190</definedName>
    <definedName name="HL_Analy_Ass_A">SERVICE_DELIVERY!$B$27</definedName>
    <definedName name="HL_Analy_Average_Number_of_Vaccinations_Delivered_During_Service_Delivery_Activities_Prospective_or_Retrospective">SERVICE_DELIVERY!$B$9</definedName>
    <definedName name="HL_Analy_Out">Analysis!$B$9</definedName>
    <definedName name="HL_Analy_Out_A">Developer_Only_To!$B$10</definedName>
    <definedName name="HL_Analy_Out_B">Analysis!$B$176</definedName>
    <definedName name="HL_Analy_Out_C">Analysis!$B$108</definedName>
    <definedName name="HL_CAP_OTH_Ass_A">CAPITAL_INVESTS_OTH!$B$13</definedName>
    <definedName name="HL_CAP_OTH_Out_A">CAP_OTH!$B$14</definedName>
    <definedName name="HL_COLD_Ass_A">COLD_CHAIN_EXPANS!$B$12</definedName>
    <definedName name="HL_COLD_Out_A">COLD_CHAIN!$B$12</definedName>
    <definedName name="HL_Count_Ass">COUNTS!$B$33</definedName>
    <definedName name="HL_Count_Ass_A">COUNTS!$B$40</definedName>
    <definedName name="HL_Count_Ass_B">COUNTS!$B$98</definedName>
    <definedName name="HL_Count_Ass_C">COUNTS!$C$79</definedName>
    <definedName name="HL_Count_Ass_D">COUNTS!$B$9</definedName>
    <definedName name="HL_CVG_Ass_A">COVERAGE!$B$142</definedName>
    <definedName name="HL_CVG_Ass_B">COVERAGE!$B$9</definedName>
    <definedName name="HL_CVG_Coverage_Prospective_Assumptions">COVERAGE!$B$21</definedName>
    <definedName name="HL_CVG_Out_A">CALCS_COVERAGE!$B$103</definedName>
    <definedName name="HL_CVG_Out_Sum">COUNTS_and_COVERAGE_Summary!$B$38</definedName>
    <definedName name="HL_CVG_Projected_Coverage_Instructions">COVERAGE!$B$16</definedName>
    <definedName name="HL_CVG_Retrospective_Coverage_Instructions">COVERAGE!$B$137</definedName>
    <definedName name="HL_Econ_Economic_Rates">ECONOMICS!$B$10</definedName>
    <definedName name="HL_Err_Chk">Checks!$B$4</definedName>
    <definedName name="HL_Err_Chk_1" hidden="1">MICRO_DETAILED_COST_WKSHT!$J$38</definedName>
    <definedName name="HL_Err_Chk_10" hidden="1">MICROPLANNING!$H$105</definedName>
    <definedName name="HL_Err_Chk_100" hidden="1">MICROPLANNING!$H$66</definedName>
    <definedName name="HL_Err_Chk_101" hidden="1">MICRO_DETAILED_COST_WKSHT!$J$333</definedName>
    <definedName name="HL_Err_Chk_102" hidden="1">MICRO_DETAILED_COST_WKSHT!$J$351</definedName>
    <definedName name="HL_Err_Chk_103" hidden="1">MICRO_DETAILED_COST_WKSHT!$J$369</definedName>
    <definedName name="HL_Err_Chk_104" hidden="1">MICRO_DETAILED_COST_WKSHT!$J$387</definedName>
    <definedName name="HL_Err_Chk_105" hidden="1">MICROPLANNING!$H$148</definedName>
    <definedName name="HL_Err_Chk_106" hidden="1">SOCMOB_DETAILED_COST_WKSHT!$J$633</definedName>
    <definedName name="HL_Err_Chk_107" hidden="1">SOCMOB_DETAILED_COST_WKSHT!$J$651</definedName>
    <definedName name="HL_Err_Chk_108" hidden="1">SOCMOB_DETAILED_COST_WKSHT!$J$669</definedName>
    <definedName name="HL_Err_Chk_109" hidden="1">SOCMOB_DETAILED_COST_WKSHT!$J$687</definedName>
    <definedName name="HL_Err_Chk_11" hidden="1">SD_DETAILED_COST_WKSHT!$J$342</definedName>
    <definedName name="HL_Err_Chk_110" hidden="1">SOCIAL_MOBILISATION!$H$271</definedName>
    <definedName name="HL_Err_Chk_111" hidden="1">SENS_DETAILED_COST_WKSHT!$J$140</definedName>
    <definedName name="HL_Err_Chk_112" hidden="1">SENS_DETAILED_COST_WKSHT!$J$158</definedName>
    <definedName name="HL_Err_Chk_113" hidden="1">SENS_DETAILED_COST_WKSHT!$J$176</definedName>
    <definedName name="HL_Err_Chk_114" hidden="1">SENS_DETAILED_COST_WKSHT!$J$194</definedName>
    <definedName name="HL_Err_Chk_115" hidden="1">SENSITISATION!$H$66</definedName>
    <definedName name="HL_Err_Chk_116" hidden="1">SENS_DETAILED_COST_WKSHT!$J$237</definedName>
    <definedName name="HL_Err_Chk_117" hidden="1">SENS_DETAILED_COST_WKSHT!$J$255</definedName>
    <definedName name="HL_Err_Chk_118" hidden="1">SENS_DETAILED_COST_WKSHT!$J$273</definedName>
    <definedName name="HL_Err_Chk_119" hidden="1">SENS_DETAILED_COST_WKSHT!$J$291</definedName>
    <definedName name="HL_Err_Chk_12" hidden="1">SD_DETAILED_COST_WKSHT!$J$360</definedName>
    <definedName name="HL_Err_Chk_120" hidden="1">SENSITISATION!$H$103</definedName>
    <definedName name="HL_Err_Chk_121" hidden="1">SOCMOB_DETAILED_COST_WKSHT!$J$732</definedName>
    <definedName name="HL_Err_Chk_122" hidden="1">SOCMOB_DETAILED_COST_WKSHT!$J$750</definedName>
    <definedName name="HL_Err_Chk_123" hidden="1">SOCMOB_DETAILED_COST_WKSHT!$J$768</definedName>
    <definedName name="HL_Err_Chk_124" hidden="1">SOCMOB_DETAILED_COST_WKSHT!$J$786</definedName>
    <definedName name="HL_Err_Chk_125" hidden="1">SOCIAL_MOBILISATION!$H$314</definedName>
    <definedName name="HL_Err_Chk_126" hidden="1">TRAIN_DETAILED_COST_WKSHT!$J$140</definedName>
    <definedName name="HL_Err_Chk_127" hidden="1">TRAIN_DETAILED_COST_WKSHT!$J$158</definedName>
    <definedName name="HL_Err_Chk_128" hidden="1">TRAIN_DETAILED_COST_WKSHT!$J$176</definedName>
    <definedName name="HL_Err_Chk_129" hidden="1">TRAIN_DETAILED_COST_WKSHT!$J$194</definedName>
    <definedName name="HL_Err_Chk_13" hidden="1">SD_DETAILED_COST_WKSHT!$J$378</definedName>
    <definedName name="HL_Err_Chk_130" hidden="1">TRAINING!$H$66</definedName>
    <definedName name="HL_Err_Chk_131" hidden="1">TRAIN_DETAILED_COST_WKSHT!$J$237</definedName>
    <definedName name="HL_Err_Chk_132" hidden="1">TRAIN_DETAILED_COST_WKSHT!$J$255</definedName>
    <definedName name="HL_Err_Chk_133" hidden="1">TRAIN_DETAILED_COST_WKSHT!$J$273</definedName>
    <definedName name="HL_Err_Chk_134" hidden="1">TRAIN_DETAILED_COST_WKSHT!$J$291</definedName>
    <definedName name="HL_Err_Chk_135" hidden="1">TRAINING!$H$103</definedName>
    <definedName name="HL_Err_Chk_14" hidden="1">SD_DETAILED_COST_WKSHT!$J$396</definedName>
    <definedName name="HL_Err_Chk_146" hidden="1">SOCMOB_DETAILED_COST_WKSHT!$J$140</definedName>
    <definedName name="HL_Err_Chk_147" hidden="1">SOCMOB_DETAILED_COST_WKSHT!$J$158</definedName>
    <definedName name="HL_Err_Chk_148" hidden="1">SOCMOB_DETAILED_COST_WKSHT!$J$176</definedName>
    <definedName name="HL_Err_Chk_149" hidden="1">SOCMOB_DETAILED_COST_WKSHT!$J$194</definedName>
    <definedName name="HL_Err_Chk_15" hidden="1">SERVICE_DELIVERY!$H$330</definedName>
    <definedName name="HL_Err_Chk_150" hidden="1">SOCIAL_MOBILISATION!$H$66</definedName>
    <definedName name="HL_Err_Chk_151" hidden="1">SOCMOB_DETAILED_COST_WKSHT!$J$237</definedName>
    <definedName name="HL_Err_Chk_152" hidden="1">SOCMOB_DETAILED_COST_WKSHT!$J$255</definedName>
    <definedName name="HL_Err_Chk_153" hidden="1">SOCMOB_DETAILED_COST_WKSHT!$J$273</definedName>
    <definedName name="HL_Err_Chk_154" hidden="1">SOCMOB_DETAILED_COST_WKSHT!$J$291</definedName>
    <definedName name="HL_Err_Chk_155" hidden="1">SOCIAL_MOBILISATION!$H$103</definedName>
    <definedName name="HL_Err_Chk_156" hidden="1">SOCMOB_DETAILED_COST_WKSHT!$J$435</definedName>
    <definedName name="HL_Err_Chk_157" hidden="1">SOCMOB_DETAILED_COST_WKSHT!$J$453</definedName>
    <definedName name="HL_Err_Chk_158" hidden="1">SOCMOB_DETAILED_COST_WKSHT!$J$471</definedName>
    <definedName name="HL_Err_Chk_159" hidden="1">SOCMOB_DETAILED_COST_WKSHT!$J$489</definedName>
    <definedName name="HL_Err_Chk_16" hidden="1">TRAIN_DETAILED_COST_WKSHT!$J$43</definedName>
    <definedName name="HL_Err_Chk_160" hidden="1">SOCIAL_MOBILISATION!$H$185</definedName>
    <definedName name="HL_Err_Chk_161" hidden="1">SOCMOB_DETAILED_COST_WKSHT!$J$534</definedName>
    <definedName name="HL_Err_Chk_162" hidden="1">SOCMOB_DETAILED_COST_WKSHT!$J$552</definedName>
    <definedName name="HL_Err_Chk_163" hidden="1">SOCMOB_DETAILED_COST_WKSHT!$J$570</definedName>
    <definedName name="HL_Err_Chk_164" hidden="1">SOCMOB_DETAILED_COST_WKSHT!$J$588</definedName>
    <definedName name="HL_Err_Chk_165" hidden="1">SOCIAL_MOBILISATION!$H$228</definedName>
    <definedName name="HL_Err_Chk_166" hidden="1">SD_DETAILED_COST_WKSHT!$J$144</definedName>
    <definedName name="HL_Err_Chk_167" hidden="1">SD_DETAILED_COST_WKSHT!$J$162</definedName>
    <definedName name="HL_Err_Chk_168" hidden="1">SD_DETAILED_COST_WKSHT!$J$180</definedName>
    <definedName name="HL_Err_Chk_169" hidden="1">SD_DETAILED_COST_WKSHT!$J$198</definedName>
    <definedName name="HL_Err_Chk_17" hidden="1">TRAIN_DETAILED_COST_WKSHT!$J$61</definedName>
    <definedName name="HL_Err_Chk_170" hidden="1">SERVICE_DELIVERY!$H$281</definedName>
    <definedName name="HL_Err_Chk_171" hidden="1">SD_DETAILED_COST_WKSHT!$J$243</definedName>
    <definedName name="HL_Err_Chk_172" hidden="1">SD_DETAILED_COST_WKSHT!$J$261</definedName>
    <definedName name="HL_Err_Chk_173" hidden="1">SD_DETAILED_COST_WKSHT!$J$279</definedName>
    <definedName name="HL_Err_Chk_174" hidden="1">SD_DETAILED_COST_WKSHT!$J$297</definedName>
    <definedName name="HL_Err_Chk_175" hidden="1">SERVICE_DELIVERY!$H$305</definedName>
    <definedName name="HL_Err_Chk_176" hidden="1">SUPV_DETAILED_COST_WKSHT!$J$140</definedName>
    <definedName name="HL_Err_Chk_177" hidden="1">SUPV_DETAILED_COST_WKSHT!$J$158</definedName>
    <definedName name="HL_Err_Chk_178" hidden="1">SUPV_DETAILED_COST_WKSHT!$J$176</definedName>
    <definedName name="HL_Err_Chk_179" hidden="1">SUPV_DETAILED_COST_WKSHT!$J$194</definedName>
    <definedName name="HL_Err_Chk_18" hidden="1">TRAIN_DETAILED_COST_WKSHT!$J$79</definedName>
    <definedName name="HL_Err_Chk_180" hidden="1">SUPERVISION!$H$66</definedName>
    <definedName name="HL_Err_Chk_181" hidden="1">SUPV_DETAILED_COST_WKSHT!$J$237</definedName>
    <definedName name="HL_Err_Chk_182" hidden="1">SUPV_DETAILED_COST_WKSHT!$J$255</definedName>
    <definedName name="HL_Err_Chk_183" hidden="1">SUPV_DETAILED_COST_WKSHT!$J$273</definedName>
    <definedName name="HL_Err_Chk_184" hidden="1">SUPV_DETAILED_COST_WKSHT!$J$291</definedName>
    <definedName name="HL_Err_Chk_185" hidden="1">SUPERVISION!$H$103</definedName>
    <definedName name="HL_Err_Chk_186" hidden="1">SUPV_DETAILED_COST_WKSHT!$J$532</definedName>
    <definedName name="HL_Err_Chk_187" hidden="1">SUPV_DETAILED_COST_WKSHT!$J$550</definedName>
    <definedName name="HL_Err_Chk_188" hidden="1">SUPV_DETAILED_COST_WKSHT!$J$568</definedName>
    <definedName name="HL_Err_Chk_189" hidden="1">SUPV_DETAILED_COST_WKSHT!$J$586</definedName>
    <definedName name="HL_Err_Chk_19" hidden="1">TRAIN_DETAILED_COST_WKSHT!$J$97</definedName>
    <definedName name="HL_Err_Chk_190" hidden="1">SUPERVISION!$H$222</definedName>
    <definedName name="HL_Err_Chk_191" hidden="1">SUPV_DETAILED_COST_WKSHT!$J$631</definedName>
    <definedName name="HL_Err_Chk_192" hidden="1">SUPV_DETAILED_COST_WKSHT!$J$649</definedName>
    <definedName name="HL_Err_Chk_193" hidden="1">SUPV_DETAILED_COST_WKSHT!$J$667</definedName>
    <definedName name="HL_Err_Chk_194" hidden="1">SUPV_DETAILED_COST_WKSHT!$J$685</definedName>
    <definedName name="HL_Err_Chk_195" hidden="1">SUPERVISION!$H$265</definedName>
    <definedName name="HL_Err_Chk_196" hidden="1">OTHER_DETAILED_COST_WKSHT!$J$237</definedName>
    <definedName name="HL_Err_Chk_197" hidden="1">OTHER_DETAILED_COST_WKSHT!$J$255</definedName>
    <definedName name="HL_Err_Chk_198" hidden="1">OTHER_DETAILED_COST_WKSHT!$J$273</definedName>
    <definedName name="HL_Err_Chk_199" hidden="1">OTHER_DETAILED_COST_WKSHT!$J$194</definedName>
    <definedName name="HL_Err_Chk_2" hidden="1">MICRO_DETAILED_COST_WKSHT!$J$56</definedName>
    <definedName name="HL_Err_Chk_20" hidden="1">TRAINING!$H$29</definedName>
    <definedName name="HL_Err_Chk_200" hidden="1">OTHER!$H$98</definedName>
    <definedName name="HL_Err_Chk_201" hidden="1">OTHER_DETAILED_COST_WKSHT!$J$140</definedName>
    <definedName name="HL_Err_Chk_202" hidden="1">OTHER_DETAILED_COST_WKSHT!$J$158</definedName>
    <definedName name="HL_Err_Chk_203" hidden="1">OTHER_DETAILED_COST_WKSHT!$J$176</definedName>
    <definedName name="HL_Err_Chk_204" hidden="1">OTHER_DETAILED_COST_WKSHT!$J$291</definedName>
    <definedName name="HL_Err_Chk_205" hidden="1">OTHER!$H$63</definedName>
    <definedName name="HL_Err_Chk_206" hidden="1">OTHER_DETAILED_COST_WKSHT!$J$435</definedName>
    <definedName name="HL_Err_Chk_207" hidden="1">OTHER_DETAILED_COST_WKSHT!$J$453</definedName>
    <definedName name="HL_Err_Chk_208" hidden="1">OTHER_DETAILED_COST_WKSHT!$J$471</definedName>
    <definedName name="HL_Err_Chk_209" hidden="1">OTHER_DETAILED_COST_WKSHT!$J$489</definedName>
    <definedName name="HL_Err_Chk_21" hidden="1">SENS_DETAILED_COST_WKSHT!$J$43</definedName>
    <definedName name="HL_Err_Chk_210" hidden="1">OTHER!$H$176</definedName>
    <definedName name="HL_Err_Chk_216" hidden="1">SUPV_DETAILED_COST_WKSHT!$J$334</definedName>
    <definedName name="HL_Err_Chk_217" hidden="1">SUPV_DETAILED_COST_WKSHT!$J$352</definedName>
    <definedName name="HL_Err_Chk_218" hidden="1">SUPV_DETAILED_COST_WKSHT!$J$370</definedName>
    <definedName name="HL_Err_Chk_219" hidden="1">SUPV_DETAILED_COST_WKSHT!$J$388</definedName>
    <definedName name="HL_Err_Chk_22" hidden="1">SENS_DETAILED_COST_WKSHT!$J$61</definedName>
    <definedName name="HL_Err_Chk_220" hidden="1">SUPERVISION!$H$140</definedName>
    <definedName name="HL_Err_Chk_221" hidden="1">SENS_DETAILED_COST_WKSHT!$J$435</definedName>
    <definedName name="HL_Err_Chk_222" hidden="1">SENS_DETAILED_COST_WKSHT!$J$453</definedName>
    <definedName name="HL_Err_Chk_223" hidden="1">SENS_DETAILED_COST_WKSHT!$J$471</definedName>
    <definedName name="HL_Err_Chk_224" hidden="1">SENS_DETAILED_COST_WKSHT!$J$489</definedName>
    <definedName name="HL_Err_Chk_225" hidden="1">SENSITISATION!$H$185</definedName>
    <definedName name="HL_Err_Chk_226" hidden="1">SENS_DETAILED_COST_WKSHT!$J$534</definedName>
    <definedName name="HL_Err_Chk_227" hidden="1">SENS_DETAILED_COST_WKSHT!$J$552</definedName>
    <definedName name="HL_Err_Chk_228" hidden="1">SENS_DETAILED_COST_WKSHT!$J$570</definedName>
    <definedName name="HL_Err_Chk_229" hidden="1">SENS_DETAILED_COST_WKSHT!$J$588</definedName>
    <definedName name="HL_Err_Chk_23" hidden="1">SENS_DETAILED_COST_WKSHT!$J$79</definedName>
    <definedName name="HL_Err_Chk_230" hidden="1">SENSITISATION!$H$228</definedName>
    <definedName name="HL_Err_Chk_24" hidden="1">SENS_DETAILED_COST_WKSHT!$J$97</definedName>
    <definedName name="HL_Err_Chk_25" hidden="1">SENSITISATION!$H$29</definedName>
    <definedName name="HL_Err_Chk_26" hidden="1">SOCMOB_DETAILED_COST_WKSHT!$J$43</definedName>
    <definedName name="HL_Err_Chk_27" hidden="1">SOCMOB_DETAILED_COST_WKSHT!$J$61</definedName>
    <definedName name="HL_Err_Chk_28" hidden="1">SOCMOB_DETAILED_COST_WKSHT!$J$79</definedName>
    <definedName name="HL_Err_Chk_29" hidden="1">SOCMOB_DETAILED_COST_WKSHT!$J$97</definedName>
    <definedName name="HL_Err_Chk_3" hidden="1">MICRO_DETAILED_COST_WKSHT!$J$74</definedName>
    <definedName name="HL_Err_Chk_30" hidden="1">SOCIAL_MOBILISATION!$H$29</definedName>
    <definedName name="HL_Err_Chk_31" hidden="1">SUPV_DETAILED_COST_WKSHT!$J$43</definedName>
    <definedName name="HL_Err_Chk_32" hidden="1">SUPV_DETAILED_COST_WKSHT!$J$61</definedName>
    <definedName name="HL_Err_Chk_33" hidden="1">SUPV_DETAILED_COST_WKSHT!$J$79</definedName>
    <definedName name="HL_Err_Chk_34" hidden="1">SUPV_DETAILED_COST_WKSHT!$J$97</definedName>
    <definedName name="HL_Err_Chk_35" hidden="1">SUPERVISION!$H$29</definedName>
    <definedName name="HL_Err_Chk_36" hidden="1">TRAIN_DETAILED_COST_WKSHT!$J$336</definedName>
    <definedName name="HL_Err_Chk_37" hidden="1">TRAIN_DETAILED_COST_WKSHT!$J$354</definedName>
    <definedName name="HL_Err_Chk_38" hidden="1">TRAIN_DETAILED_COST_WKSHT!$J$372</definedName>
    <definedName name="HL_Err_Chk_39" hidden="1">TRAIN_DETAILED_COST_WKSHT!$J$390</definedName>
    <definedName name="HL_Err_Chk_4" hidden="1">MICRO_DETAILED_COST_WKSHT!$J$92</definedName>
    <definedName name="HL_Err_Chk_40" hidden="1">TRAINING!$H$142</definedName>
    <definedName name="HL_Err_Chk_41" hidden="1">SERVICE_DELIVERY!$G$46</definedName>
    <definedName name="HL_Err_Chk_42" hidden="1">COVERAGE!$H$239</definedName>
    <definedName name="HL_Err_Chk_44" hidden="1">COVERAGE!$H$155</definedName>
    <definedName name="HL_Err_Chk_45" hidden="1">COVERAGE!$H$151</definedName>
    <definedName name="HL_Err_Chk_46" hidden="1">SENS_DETAILED_COST_WKSHT!$J$336</definedName>
    <definedName name="HL_Err_Chk_47" hidden="1">SENS_DETAILED_COST_WKSHT!$J$354</definedName>
    <definedName name="HL_Err_Chk_48" hidden="1">SENS_DETAILED_COST_WKSHT!$J$372</definedName>
    <definedName name="HL_Err_Chk_49" hidden="1">SENS_DETAILED_COST_WKSHT!$J$390</definedName>
    <definedName name="HL_Err_Chk_5" hidden="1">MICROPLANNING!$H$29</definedName>
    <definedName name="HL_Err_Chk_50" hidden="1">SENSITISATION!$H$142</definedName>
    <definedName name="HL_Err_Chk_51" hidden="1">SOCMOB_DETAILED_COST_WKSHT!$J$336</definedName>
    <definedName name="HL_Err_Chk_52" hidden="1">SOCMOB_DETAILED_COST_WKSHT!$J$354</definedName>
    <definedName name="HL_Err_Chk_53" hidden="1">SOCMOB_DETAILED_COST_WKSHT!$J$372</definedName>
    <definedName name="HL_Err_Chk_54" hidden="1">SOCMOB_DETAILED_COST_WKSHT!$J$390</definedName>
    <definedName name="HL_Err_Chk_55" hidden="1">SOCIAL_MOBILISATION!$H$142</definedName>
    <definedName name="HL_Err_Chk_56" hidden="1">SUPV_DETAILED_COST_WKSHT!$J$433</definedName>
    <definedName name="HL_Err_Chk_57" hidden="1">SUPV_DETAILED_COST_WKSHT!$J$451</definedName>
    <definedName name="HL_Err_Chk_58" hidden="1">SUPV_DETAILED_COST_WKSHT!$J$469</definedName>
    <definedName name="HL_Err_Chk_59" hidden="1">SUPV_DETAILED_COST_WKSHT!$J$487</definedName>
    <definedName name="HL_Err_Chk_6" hidden="1">MICRO_DETAILED_COST_WKSHT!$J$234</definedName>
    <definedName name="HL_Err_Chk_60" hidden="1">SUPERVISION!$H$179</definedName>
    <definedName name="HL_Err_Chk_61" hidden="1">COVERAGE!$H$159</definedName>
    <definedName name="HL_Err_Chk_62" hidden="1">COVERAGE!$H$176</definedName>
    <definedName name="HL_Err_Chk_63" hidden="1">COVERAGE!$H$181</definedName>
    <definedName name="HL_Err_Chk_64" hidden="1">COVERAGE!$H$200</definedName>
    <definedName name="HL_Err_Chk_7" hidden="1">MICRO_DETAILED_COST_WKSHT!$J$252</definedName>
    <definedName name="HL_Err_Chk_76" hidden="1">SD_DETAILED_COST_WKSHT!$J$45</definedName>
    <definedName name="HL_Err_Chk_77" hidden="1">SD_DETAILED_COST_WKSHT!$J$63</definedName>
    <definedName name="HL_Err_Chk_78" hidden="1">SD_DETAILED_COST_WKSHT!$J$81</definedName>
    <definedName name="HL_Err_Chk_79" hidden="1">SD_DETAILED_COST_WKSHT!$J$99</definedName>
    <definedName name="HL_Err_Chk_8" hidden="1">MICRO_DETAILED_COST_WKSHT!$J$270</definedName>
    <definedName name="HL_Err_Chk_80" hidden="1">SERVICE_DELIVERY!$H$257</definedName>
    <definedName name="HL_Err_Chk_86" hidden="1">OTHER_DETAILED_COST_WKSHT!$J$43</definedName>
    <definedName name="HL_Err_Chk_87" hidden="1">OTHER_DETAILED_COST_WKSHT!$J$61</definedName>
    <definedName name="HL_Err_Chk_88" hidden="1">OTHER_DETAILED_COST_WKSHT!$J$79</definedName>
    <definedName name="HL_Err_Chk_89" hidden="1">OTHER_DETAILED_COST_WKSHT!$J$97</definedName>
    <definedName name="HL_Err_Chk_9" hidden="1">MICRO_DETAILED_COST_WKSHT!$J$288</definedName>
    <definedName name="HL_Err_Chk_90" hidden="1">OTHER!$H$29</definedName>
    <definedName name="HL_Err_Chk_91" hidden="1">OTHER_DETAILED_COST_WKSHT!$J$336</definedName>
    <definedName name="HL_Err_Chk_92" hidden="1">OTHER_DETAILED_COST_WKSHT!$J$354</definedName>
    <definedName name="HL_Err_Chk_93" hidden="1">OTHER_DETAILED_COST_WKSHT!$J$372</definedName>
    <definedName name="HL_Err_Chk_94" hidden="1">OTHER_DETAILED_COST_WKSHT!$J$390</definedName>
    <definedName name="HL_Err_Chk_95" hidden="1">OTHER!$H$135</definedName>
    <definedName name="HL_Err_Chk_96" hidden="1">MICRO_DETAILED_COST_WKSHT!$J$135</definedName>
    <definedName name="HL_Err_Chk_97" hidden="1">MICRO_DETAILED_COST_WKSHT!$J$153</definedName>
    <definedName name="HL_Err_Chk_98" hidden="1">MICRO_DETAILED_COST_WKSHT!$J$171</definedName>
    <definedName name="HL_Err_Chk_99" hidden="1">MICRO_DETAILED_COST_WKSHT!$J$189</definedName>
    <definedName name="HL_Lbl_Ass">LABELS!$B$4</definedName>
    <definedName name="HL_LVL2_ACTV_10_Activity_Number_of_Activities_Annual_Assumptions">SOCIAL_MOBILISATION!$B$192</definedName>
    <definedName name="HL_LVL2_ACTV_10_Activity_Summary_Costs_Annual">COST_SUMMARY!$B$330</definedName>
    <definedName name="HL_LVL2_ACTV_10_Allowances_Assumptions">SOCMOB_DETAILED_COST_WKSHT!$B$439</definedName>
    <definedName name="HL_LVL2_ACTV_10_Allowances_Outputs">CALCS_DETAILED!$B$1536</definedName>
    <definedName name="HL_LVL2_ACTV_10_Ass_A">SOCMOB_DETAILED_COST_WKSHT!$B$439</definedName>
    <definedName name="HL_LVL2_ACTV_10_Ass_B">SOCMOB_DETAILED_COST_WKSHT!$B$403</definedName>
    <definedName name="HL_LVL2_ACTV_10_Cost_Summary_Output">COSTS_DETAILED_SUMMARY!$B$282</definedName>
    <definedName name="HL_LVL2_ACTV_10_Detailed_Costing_Worksheet">SOCMOB_DETAILED_COST_WKSHT!$B$394</definedName>
    <definedName name="HL_LVL2_ACTV_10_Name">SOCIAL_MOBILISATION!$D$166</definedName>
    <definedName name="HL_LVL2_ACTV_10_Other_Direct_Costs">SOCMOB_DETAILED_COST_WKSHT!$B$475</definedName>
    <definedName name="HL_LVL2_ACTV_10_Other_Direct_Costs_Outputs">CALCS_DETAILED!$B$1576</definedName>
    <definedName name="HL_LVL2_ACTV_10_Out_A">CALCS_DETAILED!$B$1536</definedName>
    <definedName name="HL_LVL2_ACTV_10_Personnel_Assumptions">SOCMOB_DETAILED_COST_WKSHT!$B$416</definedName>
    <definedName name="HL_LVL2_ACTV_10_Personnel_Outputs">CALCS_DETAILED!$B$1511</definedName>
    <definedName name="HL_LVL2_ACTV_10_Single_Activity_Cost_Assumptions_Annual">SOCIAL_MOBILISATION!$B$168</definedName>
    <definedName name="HL_LVL2_ACTV_10_Single_Activity_Cost_Outputs_Annual_ECON_International_Currency">CALCS_Annual!$B$648</definedName>
    <definedName name="HL_LVL2_ACTV_10_Single_Activity_Cost_Outputs_Annual_ECON_Local_Currency">CALCS_Annual!$B$630</definedName>
    <definedName name="HL_LVL2_ACTV_10_Single_Activity_Cost_Outputs_Annual_FIN_International_Currency">CALCS_Annual!$B$639</definedName>
    <definedName name="HL_LVL2_ACTV_10_Single_Activity_Cost_Outputs_Annual_FIN_Local_Currency">CALCS_Annual!$B$620</definedName>
    <definedName name="HL_LVL2_ACTV_10_Supplies_and_Materials">SOCMOB_DETAILED_COST_WKSHT!$B$457</definedName>
    <definedName name="HL_LVL2_ACTV_10_Supplies_and_Materials_Outputs">CALCS_DETAILED!$B$1556</definedName>
    <definedName name="HL_LVL2_ACTV_11_Activity_Number_of_Activities_Annual_Assumptions">SOCIAL_MOBILISATION!$B$235</definedName>
    <definedName name="HL_LVL2_ACTV_11_Activity_Summary_Costs_Annual">COST_SUMMARY!$B$344</definedName>
    <definedName name="HL_LVL2_ACTV_11_Allowances_Assumptions">SOCMOB_DETAILED_COST_WKSHT!$B$538</definedName>
    <definedName name="HL_LVL2_ACTV_11_Allowances_Outputs">CALCS_DETAILED!$B$1620</definedName>
    <definedName name="HL_LVL2_ACTV_11_Ass_A">SOCMOB_DETAILED_COST_WKSHT!$B$538</definedName>
    <definedName name="HL_LVL2_ACTV_11_Ass_B">SOCMOB_DETAILED_COST_WKSHT!$B$502</definedName>
    <definedName name="HL_LVL2_ACTV_11_Cost_Summary_Output">COSTS_DETAILED_SUMMARY!$B$298</definedName>
    <definedName name="HL_LVL2_ACTV_11_Detailed_Costing_Worksheet">SOCMOB_DETAILED_COST_WKSHT!$B$493</definedName>
    <definedName name="HL_LVL2_ACTV_11_Name">SOCIAL_MOBILISATION!$D$209</definedName>
    <definedName name="HL_LVL2_ACTV_11_Other_Direct_Costs">SOCMOB_DETAILED_COST_WKSHT!$B$574</definedName>
    <definedName name="HL_LVL2_ACTV_11_Other_Direct_Costs_Outputs">CALCS_DETAILED!$B$1660</definedName>
    <definedName name="HL_LVL2_ACTV_11_Out_A">CALCS_DETAILED!$B$1620</definedName>
    <definedName name="HL_LVL2_ACTV_11_Personnel_Assumptions">SOCMOB_DETAILED_COST_WKSHT!$B$515</definedName>
    <definedName name="HL_LVL2_ACTV_11_Personnel_Outputs">CALCS_DETAILED!$B$1595</definedName>
    <definedName name="HL_LVL2_ACTV_11_Single_Activity_Cost_Assumptions_Annual">SOCIAL_MOBILISATION!$B$211</definedName>
    <definedName name="HL_LVL2_ACTV_11_Single_Activity_Cost_Outputs_Annual_ECON_International_Currency">CALCS_Annual!$B$685</definedName>
    <definedName name="HL_LVL2_ACTV_11_Single_Activity_Cost_Outputs_Annual_ECON_Local_Currency">CALCS_Annual!$B$667</definedName>
    <definedName name="HL_LVL2_ACTV_11_Single_Activity_Cost_Outputs_Annual_FIN_International_Currency">CALCS_Annual!$B$676</definedName>
    <definedName name="HL_LVL2_ACTV_11_Single_Activity_Cost_Outputs_Annual_FIN_Local_Currency">CALCS_Annual!$B$657</definedName>
    <definedName name="HL_LVL2_ACTV_11_Supplies_and_Materials">SOCMOB_DETAILED_COST_WKSHT!$B$556</definedName>
    <definedName name="HL_LVL2_ACTV_11_Supplies_and_Materials_Outputs">CALCS_DETAILED!$B$1640</definedName>
    <definedName name="HL_LVL2_ACTV_12_Activity_Summary_Costs_Annual">COST_SUMMARY!$B$400</definedName>
    <definedName name="HL_LVL2_ACTV_12_Allowances_Assumptions">SD_DETAILED_COST_WKSHT!$B$148</definedName>
    <definedName name="HL_LVL2_ACTV_12_Allowances_Outputs">CALCS_DETAILED!$B$2964</definedName>
    <definedName name="HL_LVL2_ACTV_12_Ass_A">SD_DETAILED_COST_WKSHT!$B$148</definedName>
    <definedName name="HL_LVL2_ACTV_12_Ass_B">SD_DETAILED_COST_WKSHT!$B$112</definedName>
    <definedName name="HL_LVL2_ACTV_12_Cost_Summary_Output">COSTS_DETAILED_SUMMARY!$B$470</definedName>
    <definedName name="HL_LVL2_ACTV_12_Detailed_Costing_Worksheet">SD_DETAILED_COST_WKSHT!$B$103</definedName>
    <definedName name="HL_LVL2_ACTV_12_Name">SERVICE_DELIVERY!$D$262</definedName>
    <definedName name="HL_LVL2_ACTV_12_Other_Direct_Costs">SD_DETAILED_COST_WKSHT!$B$184</definedName>
    <definedName name="HL_LVL2_ACTV_12_Other_Direct_Costs_Outputs">CALCS_DETAILED!$B$3004</definedName>
    <definedName name="HL_LVL2_ACTV_12_Out_A">CALCS_DETAILED!$B$2964</definedName>
    <definedName name="HL_LVL2_ACTV_12_Personnel_Assumptions">SD_DETAILED_COST_WKSHT!$B$125</definedName>
    <definedName name="HL_LVL2_ACTV_12_Personnel_Outputs">CALCS_DETAILED!$B$3023</definedName>
    <definedName name="HL_LVL2_ACTV_12_Single_Activity_Cost_Assumptions_Annual">SERVICE_DELIVERY!$B$264</definedName>
    <definedName name="HL_LVL2_ACTV_12_Single_Activity_Cost_Outputs_Annual_ECON_International_Currency">CALCS_Annual!$B$1070</definedName>
    <definedName name="HL_LVL2_ACTV_12_Single_Activity_Cost_Outputs_Annual_ECON_Local_Currency">CALCS_Annual!$B$1052</definedName>
    <definedName name="HL_LVL2_ACTV_12_Single_Activity_Cost_Outputs_Annual_FIN_International_Currency">CALCS_Annual!$B$1061</definedName>
    <definedName name="HL_LVL2_ACTV_12_Single_Activity_Cost_Outputs_Annual_FIN_Local_Currency">CALCS_Annual!$B$1043</definedName>
    <definedName name="HL_LVL2_ACTV_12_Supplies_and_Materials">SD_DETAILED_COST_WKSHT!$B$166</definedName>
    <definedName name="HL_LVL2_ACTV_12_Supplies_and_Materials_Outputs">CALCS_DETAILED!$B$2984</definedName>
    <definedName name="HL_LVL2_ACTV_13_Activity_Summary_Costs_Annual">COST_SUMMARY!$B$414</definedName>
    <definedName name="HL_LVL2_ACTV_13_Allowances_Assumptions">SD_DETAILED_COST_WKSHT!$B$247</definedName>
    <definedName name="HL_LVL2_ACTV_13_Allowances_Outputs">CALCS_DETAILED!$B$3048</definedName>
    <definedName name="HL_LVL2_ACTV_13_Ass_A">SD_DETAILED_COST_WKSHT!$B$247</definedName>
    <definedName name="HL_LVL2_ACTV_13_Ass_B">SD_DETAILED_COST_WKSHT!$B$211</definedName>
    <definedName name="HL_LVL2_ACTV_13_Cost_Summary_Output">COSTS_DETAILED_SUMMARY!$B$486</definedName>
    <definedName name="HL_LVL2_ACTV_13_Detailed_Costing_Worksheet">SD_DETAILED_COST_WKSHT!$B$202</definedName>
    <definedName name="HL_LVL2_ACTV_13_Name">SERVICE_DELIVERY!$D$286</definedName>
    <definedName name="HL_LVL2_ACTV_13_Other_Direct_Costs">SD_DETAILED_COST_WKSHT!$B$283</definedName>
    <definedName name="HL_LVL2_ACTV_13_Other_Direct_Costs_Outputs">CALCS_DETAILED!$B$3153</definedName>
    <definedName name="HL_LVL2_ACTV_13_Out_A">CALCS_DETAILED!$B$3048</definedName>
    <definedName name="HL_LVL2_ACTV_13_Personnel_Assumptions">SD_DETAILED_COST_WKSHT!$B$224</definedName>
    <definedName name="HL_LVL2_ACTV_13_Personnel_Outputs">CALCS_DETAILED!$B$2939</definedName>
    <definedName name="HL_LVL2_ACTV_13_Single_Activity_Cost_Assumptions_Annual">SERVICE_DELIVERY!$B$288</definedName>
    <definedName name="HL_LVL2_ACTV_13_Single_Activity_Cost_Outputs_Annual_ECON_International_Currency">CALCS_Annual!$B$1103</definedName>
    <definedName name="HL_LVL2_ACTV_13_Single_Activity_Cost_Outputs_Annual_ECON_Local_Currency">CALCS_Annual!$B$1087</definedName>
    <definedName name="HL_LVL2_ACTV_13_Single_Activity_Cost_Outputs_Annual_FIN_International_Currency">CALCS_Annual!$B$1095</definedName>
    <definedName name="HL_LVL2_ACTV_13_Single_Activity_Cost_Outputs_Annual_FIN_Local_Currency">CALCS_Annual!$B$1079</definedName>
    <definedName name="HL_LVL2_ACTV_13_Supplies_and_Materials">SD_DETAILED_COST_WKSHT!$B$265</definedName>
    <definedName name="HL_LVL2_ACTV_13_Supplies_and_Materials_Outputs">CALCS_DETAILED!$B$3113</definedName>
    <definedName name="HL_LVL2_ACTV_14_Activity_Number_of_Activities_Annual_Assumptions">SUPERVISION!$B$229</definedName>
    <definedName name="HL_LVL2_ACTV_14_Activity_Summary_Costs_Annual">COST_SUMMARY!$B$512</definedName>
    <definedName name="HL_LVL2_ACTV_14_Allowances_Assumptions">SUPV_DETAILED_COST_WKSHT!$B$536</definedName>
    <definedName name="HL_LVL2_ACTV_14_Allowances_Outputs">CALCS_DETAILED!$B$2292</definedName>
    <definedName name="HL_LVL2_ACTV_14_Ass_A">SUPV_DETAILED_COST_WKSHT!$B$536</definedName>
    <definedName name="HL_LVL2_ACTV_14_Ass_B">SUPV_DETAILED_COST_WKSHT!$B$500</definedName>
    <definedName name="HL_LVL2_ACTV_14_Cost_Summary_Output">COSTS_DETAILED_SUMMARY!$B$422</definedName>
    <definedName name="HL_LVL2_ACTV_14_Detailed_Costing_Worksheet">SUPV_DETAILED_COST_WKSHT!$B$491</definedName>
    <definedName name="HL_LVL2_ACTV_14_Name">SUPERVISION!$D$203</definedName>
    <definedName name="HL_LVL2_ACTV_14_Other_Direct_Costs">SUPV_DETAILED_COST_WKSHT!$B$572</definedName>
    <definedName name="HL_LVL2_ACTV_14_Other_Direct_Costs_Outputs">CALCS_DETAILED!$B$2332</definedName>
    <definedName name="HL_LVL2_ACTV_14_Out_A">CALCS_DETAILED!$B$2292</definedName>
    <definedName name="HL_LVL2_ACTV_14_Personnel_Assumptions">SUPV_DETAILED_COST_WKSHT!$B$513</definedName>
    <definedName name="HL_LVL2_ACTV_14_Personnel_Outputs">CALCS_DETAILED!$B$2267</definedName>
    <definedName name="HL_LVL2_ACTV_14_Single_Activity_Cost_Assumptions_Annual">SUPERVISION!$B$205</definedName>
    <definedName name="HL_LVL2_ACTV_14_Single_Activity_Cost_Outputs_Annual_ECON_International_Currency">CALCS_Annual!$B$959</definedName>
    <definedName name="HL_LVL2_ACTV_14_Single_Activity_Cost_Outputs_Annual_ECON_Local_Currency">CALCS_Annual!$B$941</definedName>
    <definedName name="HL_LVL2_ACTV_14_Single_Activity_Cost_Outputs_Annual_FIN_International_Currency">CALCS_Annual!$B$950</definedName>
    <definedName name="HL_LVL2_ACTV_14_Single_Activity_Cost_Outputs_Annual_FIN_Local_Currency">CALCS_Annual!$B$932</definedName>
    <definedName name="HL_LVL2_ACTV_14_Supplies_and_Materials">SUPV_DETAILED_COST_WKSHT!$B$554</definedName>
    <definedName name="HL_LVL2_ACTV_14_Supplies_and_Materials_Outputs">CALCS_DETAILED!$B$2312</definedName>
    <definedName name="HL_LVL2_ACTV_15_Activity_Number_of_Activities_Annual_Assumptions">SUPERVISION!$B$272</definedName>
    <definedName name="HL_LVL2_ACTV_15_Activity_Summary_Costs_Annual">COST_SUMMARY!$B$526</definedName>
    <definedName name="HL_LVL2_ACTV_15_Allowances_Assumptions">SUPV_DETAILED_COST_WKSHT!$B$635</definedName>
    <definedName name="HL_LVL2_ACTV_15_Allowances_Outputs">CALCS_DETAILED!$B$2376</definedName>
    <definedName name="HL_LVL2_ACTV_15_Ass_A">SUPV_DETAILED_COST_WKSHT!$B$635</definedName>
    <definedName name="HL_LVL2_ACTV_15_Ass_B">SUPV_DETAILED_COST_WKSHT!$B$599</definedName>
    <definedName name="HL_LVL2_ACTV_15_Cost_Summary_Output">COSTS_DETAILED_SUMMARY!$B$438</definedName>
    <definedName name="HL_LVL2_ACTV_15_Detailed_Costing_Worksheet">SUPV_DETAILED_COST_WKSHT!$B$590</definedName>
    <definedName name="HL_LVL2_ACTV_15_Name">SUPERVISION!$D$246</definedName>
    <definedName name="HL_LVL2_ACTV_15_Other_Direct_Costs">SUPV_DETAILED_COST_WKSHT!$B$671</definedName>
    <definedName name="HL_LVL2_ACTV_15_Other_Direct_Costs_Outputs">CALCS_DETAILED!$B$2416</definedName>
    <definedName name="HL_LVL2_ACTV_15_Out_A">CALCS_DETAILED!$B$2376</definedName>
    <definedName name="HL_LVL2_ACTV_15_Personnel_Assumptions">SUPV_DETAILED_COST_WKSHT!$B$612</definedName>
    <definedName name="HL_LVL2_ACTV_15_Personnel_Outputs">CALCS_DETAILED!$B$2351</definedName>
    <definedName name="HL_LVL2_ACTV_15_Single_Activity_Cost_Assumptions_Annual">SUPERVISION!$B$248</definedName>
    <definedName name="HL_LVL2_ACTV_15_Single_Activity_Cost_Outputs_Annual_ECON_International_Currency">CALCS_Annual!$B$996</definedName>
    <definedName name="HL_LVL2_ACTV_15_Single_Activity_Cost_Outputs_Annual_ECON_Local_Currency">CALCS_Annual!$B$978</definedName>
    <definedName name="HL_LVL2_ACTV_15_Single_Activity_Cost_Outputs_Annual_FIN_International_Currency">CALCS_Annual!$B$987</definedName>
    <definedName name="HL_LVL2_ACTV_15_Single_Activity_Cost_Outputs_Annual_FIN_Local_Currency">CALCS_Annual!$B$968</definedName>
    <definedName name="HL_LVL2_ACTV_15_Supplies_and_Materials">SUPV_DETAILED_COST_WKSHT!$B$653</definedName>
    <definedName name="HL_LVL2_ACTV_15_Supplies_and_Materials_Outputs">CALCS_DETAILED!$B$2396</definedName>
    <definedName name="HL_LVL2_ACTV_16_Activity_Number_of_Activities_Annual_Assumptions">OTHER!$B$183</definedName>
    <definedName name="HL_LVL2_ACTV_16_Activity_Summary_Costs_Annual">COST_SUMMARY!$B$596</definedName>
    <definedName name="HL_LVL2_ACTV_16_Allowances_Assumptions">OTHER_DETAILED_COST_WKSHT!$B$439</definedName>
    <definedName name="HL_LVL2_ACTV_16_Allowances_Outputs">CALCS_DETAILED!$B$2796</definedName>
    <definedName name="HL_LVL2_ACTV_16_Ass_A">OTHER_DETAILED_COST_WKSHT!$B$439</definedName>
    <definedName name="HL_LVL2_ACTV_16_Ass_B">OTHER_DETAILED_COST_WKSHT!$B$403</definedName>
    <definedName name="HL_LVL2_ACTV_16_Cost_Summary_Output">COSTS_DETAILED_SUMMARY!$B$579</definedName>
    <definedName name="HL_LVL2_ACTV_16_Detailed_Costing_Worksheet">OTHER_DETAILED_COST_WKSHT!$B$394</definedName>
    <definedName name="HL_LVL2_ACTV_16_Name">OTHER!$D$157</definedName>
    <definedName name="HL_LVL2_ACTV_16_Other_Direct_Costs">OTHER_DETAILED_COST_WKSHT!$B$475</definedName>
    <definedName name="HL_LVL2_ACTV_16_Other_Direct_Costs_Outputs">CALCS_DETAILED!$B$2836</definedName>
    <definedName name="HL_LVL2_ACTV_16_Out_A">CALCS_DETAILED!$B$2796</definedName>
    <definedName name="HL_LVL2_ACTV_16_Personnel_Assumptions">OTHER_DETAILED_COST_WKSHT!$B$416</definedName>
    <definedName name="HL_LVL2_ACTV_16_Personnel_Outputs">CALCS_DETAILED!$B$2771</definedName>
    <definedName name="HL_LVL2_ACTV_16_Single_Activity_Cost_Assumptions_Annual">OTHER!$B$159</definedName>
    <definedName name="HL_LVL2_ACTV_16_Single_Activity_Cost_Outputs_Annual_ECON_International_Currency">CALCS_Annual!$B$1306</definedName>
    <definedName name="HL_LVL2_ACTV_16_Single_Activity_Cost_Outputs_Annual_ECON_Local_Currency">CALCS_Annual!$B$1288</definedName>
    <definedName name="HL_LVL2_ACTV_16_Single_Activity_Cost_Outputs_Annual_FIN_International_Currency">CALCS_Annual!$B$1297</definedName>
    <definedName name="HL_LVL2_ACTV_16_Single_Activity_Cost_Outputs_Annual_FIN_Local_Currency">CALCS_Annual!$B$1278</definedName>
    <definedName name="HL_LVL2_ACTV_16_Supplies_and_Materials">OTHER_DETAILED_COST_WKSHT!$B$457</definedName>
    <definedName name="HL_LVL2_ACTV_16_Supplies_and_Materials_Outputs">CALCS_DETAILED!$B$2816</definedName>
    <definedName name="HL_LVL2_ACTV_18_Activity_Number_of_Activities_Annual_Assumptions">SENSITISATION!$B$192</definedName>
    <definedName name="HL_LVL2_ACTV_18_Activity_Summary_Costs_Annual">COST_SUMMARY!$B$246</definedName>
    <definedName name="HL_LVL2_ACTV_18_Allowances_Assumptions">SENS_DETAILED_COST_WKSHT!$B$439</definedName>
    <definedName name="HL_LVL2_ACTV_18_Allowances_Outputs">CALCS_DETAILED!$B$1032</definedName>
    <definedName name="HL_LVL2_ACTV_18_Ass_A">SENS_DETAILED_COST_WKSHT!$B$439</definedName>
    <definedName name="HL_LVL2_ACTV_18_Ass_B">SENS_DETAILED_COST_WKSHT!$B$403</definedName>
    <definedName name="HL_LVL2_ACTV_18_Cost_Summary_Output">COSTS_DETAILED_SUMMARY!$B$189</definedName>
    <definedName name="HL_LVL2_ACTV_18_Detailed_Costing_Worksheet">SENS_DETAILED_COST_WKSHT!$B$394</definedName>
    <definedName name="HL_LVL2_ACTV_18_Name">SENSITISATION!$D$166</definedName>
    <definedName name="HL_LVL2_ACTV_18_Other_Direct_Costs">SENS_DETAILED_COST_WKSHT!$B$475</definedName>
    <definedName name="HL_LVL2_ACTV_18_Other_Direct_Costs_Outputs">CALCS_DETAILED!$B$1072</definedName>
    <definedName name="HL_LVL2_ACTV_18_Out_A">CALCS_DETAILED!$B$1032</definedName>
    <definedName name="HL_LVL2_ACTV_18_Personnel_Assumptions">SENS_DETAILED_COST_WKSHT!$B$416</definedName>
    <definedName name="HL_LVL2_ACTV_18_Personnel_Outputs">CALCS_DETAILED!$B$1007</definedName>
    <definedName name="HL_LVL2_ACTV_18_Single_Activity_Cost_Assumptions_Annual">SENSITISATION!$B$168</definedName>
    <definedName name="HL_LVL2_ACTV_18_Single_Activity_Cost_Outputs_Annual_ECON_International_Currency">CALCS_Annual!$B$441</definedName>
    <definedName name="HL_LVL2_ACTV_18_Single_Activity_Cost_Outputs_Annual_ECON_Local_Currency">CALCS_Annual!$B$423</definedName>
    <definedName name="HL_LVL2_ACTV_18_Single_Activity_Cost_Outputs_Annual_FIN_International_Currency">CALCS_Annual!$B$432</definedName>
    <definedName name="HL_LVL2_ACTV_18_Single_Activity_Cost_Outputs_Annual_FIN_Local_Currency">CALCS_Annual!$B$413</definedName>
    <definedName name="HL_LVL2_ACTV_18_Supplies_and_Materials">SENS_DETAILED_COST_WKSHT!$B$457</definedName>
    <definedName name="HL_LVL2_ACTV_18_Supplies_and_Materials_Outputs">CALCS_DETAILED!$B$1052</definedName>
    <definedName name="HL_LVL2_ACTV_19_Activity_Number_of_Activities_Annual_Assumptions">SENSITISATION!$B$235</definedName>
    <definedName name="HL_LVL2_ACTV_19_Activity_Summary_Costs_Annual">COST_SUMMARY!$B$260</definedName>
    <definedName name="HL_LVL2_ACTV_19_Allowances_Assumptions">SENS_DETAILED_COST_WKSHT!$B$538</definedName>
    <definedName name="HL_LVL2_ACTV_19_Allowances_Outputs">CALCS_DETAILED!$B$1116</definedName>
    <definedName name="HL_LVL2_ACTV_19_Ass_A">SENS_DETAILED_COST_WKSHT!$B$538</definedName>
    <definedName name="HL_LVL2_ACTV_19_Ass_B">SENS_DETAILED_COST_WKSHT!$B$502</definedName>
    <definedName name="HL_LVL2_ACTV_19_Cost_Summary_Output">COSTS_DETAILED_SUMMARY!$B$205</definedName>
    <definedName name="HL_LVL2_ACTV_19_Detailed_Costing_Worksheet">SENS_DETAILED_COST_WKSHT!$B$493</definedName>
    <definedName name="HL_LVL2_ACTV_19_Name">SENSITISATION!$D$209</definedName>
    <definedName name="HL_LVL2_ACTV_19_Other_Direct_Costs">SENS_DETAILED_COST_WKSHT!$B$574</definedName>
    <definedName name="HL_LVL2_ACTV_19_Other_Direct_Costs_Outputs">CALCS_DETAILED!$B$1156</definedName>
    <definedName name="HL_LVL2_ACTV_19_Out_A">CALCS_DETAILED!$B$1116</definedName>
    <definedName name="HL_LVL2_ACTV_19_Personnel_Assumptions">SENS_DETAILED_COST_WKSHT!$B$515</definedName>
    <definedName name="HL_LVL2_ACTV_19_Personnel_Outputs">CALCS_DETAILED!$B$1091</definedName>
    <definedName name="HL_LVL2_ACTV_19_Single_Activity_Cost_Assumptions_Annual">SENSITISATION!$B$211</definedName>
    <definedName name="HL_LVL2_ACTV_19_Single_Activity_Cost_Outputs_Annual_ECON_International_Currency">CALCS_Annual!$B$478</definedName>
    <definedName name="HL_LVL2_ACTV_19_Single_Activity_Cost_Outputs_Annual_ECON_Local_Currency">CALCS_Annual!$B$460</definedName>
    <definedName name="HL_LVL2_ACTV_19_Single_Activity_Cost_Outputs_Annual_FIN_International_Currency">CALCS_Annual!$B$469</definedName>
    <definedName name="HL_LVL2_ACTV_19_Single_Activity_Cost_Outputs_Annual_FIN_Local_Currency">CALCS_Annual!$B$450</definedName>
    <definedName name="HL_LVL2_ACTV_19_Supplies_and_Materials">SENS_DETAILED_COST_WKSHT!$B$556</definedName>
    <definedName name="HL_LVL2_ACTV_19_Supplies_and_Materials_Outputs">CALCS_DETAILED!$B$1136</definedName>
    <definedName name="HL_LVL2_ACTV_2_Activity_Number_of_Activities_Annual_Assumptions">TRAINING!$B$149</definedName>
    <definedName name="HL_LVL2_ACTV_2_Activity_Summary_Costs_Annual">COST_SUMMARY!$B$176</definedName>
    <definedName name="HL_LVL2_ACTV_2_Allowances_Assumptions">TRAIN_DETAILED_COST_WKSHT!$B$340</definedName>
    <definedName name="HL_LVL2_ACTV_2_Allowances_Outputs">CALCS_DETAILED!$B$612</definedName>
    <definedName name="HL_LVL2_ACTV_2_Ass_A">TRAIN_DETAILED_COST_WKSHT!$B$340</definedName>
    <definedName name="HL_LVL2_ACTV_2_Ass_B">TRAIN_DETAILED_COST_WKSHT!$B$304</definedName>
    <definedName name="HL_LVL2_ACTV_2_Cost_Summary_Output">COSTS_DETAILED_SUMMARY!$B$112</definedName>
    <definedName name="HL_LVL2_ACTV_2_Detailed_Costing_Worksheet">TRAIN_DETAILED_COST_WKSHT!$B$295</definedName>
    <definedName name="HL_LVL2_ACTV_2_Name">TRAINING!$D$123</definedName>
    <definedName name="HL_LVL2_ACTV_2_Other_Direct_Costs">TRAIN_DETAILED_COST_WKSHT!$B$376</definedName>
    <definedName name="HL_LVL2_ACTV_2_Other_Direct_Costs_Outputs">CALCS_DETAILED!$B$652</definedName>
    <definedName name="HL_LVL2_ACTV_2_Out_A">CALCS_DETAILED!$B$612</definedName>
    <definedName name="HL_LVL2_ACTV_2_Personnel_Assumptions">TRAIN_DETAILED_COST_WKSHT!$B$317</definedName>
    <definedName name="HL_LVL2_ACTV_2_Personnel_Outputs">CALCS_DETAILED!$B$587</definedName>
    <definedName name="HL_LVL2_ACTV_2_Single_Activity_Cost_Assumptions_Annual">TRAINING!$B$125</definedName>
    <definedName name="HL_LVL2_ACTV_2_Single_Activity_Cost_Outputs_Annual_ECON_International_Currency">CALCS_Annual!$B$271</definedName>
    <definedName name="HL_LVL2_ACTV_2_Single_Activity_Cost_Outputs_Annual_ECON_Local_Currency">CALCS_Annual!$B$253</definedName>
    <definedName name="HL_LVL2_ACTV_2_Single_Activity_Cost_Outputs_Annual_FIN_International_Currency">CALCS_Annual!$B$262</definedName>
    <definedName name="HL_LVL2_ACTV_2_Single_Activity_Cost_Outputs_Annual_FIN_Local_Currency">CALCS_Annual!$B$243</definedName>
    <definedName name="HL_LVL2_ACTV_2_Supplies_and_Materials">TRAIN_DETAILED_COST_WKSHT!$B$358</definedName>
    <definedName name="HL_LVL2_ACTV_2_Supplies_and_Materials_Outputs">CALCS_DETAILED!$B$632</definedName>
    <definedName name="HL_LVL2_ACTV_20_Activity_Number_of_Activities_Annual_Assumptions">MICROPLANNING!$B$155</definedName>
    <definedName name="HL_LVL2_ACTV_20_Activity_Summary_Costs_Annual">COST_SUMMARY!$B$120</definedName>
    <definedName name="HL_LVL2_ACTV_20_Allowances_Assumptions">MICRO_DETAILED_COST_WKSHT!$B$337</definedName>
    <definedName name="HL_LVL2_ACTV_20_Allowances_Outputs">CALCS_DETAILED!$B$276</definedName>
    <definedName name="HL_LVL2_ACTV_20_Ass_A">MICRO_DETAILED_COST_WKSHT!$B$337</definedName>
    <definedName name="HL_LVL2_ACTV_20_Ass_B">MICRO_DETAILED_COST_WKSHT!$B$301</definedName>
    <definedName name="HL_LVL2_ACTV_20_Cost_Summary_Output">COSTS_DETAILED_SUMMARY!$B$51</definedName>
    <definedName name="HL_LVL2_ACTV_20_Detailed_Costing_Worksheet">MICRO_DETAILED_COST_WKSHT!$B$292</definedName>
    <definedName name="HL_LVL2_ACTV_20_Name">MICROPLANNING!$D$129</definedName>
    <definedName name="HL_LVL2_ACTV_20_Other_Direct_Costs">MICRO_DETAILED_COST_WKSHT!$B$373</definedName>
    <definedName name="HL_LVL2_ACTV_20_Other_Direct_Costs_Outputs">CALCS_DETAILED!$B$316</definedName>
    <definedName name="HL_LVL2_ACTV_20_Out_A">CALCS_DETAILED!$B$276</definedName>
    <definedName name="HL_LVL2_ACTV_20_Personnel_Assumptions">MICRO_DETAILED_COST_WKSHT!$B$314</definedName>
    <definedName name="HL_LVL2_ACTV_20_Personnel_Outputs">CALCS_DETAILED!$B$251</definedName>
    <definedName name="HL_LVL2_ACTV_20_Single_Activity_Cost_Assumptions_Annual">MICROPLANNING!$B$131</definedName>
    <definedName name="HL_LVL2_ACTV_20_Single_Activity_Cost_Outputs_Annual_ECON_International_Currency">CALCS_Annual!$B$138</definedName>
    <definedName name="HL_LVL2_ACTV_20_Single_Activity_Cost_Outputs_Annual_ECON_Local_Currency">CALCS_Annual!$B$120</definedName>
    <definedName name="HL_LVL2_ACTV_20_Single_Activity_Cost_Outputs_Annual_FIN_International_Currency">CALCS_Annual!$B$129</definedName>
    <definedName name="HL_LVL2_ACTV_20_Single_Activity_Cost_Outputs_Annual_FIN_Local_Currency">CALCS_Annual!$B$110</definedName>
    <definedName name="HL_LVL2_ACTV_20_Supplies_and_Materials">MICRO_DETAILED_COST_WKSHT!$B$355</definedName>
    <definedName name="HL_LVL2_ACTV_20_Supplies_and_Materials_Outputs">CALCS_DETAILED!$B$296</definedName>
    <definedName name="HL_LVL2_ACTV_21_Activity_Number_of_Activities_Annual_Assumptions">SOCIAL_MOBILISATION!$B$321</definedName>
    <definedName name="HL_LVL2_ACTV_21_Activity_Summary_Costs_Annual">COST_SUMMARY!$B$372</definedName>
    <definedName name="HL_LVL2_ACTV_21_Allowances_Assumptions">SOCMOB_DETAILED_COST_WKSHT!$B$736</definedName>
    <definedName name="HL_LVL2_ACTV_21_Allowances_Outputs">CALCS_DETAILED!$B$1788</definedName>
    <definedName name="HL_LVL2_ACTV_21_Ass_A">SOCMOB_DETAILED_COST_WKSHT!$B$736</definedName>
    <definedName name="HL_LVL2_ACTV_21_Ass_B">SOCMOB_DETAILED_COST_WKSHT!$B$700</definedName>
    <definedName name="HL_LVL2_ACTV_21_Cost_Summary_Output">COSTS_DETAILED_SUMMARY!$B$330</definedName>
    <definedName name="HL_LVL2_ACTV_21_Detailed_Costing_Worksheet">SOCMOB_DETAILED_COST_WKSHT!$B$691</definedName>
    <definedName name="HL_LVL2_ACTV_21_Name">SOCIAL_MOBILISATION!$D$295</definedName>
    <definedName name="HL_LVL2_ACTV_21_Other_Direct_Costs">SOCMOB_DETAILED_COST_WKSHT!$B$772</definedName>
    <definedName name="HL_LVL2_ACTV_21_Other_Direct_Costs_Outputs">CALCS_DETAILED!$B$1828</definedName>
    <definedName name="HL_LVL2_ACTV_21_Out_A">CALCS_DETAILED!$B$1788</definedName>
    <definedName name="HL_LVL2_ACTV_21_Personnel_Assumptions">SOCMOB_DETAILED_COST_WKSHT!$B$713</definedName>
    <definedName name="HL_LVL2_ACTV_21_Personnel_Outputs">CALCS_DETAILED!$B$1763</definedName>
    <definedName name="HL_LVL2_ACTV_21_Single_Activity_Cost_Assumptions_Annual">SOCIAL_MOBILISATION!$B$297</definedName>
    <definedName name="HL_LVL2_ACTV_21_Single_Activity_Cost_Outputs_Annual_ECON_International_Currency">CALCS_Annual!$B$759</definedName>
    <definedName name="HL_LVL2_ACTV_21_Single_Activity_Cost_Outputs_Annual_ECON_Local_Currency">CALCS_Annual!$B$741</definedName>
    <definedName name="HL_LVL2_ACTV_21_Single_Activity_Cost_Outputs_Annual_FIN_International_Currency">CALCS_Annual!$B$750</definedName>
    <definedName name="HL_LVL2_ACTV_21_Single_Activity_Cost_Outputs_Annual_FIN_Local_Currency">CALCS_Annual!$B$731</definedName>
    <definedName name="HL_LVL2_ACTV_21_Supplies_and_Materials">SOCMOB_DETAILED_COST_WKSHT!$B$754</definedName>
    <definedName name="HL_LVL2_ACTV_21_Supplies_and_Materials_Outputs">CALCS_DETAILED!$B$1808</definedName>
    <definedName name="HL_LVL2_ACTV_3_Activity_Number_of_Activities_Annual_Assumptions">SENSITISATION!$B$149</definedName>
    <definedName name="HL_LVL2_ACTV_3_Activity_Summary_Costs_Annual">COST_SUMMARY!$B$232</definedName>
    <definedName name="HL_LVL2_ACTV_3_Allowances_Assumptions">SENS_DETAILED_COST_WKSHT!$B$340</definedName>
    <definedName name="HL_LVL2_ACTV_3_Allowances_Outputs">CALCS_DETAILED!$B$948</definedName>
    <definedName name="HL_LVL2_ACTV_3_Ass_A">SENS_DETAILED_COST_WKSHT!$B$340</definedName>
    <definedName name="HL_LVL2_ACTV_3_Ass_B">SENS_DETAILED_COST_WKSHT!$B$304</definedName>
    <definedName name="HL_LVL2_ACTV_3_Cost_Summary_Output">COSTS_DETAILED_SUMMARY!$B$173</definedName>
    <definedName name="HL_LVL2_ACTV_3_Detailed_Costing_Worksheet">SENS_DETAILED_COST_WKSHT!$B$295</definedName>
    <definedName name="HL_LVL2_ACTV_3_Name">SENSITISATION!$D$123</definedName>
    <definedName name="HL_LVL2_ACTV_3_Other_Direct_Costs">SENS_DETAILED_COST_WKSHT!$B$376</definedName>
    <definedName name="HL_LVL2_ACTV_3_Other_Direct_Costs_Outputs">CALCS_DETAILED!$B$988</definedName>
    <definedName name="HL_LVL2_ACTV_3_Out_A">CALCS_DETAILED!$B$948</definedName>
    <definedName name="HL_LVL2_ACTV_3_Personnel_Assumptions">SENS_DETAILED_COST_WKSHT!$B$317</definedName>
    <definedName name="HL_LVL2_ACTV_3_Personnel_Outputs">CALCS_DETAILED!$B$923</definedName>
    <definedName name="HL_LVL2_ACTV_3_Single_Activity_Cost_Assumptions_Annual">SENSITISATION!$B$125</definedName>
    <definedName name="HL_LVL2_ACTV_3_Single_Activity_Cost_Outputs_Annual_ECON_International_Currency">CALCS_Annual!$B$404</definedName>
    <definedName name="HL_LVL2_ACTV_3_Single_Activity_Cost_Outputs_Annual_ECON_Local_Currency">CALCS_Annual!$B$386</definedName>
    <definedName name="HL_LVL2_ACTV_3_Single_Activity_Cost_Outputs_Annual_FIN_International_Currency">CALCS_Annual!$B$395</definedName>
    <definedName name="HL_LVL2_ACTV_3_Single_Activity_Cost_Outputs_Annual_FIN_Local_Currency">CALCS_Annual!$B$376</definedName>
    <definedName name="HL_LVL2_ACTV_3_Supplies_and_Materials">SENS_DETAILED_COST_WKSHT!$B$358</definedName>
    <definedName name="HL_LVL2_ACTV_3_Supplies_and_Materials_Outputs">CALCS_DETAILED!$B$968</definedName>
    <definedName name="HL_LVL2_ACTV_4_Activity_Number_of_Activities_Annual_Assumptions">SOCIAL_MOBILISATION!$B$149</definedName>
    <definedName name="HL_LVL2_ACTV_4_Activity_Summary_Costs_Annual">COST_SUMMARY!$B$316</definedName>
    <definedName name="HL_LVL2_ACTV_4_Allowances_Assumptions">SOCMOB_DETAILED_COST_WKSHT!$B$340</definedName>
    <definedName name="HL_LVL2_ACTV_4_Allowances_Outputs">CALCS_DETAILED!$B$1452</definedName>
    <definedName name="HL_LVL2_ACTV_4_Ass_A">SOCMOB_DETAILED_COST_WKSHT!$B$340</definedName>
    <definedName name="HL_LVL2_ACTV_4_Ass_B">SOCMOB_DETAILED_COST_WKSHT!$B$304</definedName>
    <definedName name="HL_LVL2_ACTV_4_Cost_Summary_Output">COSTS_DETAILED_SUMMARY!$B$266</definedName>
    <definedName name="HL_LVL2_ACTV_4_Detailed_Costing_Worksheet">SOCMOB_DETAILED_COST_WKSHT!$B$295</definedName>
    <definedName name="HL_LVL2_ACTV_4_Name">SOCIAL_MOBILISATION!$D$123</definedName>
    <definedName name="HL_LVL2_ACTV_4_Other_Direct_Costs">SOCMOB_DETAILED_COST_WKSHT!$B$376</definedName>
    <definedName name="HL_LVL2_ACTV_4_Other_Direct_Costs_Outputs">CALCS_DETAILED!$B$1492</definedName>
    <definedName name="HL_LVL2_ACTV_4_Out_A">CALCS_DETAILED!$B$1452</definedName>
    <definedName name="HL_LVL2_ACTV_4_Personnel_Assumptions">SOCMOB_DETAILED_COST_WKSHT!$B$317</definedName>
    <definedName name="HL_LVL2_ACTV_4_Personnel_Outputs">CALCS_DETAILED!$B$1427</definedName>
    <definedName name="HL_LVL2_ACTV_4_Single_Activity_Cost_Assumptions_Annual">SOCIAL_MOBILISATION!$B$125</definedName>
    <definedName name="HL_LVL2_ACTV_4_Single_Activity_Cost_Outputs_Annual_ECON_International_Currency">CALCS_Annual!$B$611</definedName>
    <definedName name="HL_LVL2_ACTV_4_Single_Activity_Cost_Outputs_Annual_ECON_Local_Currency">CALCS_Annual!$B$593</definedName>
    <definedName name="HL_LVL2_ACTV_4_Single_Activity_Cost_Outputs_Annual_FIN_International_Currency">CALCS_Annual!$B$602</definedName>
    <definedName name="HL_LVL2_ACTV_4_Single_Activity_Cost_Outputs_Annual_FIN_Local_Currency">CALCS_Annual!$B$583</definedName>
    <definedName name="HL_LVL2_ACTV_4_Supplies_and_Materials">SOCMOB_DETAILED_COST_WKSHT!$B$358</definedName>
    <definedName name="HL_LVL2_ACTV_4_Supplies_and_Materials_Outputs">CALCS_DETAILED!$B$1472</definedName>
    <definedName name="HL_LVL2_ACTV_5_Activity_Number_of_Activities_Annual_Assumptions">SUPERVISION!$B$186</definedName>
    <definedName name="HL_LVL2_ACTV_5_Activity_Summary_Costs_Annual">COST_SUMMARY!$B$498</definedName>
    <definedName name="HL_LVL2_ACTV_5_Allowances_Assumptions">SUPV_DETAILED_COST_WKSHT!$B$437</definedName>
    <definedName name="HL_LVL2_ACTV_5_Allowances_Outputs">CALCS_DETAILED!$B$2208</definedName>
    <definedName name="HL_LVL2_ACTV_5_Ass_A">SUPV_DETAILED_COST_WKSHT!$B$437</definedName>
    <definedName name="HL_LVL2_ACTV_5_Ass_B">SUPV_DETAILED_COST_WKSHT!$B$401</definedName>
    <definedName name="HL_LVL2_ACTV_5_Cost_Summary_Output">COSTS_DETAILED_SUMMARY!$B$406</definedName>
    <definedName name="HL_LVL2_ACTV_5_Detailed_Costing_Worksheet">SUPV_DETAILED_COST_WKSHT!$B$392</definedName>
    <definedName name="HL_LVL2_ACTV_5_Name">SUPERVISION!$D$160</definedName>
    <definedName name="HL_LVL2_ACTV_5_Other_Direct_Costs">SUPV_DETAILED_COST_WKSHT!$B$473</definedName>
    <definedName name="HL_LVL2_ACTV_5_Other_Direct_Costs_Outputs">CALCS_DETAILED!$B$2248</definedName>
    <definedName name="HL_LVL2_ACTV_5_Out_A">CALCS_DETAILED!$B$2208</definedName>
    <definedName name="HL_LVL2_ACTV_5_Personnel_Assumptions">SUPV_DETAILED_COST_WKSHT!$B$414</definedName>
    <definedName name="HL_LVL2_ACTV_5_Personnel_Outputs">CALCS_DETAILED!$B$2183</definedName>
    <definedName name="HL_LVL2_ACTV_5_Single_Activity_Cost_Assumptions_Annual">SUPERVISION!$B$162</definedName>
    <definedName name="HL_LVL2_ACTV_5_Single_Activity_Cost_Outputs_Annual_ECON_International_Currency">CALCS_Annual!$B$923</definedName>
    <definedName name="HL_LVL2_ACTV_5_Single_Activity_Cost_Outputs_Annual_ECON_Local_Currency">CALCS_Annual!$B$905</definedName>
    <definedName name="HL_LVL2_ACTV_5_Single_Activity_Cost_Outputs_Annual_FIN_International_Currency">CALCS_Annual!$B$914</definedName>
    <definedName name="HL_LVL2_ACTV_5_Single_Activity_Cost_Outputs_Annual_FIN_Local_Currency">CALCS_Annual!$B$896</definedName>
    <definedName name="HL_LVL2_ACTV_5_Supplies_and_Materials">SUPV_DETAILED_COST_WKSHT!$B$455</definedName>
    <definedName name="HL_LVL2_ACTV_5_Supplies_and_Materials_Outputs">CALCS_DETAILED!$B$2228</definedName>
    <definedName name="HL_LVL2_ACTV_6_Activity_Summary_Costs_Annual">COST_SUMMARY!$B$386</definedName>
    <definedName name="HL_LVL2_ACTV_6_Allowances_Assumptions">SD_DETAILED_COST_WKSHT!$B$49</definedName>
    <definedName name="HL_LVL2_ACTV_6_Allowances_Outputs">CALCS_DETAILED!$B$2880</definedName>
    <definedName name="HL_LVL2_ACTV_6_Ass_A">SD_DETAILED_COST_WKSHT!$B$49</definedName>
    <definedName name="HL_LVL2_ACTV_6_Ass_B">SD_DETAILED_COST_WKSHT!$B$13</definedName>
    <definedName name="HL_LVL2_ACTV_6_Cost_Summary_Output">COSTS_DETAILED_SUMMARY!$B$454</definedName>
    <definedName name="HL_LVL2_ACTV_6_Detailed_Costing_Worksheet">SD_DETAILED_COST_WKSHT!$B$4</definedName>
    <definedName name="HL_LVL2_ACTV_6_Name">SERVICE_DELIVERY!$D$238</definedName>
    <definedName name="HL_LVL2_ACTV_6_Other_Direct_Costs">SD_DETAILED_COST_WKSHT!$B$85</definedName>
    <definedName name="HL_LVL2_ACTV_6_Other_Direct_Costs_Outputs">CALCS_DETAILED!$B$2920</definedName>
    <definedName name="HL_LVL2_ACTV_6_Out_A">CALCS_DETAILED!$B$2880</definedName>
    <definedName name="HL_LVL2_ACTV_6_Personnel_Assumptions">SD_DETAILED_COST_WKSHT!$B$26</definedName>
    <definedName name="HL_LVL2_ACTV_6_Personnel_Outputs">CALCS_DETAILED!$B$2855</definedName>
    <definedName name="HL_LVL2_ACTV_6_Single_Activity_Cost_Assumptions_Annual">SERVICE_DELIVERY!$B$240</definedName>
    <definedName name="HL_LVL2_ACTV_6_Single_Activity_Cost_Outputs_Annual_ECON_International_Currency">CALCS_Annual!$B$1034</definedName>
    <definedName name="HL_LVL2_ACTV_6_Single_Activity_Cost_Outputs_Annual_ECON_Local_Currency">CALCS_Annual!$B$1014</definedName>
    <definedName name="HL_LVL2_ACTV_6_Single_Activity_Cost_Outputs_Annual_FIN_International_Currency">CALCS_Annual!$B$1023</definedName>
    <definedName name="HL_LVL2_ACTV_6_Single_Activity_Cost_Outputs_Annual_FIN_Local_Currency">CALCS_Annual!$B$1005</definedName>
    <definedName name="HL_LVL2_ACTV_6_Supplies_and_Materials">SD_DETAILED_COST_WKSHT!$B$67</definedName>
    <definedName name="HL_LVL2_ACTV_6_Supplies_and_Materials_Outputs">CALCS_DETAILED!$B$2900</definedName>
    <definedName name="HL_LVL2_ACTV_7_Activity_Number_of_Activities_Annual_Assumptions">OTHER!$B$143</definedName>
    <definedName name="HL_LVL2_ACTV_7_Activity_Summary_Costs_Annual">COST_SUMMARY!$B$582</definedName>
    <definedName name="HL_LVL2_ACTV_7_Allowances_Assumptions">OTHER_DETAILED_COST_WKSHT!$B$340</definedName>
    <definedName name="HL_LVL2_ACTV_7_Allowances_Outputs">CALCS_DETAILED!$B$2712</definedName>
    <definedName name="HL_LVL2_ACTV_7_Ass_A">OTHER_DETAILED_COST_WKSHT!$B$340</definedName>
    <definedName name="HL_LVL2_ACTV_7_Ass_B">OTHER_DETAILED_COST_WKSHT!$B$304</definedName>
    <definedName name="HL_LVL2_ACTV_7_Cost_Summary_Output">COSTS_DETAILED_SUMMARY!$B$563</definedName>
    <definedName name="HL_LVL2_ACTV_7_Detailed_Costing_Worksheet">OTHER_DETAILED_COST_WKSHT!$B$295</definedName>
    <definedName name="HL_LVL2_ACTV_7_Name">OTHER!$D$116</definedName>
    <definedName name="HL_LVL2_ACTV_7_Other_Direct_Costs">OTHER_DETAILED_COST_WKSHT!$B$376</definedName>
    <definedName name="HL_LVL2_ACTV_7_Other_Direct_Costs_Outputs">CALCS_DETAILED!$B$2752</definedName>
    <definedName name="HL_LVL2_ACTV_7_Out_A">CALCS_DETAILED!$B$2712</definedName>
    <definedName name="HL_LVL2_ACTV_7_Personnel_Assumptions">OTHER_DETAILED_COST_WKSHT!$B$317</definedName>
    <definedName name="HL_LVL2_ACTV_7_Personnel_Outputs">CALCS_DETAILED!$B$2687</definedName>
    <definedName name="HL_LVL2_ACTV_7_Single_Activity_Cost_Assumptions_Annual">OTHER!$B$118</definedName>
    <definedName name="HL_LVL2_ACTV_7_Single_Activity_Cost_Outputs_Annual_ECON_International_Currency">CALCS_Annual!$B$1269</definedName>
    <definedName name="HL_LVL2_ACTV_7_Single_Activity_Cost_Outputs_Annual_ECON_Local_Currency">CALCS_Annual!$B$1251</definedName>
    <definedName name="HL_LVL2_ACTV_7_Single_Activity_Cost_Outputs_Annual_FIN_International_Currency">CALCS_Annual!$B$1260</definedName>
    <definedName name="HL_LVL2_ACTV_7_Single_Activity_Cost_Outputs_Annual_FIN_Local_Currency">CALCS_Annual!$B$1241</definedName>
    <definedName name="HL_LVL2_ACTV_7_Supplies_and_Materials">OTHER_DETAILED_COST_WKSHT!$B$358</definedName>
    <definedName name="HL_LVL2_ACTV_7_Supplies_and_Materials_Outputs">CALCS_DETAILED!$B$2732</definedName>
    <definedName name="HL_LVL2_ACTV_8_Activity_Number_of_Activities_Annual_Assumptions">SOCIAL_MOBILISATION!$B$278</definedName>
    <definedName name="HL_LVL2_ACTV_8_Activity_Summary_Costs_Annual">COST_SUMMARY!$B$358</definedName>
    <definedName name="HL_LVL2_ACTV_8_Allowances_Assumptions">SOCMOB_DETAILED_COST_WKSHT!$B$637</definedName>
    <definedName name="HL_LVL2_ACTV_8_Allowances_Outputs">CALCS_DETAILED!$B$1704</definedName>
    <definedName name="HL_LVL2_ACTV_8_Ass_A">SOCMOB_DETAILED_COST_WKSHT!$B$637</definedName>
    <definedName name="HL_LVL2_ACTV_8_Ass_B">SOCMOB_DETAILED_COST_WKSHT!$B$601</definedName>
    <definedName name="HL_LVL2_ACTV_8_Cost_Summary_Output">COSTS_DETAILED_SUMMARY!$B$314</definedName>
    <definedName name="HL_LVL2_ACTV_8_Detailed_Costing_Worksheet">SOCMOB_DETAILED_COST_WKSHT!$B$592</definedName>
    <definedName name="HL_LVL2_ACTV_8_Name">SOCIAL_MOBILISATION!$D$252</definedName>
    <definedName name="HL_LVL2_ACTV_8_Other_Direct_Costs">SOCMOB_DETAILED_COST_WKSHT!$B$673</definedName>
    <definedName name="HL_LVL2_ACTV_8_Other_Direct_Costs_Outputs">CALCS_DETAILED!$B$1744</definedName>
    <definedName name="HL_LVL2_ACTV_8_Out_A">CALCS_DETAILED!$B$1704</definedName>
    <definedName name="HL_LVL2_ACTV_8_Personnel_Assumptions">SOCMOB_DETAILED_COST_WKSHT!$B$614</definedName>
    <definedName name="HL_LVL2_ACTV_8_Personnel_Outputs">CALCS_DETAILED!$B$1679</definedName>
    <definedName name="HL_LVL2_ACTV_8_Single_Activity_Cost_Assumptions_Annual">SOCIAL_MOBILISATION!$B$254</definedName>
    <definedName name="HL_LVL2_ACTV_8_Single_Activity_Cost_Outputs_Annual_ECON_International_Currency">CALCS_Annual!$B$722</definedName>
    <definedName name="HL_LVL2_ACTV_8_Single_Activity_Cost_Outputs_Annual_ECON_Local_Currency">CALCS_Annual!$B$704</definedName>
    <definedName name="HL_LVL2_ACTV_8_Single_Activity_Cost_Outputs_Annual_FIN_International_Currency">CALCS_Annual!$B$713</definedName>
    <definedName name="HL_LVL2_ACTV_8_Single_Activity_Cost_Outputs_Annual_FIN_Local_Currency">CALCS_Annual!$B$694</definedName>
    <definedName name="HL_LVL2_ACTV_8_Supplies_and_Materials">SOCMOB_DETAILED_COST_WKSHT!$B$655</definedName>
    <definedName name="HL_LVL2_ACTV_8_Supplies_and_Materials_Outputs">CALCS_DETAILED!$B$1724</definedName>
    <definedName name="HL_LVL2_ACTV_9_Activity_Summary_Costs_Annual">COST_SUMMARY!$B$428</definedName>
    <definedName name="HL_LVL2_ACTV_9_Allowances_Assumptions">SD_DETAILED_COST_WKSHT!$B$346</definedName>
    <definedName name="HL_LVL2_ACTV_9_Allowances_Outputs">CALCS_DETAILED!$B$3093</definedName>
    <definedName name="HL_LVL2_ACTV_9_Ass_A">SD_DETAILED_COST_WKSHT!$B$346</definedName>
    <definedName name="HL_LVL2_ACTV_9_Ass_B">SD_DETAILED_COST_WKSHT!$B$310</definedName>
    <definedName name="HL_LVL2_ACTV_9_Cost_Summary_Output">COSTS_DETAILED_SUMMARY!$B$502</definedName>
    <definedName name="HL_LVL2_ACTV_9_Detailed_Costing_Worksheet">SD_DETAILED_COST_WKSHT!$B$301</definedName>
    <definedName name="HL_LVL2_ACTV_9_Name">SERVICE_DELIVERY!$D$311</definedName>
    <definedName name="HL_LVL2_ACTV_9_Other_Direct_Costs">SD_DETAILED_COST_WKSHT!$B$382</definedName>
    <definedName name="HL_LVL2_ACTV_9_Other_Direct_Costs_Outputs">CALCS_DETAILED!$B$3172</definedName>
    <definedName name="HL_LVL2_ACTV_9_Out_A">CALCS_DETAILED!$B$3093</definedName>
    <definedName name="HL_LVL2_ACTV_9_Personnel_Assumptions">SD_DETAILED_COST_WKSHT!$B$323</definedName>
    <definedName name="HL_LVL2_ACTV_9_Personnel_Outputs">CALCS_DETAILED!$B$3068</definedName>
    <definedName name="HL_LVL2_ACTV_9_Single_Activity_Cost_Assumptions_Annual">SERVICE_DELIVERY!$B$313</definedName>
    <definedName name="HL_LVL2_ACTV_9_Single_Activity_Cost_Outputs_Annual_ECON_International_Currency">CALCS_Annual!$B$1136</definedName>
    <definedName name="HL_LVL2_ACTV_9_Single_Activity_Cost_Outputs_Annual_ECON_Local_Currency">CALCS_Annual!$B$1119</definedName>
    <definedName name="HL_LVL2_ACTV_9_Single_Activity_Cost_Outputs_Annual_FIN_International_Currency">CALCS_Annual!$B$1127</definedName>
    <definedName name="HL_LVL2_ACTV_9_Single_Activity_Cost_Outputs_Annual_FIN_Local_Currency">CALCS_Annual!$B$1111</definedName>
    <definedName name="HL_LVL2_ACTV_9_Supplies_and_Materials">SD_DETAILED_COST_WKSHT!$B$364</definedName>
    <definedName name="HL_LVL2_ACTV_9_Supplies_and_Materials_Outputs">CALCS_DETAILED!$B$3133</definedName>
    <definedName name="HL_LVL2_ACTV_Activity_Number_of_Activities_Annual_Assumptions">MICROPLANNING!$B$112</definedName>
    <definedName name="HL_LVL2_ACTV_Activity_Summary_Costs_Annual">COST_SUMMARY!$B$106</definedName>
    <definedName name="HL_LVL2_ACTV_Allowances_Assumptions">MICRO_DETAILED_COST_WKSHT!$B$238</definedName>
    <definedName name="HL_LVL2_ACTV_Allowances_Outputs">CALCS_DETAILED!$B$192</definedName>
    <definedName name="HL_LVL2_ACTV_Ass_A">MICRO_DETAILED_COST_WKSHT!$B$238</definedName>
    <definedName name="HL_LVL2_ACTV_Ass_B">MICRO_DETAILED_COST_WKSHT!$B$202</definedName>
    <definedName name="HL_LVL2_ACTV_Cost_Summary_Output">COSTS_DETAILED_SUMMARY!$B$35</definedName>
    <definedName name="HL_LVL2_ACTV_Detailed_Costing_Worksheet">MICRO_DETAILED_COST_WKSHT!$B$193</definedName>
    <definedName name="HL_LVL2_ACTV_Name">MICROPLANNING!$D$86</definedName>
    <definedName name="HL_LVL2_ACTV_Other_Direct_Costs">MICRO_DETAILED_COST_WKSHT!$B$274</definedName>
    <definedName name="HL_LVL2_ACTV_Other_Direct_Costs_Outputs">CALCS_DETAILED!$B$232</definedName>
    <definedName name="HL_LVL2_ACTV_Out_A">CALCS_DETAILED!$B$192</definedName>
    <definedName name="HL_LVL2_ACTV_Personnel_Assumptions">MICRO_DETAILED_COST_WKSHT!$B$215</definedName>
    <definedName name="HL_LVL2_ACTV_Personnel_Outputs">CALCS_DETAILED!$B$167</definedName>
    <definedName name="HL_LVL2_ACTV_Single_Activity_Cost_Assumptions_Annual">MICROPLANNING!$B$88</definedName>
    <definedName name="HL_LVL2_ACTV_Single_Activity_Cost_Outputs_Annual_ECON_International_Currency">CALCS_Annual!$B$101</definedName>
    <definedName name="HL_LVL2_ACTV_Single_Activity_Cost_Outputs_Annual_ECON_Local_Currency">CALCS_Annual!$B$83</definedName>
    <definedName name="HL_LVL2_ACTV_Single_Activity_Cost_Outputs_Annual_FIN_International_Currency">CALCS_Annual!$B$92</definedName>
    <definedName name="HL_LVL2_ACTV_Single_Activity_Cost_Outputs_Annual_FIN_Local_Currency">CALCS_Annual!$B$73</definedName>
    <definedName name="HL_LVL2_ACTV_Supplies_and_Materials">MICRO_DETAILED_COST_WKSHT!$B$256</definedName>
    <definedName name="HL_LVL2_ACTV_Supplies_and_Materials_Outputs">CALCS_DETAILED!$B$212</definedName>
    <definedName name="HL_Outputs_SC">Outputs!$C$10</definedName>
    <definedName name="HL_Sheet_Main" hidden="1">Cover!$A$1</definedName>
    <definedName name="HL_Sheet_Main_10">COST_SUMMARY!$A$1</definedName>
    <definedName name="HL_Sheet_Main_11">Outputs!$A$1</definedName>
    <definedName name="HL_Sheet_Main_12">CALCS_DETAILED!$A$1</definedName>
    <definedName name="HL_Sheet_Main_13" hidden="1">'6.3_Variable_Lookups'!$A$1</definedName>
    <definedName name="HL_Sheet_Main_14">CALCS_Annual!$A$1</definedName>
    <definedName name="HL_Sheet_Main_15">Lbl_Lu!$A$1</definedName>
    <definedName name="HL_Sheet_Main_16">MICRO_Lu!$A$1</definedName>
    <definedName name="HL_Sheet_Main_17">ECONOMICS!$A$1</definedName>
    <definedName name="HL_Sheet_Main_18">Econ_Lu!$A$1</definedName>
    <definedName name="HL_Sheet_Main_19" hidden="1">CAPITAL_INVESTS_OTH!$A$1</definedName>
    <definedName name="HL_Sheet_Main_2" hidden="1">Contents!$A$1</definedName>
    <definedName name="HL_Sheet_Main_20" hidden="1">LABELS!$A$1</definedName>
    <definedName name="HL_Sheet_Main_21" hidden="1">Dashboard!$A$1</definedName>
    <definedName name="HL_Sheet_Main_22" hidden="1">COLD_CHAIN_EXPANS!$A$1</definedName>
    <definedName name="HL_Sheet_Main_23">TRAIN_Lu!$A$1</definedName>
    <definedName name="HL_Sheet_Main_24" hidden="1">COLD_CHAIN!$A$1</definedName>
    <definedName name="HL_Sheet_Main_25">Detailed_Costing_Worksheets!$A$1</definedName>
    <definedName name="HL_Sheet_Main_26">COSTS_DETAILED_SUMMARY!$A$1</definedName>
    <definedName name="HL_Sheet_Main_27">COUNTS!$A$1</definedName>
    <definedName name="HL_Sheet_Main_28">COVERAGE!$A$1</definedName>
    <definedName name="HL_Sheet_Main_29">SENS_Lu!$A$1</definedName>
    <definedName name="HL_Sheet_Main_3">SD_DETAILED_COST_WKSHT!$A$1</definedName>
    <definedName name="HL_Sheet_Main_30">SOCMOB_Lu!$A$1</definedName>
    <definedName name="HL_Sheet_Main_31">SD_Lu!$A$1</definedName>
    <definedName name="HL_Sheet_Main_32">SERVICE_DELIVERY!$A$1</definedName>
    <definedName name="HL_Sheet_Main_33" hidden="1">COLD_Lu!$A$1</definedName>
    <definedName name="HL_Sheet_Main_34">Count_Lu!$A$1</definedName>
    <definedName name="HL_Sheet_Main_35">COUNTS_and_COVERAGE_Summary!$A$1</definedName>
    <definedName name="HL_Sheet_Main_36">CALCS_COVERAGE!$A$1</definedName>
    <definedName name="HL_Sheet_Main_37">MICRO_DETAILED_COST_WKSHT!$A$1</definedName>
    <definedName name="HL_Sheet_Main_38">TRAIN_DETAILED_COST_WKSHT!$A$1</definedName>
    <definedName name="HL_Sheet_Main_39">SENS_DETAILED_COST_WKSHT!$A$1</definedName>
    <definedName name="HL_Sheet_Main_4">SUPV_DETAILED_COST_WKSHT!$A$1</definedName>
    <definedName name="HL_Sheet_Main_40">SOCMOB_DETAILED_COST_WKSHT!$A$1</definedName>
    <definedName name="HL_Sheet_Main_41">MICROPLANNING!$A$1</definedName>
    <definedName name="HL_Sheet_Main_42">TRAINING!$A$1</definedName>
    <definedName name="HL_Sheet_Main_43">SENSITISATION!$A$1</definedName>
    <definedName name="HL_Sheet_Main_44">SOCIAL_MOBILISATION!$A$1</definedName>
    <definedName name="HL_Sheet_Main_45" hidden="1">CAP_OTH!$A$1</definedName>
    <definedName name="HL_Sheet_Main_46" hidden="1">CAP_OTH_Lu!$A$1</definedName>
    <definedName name="HL_Sheet_Main_5" hidden="1">APPENDIX!$A$1</definedName>
    <definedName name="HL_Sheet_Main_50">'VACCS_&amp;_SUPPLIES'!$A$1</definedName>
    <definedName name="HL_Sheet_Main_51">SUPV_Lu!$A$1</definedName>
    <definedName name="HL_Sheet_Main_52">DEVELOPER_Sc!$A$1</definedName>
    <definedName name="HL_Sheet_Main_54">'VACCS_&amp;_SUPPLIES_To'!$A$1</definedName>
    <definedName name="HL_Sheet_Main_55">Vacc_Lu!$A$1</definedName>
    <definedName name="HL_Sheet_Main_56">Developer_Only_To!$A$1</definedName>
    <definedName name="HL_Sheet_Main_57">Analysis!$A$1</definedName>
    <definedName name="HL_Sheet_Main_58">Analy_Lu!$A$1</definedName>
    <definedName name="HL_Sheet_Main_59">OTHER_DETAILED_COST_WKSHT!$A$1</definedName>
    <definedName name="HL_Sheet_Main_6" hidden="1">Checks!$A$1</definedName>
    <definedName name="HL_Sheet_Main_60">Pres_Out_Sc!$A$1</definedName>
    <definedName name="HL_Sheet_Main_62">OTHER!$A$1</definedName>
    <definedName name="HL_Sheet_Main_63">OTHER_Lu!$A$1</definedName>
    <definedName name="HL_Sheet_Main_64" hidden="1">Assumptions!$A$1</definedName>
    <definedName name="HL_Sheet_Main_66">CVG_Lu!$A$1</definedName>
    <definedName name="HL_Sheet_Main_7" hidden="1">TIME_SERIES!$A$1</definedName>
    <definedName name="HL_Sheet_Main_8" hidden="1">Time_Lu!$A$1</definedName>
    <definedName name="HL_Sheet_Main_9">SUPERVISION!$A$1</definedName>
    <definedName name="HL_TOC_1" hidden="1">Checks!$B$4</definedName>
    <definedName name="HL_TOC_10" hidden="1">MICROPLANNING!$B$9</definedName>
    <definedName name="HL_TOC_100" hidden="1">SENSITISATION!$B$9</definedName>
    <definedName name="HL_TOC_1000" hidden="1">SENS_DETAILED_COST_WKSHT!$B$574</definedName>
    <definedName name="HL_TOC_1001" hidden="1">SENSITISATION!$B$206</definedName>
    <definedName name="HL_TOC_1002" hidden="1">SENSITISATION!$B$211</definedName>
    <definedName name="HL_TOC_1003" hidden="1">SENSITISATION!$B$235</definedName>
    <definedName name="HL_TOC_1004" hidden="1">CALCS_DETAILED!$B$1091</definedName>
    <definedName name="HL_TOC_1005" hidden="1">CALCS_DETAILED!$B$1116</definedName>
    <definedName name="HL_TOC_1006" hidden="1">CALCS_DETAILED!$B$1136</definedName>
    <definedName name="HL_TOC_1007" hidden="1">CALCS_DETAILED!$B$1156</definedName>
    <definedName name="HL_TOC_1008" hidden="1">CALCS_Annual!$B$450</definedName>
    <definedName name="HL_TOC_1009" hidden="1">CALCS_Annual!$B$460</definedName>
    <definedName name="HL_TOC_101" hidden="1">SENSITISATION!$B$14</definedName>
    <definedName name="HL_TOC_1010" hidden="1">CALCS_Annual!$B$469</definedName>
    <definedName name="HL_TOC_1011" hidden="1">CALCS_Annual!$B$478</definedName>
    <definedName name="HL_TOC_1012" hidden="1">COSTS_DETAILED_SUMMARY!$B$205</definedName>
    <definedName name="HL_TOC_1013" hidden="1">COST_SUMMARY!$B$260</definedName>
    <definedName name="HL_TOC_1014" hidden="1">SENS_Lu!$B$181</definedName>
    <definedName name="HL_TOC_102" hidden="1">SENSITISATION!$B$36</definedName>
    <definedName name="HL_TOC_103" hidden="1">CALCS_DETAILED!$B$671</definedName>
    <definedName name="HL_TOC_104" hidden="1">CALCS_DETAILED!$B$696</definedName>
    <definedName name="HL_TOC_105" hidden="1">CALCS_DETAILED!$B$716</definedName>
    <definedName name="HL_TOC_106" hidden="1">CALCS_DETAILED!$B$736</definedName>
    <definedName name="HL_TOC_107" hidden="1">CALCS_Annual!$B$280</definedName>
    <definedName name="HL_TOC_108" hidden="1">CALCS_Annual!$B$288</definedName>
    <definedName name="HL_TOC_109" hidden="1">CALCS_Annual!$B$296</definedName>
    <definedName name="HL_TOC_11" hidden="1">MICROPLANNING!$B$14</definedName>
    <definedName name="HL_TOC_110" hidden="1">CALCS_Annual!$B$304</definedName>
    <definedName name="HL_TOC_111" hidden="1">COSTS_DETAILED_SUMMARY!$B$128</definedName>
    <definedName name="HL_TOC_112" hidden="1">COST_SUMMARY!$B$190</definedName>
    <definedName name="HL_TOC_113" hidden="1">SENS_Lu!$B$6</definedName>
    <definedName name="HL_TOC_114" hidden="1">SOCMOB_DETAILED_COST_WKSHT!$B$4</definedName>
    <definedName name="HL_TOC_115" hidden="1">SOCMOB_DETAILED_COST_WKSHT!$B$12</definedName>
    <definedName name="HL_TOC_116" hidden="1">SOCMOB_DETAILED_COST_WKSHT!$B$24</definedName>
    <definedName name="HL_TOC_117" hidden="1">SOCMOB_DETAILED_COST_WKSHT!$B$47</definedName>
    <definedName name="HL_TOC_118" hidden="1">SOCMOB_DETAILED_COST_WKSHT!$B$65</definedName>
    <definedName name="HL_TOC_119" hidden="1">SOCMOB_DETAILED_COST_WKSHT!$B$83</definedName>
    <definedName name="HL_TOC_12" hidden="1">MICROPLANNING!$B$36</definedName>
    <definedName name="HL_TOC_120" hidden="1">SOCIAL_MOBILISATION!$B$9</definedName>
    <definedName name="HL_TOC_121" hidden="1">SOCIAL_MOBILISATION!$B$14</definedName>
    <definedName name="HL_TOC_122" hidden="1">SOCIAL_MOBILISATION!$B$36</definedName>
    <definedName name="HL_TOC_123" hidden="1">CALCS_DETAILED!$B$1175</definedName>
    <definedName name="HL_TOC_124" hidden="1">CALCS_DETAILED!$B$1200</definedName>
    <definedName name="HL_TOC_125" hidden="1">CALCS_DETAILED!$B$1220</definedName>
    <definedName name="HL_TOC_126" hidden="1">CALCS_DETAILED!$B$1240</definedName>
    <definedName name="HL_TOC_127" hidden="1">CALCS_Annual!$B$487</definedName>
    <definedName name="HL_TOC_128" hidden="1">CALCS_Annual!$B$495</definedName>
    <definedName name="HL_TOC_129" hidden="1">CALCS_Annual!$B$503</definedName>
    <definedName name="HL_TOC_13" hidden="1">MICRO_DETAILED_COST_WKSHT!$B$193</definedName>
    <definedName name="HL_TOC_130" hidden="1">CALCS_Annual!$B$511</definedName>
    <definedName name="HL_TOC_131" hidden="1">COSTS_DETAILED_SUMMARY!$B$221</definedName>
    <definedName name="HL_TOC_132" hidden="1">COST_SUMMARY!$B$274</definedName>
    <definedName name="HL_TOC_133" hidden="1">SOCMOB_Lu!$B$6</definedName>
    <definedName name="HL_TOC_134" hidden="1">SUPV_DETAILED_COST_WKSHT!$B$4</definedName>
    <definedName name="HL_TOC_135" hidden="1">SUPV_DETAILED_COST_WKSHT!$B$12</definedName>
    <definedName name="HL_TOC_136" hidden="1">SUPV_DETAILED_COST_WKSHT!$B$24</definedName>
    <definedName name="HL_TOC_137" hidden="1">SUPV_DETAILED_COST_WKSHT!$B$47</definedName>
    <definedName name="HL_TOC_138" hidden="1">SUPV_DETAILED_COST_WKSHT!$B$65</definedName>
    <definedName name="HL_TOC_139" hidden="1">SUPV_DETAILED_COST_WKSHT!$B$83</definedName>
    <definedName name="HL_TOC_14" hidden="1">CALCS_DETAILED!$B$4</definedName>
    <definedName name="HL_TOC_140" hidden="1">SUPERVISION!$B$9</definedName>
    <definedName name="HL_TOC_141" hidden="1">SUPERVISION!$B$14</definedName>
    <definedName name="HL_TOC_142" hidden="1">SUPERVISION!$B$36</definedName>
    <definedName name="HL_TOC_143" hidden="1">CALCS_DETAILED!$B$1847</definedName>
    <definedName name="HL_TOC_144" hidden="1">CALCS_DETAILED!$B$1872</definedName>
    <definedName name="HL_TOC_145" hidden="1">CALCS_DETAILED!$B$1892</definedName>
    <definedName name="HL_TOC_146" hidden="1">CALCS_DETAILED!$B$1912</definedName>
    <definedName name="HL_TOC_147" hidden="1">CALCS_Annual!$B$768</definedName>
    <definedName name="HL_TOC_148" hidden="1">CALCS_Annual!$B$776</definedName>
    <definedName name="HL_TOC_149" hidden="1">CALCS_Annual!$B$784</definedName>
    <definedName name="HL_TOC_15" hidden="1">LABELS!$B$4</definedName>
    <definedName name="HL_TOC_150" hidden="1">CALCS_Annual!$B$792</definedName>
    <definedName name="HL_TOC_151" hidden="1">COSTS_DETAILED_SUMMARY!$B$346</definedName>
    <definedName name="HL_TOC_152" hidden="1">COST_SUMMARY!$B$442</definedName>
    <definedName name="HL_TOC_153" hidden="1">SUPV_Lu!$B$6</definedName>
    <definedName name="HL_TOC_154" hidden="1">TRAIN_DETAILED_COST_WKSHT!$B$295</definedName>
    <definedName name="HL_TOC_155" hidden="1">TRAIN_DETAILED_COST_WKSHT!$B$304</definedName>
    <definedName name="HL_TOC_156" hidden="1">TRAIN_DETAILED_COST_WKSHT!$B$317</definedName>
    <definedName name="HL_TOC_157" hidden="1">TRAIN_DETAILED_COST_WKSHT!$B$340</definedName>
    <definedName name="HL_TOC_158" hidden="1">TRAIN_DETAILED_COST_WKSHT!$B$358</definedName>
    <definedName name="HL_TOC_159" hidden="1">TRAIN_DETAILED_COST_WKSHT!$B$376</definedName>
    <definedName name="HL_TOC_16" hidden="1">'VACCS_&amp;_SUPPLIES'!$B$127</definedName>
    <definedName name="HL_TOC_160" hidden="1">TRAINING!$B$120</definedName>
    <definedName name="HL_TOC_161" hidden="1">TRAINING!$B$125</definedName>
    <definedName name="HL_TOC_162" hidden="1">TRAINING!$B$149</definedName>
    <definedName name="HL_TOC_163" hidden="1">CALCS_DETAILED!$B$587</definedName>
    <definedName name="HL_TOC_164" hidden="1">CALCS_DETAILED!$B$612</definedName>
    <definedName name="HL_TOC_165" hidden="1">CALCS_DETAILED!$B$632</definedName>
    <definedName name="HL_TOC_166" hidden="1">CALCS_DETAILED!$B$652</definedName>
    <definedName name="HL_TOC_167" hidden="1">CALCS_Annual!$B$243</definedName>
    <definedName name="HL_TOC_168" hidden="1">CALCS_Annual!$B$253</definedName>
    <definedName name="HL_TOC_169" hidden="1">CALCS_Annual!$B$262</definedName>
    <definedName name="HL_TOC_17" hidden="1">Lbl_Lu!$B$4</definedName>
    <definedName name="HL_TOC_170" hidden="1">CALCS_Annual!$B$271</definedName>
    <definedName name="HL_TOC_171" hidden="1">COSTS_DETAILED_SUMMARY!$B$112</definedName>
    <definedName name="HL_TOC_172" hidden="1">COST_SUMMARY!$B$176</definedName>
    <definedName name="HL_TOC_173" hidden="1">TRAIN_Lu!$B$109</definedName>
    <definedName name="HL_TOC_174" hidden="1">COVERAGE!$B$118</definedName>
    <definedName name="HL_TOC_175" hidden="1">SERVICE_DELIVERY!$B$27</definedName>
    <definedName name="HL_TOC_176" hidden="1">LABELS!$B$48</definedName>
    <definedName name="HL_TOC_177" hidden="1">COUNTS!$B$9</definedName>
    <definedName name="HL_TOC_178" hidden="1">Analysis!$B$624</definedName>
    <definedName name="HL_TOC_179" hidden="1">SERVICE_DELIVERY!$B$172</definedName>
    <definedName name="HL_TOC_18" hidden="1">SD_DETAILED_COST_WKSHT!$B$301</definedName>
    <definedName name="HL_TOC_180" hidden="1">COLD_CHAIN_EXPANS!$B$12</definedName>
    <definedName name="HL_TOC_181" hidden="1">COLD_CHAIN!$B$12</definedName>
    <definedName name="HL_TOC_182" hidden="1">COLD_Lu!$B$5</definedName>
    <definedName name="HL_TOC_183" hidden="1">CAPITAL_INVESTS_OTH!$B$13</definedName>
    <definedName name="HL_TOC_184" hidden="1">CAP_OTH!$B$14</definedName>
    <definedName name="HL_TOC_185" hidden="1">CAP_OTH_Lu!$B$7</definedName>
    <definedName name="HL_TOC_186" hidden="1">Analysis!$B$784</definedName>
    <definedName name="HL_TOC_187" hidden="1">Analysis!$B$943</definedName>
    <definedName name="HL_TOC_19" hidden="1">SD_DETAILED_COST_WKSHT!$B$310</definedName>
    <definedName name="HL_TOC_194" hidden="1">SENS_DETAILED_COST_WKSHT!$B$295</definedName>
    <definedName name="HL_TOC_195" hidden="1">SENS_DETAILED_COST_WKSHT!$B$304</definedName>
    <definedName name="HL_TOC_196" hidden="1">SENS_DETAILED_COST_WKSHT!$B$317</definedName>
    <definedName name="HL_TOC_197" hidden="1">SENS_DETAILED_COST_WKSHT!$B$340</definedName>
    <definedName name="HL_TOC_198" hidden="1">SENS_DETAILED_COST_WKSHT!$B$358</definedName>
    <definedName name="HL_TOC_199" hidden="1">SENS_DETAILED_COST_WKSHT!$B$376</definedName>
    <definedName name="HL_TOC_2" hidden="1">Checks!$B$211</definedName>
    <definedName name="HL_TOC_20" hidden="1">CALCS_DETAILED!$B$24</definedName>
    <definedName name="HL_TOC_200" hidden="1">SENSITISATION!$B$120</definedName>
    <definedName name="HL_TOC_201" hidden="1">SENSITISATION!$B$125</definedName>
    <definedName name="HL_TOC_202" hidden="1">SENSITISATION!$B$149</definedName>
    <definedName name="HL_TOC_203" hidden="1">CALCS_DETAILED!$B$923</definedName>
    <definedName name="HL_TOC_204" hidden="1">CALCS_DETAILED!$B$948</definedName>
    <definedName name="HL_TOC_205" hidden="1">CALCS_DETAILED!$B$968</definedName>
    <definedName name="HL_TOC_206" hidden="1">CALCS_DETAILED!$B$988</definedName>
    <definedName name="HL_TOC_207" hidden="1">CALCS_Annual!$B$376</definedName>
    <definedName name="HL_TOC_208" hidden="1">CALCS_Annual!$B$386</definedName>
    <definedName name="HL_TOC_209" hidden="1">CALCS_Annual!$B$395</definedName>
    <definedName name="HL_TOC_21" hidden="1">CALCS_DETAILED!$B$44</definedName>
    <definedName name="HL_TOC_210" hidden="1">CALCS_Annual!$B$404</definedName>
    <definedName name="HL_TOC_211" hidden="1">COSTS_DETAILED_SUMMARY!$B$173</definedName>
    <definedName name="HL_TOC_212" hidden="1">COST_SUMMARY!$B$232</definedName>
    <definedName name="HL_TOC_213" hidden="1">SENS_Lu!$B$111</definedName>
    <definedName name="HL_TOC_214" hidden="1">SOCMOB_DETAILED_COST_WKSHT!$B$295</definedName>
    <definedName name="HL_TOC_215" hidden="1">SOCMOB_DETAILED_COST_WKSHT!$B$304</definedName>
    <definedName name="HL_TOC_216" hidden="1">SOCMOB_DETAILED_COST_WKSHT!$B$317</definedName>
    <definedName name="HL_TOC_217" hidden="1">SOCMOB_DETAILED_COST_WKSHT!$B$340</definedName>
    <definedName name="HL_TOC_218" hidden="1">SOCMOB_DETAILED_COST_WKSHT!$B$358</definedName>
    <definedName name="HL_TOC_219" hidden="1">SOCMOB_DETAILED_COST_WKSHT!$B$376</definedName>
    <definedName name="HL_TOC_22" hidden="1">CALCS_DETAILED!$B$64</definedName>
    <definedName name="HL_TOC_220" hidden="1">SOCIAL_MOBILISATION!$B$120</definedName>
    <definedName name="HL_TOC_221" hidden="1">SOCIAL_MOBILISATION!$B$125</definedName>
    <definedName name="HL_TOC_222" hidden="1">SOCIAL_MOBILISATION!$B$149</definedName>
    <definedName name="HL_TOC_223" hidden="1">CALCS_DETAILED!$B$1427</definedName>
    <definedName name="HL_TOC_224" hidden="1">CALCS_DETAILED!$B$1452</definedName>
    <definedName name="HL_TOC_225" hidden="1">CALCS_DETAILED!$B$1472</definedName>
    <definedName name="HL_TOC_226" hidden="1">CALCS_DETAILED!$B$1492</definedName>
    <definedName name="HL_TOC_227" hidden="1">CALCS_Annual!$B$583</definedName>
    <definedName name="HL_TOC_228" hidden="1">CALCS_Annual!$B$593</definedName>
    <definedName name="HL_TOC_229" hidden="1">CALCS_Annual!$B$602</definedName>
    <definedName name="HL_TOC_23" hidden="1">CALCS_Annual!$B$9</definedName>
    <definedName name="HL_TOC_230" hidden="1">CALCS_Annual!$B$611</definedName>
    <definedName name="HL_TOC_231" hidden="1">COSTS_DETAILED_SUMMARY!$B$266</definedName>
    <definedName name="HL_TOC_232" hidden="1">COST_SUMMARY!$B$316</definedName>
    <definedName name="HL_TOC_233" hidden="1">SOCMOB_Lu!$B$111</definedName>
    <definedName name="HL_TOC_234" hidden="1">SUPV_DETAILED_COST_WKSHT!$B$392</definedName>
    <definedName name="HL_TOC_235" hidden="1">SUPV_DETAILED_COST_WKSHT!$B$401</definedName>
    <definedName name="HL_TOC_236" hidden="1">SUPV_DETAILED_COST_WKSHT!$B$414</definedName>
    <definedName name="HL_TOC_237" hidden="1">SUPV_DETAILED_COST_WKSHT!$B$437</definedName>
    <definedName name="HL_TOC_238" hidden="1">SUPV_DETAILED_COST_WKSHT!$B$455</definedName>
    <definedName name="HL_TOC_239" hidden="1">SUPV_DETAILED_COST_WKSHT!$B$473</definedName>
    <definedName name="HL_TOC_24" hidden="1">CALCS_Annual!$B$17</definedName>
    <definedName name="HL_TOC_240" hidden="1">SUPERVISION!$B$157</definedName>
    <definedName name="HL_TOC_241" hidden="1">SUPERVISION!$B$162</definedName>
    <definedName name="HL_TOC_242" hidden="1">SUPERVISION!$B$186</definedName>
    <definedName name="HL_TOC_243" hidden="1">CALCS_DETAILED!$B$2183</definedName>
    <definedName name="HL_TOC_244" hidden="1">CALCS_DETAILED!$B$2208</definedName>
    <definedName name="HL_TOC_245" hidden="1">CALCS_DETAILED!$B$2228</definedName>
    <definedName name="HL_TOC_246" hidden="1">CALCS_DETAILED!$B$2248</definedName>
    <definedName name="HL_TOC_247" hidden="1">CALCS_Annual!$B$896</definedName>
    <definedName name="HL_TOC_248" hidden="1">CALCS_Annual!$B$905</definedName>
    <definedName name="HL_TOC_249" hidden="1">CALCS_Annual!$B$914</definedName>
    <definedName name="HL_TOC_25" hidden="1">CALCS_Annual!$B$25</definedName>
    <definedName name="HL_TOC_250" hidden="1">CALCS_Annual!$B$923</definedName>
    <definedName name="HL_TOC_251" hidden="1">COSTS_DETAILED_SUMMARY!$B$406</definedName>
    <definedName name="HL_TOC_252" hidden="1">COST_SUMMARY!$B$498</definedName>
    <definedName name="HL_TOC_253" hidden="1">SUPV_Lu!$B$146</definedName>
    <definedName name="HL_TOC_26" hidden="1">CALCS_Annual!$B$33</definedName>
    <definedName name="HL_TOC_27" hidden="1">COSTS_DETAILED_SUMMARY!$B$5</definedName>
    <definedName name="HL_TOC_28" hidden="1">COST_SUMMARY!$B$78</definedName>
    <definedName name="HL_TOC_29" hidden="1">MICRO_Lu!$B$4</definedName>
    <definedName name="HL_TOC_3" hidden="1">TIME_SERIES!$B$4</definedName>
    <definedName name="HL_TOC_31" hidden="1">Econ_Lu!$B$4</definedName>
    <definedName name="HL_TOC_314" hidden="1">SD_DETAILED_COST_WKSHT!$B$4</definedName>
    <definedName name="HL_TOC_315" hidden="1">SD_DETAILED_COST_WKSHT!$B$13</definedName>
    <definedName name="HL_TOC_316" hidden="1">SD_DETAILED_COST_WKSHT!$B$26</definedName>
    <definedName name="HL_TOC_317" hidden="1">SD_DETAILED_COST_WKSHT!$B$49</definedName>
    <definedName name="HL_TOC_318" hidden="1">SD_DETAILED_COST_WKSHT!$B$67</definedName>
    <definedName name="HL_TOC_319" hidden="1">SD_DETAILED_COST_WKSHT!$B$85</definedName>
    <definedName name="HL_TOC_32" hidden="1">ECONOMICS!$B$4</definedName>
    <definedName name="HL_TOC_320" hidden="1">SERVICE_DELIVERY!$B$235</definedName>
    <definedName name="HL_TOC_321" hidden="1">SERVICE_DELIVERY!$B$240</definedName>
    <definedName name="HL_TOC_323" hidden="1">CALCS_DETAILED!$B$2855</definedName>
    <definedName name="HL_TOC_324" hidden="1">CALCS_DETAILED!$B$2880</definedName>
    <definedName name="HL_TOC_325" hidden="1">CALCS_DETAILED!$B$2900</definedName>
    <definedName name="HL_TOC_326" hidden="1">CALCS_DETAILED!$B$2920</definedName>
    <definedName name="HL_TOC_327" hidden="1">CALCS_Annual!$B$1005</definedName>
    <definedName name="HL_TOC_328" hidden="1">CALCS_Annual!$B$1014</definedName>
    <definedName name="HL_TOC_329" hidden="1">CALCS_Annual!$B$1023</definedName>
    <definedName name="HL_TOC_33" hidden="1">ECONOMICS!$B$10</definedName>
    <definedName name="HL_TOC_330" hidden="1">CALCS_Annual!$B$1034</definedName>
    <definedName name="HL_TOC_331" hidden="1">COSTS_DETAILED_SUMMARY!$B$454</definedName>
    <definedName name="HL_TOC_332" hidden="1">COST_SUMMARY!$B$386</definedName>
    <definedName name="HL_TOC_333" hidden="1">SD_Lu!$B$6</definedName>
    <definedName name="HL_TOC_34" hidden="1">MICRO_DETAILED_COST_WKSHT!$B$4</definedName>
    <definedName name="HL_TOC_35" hidden="1">MICRO_DETAILED_COST_WKSHT!$B$202</definedName>
    <definedName name="HL_TOC_354" hidden="1">COUNTS!$B$33</definedName>
    <definedName name="HL_TOC_355" hidden="1">COUNTS!$B$152</definedName>
    <definedName name="HL_TOC_356" hidden="1">COUNTS!$B$40</definedName>
    <definedName name="HL_TOC_357" hidden="1">COUNTS!$B$98</definedName>
    <definedName name="HL_TOC_36" hidden="1">MICRO_DETAILED_COST_WKSHT!$B$215</definedName>
    <definedName name="HL_TOC_362" hidden="1">COUNTS_and_COVERAGE_Summary!$B$9</definedName>
    <definedName name="HL_TOC_363" hidden="1">Count_Lu!$B$6</definedName>
    <definedName name="HL_TOC_364" hidden="1">LABELS!$B$17</definedName>
    <definedName name="HL_TOC_365" hidden="1">COVERAGE!$B$9</definedName>
    <definedName name="HL_TOC_366" hidden="1">Developer_Only_To!$B$25</definedName>
    <definedName name="HL_TOC_367" hidden="1">COVERAGE!$B$21</definedName>
    <definedName name="HL_TOC_368" hidden="1">COVERAGE!$B$44</definedName>
    <definedName name="HL_TOC_369" hidden="1">COVERAGE!$B$67</definedName>
    <definedName name="HL_TOC_37" hidden="1">MICRO_DETAILED_COST_WKSHT!$B$238</definedName>
    <definedName name="HL_TOC_370" hidden="1">COVERAGE!$B$93</definedName>
    <definedName name="HL_TOC_371" hidden="1">COVERAGE!$B$142</definedName>
    <definedName name="HL_TOC_372" hidden="1">COVERAGE!$B$167</definedName>
    <definedName name="HL_TOC_373" hidden="1">COVERAGE!$B$193</definedName>
    <definedName name="HL_TOC_374" hidden="1">COVERAGE!$B$221</definedName>
    <definedName name="HL_TOC_375" hidden="1">COUNTS_and_COVERAGE_Summary!$B$38</definedName>
    <definedName name="HL_TOC_376" hidden="1">CVG_Lu!$B$6</definedName>
    <definedName name="HL_TOC_377" hidden="1">LABELS!$B$34</definedName>
    <definedName name="HL_TOC_378" hidden="1">COVERAGE!$B$16</definedName>
    <definedName name="HL_TOC_379" hidden="1">COVERAGE!$B$137</definedName>
    <definedName name="HL_TOC_38" hidden="1">MICRO_DETAILED_COST_WKSHT!$B$256</definedName>
    <definedName name="HL_TOC_380" hidden="1">CALCS_COVERAGE!$B$11</definedName>
    <definedName name="HL_TOC_381" hidden="1">CALCS_COVERAGE!$B$24</definedName>
    <definedName name="HL_TOC_382" hidden="1">CALCS_COVERAGE!$B$37</definedName>
    <definedName name="HL_TOC_383" hidden="1">CALCS_COVERAGE!$B$49</definedName>
    <definedName name="HL_TOC_384" hidden="1">CALCS_COVERAGE!$B$103</definedName>
    <definedName name="HL_TOC_385" hidden="1">CALCS_COVERAGE!$B$114</definedName>
    <definedName name="HL_TOC_386" hidden="1">CALCS_COVERAGE!$B$125</definedName>
    <definedName name="HL_TOC_387" hidden="1">CALCS_COVERAGE!$B$136</definedName>
    <definedName name="HL_TOC_388" hidden="1">'VACCS_&amp;_SUPPLIES_To'!$B$11</definedName>
    <definedName name="HL_TOC_389" hidden="1">'VACCS_&amp;_SUPPLIES'!$B$101</definedName>
    <definedName name="HL_TOC_39" hidden="1">MICRO_DETAILED_COST_WKSHT!$B$274</definedName>
    <definedName name="HL_TOC_391" hidden="1">'VACCS_&amp;_SUPPLIES_To'!$B$32</definedName>
    <definedName name="HL_TOC_392" hidden="1">'VACCS_&amp;_SUPPLIES_To'!$B$41</definedName>
    <definedName name="HL_TOC_393" hidden="1">Vacc_Lu!$B$6</definedName>
    <definedName name="HL_TOC_394" hidden="1">CALCS_COVERAGE!$B$60</definedName>
    <definedName name="HL_TOC_395" hidden="1">CALCS_COVERAGE!$B$73</definedName>
    <definedName name="HL_TOC_396" hidden="1">CALCS_COVERAGE!$B$147</definedName>
    <definedName name="HL_TOC_397" hidden="1">CALCS_COVERAGE!$B$158</definedName>
    <definedName name="HL_TOC_398" hidden="1">CALCS_COVERAGE!$B$91</definedName>
    <definedName name="HL_TOC_399" hidden="1">CALCS_COVERAGE!$B$169</definedName>
    <definedName name="HL_TOC_4" hidden="1">Time_Lu!$B$4</definedName>
    <definedName name="HL_TOC_40" hidden="1">MICROPLANNING!$B$83</definedName>
    <definedName name="HL_TOC_400" hidden="1">'VACCS_&amp;_SUPPLIES'!$B$9</definedName>
    <definedName name="HL_TOC_401" hidden="1">'VACCS_&amp;_SUPPLIES_To'!$B$50</definedName>
    <definedName name="HL_TOC_402" hidden="1">'VACCS_&amp;_SUPPLIES_To'!$B$59</definedName>
    <definedName name="HL_TOC_403" hidden="1">'VACCS_&amp;_SUPPLIES_To'!$B$68</definedName>
    <definedName name="HL_TOC_404" hidden="1">'VACCS_&amp;_SUPPLIES_To'!$B$76</definedName>
    <definedName name="HL_TOC_405" hidden="1">'VACCS_&amp;_SUPPLIES_To'!$B$85</definedName>
    <definedName name="HL_TOC_406" hidden="1">'VACCS_&amp;_SUPPLIES_To'!$B$94</definedName>
    <definedName name="HL_TOC_407" hidden="1">'VACCS_&amp;_SUPPLIES_To'!$B$18</definedName>
    <definedName name="HL_TOC_408" hidden="1">'VACCS_&amp;_SUPPLIES_To'!$B$25</definedName>
    <definedName name="HL_TOC_41" hidden="1">MICROPLANNING!$B$88</definedName>
    <definedName name="HL_TOC_412" hidden="1">'VACCS_&amp;_SUPPLIES_To'!$B$103</definedName>
    <definedName name="HL_TOC_413" hidden="1">'VACCS_&amp;_SUPPLIES_To'!$B$112</definedName>
    <definedName name="HL_TOC_414" hidden="1">'VACCS_&amp;_SUPPLIES_To'!$B$121</definedName>
    <definedName name="HL_TOC_415" hidden="1">'VACCS_&amp;_SUPPLIES_To'!$B$130</definedName>
    <definedName name="HL_TOC_416" hidden="1">COST_SUMMARY!$B$9</definedName>
    <definedName name="HL_TOC_417" hidden="1">COST_SUMMARY!$B$27</definedName>
    <definedName name="HL_TOC_418" hidden="1">COST_SUMMARY!$B$44</definedName>
    <definedName name="HL_TOC_419" hidden="1">COST_SUMMARY!$B$61</definedName>
    <definedName name="HL_TOC_42" hidden="1">MICROPLANNING!$B$112</definedName>
    <definedName name="HL_TOC_420" hidden="1">Analysis!$B$9</definedName>
    <definedName name="HL_TOC_421" hidden="1">Analysis!$B$26</definedName>
    <definedName name="HL_TOC_422" hidden="1">Analysis!$B$45</definedName>
    <definedName name="HL_TOC_423" hidden="1">Analysis!$B$61</definedName>
    <definedName name="HL_TOC_424" hidden="1">Developer_Only_To!$B$10</definedName>
    <definedName name="HL_TOC_425" hidden="1">Analy_Lu!$B$6</definedName>
    <definedName name="HL_TOC_426" hidden="1">Analysis!$B$108</definedName>
    <definedName name="HL_TOC_427" hidden="1">Analysis!$B$176</definedName>
    <definedName name="HL_TOC_428" hidden="1">Analysis!$B$243</definedName>
    <definedName name="HL_TOC_429" hidden="1">Analysis!$B$322</definedName>
    <definedName name="HL_TOC_43" hidden="1">CALCS_DETAILED!$B$167</definedName>
    <definedName name="HL_TOC_430" hidden="1">Analysis!$B$413</definedName>
    <definedName name="HL_TOC_431" hidden="1">Analysis!$B$475</definedName>
    <definedName name="HL_TOC_433" hidden="1">OTHER_DETAILED_COST_WKSHT!$B$4</definedName>
    <definedName name="HL_TOC_434" hidden="1">OTHER_DETAILED_COST_WKSHT!$B$12</definedName>
    <definedName name="HL_TOC_435" hidden="1">OTHER_DETAILED_COST_WKSHT!$B$24</definedName>
    <definedName name="HL_TOC_436" hidden="1">OTHER_DETAILED_COST_WKSHT!$B$47</definedName>
    <definedName name="HL_TOC_437" hidden="1">OTHER_DETAILED_COST_WKSHT!$B$65</definedName>
    <definedName name="HL_TOC_438" hidden="1">OTHER_DETAILED_COST_WKSHT!$B$83</definedName>
    <definedName name="HL_TOC_439" hidden="1">OTHER!$B$9</definedName>
    <definedName name="HL_TOC_44" hidden="1">CALCS_DETAILED!$B$192</definedName>
    <definedName name="HL_TOC_440" hidden="1">OTHER!$B$14</definedName>
    <definedName name="HL_TOC_441" hidden="1">OTHER!$B$36</definedName>
    <definedName name="HL_TOC_442" hidden="1">CALCS_DETAILED!$B$2435</definedName>
    <definedName name="HL_TOC_443" hidden="1">CALCS_DETAILED!$B$2460</definedName>
    <definedName name="HL_TOC_444" hidden="1">CALCS_DETAILED!$B$2480</definedName>
    <definedName name="HL_TOC_445" hidden="1">CALCS_DETAILED!$B$2500</definedName>
    <definedName name="HL_TOC_446" hidden="1">CALCS_Annual!$B$1145</definedName>
    <definedName name="HL_TOC_447" hidden="1">CALCS_Annual!$B$1153</definedName>
    <definedName name="HL_TOC_448" hidden="1">CALCS_Annual!$B$1161</definedName>
    <definedName name="HL_TOC_449" hidden="1">CALCS_Annual!$B$1169</definedName>
    <definedName name="HL_TOC_45" hidden="1">CALCS_DETAILED!$B$212</definedName>
    <definedName name="HL_TOC_450" hidden="1">COSTS_DETAILED_SUMMARY!$B$518</definedName>
    <definedName name="HL_TOC_451" hidden="1">COST_SUMMARY!$B$540</definedName>
    <definedName name="HL_TOC_452" hidden="1">OTHER_Lu!$B$6</definedName>
    <definedName name="HL_TOC_453" hidden="1">OTHER_DETAILED_COST_WKSHT!$B$295</definedName>
    <definedName name="HL_TOC_454" hidden="1">OTHER_DETAILED_COST_WKSHT!$B$304</definedName>
    <definedName name="HL_TOC_455" hidden="1">OTHER_DETAILED_COST_WKSHT!$B$317</definedName>
    <definedName name="HL_TOC_456" hidden="1">OTHER_DETAILED_COST_WKSHT!$B$340</definedName>
    <definedName name="HL_TOC_457" hidden="1">OTHER_DETAILED_COST_WKSHT!$B$358</definedName>
    <definedName name="HL_TOC_458" hidden="1">OTHER_DETAILED_COST_WKSHT!$B$376</definedName>
    <definedName name="HL_TOC_459" hidden="1">OTHER!$B$113</definedName>
    <definedName name="HL_TOC_46" hidden="1">CALCS_DETAILED!$B$232</definedName>
    <definedName name="HL_TOC_460" hidden="1">OTHER!$B$118</definedName>
    <definedName name="HL_TOC_461" hidden="1">OTHER!$B$143</definedName>
    <definedName name="HL_TOC_462" hidden="1">CALCS_DETAILED!$B$2687</definedName>
    <definedName name="HL_TOC_463" hidden="1">CALCS_DETAILED!$B$2712</definedName>
    <definedName name="HL_TOC_464" hidden="1">CALCS_DETAILED!$B$2732</definedName>
    <definedName name="HL_TOC_465" hidden="1">CALCS_DETAILED!$B$2752</definedName>
    <definedName name="HL_TOC_466" hidden="1">CALCS_Annual!$B$1241</definedName>
    <definedName name="HL_TOC_467" hidden="1">CALCS_Annual!$B$1251</definedName>
    <definedName name="HL_TOC_468" hidden="1">CALCS_Annual!$B$1260</definedName>
    <definedName name="HL_TOC_469" hidden="1">CALCS_Annual!$B$1269</definedName>
    <definedName name="HL_TOC_47" hidden="1">CALCS_Annual!$B$73</definedName>
    <definedName name="HL_TOC_470" hidden="1">COSTS_DETAILED_SUMMARY!$B$563</definedName>
    <definedName name="HL_TOC_471" hidden="1">COST_SUMMARY!$B$582</definedName>
    <definedName name="HL_TOC_472" hidden="1">OTHER_Lu!$B$111</definedName>
    <definedName name="HL_TOC_473" hidden="1">Analysis!$B$553</definedName>
    <definedName name="HL_TOC_474" hidden="1">'VACCS_&amp;_SUPPLIES'!$B$151</definedName>
    <definedName name="HL_TOC_475" hidden="1">MICRO_DETAILED_COST_WKSHT!$B$96</definedName>
    <definedName name="HL_TOC_476" hidden="1">MICRO_DETAILED_COST_WKSHT!$B$104</definedName>
    <definedName name="HL_TOC_477" hidden="1">MICRO_DETAILED_COST_WKSHT!$B$116</definedName>
    <definedName name="HL_TOC_478" hidden="1">MICRO_DETAILED_COST_WKSHT!$B$139</definedName>
    <definedName name="HL_TOC_479" hidden="1">MICRO_DETAILED_COST_WKSHT!$B$157</definedName>
    <definedName name="HL_TOC_48" hidden="1">CALCS_Annual!$B$83</definedName>
    <definedName name="HL_TOC_480" hidden="1">MICRO_DETAILED_COST_WKSHT!$B$175</definedName>
    <definedName name="HL_TOC_481" hidden="1">MICROPLANNING!$B$46</definedName>
    <definedName name="HL_TOC_482" hidden="1">MICROPLANNING!$B$51</definedName>
    <definedName name="HL_TOC_483" hidden="1">MICROPLANNING!$B$73</definedName>
    <definedName name="HL_TOC_484" hidden="1">CALCS_DETAILED!$B$83</definedName>
    <definedName name="HL_TOC_485" hidden="1">CALCS_DETAILED!$B$108</definedName>
    <definedName name="HL_TOC_486" hidden="1">CALCS_DETAILED!$B$128</definedName>
    <definedName name="HL_TOC_487" hidden="1">CALCS_DETAILED!$B$148</definedName>
    <definedName name="HL_TOC_488" hidden="1">CALCS_Annual!$B$41</definedName>
    <definedName name="HL_TOC_489" hidden="1">CALCS_Annual!$B$49</definedName>
    <definedName name="HL_TOC_49" hidden="1">CALCS_Annual!$B$92</definedName>
    <definedName name="HL_TOC_490" hidden="1">CALCS_Annual!$B$57</definedName>
    <definedName name="HL_TOC_491" hidden="1">CALCS_Annual!$B$65</definedName>
    <definedName name="HL_TOC_492" hidden="1">COSTS_DETAILED_SUMMARY!$B$20</definedName>
    <definedName name="HL_TOC_493" hidden="1">COST_SUMMARY!$B$92</definedName>
    <definedName name="HL_TOC_494" hidden="1">MICRO_Lu!$B$39</definedName>
    <definedName name="HL_TOC_495" hidden="1">MICRO_DETAILED_COST_WKSHT!$B$292</definedName>
    <definedName name="HL_TOC_496" hidden="1">MICRO_DETAILED_COST_WKSHT!$B$301</definedName>
    <definedName name="HL_TOC_497" hidden="1">MICRO_DETAILED_COST_WKSHT!$B$314</definedName>
    <definedName name="HL_TOC_498" hidden="1">MICRO_DETAILED_COST_WKSHT!$B$337</definedName>
    <definedName name="HL_TOC_499" hidden="1">MICRO_DETAILED_COST_WKSHT!$B$355</definedName>
    <definedName name="HL_TOC_5" hidden="1">MICRO_DETAILED_COST_WKSHT!$B$12</definedName>
    <definedName name="HL_TOC_50" hidden="1">CALCS_Annual!$B$101</definedName>
    <definedName name="HL_TOC_500" hidden="1">MICRO_DETAILED_COST_WKSHT!$B$373</definedName>
    <definedName name="HL_TOC_501" hidden="1">MICROPLANNING!$B$126</definedName>
    <definedName name="HL_TOC_502" hidden="1">MICROPLANNING!$B$131</definedName>
    <definedName name="HL_TOC_503" hidden="1">MICROPLANNING!$B$155</definedName>
    <definedName name="HL_TOC_504" hidden="1">CALCS_DETAILED!$B$251</definedName>
    <definedName name="HL_TOC_505" hidden="1">CALCS_DETAILED!$B$276</definedName>
    <definedName name="HL_TOC_506" hidden="1">CALCS_DETAILED!$B$296</definedName>
    <definedName name="HL_TOC_507" hidden="1">CALCS_DETAILED!$B$316</definedName>
    <definedName name="HL_TOC_508" hidden="1">CALCS_Annual!$B$110</definedName>
    <definedName name="HL_TOC_509" hidden="1">CALCS_Annual!$B$120</definedName>
    <definedName name="HL_TOC_51" hidden="1">COSTS_DETAILED_SUMMARY!$B$35</definedName>
    <definedName name="HL_TOC_510" hidden="1">CALCS_Annual!$B$129</definedName>
    <definedName name="HL_TOC_511" hidden="1">CALCS_Annual!$B$138</definedName>
    <definedName name="HL_TOC_512" hidden="1">COSTS_DETAILED_SUMMARY!$B$51</definedName>
    <definedName name="HL_TOC_513" hidden="1">COST_SUMMARY!$B$120</definedName>
    <definedName name="HL_TOC_514" hidden="1">MICRO_Lu!$B$109</definedName>
    <definedName name="HL_TOC_515" hidden="1">SOCMOB_DETAILED_COST_WKSHT!$B$592</definedName>
    <definedName name="HL_TOC_516" hidden="1">SOCMOB_DETAILED_COST_WKSHT!$B$601</definedName>
    <definedName name="HL_TOC_517" hidden="1">SOCMOB_DETAILED_COST_WKSHT!$B$614</definedName>
    <definedName name="HL_TOC_518" hidden="1">SOCMOB_DETAILED_COST_WKSHT!$B$637</definedName>
    <definedName name="HL_TOC_519" hidden="1">SOCMOB_DETAILED_COST_WKSHT!$B$655</definedName>
    <definedName name="HL_TOC_52" hidden="1">COST_SUMMARY!$B$106</definedName>
    <definedName name="HL_TOC_520" hidden="1">SOCMOB_DETAILED_COST_WKSHT!$B$673</definedName>
    <definedName name="HL_TOC_521" hidden="1">SOCIAL_MOBILISATION!$B$249</definedName>
    <definedName name="HL_TOC_522" hidden="1">SOCIAL_MOBILISATION!$B$254</definedName>
    <definedName name="HL_TOC_523" hidden="1">SOCIAL_MOBILISATION!$B$278</definedName>
    <definedName name="HL_TOC_524" hidden="1">CALCS_DETAILED!$B$1679</definedName>
    <definedName name="HL_TOC_525" hidden="1">CALCS_DETAILED!$B$1704</definedName>
    <definedName name="HL_TOC_526" hidden="1">CALCS_DETAILED!$B$1724</definedName>
    <definedName name="HL_TOC_527" hidden="1">CALCS_DETAILED!$B$1744</definedName>
    <definedName name="HL_TOC_528" hidden="1">CALCS_Annual!$B$694</definedName>
    <definedName name="HL_TOC_529" hidden="1">CALCS_Annual!$B$704</definedName>
    <definedName name="HL_TOC_53" hidden="1">MICRO_Lu!$B$74</definedName>
    <definedName name="HL_TOC_530" hidden="1">CALCS_Annual!$B$713</definedName>
    <definedName name="HL_TOC_531" hidden="1">CALCS_Annual!$B$722</definedName>
    <definedName name="HL_TOC_532" hidden="1">COSTS_DETAILED_SUMMARY!$B$314</definedName>
    <definedName name="HL_TOC_533" hidden="1">COST_SUMMARY!$B$358</definedName>
    <definedName name="HL_TOC_534" hidden="1">SOCMOB_Lu!$B$216</definedName>
    <definedName name="HL_TOC_535" hidden="1">SENS_DETAILED_COST_WKSHT!$B$101</definedName>
    <definedName name="HL_TOC_536" hidden="1">SENS_DETAILED_COST_WKSHT!$B$109</definedName>
    <definedName name="HL_TOC_537" hidden="1">SENS_DETAILED_COST_WKSHT!$B$121</definedName>
    <definedName name="HL_TOC_538" hidden="1">SENS_DETAILED_COST_WKSHT!$B$144</definedName>
    <definedName name="HL_TOC_539" hidden="1">SENS_DETAILED_COST_WKSHT!$B$162</definedName>
    <definedName name="HL_TOC_54" hidden="1">SD_DETAILED_COST_WKSHT!$B$323</definedName>
    <definedName name="HL_TOC_540" hidden="1">SENS_DETAILED_COST_WKSHT!$B$180</definedName>
    <definedName name="HL_TOC_541" hidden="1">SENSITISATION!$B$46</definedName>
    <definedName name="HL_TOC_542" hidden="1">SENSITISATION!$B$51</definedName>
    <definedName name="HL_TOC_543" hidden="1">SENSITISATION!$B$73</definedName>
    <definedName name="HL_TOC_544" hidden="1">CALCS_DETAILED!$B$755</definedName>
    <definedName name="HL_TOC_545" hidden="1">CALCS_DETAILED!$B$780</definedName>
    <definedName name="HL_TOC_546" hidden="1">CALCS_DETAILED!$B$800</definedName>
    <definedName name="HL_TOC_547" hidden="1">CALCS_DETAILED!$B$820</definedName>
    <definedName name="HL_TOC_548" hidden="1">CALCS_Annual!$B$312</definedName>
    <definedName name="HL_TOC_549" hidden="1">CALCS_Annual!$B$320</definedName>
    <definedName name="HL_TOC_55" hidden="1">SD_DETAILED_COST_WKSHT!$B$346</definedName>
    <definedName name="HL_TOC_550" hidden="1">CALCS_Annual!$B$328</definedName>
    <definedName name="HL_TOC_551" hidden="1">CALCS_Annual!$B$336</definedName>
    <definedName name="HL_TOC_552" hidden="1">COSTS_DETAILED_SUMMARY!$B$143</definedName>
    <definedName name="HL_TOC_553" hidden="1">COST_SUMMARY!$B$204</definedName>
    <definedName name="HL_TOC_554" hidden="1">SENS_Lu!$B$41</definedName>
    <definedName name="HL_TOC_555" hidden="1">SENS_DETAILED_COST_WKSHT!$B$198</definedName>
    <definedName name="HL_TOC_556" hidden="1">SENS_DETAILED_COST_WKSHT!$B$206</definedName>
    <definedName name="HL_TOC_557" hidden="1">SENS_DETAILED_COST_WKSHT!$B$218</definedName>
    <definedName name="HL_TOC_558" hidden="1">SENS_DETAILED_COST_WKSHT!$B$241</definedName>
    <definedName name="HL_TOC_559" hidden="1">SENS_DETAILED_COST_WKSHT!$B$259</definedName>
    <definedName name="HL_TOC_56" hidden="1">SD_DETAILED_COST_WKSHT!$B$364</definedName>
    <definedName name="HL_TOC_560" hidden="1">SENS_DETAILED_COST_WKSHT!$B$277</definedName>
    <definedName name="HL_TOC_561" hidden="1">SENSITISATION!$B$83</definedName>
    <definedName name="HL_TOC_562" hidden="1">SENSITISATION!$B$88</definedName>
    <definedName name="HL_TOC_563" hidden="1">SENSITISATION!$B$110</definedName>
    <definedName name="HL_TOC_564" hidden="1">CALCS_DETAILED!$B$839</definedName>
    <definedName name="HL_TOC_565" hidden="1">CALCS_DETAILED!$B$864</definedName>
    <definedName name="HL_TOC_566" hidden="1">CALCS_DETAILED!$B$884</definedName>
    <definedName name="HL_TOC_567" hidden="1">CALCS_DETAILED!$B$904</definedName>
    <definedName name="HL_TOC_568" hidden="1">CALCS_Annual!$B$344</definedName>
    <definedName name="HL_TOC_569" hidden="1">CALCS_Annual!$B$352</definedName>
    <definedName name="HL_TOC_57" hidden="1">SD_DETAILED_COST_WKSHT!$B$382</definedName>
    <definedName name="HL_TOC_570" hidden="1">CALCS_Annual!$B$360</definedName>
    <definedName name="HL_TOC_571" hidden="1">CALCS_Annual!$B$368</definedName>
    <definedName name="HL_TOC_572" hidden="1">COSTS_DETAILED_SUMMARY!$B$158</definedName>
    <definedName name="HL_TOC_573" hidden="1">COST_SUMMARY!$B$218</definedName>
    <definedName name="HL_TOC_574" hidden="1">SENS_Lu!$B$76</definedName>
    <definedName name="HL_TOC_575" hidden="1">SOCMOB_DETAILED_COST_WKSHT!$B$691</definedName>
    <definedName name="HL_TOC_576" hidden="1">SOCMOB_DETAILED_COST_WKSHT!$B$700</definedName>
    <definedName name="HL_TOC_577" hidden="1">SOCMOB_DETAILED_COST_WKSHT!$B$713</definedName>
    <definedName name="HL_TOC_578" hidden="1">SOCMOB_DETAILED_COST_WKSHT!$B$736</definedName>
    <definedName name="HL_TOC_579" hidden="1">SOCMOB_DETAILED_COST_WKSHT!$B$754</definedName>
    <definedName name="HL_TOC_58" hidden="1">SERVICE_DELIVERY!$B$308</definedName>
    <definedName name="HL_TOC_580" hidden="1">SOCMOB_DETAILED_COST_WKSHT!$B$772</definedName>
    <definedName name="HL_TOC_581" hidden="1">SOCIAL_MOBILISATION!$B$292</definedName>
    <definedName name="HL_TOC_582" hidden="1">SOCIAL_MOBILISATION!$B$297</definedName>
    <definedName name="HL_TOC_583" hidden="1">SOCIAL_MOBILISATION!$B$321</definedName>
    <definedName name="HL_TOC_584" hidden="1">CALCS_DETAILED!$B$1763</definedName>
    <definedName name="HL_TOC_585" hidden="1">CALCS_DETAILED!$B$1788</definedName>
    <definedName name="HL_TOC_586" hidden="1">CALCS_DETAILED!$B$1808</definedName>
    <definedName name="HL_TOC_587" hidden="1">CALCS_DETAILED!$B$1828</definedName>
    <definedName name="HL_TOC_588" hidden="1">CALCS_Annual!$B$731</definedName>
    <definedName name="HL_TOC_589" hidden="1">CALCS_Annual!$B$741</definedName>
    <definedName name="HL_TOC_59" hidden="1">SERVICE_DELIVERY!$B$313</definedName>
    <definedName name="HL_TOC_590" hidden="1">CALCS_Annual!$B$750</definedName>
    <definedName name="HL_TOC_591" hidden="1">CALCS_Annual!$B$759</definedName>
    <definedName name="HL_TOC_592" hidden="1">COSTS_DETAILED_SUMMARY!$B$330</definedName>
    <definedName name="HL_TOC_593" hidden="1">COST_SUMMARY!$B$372</definedName>
    <definedName name="HL_TOC_594" hidden="1">SOCMOB_Lu!$B$251</definedName>
    <definedName name="HL_TOC_595" hidden="1">TRAIN_DETAILED_COST_WKSHT!$B$101</definedName>
    <definedName name="HL_TOC_596" hidden="1">TRAIN_DETAILED_COST_WKSHT!$B$109</definedName>
    <definedName name="HL_TOC_597" hidden="1">TRAIN_DETAILED_COST_WKSHT!$B$121</definedName>
    <definedName name="HL_TOC_598" hidden="1">TRAIN_DETAILED_COST_WKSHT!$B$144</definedName>
    <definedName name="HL_TOC_599" hidden="1">TRAIN_DETAILED_COST_WKSHT!$B$162</definedName>
    <definedName name="HL_TOC_6" hidden="1">MICRO_DETAILED_COST_WKSHT!$B$24</definedName>
    <definedName name="HL_TOC_60" hidden="1">SERVICE_DELIVERY!$B$9</definedName>
    <definedName name="HL_TOC_600" hidden="1">TRAIN_DETAILED_COST_WKSHT!$B$180</definedName>
    <definedName name="HL_TOC_601" hidden="1">TRAINING!$B$46</definedName>
    <definedName name="HL_TOC_602" hidden="1">TRAINING!$B$51</definedName>
    <definedName name="HL_TOC_603" hidden="1">TRAINING!$B$73</definedName>
    <definedName name="HL_TOC_604" hidden="1">CALCS_DETAILED!$B$419</definedName>
    <definedName name="HL_TOC_605" hidden="1">CALCS_DETAILED!$B$444</definedName>
    <definedName name="HL_TOC_606" hidden="1">CALCS_DETAILED!$B$464</definedName>
    <definedName name="HL_TOC_607" hidden="1">CALCS_DETAILED!$B$484</definedName>
    <definedName name="HL_TOC_608" hidden="1">CALCS_Annual!$B$179</definedName>
    <definedName name="HL_TOC_609" hidden="1">CALCS_Annual!$B$187</definedName>
    <definedName name="HL_TOC_61" hidden="1">CALCS_DETAILED!$B$3068</definedName>
    <definedName name="HL_TOC_610" hidden="1">CALCS_Annual!$B$195</definedName>
    <definedName name="HL_TOC_611" hidden="1">CALCS_Annual!$B$203</definedName>
    <definedName name="HL_TOC_612" hidden="1">COSTS_DETAILED_SUMMARY!$B$82</definedName>
    <definedName name="HL_TOC_613" hidden="1">COST_SUMMARY!$B$148</definedName>
    <definedName name="HL_TOC_614" hidden="1">TRAIN_Lu!$B$39</definedName>
    <definedName name="HL_TOC_615" hidden="1">TRAIN_DETAILED_COST_WKSHT!$B$198</definedName>
    <definedName name="HL_TOC_616" hidden="1">TRAIN_DETAILED_COST_WKSHT!$B$206</definedName>
    <definedName name="HL_TOC_617" hidden="1">TRAIN_DETAILED_COST_WKSHT!$B$218</definedName>
    <definedName name="HL_TOC_618" hidden="1">TRAIN_DETAILED_COST_WKSHT!$B$241</definedName>
    <definedName name="HL_TOC_619" hidden="1">TRAIN_DETAILED_COST_WKSHT!$B$259</definedName>
    <definedName name="HL_TOC_62" hidden="1">CALCS_DETAILED!$B$3093</definedName>
    <definedName name="HL_TOC_620" hidden="1">TRAIN_DETAILED_COST_WKSHT!$B$277</definedName>
    <definedName name="HL_TOC_621" hidden="1">TRAINING!$B$83</definedName>
    <definedName name="HL_TOC_622" hidden="1">TRAINING!$B$88</definedName>
    <definedName name="HL_TOC_623" hidden="1">TRAINING!$B$110</definedName>
    <definedName name="HL_TOC_624" hidden="1">CALCS_DETAILED!$B$503</definedName>
    <definedName name="HL_TOC_625" hidden="1">CALCS_DETAILED!$B$528</definedName>
    <definedName name="HL_TOC_626" hidden="1">CALCS_DETAILED!$B$548</definedName>
    <definedName name="HL_TOC_627" hidden="1">CALCS_DETAILED!$B$568</definedName>
    <definedName name="HL_TOC_628" hidden="1">CALCS_Annual!$B$211</definedName>
    <definedName name="HL_TOC_629" hidden="1">CALCS_Annual!$B$219</definedName>
    <definedName name="HL_TOC_63" hidden="1">CALCS_DETAILED!$B$3133</definedName>
    <definedName name="HL_TOC_630" hidden="1">CALCS_Annual!$B$227</definedName>
    <definedName name="HL_TOC_631" hidden="1">CALCS_Annual!$B$235</definedName>
    <definedName name="HL_TOC_632" hidden="1">COSTS_DETAILED_SUMMARY!$B$97</definedName>
    <definedName name="HL_TOC_633" hidden="1">COST_SUMMARY!$B$162</definedName>
    <definedName name="HL_TOC_634" hidden="1">TRAIN_Lu!$B$74</definedName>
    <definedName name="HL_TOC_64" hidden="1">CALCS_DETAILED!$B$3172</definedName>
    <definedName name="HL_TOC_65" hidden="1">CALCS_Annual!$B$1111</definedName>
    <definedName name="HL_TOC_66" hidden="1">CALCS_Annual!$B$1119</definedName>
    <definedName name="HL_TOC_67" hidden="1">CALCS_Annual!$B$1127</definedName>
    <definedName name="HL_TOC_675" hidden="1">SOCMOB_DETAILED_COST_WKSHT!$B$101</definedName>
    <definedName name="HL_TOC_676" hidden="1">SOCMOB_DETAILED_COST_WKSHT!$B$109</definedName>
    <definedName name="HL_TOC_677" hidden="1">SOCMOB_DETAILED_COST_WKSHT!$B$121</definedName>
    <definedName name="HL_TOC_678" hidden="1">SOCMOB_DETAILED_COST_WKSHT!$B$144</definedName>
    <definedName name="HL_TOC_679" hidden="1">SOCMOB_DETAILED_COST_WKSHT!$B$162</definedName>
    <definedName name="HL_TOC_68" hidden="1">CALCS_Annual!$B$1136</definedName>
    <definedName name="HL_TOC_680" hidden="1">SOCMOB_DETAILED_COST_WKSHT!$B$180</definedName>
    <definedName name="HL_TOC_681" hidden="1">SOCIAL_MOBILISATION!$B$46</definedName>
    <definedName name="HL_TOC_682" hidden="1">SOCIAL_MOBILISATION!$B$51</definedName>
    <definedName name="HL_TOC_683" hidden="1">SOCIAL_MOBILISATION!$B$73</definedName>
    <definedName name="HL_TOC_684" hidden="1">CALCS_DETAILED!$B$1259</definedName>
    <definedName name="HL_TOC_685" hidden="1">CALCS_DETAILED!$B$1284</definedName>
    <definedName name="HL_TOC_686" hidden="1">CALCS_DETAILED!$B$1304</definedName>
    <definedName name="HL_TOC_687" hidden="1">CALCS_DETAILED!$B$1324</definedName>
    <definedName name="HL_TOC_688" hidden="1">CALCS_Annual!$B$519</definedName>
    <definedName name="HL_TOC_689" hidden="1">CALCS_Annual!$B$527</definedName>
    <definedName name="HL_TOC_69" hidden="1">COSTS_DETAILED_SUMMARY!$B$502</definedName>
    <definedName name="HL_TOC_690" hidden="1">CALCS_Annual!$B$535</definedName>
    <definedName name="HL_TOC_691" hidden="1">CALCS_Annual!$B$543</definedName>
    <definedName name="HL_TOC_692" hidden="1">COSTS_DETAILED_SUMMARY!$B$236</definedName>
    <definedName name="HL_TOC_693" hidden="1">COST_SUMMARY!$B$288</definedName>
    <definedName name="HL_TOC_694" hidden="1">SOCMOB_Lu!$B$41</definedName>
    <definedName name="HL_TOC_695" hidden="1">SOCMOB_DETAILED_COST_WKSHT!$B$198</definedName>
    <definedName name="HL_TOC_696" hidden="1">SOCMOB_DETAILED_COST_WKSHT!$B$206</definedName>
    <definedName name="HL_TOC_697" hidden="1">SOCMOB_DETAILED_COST_WKSHT!$B$218</definedName>
    <definedName name="HL_TOC_698" hidden="1">SOCMOB_DETAILED_COST_WKSHT!$B$241</definedName>
    <definedName name="HL_TOC_699" hidden="1">SOCMOB_DETAILED_COST_WKSHT!$B$259</definedName>
    <definedName name="HL_TOC_7" hidden="1">MICRO_DETAILED_COST_WKSHT!$B$42</definedName>
    <definedName name="HL_TOC_70" hidden="1">COST_SUMMARY!$B$428</definedName>
    <definedName name="HL_TOC_700" hidden="1">SOCMOB_DETAILED_COST_WKSHT!$B$277</definedName>
    <definedName name="HL_TOC_701" hidden="1">SOCIAL_MOBILISATION!$B$83</definedName>
    <definedName name="HL_TOC_702" hidden="1">SOCIAL_MOBILISATION!$B$88</definedName>
    <definedName name="HL_TOC_703" hidden="1">SOCIAL_MOBILISATION!$B$110</definedName>
    <definedName name="HL_TOC_704" hidden="1">CALCS_DETAILED!$B$1343</definedName>
    <definedName name="HL_TOC_705" hidden="1">CALCS_DETAILED!$B$1368</definedName>
    <definedName name="HL_TOC_706" hidden="1">CALCS_DETAILED!$B$1388</definedName>
    <definedName name="HL_TOC_707" hidden="1">CALCS_DETAILED!$B$1408</definedName>
    <definedName name="HL_TOC_708" hidden="1">CALCS_Annual!$B$551</definedName>
    <definedName name="HL_TOC_709" hidden="1">CALCS_Annual!$B$559</definedName>
    <definedName name="HL_TOC_71" hidden="1">SD_Lu!$B$111</definedName>
    <definedName name="HL_TOC_710" hidden="1">CALCS_Annual!$B$567</definedName>
    <definedName name="HL_TOC_711" hidden="1">CALCS_Annual!$B$575</definedName>
    <definedName name="HL_TOC_712" hidden="1">COSTS_DETAILED_SUMMARY!$B$251</definedName>
    <definedName name="HL_TOC_713" hidden="1">COST_SUMMARY!$B$302</definedName>
    <definedName name="HL_TOC_714" hidden="1">SOCMOB_Lu!$B$76</definedName>
    <definedName name="HL_TOC_715" hidden="1">SOCMOB_DETAILED_COST_WKSHT!$B$394</definedName>
    <definedName name="HL_TOC_716" hidden="1">SOCMOB_DETAILED_COST_WKSHT!$B$403</definedName>
    <definedName name="HL_TOC_717" hidden="1">SOCMOB_DETAILED_COST_WKSHT!$B$416</definedName>
    <definedName name="HL_TOC_718" hidden="1">SOCMOB_DETAILED_COST_WKSHT!$B$439</definedName>
    <definedName name="HL_TOC_719" hidden="1">SOCMOB_DETAILED_COST_WKSHT!$B$457</definedName>
    <definedName name="HL_TOC_72" hidden="1">COVERAGE!$B$248</definedName>
    <definedName name="HL_TOC_720" hidden="1">SOCMOB_DETAILED_COST_WKSHT!$B$475</definedName>
    <definedName name="HL_TOC_721" hidden="1">SOCIAL_MOBILISATION!$B$163</definedName>
    <definedName name="HL_TOC_722" hidden="1">SOCIAL_MOBILISATION!$B$168</definedName>
    <definedName name="HL_TOC_723" hidden="1">SOCIAL_MOBILISATION!$B$192</definedName>
    <definedName name="HL_TOC_724" hidden="1">CALCS_DETAILED!$B$1511</definedName>
    <definedName name="HL_TOC_725" hidden="1">CALCS_DETAILED!$B$1536</definedName>
    <definedName name="HL_TOC_726" hidden="1">CALCS_DETAILED!$B$1556</definedName>
    <definedName name="HL_TOC_727" hidden="1">CALCS_DETAILED!$B$1576</definedName>
    <definedName name="HL_TOC_728" hidden="1">CALCS_Annual!$B$620</definedName>
    <definedName name="HL_TOC_729" hidden="1">CALCS_Annual!$B$630</definedName>
    <definedName name="HL_TOC_73" hidden="1">TIME_SERIES!$B$5</definedName>
    <definedName name="HL_TOC_730" hidden="1">CALCS_Annual!$B$639</definedName>
    <definedName name="HL_TOC_731" hidden="1">CALCS_Annual!$B$648</definedName>
    <definedName name="HL_TOC_732" hidden="1">COSTS_DETAILED_SUMMARY!$B$282</definedName>
    <definedName name="HL_TOC_733" hidden="1">COST_SUMMARY!$B$330</definedName>
    <definedName name="HL_TOC_734" hidden="1">SOCMOB_Lu!$B$146</definedName>
    <definedName name="HL_TOC_735" hidden="1">SOCMOB_DETAILED_COST_WKSHT!$B$493</definedName>
    <definedName name="HL_TOC_736" hidden="1">SOCMOB_DETAILED_COST_WKSHT!$B$502</definedName>
    <definedName name="HL_TOC_737" hidden="1">SOCMOB_DETAILED_COST_WKSHT!$B$515</definedName>
    <definedName name="HL_TOC_738" hidden="1">SOCMOB_DETAILED_COST_WKSHT!$B$538</definedName>
    <definedName name="HL_TOC_739" hidden="1">SOCMOB_DETAILED_COST_WKSHT!$B$556</definedName>
    <definedName name="HL_TOC_74" hidden="1">TRAIN_DETAILED_COST_WKSHT!$B$4</definedName>
    <definedName name="HL_TOC_740" hidden="1">SOCMOB_DETAILED_COST_WKSHT!$B$574</definedName>
    <definedName name="HL_TOC_741" hidden="1">SOCIAL_MOBILISATION!$B$206</definedName>
    <definedName name="HL_TOC_742" hidden="1">SOCIAL_MOBILISATION!$B$211</definedName>
    <definedName name="HL_TOC_743" hidden="1">SOCIAL_MOBILISATION!$B$235</definedName>
    <definedName name="HL_TOC_744" hidden="1">CALCS_DETAILED!$B$1595</definedName>
    <definedName name="HL_TOC_745" hidden="1">CALCS_DETAILED!$B$1620</definedName>
    <definedName name="HL_TOC_746" hidden="1">CALCS_DETAILED!$B$1640</definedName>
    <definedName name="HL_TOC_747" hidden="1">CALCS_DETAILED!$B$1660</definedName>
    <definedName name="HL_TOC_748" hidden="1">CALCS_Annual!$B$657</definedName>
    <definedName name="HL_TOC_749" hidden="1">CALCS_Annual!$B$667</definedName>
    <definedName name="HL_TOC_75" hidden="1">TRAIN_DETAILED_COST_WKSHT!$B$12</definedName>
    <definedName name="HL_TOC_750" hidden="1">CALCS_Annual!$B$676</definedName>
    <definedName name="HL_TOC_751" hidden="1">CALCS_Annual!$B$685</definedName>
    <definedName name="HL_TOC_752" hidden="1">COSTS_DETAILED_SUMMARY!$B$298</definedName>
    <definedName name="HL_TOC_753" hidden="1">COST_SUMMARY!$B$344</definedName>
    <definedName name="HL_TOC_754" hidden="1">SOCMOB_Lu!$B$181</definedName>
    <definedName name="HL_TOC_755" hidden="1">SD_DETAILED_COST_WKSHT!$B$103</definedName>
    <definedName name="HL_TOC_756" hidden="1">SD_DETAILED_COST_WKSHT!$B$112</definedName>
    <definedName name="HL_TOC_757" hidden="1">SD_DETAILED_COST_WKSHT!$B$125</definedName>
    <definedName name="HL_TOC_758" hidden="1">SD_DETAILED_COST_WKSHT!$B$148</definedName>
    <definedName name="HL_TOC_759" hidden="1">SD_DETAILED_COST_WKSHT!$B$166</definedName>
    <definedName name="HL_TOC_76" hidden="1">TRAIN_DETAILED_COST_WKSHT!$B$24</definedName>
    <definedName name="HL_TOC_760" hidden="1">SD_DETAILED_COST_WKSHT!$B$184</definedName>
    <definedName name="HL_TOC_761" hidden="1">SERVICE_DELIVERY!$B$259</definedName>
    <definedName name="HL_TOC_762" hidden="1">SERVICE_DELIVERY!$B$264</definedName>
    <definedName name="HL_TOC_764" hidden="1">CALCS_DETAILED!$B$3023</definedName>
    <definedName name="HL_TOC_765" hidden="1">CALCS_DETAILED!$B$2964</definedName>
    <definedName name="HL_TOC_766" hidden="1">CALCS_DETAILED!$B$2984</definedName>
    <definedName name="HL_TOC_767" hidden="1">CALCS_DETAILED!$B$3004</definedName>
    <definedName name="HL_TOC_768" hidden="1">CALCS_Annual!$B$1043</definedName>
    <definedName name="HL_TOC_769" hidden="1">CALCS_Annual!$B$1052</definedName>
    <definedName name="HL_TOC_77" hidden="1">TRAIN_DETAILED_COST_WKSHT!$B$47</definedName>
    <definedName name="HL_TOC_770" hidden="1">CALCS_Annual!$B$1061</definedName>
    <definedName name="HL_TOC_771" hidden="1">CALCS_Annual!$B$1070</definedName>
    <definedName name="HL_TOC_772" hidden="1">COSTS_DETAILED_SUMMARY!$B$470</definedName>
    <definedName name="HL_TOC_773" hidden="1">COST_SUMMARY!$B$400</definedName>
    <definedName name="HL_TOC_774" hidden="1">SD_Lu!$B$41</definedName>
    <definedName name="HL_TOC_775" hidden="1">SD_DETAILED_COST_WKSHT!$B$202</definedName>
    <definedName name="HL_TOC_776" hidden="1">SD_DETAILED_COST_WKSHT!$B$211</definedName>
    <definedName name="HL_TOC_777" hidden="1">SD_DETAILED_COST_WKSHT!$B$224</definedName>
    <definedName name="HL_TOC_778" hidden="1">SD_DETAILED_COST_WKSHT!$B$247</definedName>
    <definedName name="HL_TOC_779" hidden="1">SD_DETAILED_COST_WKSHT!$B$265</definedName>
    <definedName name="HL_TOC_78" hidden="1">TRAIN_DETAILED_COST_WKSHT!$B$65</definedName>
    <definedName name="HL_TOC_780" hidden="1">SD_DETAILED_COST_WKSHT!$B$283</definedName>
    <definedName name="HL_TOC_781" hidden="1">SERVICE_DELIVERY!$B$283</definedName>
    <definedName name="HL_TOC_782" hidden="1">SERVICE_DELIVERY!$B$288</definedName>
    <definedName name="HL_TOC_784" hidden="1">CALCS_DETAILED!$B$2939</definedName>
    <definedName name="HL_TOC_785" hidden="1">CALCS_DETAILED!$B$3048</definedName>
    <definedName name="HL_TOC_786" hidden="1">CALCS_DETAILED!$B$3113</definedName>
    <definedName name="HL_TOC_787" hidden="1">CALCS_DETAILED!$B$3153</definedName>
    <definedName name="HL_TOC_788" hidden="1">CALCS_Annual!$B$1079</definedName>
    <definedName name="HL_TOC_789" hidden="1">CALCS_Annual!$B$1087</definedName>
    <definedName name="HL_TOC_79" hidden="1">TRAIN_DETAILED_COST_WKSHT!$B$83</definedName>
    <definedName name="HL_TOC_790" hidden="1">CALCS_Annual!$B$1095</definedName>
    <definedName name="HL_TOC_791" hidden="1">CALCS_Annual!$B$1103</definedName>
    <definedName name="HL_TOC_792" hidden="1">COSTS_DETAILED_SUMMARY!$B$486</definedName>
    <definedName name="HL_TOC_793" hidden="1">COST_SUMMARY!$B$414</definedName>
    <definedName name="HL_TOC_794" hidden="1">SD_Lu!$B$76</definedName>
    <definedName name="HL_TOC_795" hidden="1">SUPV_DETAILED_COST_WKSHT!$B$101</definedName>
    <definedName name="HL_TOC_796" hidden="1">SUPV_DETAILED_COST_WKSHT!$B$109</definedName>
    <definedName name="HL_TOC_797" hidden="1">SUPV_DETAILED_COST_WKSHT!$B$121</definedName>
    <definedName name="HL_TOC_798" hidden="1">SUPV_DETAILED_COST_WKSHT!$B$144</definedName>
    <definedName name="HL_TOC_799" hidden="1">SUPV_DETAILED_COST_WKSHT!$B$162</definedName>
    <definedName name="HL_TOC_8" hidden="1">MICRO_DETAILED_COST_WKSHT!$B$60</definedName>
    <definedName name="HL_TOC_80" hidden="1">TRAINING!$B$9</definedName>
    <definedName name="HL_TOC_800" hidden="1">SUPV_DETAILED_COST_WKSHT!$B$180</definedName>
    <definedName name="HL_TOC_801" hidden="1">SUPERVISION!$B$46</definedName>
    <definedName name="HL_TOC_802" hidden="1">SUPERVISION!$B$51</definedName>
    <definedName name="HL_TOC_803" hidden="1">SUPERVISION!$B$73</definedName>
    <definedName name="HL_TOC_804" hidden="1">CALCS_DETAILED!$B$1931</definedName>
    <definedName name="HL_TOC_805" hidden="1">CALCS_DETAILED!$B$1956</definedName>
    <definedName name="HL_TOC_806" hidden="1">CALCS_DETAILED!$B$1976</definedName>
    <definedName name="HL_TOC_807" hidden="1">CALCS_DETAILED!$B$1996</definedName>
    <definedName name="HL_TOC_808" hidden="1">CALCS_Annual!$B$800</definedName>
    <definedName name="HL_TOC_809" hidden="1">CALCS_Annual!$B$808</definedName>
    <definedName name="HL_TOC_81" hidden="1">TRAINING!$B$14</definedName>
    <definedName name="HL_TOC_810" hidden="1">CALCS_Annual!$B$816</definedName>
    <definedName name="HL_TOC_811" hidden="1">CALCS_Annual!$B$824</definedName>
    <definedName name="HL_TOC_812" hidden="1">COSTS_DETAILED_SUMMARY!$B$361</definedName>
    <definedName name="HL_TOC_813" hidden="1">COST_SUMMARY!$B$456</definedName>
    <definedName name="HL_TOC_814" hidden="1">SUPV_Lu!$B$41</definedName>
    <definedName name="HL_TOC_815" hidden="1">SUPV_DETAILED_COST_WKSHT!$B$198</definedName>
    <definedName name="HL_TOC_816" hidden="1">SUPV_DETAILED_COST_WKSHT!$B$206</definedName>
    <definedName name="HL_TOC_817" hidden="1">SUPV_DETAILED_COST_WKSHT!$B$218</definedName>
    <definedName name="HL_TOC_818" hidden="1">SUPV_DETAILED_COST_WKSHT!$B$241</definedName>
    <definedName name="HL_TOC_819" hidden="1">SUPV_DETAILED_COST_WKSHT!$B$259</definedName>
    <definedName name="HL_TOC_82" hidden="1">TRAINING!$B$36</definedName>
    <definedName name="HL_TOC_820" hidden="1">SUPV_DETAILED_COST_WKSHT!$B$277</definedName>
    <definedName name="HL_TOC_821" hidden="1">SUPERVISION!$B$83</definedName>
    <definedName name="HL_TOC_822" hidden="1">SUPERVISION!$B$88</definedName>
    <definedName name="HL_TOC_823" hidden="1">SUPERVISION!$B$110</definedName>
    <definedName name="HL_TOC_824" hidden="1">CALCS_DETAILED!$B$2015</definedName>
    <definedName name="HL_TOC_825" hidden="1">CALCS_DETAILED!$B$2040</definedName>
    <definedName name="HL_TOC_826" hidden="1">CALCS_DETAILED!$B$2060</definedName>
    <definedName name="HL_TOC_827" hidden="1">CALCS_DETAILED!$B$2080</definedName>
    <definedName name="HL_TOC_828" hidden="1">CALCS_Annual!$B$832</definedName>
    <definedName name="HL_TOC_829" hidden="1">CALCS_Annual!$B$840</definedName>
    <definedName name="HL_TOC_83" hidden="1">CALCS_DETAILED!$B$335</definedName>
    <definedName name="HL_TOC_830" hidden="1">CALCS_Annual!$B$848</definedName>
    <definedName name="HL_TOC_831" hidden="1">CALCS_Annual!$B$856</definedName>
    <definedName name="HL_TOC_832" hidden="1">COSTS_DETAILED_SUMMARY!$B$376</definedName>
    <definedName name="HL_TOC_833" hidden="1">COST_SUMMARY!$B$470</definedName>
    <definedName name="HL_TOC_834" hidden="1">SUPV_Lu!$B$76</definedName>
    <definedName name="HL_TOC_835" hidden="1">SUPV_DETAILED_COST_WKSHT!$B$491</definedName>
    <definedName name="HL_TOC_836" hidden="1">SUPV_DETAILED_COST_WKSHT!$B$500</definedName>
    <definedName name="HL_TOC_837" hidden="1">SUPV_DETAILED_COST_WKSHT!$B$513</definedName>
    <definedName name="HL_TOC_838" hidden="1">SUPV_DETAILED_COST_WKSHT!$B$536</definedName>
    <definedName name="HL_TOC_839" hidden="1">SUPV_DETAILED_COST_WKSHT!$B$554</definedName>
    <definedName name="HL_TOC_84" hidden="1">CALCS_DETAILED!$B$360</definedName>
    <definedName name="HL_TOC_840" hidden="1">SUPV_DETAILED_COST_WKSHT!$B$572</definedName>
    <definedName name="HL_TOC_841" hidden="1">SUPERVISION!$B$200</definedName>
    <definedName name="HL_TOC_842" hidden="1">SUPERVISION!$B$205</definedName>
    <definedName name="HL_TOC_843" hidden="1">SUPERVISION!$B$229</definedName>
    <definedName name="HL_TOC_844" hidden="1">CALCS_DETAILED!$B$2267</definedName>
    <definedName name="HL_TOC_845" hidden="1">CALCS_DETAILED!$B$2292</definedName>
    <definedName name="HL_TOC_846" hidden="1">CALCS_DETAILED!$B$2312</definedName>
    <definedName name="HL_TOC_847" hidden="1">CALCS_DETAILED!$B$2332</definedName>
    <definedName name="HL_TOC_848" hidden="1">CALCS_Annual!$B$932</definedName>
    <definedName name="HL_TOC_849" hidden="1">CALCS_Annual!$B$941</definedName>
    <definedName name="HL_TOC_85" hidden="1">CALCS_DETAILED!$B$380</definedName>
    <definedName name="HL_TOC_850" hidden="1">CALCS_Annual!$B$950</definedName>
    <definedName name="HL_TOC_851" hidden="1">CALCS_Annual!$B$959</definedName>
    <definedName name="HL_TOC_852" hidden="1">COSTS_DETAILED_SUMMARY!$B$422</definedName>
    <definedName name="HL_TOC_853" hidden="1">COST_SUMMARY!$B$512</definedName>
    <definedName name="HL_TOC_854" hidden="1">SUPV_Lu!$B$181</definedName>
    <definedName name="HL_TOC_855" hidden="1">SUPV_DETAILED_COST_WKSHT!$B$590</definedName>
    <definedName name="HL_TOC_856" hidden="1">SUPV_DETAILED_COST_WKSHT!$B$599</definedName>
    <definedName name="HL_TOC_857" hidden="1">SUPV_DETAILED_COST_WKSHT!$B$612</definedName>
    <definedName name="HL_TOC_858" hidden="1">SUPV_DETAILED_COST_WKSHT!$B$635</definedName>
    <definedName name="HL_TOC_859" hidden="1">SUPV_DETAILED_COST_WKSHT!$B$653</definedName>
    <definedName name="HL_TOC_86" hidden="1">CALCS_DETAILED!$B$400</definedName>
    <definedName name="HL_TOC_860" hidden="1">SUPV_DETAILED_COST_WKSHT!$B$671</definedName>
    <definedName name="HL_TOC_861" hidden="1">SUPERVISION!$B$243</definedName>
    <definedName name="HL_TOC_862" hidden="1">SUPERVISION!$B$248</definedName>
    <definedName name="HL_TOC_863" hidden="1">SUPERVISION!$B$272</definedName>
    <definedName name="HL_TOC_864" hidden="1">CALCS_DETAILED!$B$2351</definedName>
    <definedName name="HL_TOC_865" hidden="1">CALCS_DETAILED!$B$2376</definedName>
    <definedName name="HL_TOC_866" hidden="1">CALCS_DETAILED!$B$2396</definedName>
    <definedName name="HL_TOC_867" hidden="1">CALCS_DETAILED!$B$2416</definedName>
    <definedName name="HL_TOC_868" hidden="1">CALCS_Annual!$B$968</definedName>
    <definedName name="HL_TOC_869" hidden="1">CALCS_Annual!$B$978</definedName>
    <definedName name="HL_TOC_87" hidden="1">CALCS_Annual!$B$147</definedName>
    <definedName name="HL_TOC_870" hidden="1">CALCS_Annual!$B$987</definedName>
    <definedName name="HL_TOC_871" hidden="1">CALCS_Annual!$B$996</definedName>
    <definedName name="HL_TOC_872" hidden="1">COSTS_DETAILED_SUMMARY!$B$438</definedName>
    <definedName name="HL_TOC_873" hidden="1">COST_SUMMARY!$B$526</definedName>
    <definedName name="HL_TOC_874" hidden="1">SUPV_Lu!$B$216</definedName>
    <definedName name="HL_TOC_875" hidden="1">OTHER_DETAILED_COST_WKSHT!$B$198</definedName>
    <definedName name="HL_TOC_876" hidden="1">OTHER_DETAILED_COST_WKSHT!$B$206</definedName>
    <definedName name="HL_TOC_877" hidden="1">OTHER_DETAILED_COST_WKSHT!$B$218</definedName>
    <definedName name="HL_TOC_878" hidden="1">OTHER_DETAILED_COST_WKSHT!$B$241</definedName>
    <definedName name="HL_TOC_879" hidden="1">OTHER_DETAILED_COST_WKSHT!$B$259</definedName>
    <definedName name="HL_TOC_88" hidden="1">CALCS_Annual!$B$155</definedName>
    <definedName name="HL_TOC_880" hidden="1">OTHER_DETAILED_COST_WKSHT!$B$180</definedName>
    <definedName name="HL_TOC_881" hidden="1">OTHER!$B$78</definedName>
    <definedName name="HL_TOC_882" hidden="1">OTHER!$B$83</definedName>
    <definedName name="HL_TOC_883" hidden="1">OTHER!$B$106</definedName>
    <definedName name="HL_TOC_884" hidden="1">CALCS_DETAILED!$B$2603</definedName>
    <definedName name="HL_TOC_885" hidden="1">CALCS_DETAILED!$B$2628</definedName>
    <definedName name="HL_TOC_886" hidden="1">CALCS_DETAILED!$B$2648</definedName>
    <definedName name="HL_TOC_887" hidden="1">CALCS_DETAILED!$B$2668</definedName>
    <definedName name="HL_TOC_888" hidden="1">CALCS_Annual!$B$1209</definedName>
    <definedName name="HL_TOC_889" hidden="1">CALCS_Annual!$B$1217</definedName>
    <definedName name="HL_TOC_89" hidden="1">CALCS_Annual!$B$163</definedName>
    <definedName name="HL_TOC_890" hidden="1">CALCS_Annual!$B$1225</definedName>
    <definedName name="HL_TOC_891" hidden="1">CALCS_Annual!$B$1233</definedName>
    <definedName name="HL_TOC_892" hidden="1">COSTS_DETAILED_SUMMARY!$B$548</definedName>
    <definedName name="HL_TOC_893" hidden="1">COST_SUMMARY!$B$568</definedName>
    <definedName name="HL_TOC_894" hidden="1">OTHER_Lu!$B$76</definedName>
    <definedName name="HL_TOC_895" hidden="1">OTHER_DETAILED_COST_WKSHT!$B$101</definedName>
    <definedName name="HL_TOC_896" hidden="1">OTHER_DETAILED_COST_WKSHT!$B$109</definedName>
    <definedName name="HL_TOC_897" hidden="1">OTHER_DETAILED_COST_WKSHT!$B$121</definedName>
    <definedName name="HL_TOC_898" hidden="1">OTHER_DETAILED_COST_WKSHT!$B$144</definedName>
    <definedName name="HL_TOC_899" hidden="1">OTHER_DETAILED_COST_WKSHT!$B$162</definedName>
    <definedName name="HL_TOC_9" hidden="1">MICRO_DETAILED_COST_WKSHT!$B$78</definedName>
    <definedName name="HL_TOC_90" hidden="1">CALCS_Annual!$B$171</definedName>
    <definedName name="HL_TOC_900" hidden="1">OTHER_DETAILED_COST_WKSHT!$B$277</definedName>
    <definedName name="HL_TOC_901" hidden="1">OTHER!$B$43</definedName>
    <definedName name="HL_TOC_902" hidden="1">OTHER!$B$48</definedName>
    <definedName name="HL_TOC_903" hidden="1">OTHER!$B$71</definedName>
    <definedName name="HL_TOC_904" hidden="1">CALCS_DETAILED!$B$2519</definedName>
    <definedName name="HL_TOC_905" hidden="1">CALCS_DETAILED!$B$2544</definedName>
    <definedName name="HL_TOC_906" hidden="1">CALCS_DETAILED!$B$2564</definedName>
    <definedName name="HL_TOC_907" hidden="1">CALCS_DETAILED!$B$2584</definedName>
    <definedName name="HL_TOC_908" hidden="1">CALCS_Annual!$B$1177</definedName>
    <definedName name="HL_TOC_909" hidden="1">CALCS_Annual!$B$1185</definedName>
    <definedName name="HL_TOC_91" hidden="1">COSTS_DETAILED_SUMMARY!$B$67</definedName>
    <definedName name="HL_TOC_910" hidden="1">CALCS_Annual!$B$1193</definedName>
    <definedName name="HL_TOC_911" hidden="1">CALCS_Annual!$B$1201</definedName>
    <definedName name="HL_TOC_912" hidden="1">COSTS_DETAILED_SUMMARY!$B$533</definedName>
    <definedName name="HL_TOC_913" hidden="1">COST_SUMMARY!$B$554</definedName>
    <definedName name="HL_TOC_914" hidden="1">OTHER_Lu!$B$41</definedName>
    <definedName name="HL_TOC_915" hidden="1">OTHER_DETAILED_COST_WKSHT!$B$394</definedName>
    <definedName name="HL_TOC_916" hidden="1">OTHER_DETAILED_COST_WKSHT!$B$403</definedName>
    <definedName name="HL_TOC_917" hidden="1">OTHER_DETAILED_COST_WKSHT!$B$416</definedName>
    <definedName name="HL_TOC_918" hidden="1">OTHER_DETAILED_COST_WKSHT!$B$439</definedName>
    <definedName name="HL_TOC_919" hidden="1">OTHER_DETAILED_COST_WKSHT!$B$457</definedName>
    <definedName name="HL_TOC_92" hidden="1">COST_SUMMARY!$B$134</definedName>
    <definedName name="HL_TOC_920" hidden="1">OTHER_DETAILED_COST_WKSHT!$B$475</definedName>
    <definedName name="HL_TOC_921" hidden="1">OTHER!$B$154</definedName>
    <definedName name="HL_TOC_922" hidden="1">OTHER!$B$159</definedName>
    <definedName name="HL_TOC_923" hidden="1">OTHER!$B$183</definedName>
    <definedName name="HL_TOC_924" hidden="1">CALCS_DETAILED!$B$2771</definedName>
    <definedName name="HL_TOC_925" hidden="1">CALCS_DETAILED!$B$2796</definedName>
    <definedName name="HL_TOC_926" hidden="1">CALCS_DETAILED!$B$2816</definedName>
    <definedName name="HL_TOC_927" hidden="1">CALCS_DETAILED!$B$2836</definedName>
    <definedName name="HL_TOC_928" hidden="1">CALCS_Annual!$B$1278</definedName>
    <definedName name="HL_TOC_929" hidden="1">CALCS_Annual!$B$1288</definedName>
    <definedName name="HL_TOC_93" hidden="1">TRAIN_Lu!$B$4</definedName>
    <definedName name="HL_TOC_930" hidden="1">CALCS_Annual!$B$1297</definedName>
    <definedName name="HL_TOC_931" hidden="1">CALCS_Annual!$B$1306</definedName>
    <definedName name="HL_TOC_932" hidden="1">COSTS_DETAILED_SUMMARY!$B$579</definedName>
    <definedName name="HL_TOC_933" hidden="1">COST_SUMMARY!$B$596</definedName>
    <definedName name="HL_TOC_934" hidden="1">OTHER_Lu!$B$146</definedName>
    <definedName name="HL_TOC_94" hidden="1">SENS_DETAILED_COST_WKSHT!$B$4</definedName>
    <definedName name="HL_TOC_95" hidden="1">SENS_DETAILED_COST_WKSHT!$B$12</definedName>
    <definedName name="HL_TOC_955" hidden="1">SUPV_DETAILED_COST_WKSHT!$B$295</definedName>
    <definedName name="HL_TOC_956" hidden="1">SUPV_DETAILED_COST_WKSHT!$B$303</definedName>
    <definedName name="HL_TOC_957" hidden="1">SUPV_DETAILED_COST_WKSHT!$B$315</definedName>
    <definedName name="HL_TOC_958" hidden="1">SUPV_DETAILED_COST_WKSHT!$B$338</definedName>
    <definedName name="HL_TOC_959" hidden="1">SUPV_DETAILED_COST_WKSHT!$B$356</definedName>
    <definedName name="HL_TOC_96" hidden="1">SENS_DETAILED_COST_WKSHT!$B$24</definedName>
    <definedName name="HL_TOC_960" hidden="1">SUPV_DETAILED_COST_WKSHT!$B$374</definedName>
    <definedName name="HL_TOC_961" hidden="1">SUPERVISION!$B$120</definedName>
    <definedName name="HL_TOC_962" hidden="1">SUPERVISION!$B$125</definedName>
    <definedName name="HL_TOC_963" hidden="1">SUPERVISION!$B$147</definedName>
    <definedName name="HL_TOC_964" hidden="1">CALCS_DETAILED!$B$2099</definedName>
    <definedName name="HL_TOC_965" hidden="1">CALCS_DETAILED!$B$2124</definedName>
    <definedName name="HL_TOC_966" hidden="1">CALCS_DETAILED!$B$2144</definedName>
    <definedName name="HL_TOC_967" hidden="1">CALCS_DETAILED!$B$2164</definedName>
    <definedName name="HL_TOC_968" hidden="1">CALCS_Annual!$B$864</definedName>
    <definedName name="HL_TOC_969" hidden="1">CALCS_Annual!$B$872</definedName>
    <definedName name="HL_TOC_97" hidden="1">SENS_DETAILED_COST_WKSHT!$B$47</definedName>
    <definedName name="HL_TOC_970" hidden="1">CALCS_Annual!$B$880</definedName>
    <definedName name="HL_TOC_971" hidden="1">CALCS_Annual!$B$888</definedName>
    <definedName name="HL_TOC_972" hidden="1">COSTS_DETAILED_SUMMARY!$B$391</definedName>
    <definedName name="HL_TOC_973" hidden="1">COST_SUMMARY!$B$484</definedName>
    <definedName name="HL_TOC_974" hidden="1">SUPV_Lu!$B$111</definedName>
    <definedName name="HL_TOC_975" hidden="1">SENS_DETAILED_COST_WKSHT!$B$394</definedName>
    <definedName name="HL_TOC_976" hidden="1">SENS_DETAILED_COST_WKSHT!$B$403</definedName>
    <definedName name="HL_TOC_977" hidden="1">SENS_DETAILED_COST_WKSHT!$B$416</definedName>
    <definedName name="HL_TOC_978" hidden="1">SENS_DETAILED_COST_WKSHT!$B$439</definedName>
    <definedName name="HL_TOC_979" hidden="1">SENS_DETAILED_COST_WKSHT!$B$457</definedName>
    <definedName name="HL_TOC_98" hidden="1">SENS_DETAILED_COST_WKSHT!$B$65</definedName>
    <definedName name="HL_TOC_980" hidden="1">SENS_DETAILED_COST_WKSHT!$B$475</definedName>
    <definedName name="HL_TOC_981" hidden="1">SENSITISATION!$B$163</definedName>
    <definedName name="HL_TOC_982" hidden="1">SENSITISATION!$B$168</definedName>
    <definedName name="HL_TOC_983" hidden="1">SENSITISATION!$B$192</definedName>
    <definedName name="HL_TOC_984" hidden="1">CALCS_DETAILED!$B$1007</definedName>
    <definedName name="HL_TOC_985" hidden="1">CALCS_DETAILED!$B$1032</definedName>
    <definedName name="HL_TOC_986" hidden="1">CALCS_DETAILED!$B$1052</definedName>
    <definedName name="HL_TOC_987" hidden="1">CALCS_DETAILED!$B$1072</definedName>
    <definedName name="HL_TOC_988" hidden="1">CALCS_Annual!$B$413</definedName>
    <definedName name="HL_TOC_989" hidden="1">CALCS_Annual!$B$423</definedName>
    <definedName name="HL_TOC_99" hidden="1">SENS_DETAILED_COST_WKSHT!$B$83</definedName>
    <definedName name="HL_TOC_990" hidden="1">CALCS_Annual!$B$432</definedName>
    <definedName name="HL_TOC_991" hidden="1">CALCS_Annual!$B$441</definedName>
    <definedName name="HL_TOC_992" hidden="1">COSTS_DETAILED_SUMMARY!$B$189</definedName>
    <definedName name="HL_TOC_993" hidden="1">COST_SUMMARY!$B$246</definedName>
    <definedName name="HL_TOC_994" hidden="1">SENS_Lu!$B$146</definedName>
    <definedName name="HL_TOC_995" hidden="1">SENS_DETAILED_COST_WKSHT!$B$493</definedName>
    <definedName name="HL_TOC_996" hidden="1">SENS_DETAILED_COST_WKSHT!$B$502</definedName>
    <definedName name="HL_TOC_997" hidden="1">SENS_DETAILED_COST_WKSHT!$B$515</definedName>
    <definedName name="HL_TOC_998" hidden="1">SENS_DETAILED_COST_WKSHT!$B$538</definedName>
    <definedName name="HL_TOC_999" hidden="1">SENS_DETAILED_COST_WKSHT!$B$556</definedName>
    <definedName name="HL_TOP_ACTV_10_Activity_Number_of_Activities_Annual_Assumptions">SENSITISATION!$B$73</definedName>
    <definedName name="HL_TOP_ACTV_10_Activity_Summary_Costs_Annual">COST_SUMMARY!$B$204</definedName>
    <definedName name="HL_TOP_ACTV_10_Allowances_Assumptions">SENS_DETAILED_COST_WKSHT!$B$144</definedName>
    <definedName name="HL_TOP_ACTV_10_Allowances_Outputs">CALCS_DETAILED!$B$780</definedName>
    <definedName name="HL_TOP_ACTV_10_Ass_A">SENS_DETAILED_COST_WKSHT!$B$144</definedName>
    <definedName name="HL_TOP_ACTV_10_Ass_B">SENS_DETAILED_COST_WKSHT!$B$109</definedName>
    <definedName name="HL_TOP_ACTV_10_Cost_Summary_Output">COSTS_DETAILED_SUMMARY!$B$143</definedName>
    <definedName name="HL_TOP_ACTV_10_Detailed_Costing_Worksheet">SENS_DETAILED_COST_WKSHT!$B$101</definedName>
    <definedName name="HL_TOP_ACTV_10_Name">SENSITISATION!$D$49</definedName>
    <definedName name="HL_TOP_ACTV_10_Other_Direct_Costs">SENS_DETAILED_COST_WKSHT!$B$180</definedName>
    <definedName name="HL_TOP_ACTV_10_Other_Direct_Costs_Outputs">CALCS_DETAILED!$B$820</definedName>
    <definedName name="HL_TOP_ACTV_10_Out_A">CALCS_DETAILED!$B$780</definedName>
    <definedName name="HL_TOP_ACTV_10_Personnel_Assumptions">SENS_DETAILED_COST_WKSHT!$B$121</definedName>
    <definedName name="HL_TOP_ACTV_10_Personnel_Outputs">CALCS_DETAILED!$B$755</definedName>
    <definedName name="HL_TOP_ACTV_10_Single_Activity_Cost_Assumptions_Annual">SENSITISATION!$B$51</definedName>
    <definedName name="HL_TOP_ACTV_10_Single_Activity_Cost_Outputs_Annual_ECON_International_Currency">CALCS_Annual!$B$336</definedName>
    <definedName name="HL_TOP_ACTV_10_Single_Activity_Cost_Outputs_Annual_ECON_Local_Currency">CALCS_Annual!$B$320</definedName>
    <definedName name="HL_TOP_ACTV_10_Single_Activity_Cost_Outputs_Annual_FIN_International_Currency">CALCS_Annual!$B$328</definedName>
    <definedName name="HL_TOP_ACTV_10_Single_Activity_Cost_Outputs_Annual_FIN_Local_Currency">CALCS_Annual!$B$312</definedName>
    <definedName name="HL_TOP_ACTV_10_Supplies_and_Materials">SENS_DETAILED_COST_WKSHT!$B$162</definedName>
    <definedName name="HL_TOP_ACTV_10_Supplies_and_Materials_Outputs">CALCS_DETAILED!$B$800</definedName>
    <definedName name="HL_TOP_ACTV_11_Activity_Number_of_Activities_Annual_Assumptions">SENSITISATION!$B$110</definedName>
    <definedName name="HL_TOP_ACTV_11_Activity_Summary_Costs_Annual">COST_SUMMARY!$B$218</definedName>
    <definedName name="HL_TOP_ACTV_11_Allowances_Assumptions">SENS_DETAILED_COST_WKSHT!$B$241</definedName>
    <definedName name="HL_TOP_ACTV_11_Allowances_Outputs">CALCS_DETAILED!$B$864</definedName>
    <definedName name="HL_TOP_ACTV_11_Ass_A">SENS_DETAILED_COST_WKSHT!$B$241</definedName>
    <definedName name="HL_TOP_ACTV_11_Ass_B">SENS_DETAILED_COST_WKSHT!$B$206</definedName>
    <definedName name="HL_TOP_ACTV_11_Cost_Summary_Output">COSTS_DETAILED_SUMMARY!$B$158</definedName>
    <definedName name="HL_TOP_ACTV_11_Detailed_Costing_Worksheet">SENS_DETAILED_COST_WKSHT!$B$198</definedName>
    <definedName name="HL_TOP_ACTV_11_Name">SENSITISATION!$D$86</definedName>
    <definedName name="HL_TOP_ACTV_11_Other_Direct_Costs">SENS_DETAILED_COST_WKSHT!$B$277</definedName>
    <definedName name="HL_TOP_ACTV_11_Other_Direct_Costs_Outputs">CALCS_DETAILED!$B$904</definedName>
    <definedName name="HL_TOP_ACTV_11_Out_A">CALCS_DETAILED!$B$864</definedName>
    <definedName name="HL_TOP_ACTV_11_Personnel_Assumptions">SENS_DETAILED_COST_WKSHT!$B$218</definedName>
    <definedName name="HL_TOP_ACTV_11_Personnel_Outputs">CALCS_DETAILED!$B$839</definedName>
    <definedName name="HL_TOP_ACTV_11_Single_Activity_Cost_Assumptions_Annual">SENSITISATION!$B$88</definedName>
    <definedName name="HL_TOP_ACTV_11_Single_Activity_Cost_Outputs_Annual_ECON_International_Currency">CALCS_Annual!$B$368</definedName>
    <definedName name="HL_TOP_ACTV_11_Single_Activity_Cost_Outputs_Annual_ECON_Local_Currency">CALCS_Annual!$B$352</definedName>
    <definedName name="HL_TOP_ACTV_11_Single_Activity_Cost_Outputs_Annual_FIN_International_Currency">CALCS_Annual!$B$360</definedName>
    <definedName name="HL_TOP_ACTV_11_Single_Activity_Cost_Outputs_Annual_FIN_Local_Currency">CALCS_Annual!$B$344</definedName>
    <definedName name="HL_TOP_ACTV_11_Supplies_and_Materials">SENS_DETAILED_COST_WKSHT!$B$259</definedName>
    <definedName name="HL_TOP_ACTV_11_Supplies_and_Materials_Outputs">CALCS_DETAILED!$B$884</definedName>
    <definedName name="HL_TOP_ACTV_13_Activity_Number_of_Activities_Annual_Assumptions">TRAINING!$B$73</definedName>
    <definedName name="HL_TOP_ACTV_13_Activity_Summary_Costs_Annual">COST_SUMMARY!$B$148</definedName>
    <definedName name="HL_TOP_ACTV_13_Allowances_Assumptions">TRAIN_DETAILED_COST_WKSHT!$B$144</definedName>
    <definedName name="HL_TOP_ACTV_13_Allowances_Outputs">CALCS_DETAILED!$B$444</definedName>
    <definedName name="HL_TOP_ACTV_13_Ass_A">TRAIN_DETAILED_COST_WKSHT!$B$144</definedName>
    <definedName name="HL_TOP_ACTV_13_Ass_B">TRAIN_DETAILED_COST_WKSHT!$B$109</definedName>
    <definedName name="HL_TOP_ACTV_13_Cost_Summary_Output">COSTS_DETAILED_SUMMARY!$B$82</definedName>
    <definedName name="HL_TOP_ACTV_13_Detailed_Costing_Worksheet">TRAIN_DETAILED_COST_WKSHT!$B$101</definedName>
    <definedName name="HL_TOP_ACTV_13_Name">TRAINING!$D$49</definedName>
    <definedName name="HL_TOP_ACTV_13_Other_Direct_Costs">TRAIN_DETAILED_COST_WKSHT!$B$180</definedName>
    <definedName name="HL_TOP_ACTV_13_Other_Direct_Costs_Outputs">CALCS_DETAILED!$B$484</definedName>
    <definedName name="HL_TOP_ACTV_13_Out_A">CALCS_DETAILED!$B$444</definedName>
    <definedName name="HL_TOP_ACTV_13_Personnel_Assumptions">TRAIN_DETAILED_COST_WKSHT!$B$121</definedName>
    <definedName name="HL_TOP_ACTV_13_Personnel_Outputs">CALCS_DETAILED!$B$419</definedName>
    <definedName name="HL_TOP_ACTV_13_Single_Activity_Cost_Assumptions_Annual">TRAINING!$B$51</definedName>
    <definedName name="HL_TOP_ACTV_13_Single_Activity_Cost_Outputs_Annual_ECON_International_Currency">CALCS_Annual!$B$203</definedName>
    <definedName name="HL_TOP_ACTV_13_Single_Activity_Cost_Outputs_Annual_ECON_Local_Currency">CALCS_Annual!$B$187</definedName>
    <definedName name="HL_TOP_ACTV_13_Single_Activity_Cost_Outputs_Annual_FIN_International_Currency">CALCS_Annual!$B$195</definedName>
    <definedName name="HL_TOP_ACTV_13_Single_Activity_Cost_Outputs_Annual_FIN_Local_Currency">CALCS_Annual!$B$179</definedName>
    <definedName name="HL_TOP_ACTV_13_Supplies_and_Materials">TRAIN_DETAILED_COST_WKSHT!$B$162</definedName>
    <definedName name="HL_TOP_ACTV_13_Supplies_and_Materials_Outputs">CALCS_DETAILED!$B$464</definedName>
    <definedName name="HL_TOP_ACTV_14_Activity_Number_of_Activities_Annual_Assumptions">TRAINING!$B$110</definedName>
    <definedName name="HL_TOP_ACTV_14_Activity_Summary_Costs_Annual">COST_SUMMARY!$B$162</definedName>
    <definedName name="HL_TOP_ACTV_14_Allowances_Assumptions">TRAIN_DETAILED_COST_WKSHT!$B$241</definedName>
    <definedName name="HL_TOP_ACTV_14_Allowances_Outputs">CALCS_DETAILED!$B$528</definedName>
    <definedName name="HL_TOP_ACTV_14_Ass_A">TRAIN_DETAILED_COST_WKSHT!$B$241</definedName>
    <definedName name="HL_TOP_ACTV_14_Ass_B">TRAIN_DETAILED_COST_WKSHT!$B$206</definedName>
    <definedName name="HL_TOP_ACTV_14_Cost_Summary_Output">COSTS_DETAILED_SUMMARY!$B$97</definedName>
    <definedName name="HL_TOP_ACTV_14_Detailed_Costing_Worksheet">TRAIN_DETAILED_COST_WKSHT!$B$198</definedName>
    <definedName name="HL_TOP_ACTV_14_Name">TRAINING!$D$86</definedName>
    <definedName name="HL_TOP_ACTV_14_Other_Direct_Costs">TRAIN_DETAILED_COST_WKSHT!$B$277</definedName>
    <definedName name="HL_TOP_ACTV_14_Other_Direct_Costs_Outputs">CALCS_DETAILED!$B$568</definedName>
    <definedName name="HL_TOP_ACTV_14_Out_A">CALCS_DETAILED!$B$528</definedName>
    <definedName name="HL_TOP_ACTV_14_Personnel_Assumptions">TRAIN_DETAILED_COST_WKSHT!$B$218</definedName>
    <definedName name="HL_TOP_ACTV_14_Personnel_Outputs">CALCS_DETAILED!$B$503</definedName>
    <definedName name="HL_TOP_ACTV_14_Single_Activity_Cost_Assumptions_Annual">TRAINING!$B$88</definedName>
    <definedName name="HL_TOP_ACTV_14_Single_Activity_Cost_Outputs_Annual_ECON_International_Currency">CALCS_Annual!$B$235</definedName>
    <definedName name="HL_TOP_ACTV_14_Single_Activity_Cost_Outputs_Annual_ECON_Local_Currency">CALCS_Annual!$B$219</definedName>
    <definedName name="HL_TOP_ACTV_14_Single_Activity_Cost_Outputs_Annual_FIN_International_Currency">CALCS_Annual!$B$227</definedName>
    <definedName name="HL_TOP_ACTV_14_Single_Activity_Cost_Outputs_Annual_FIN_Local_Currency">CALCS_Annual!$B$211</definedName>
    <definedName name="HL_TOP_ACTV_14_Supplies_and_Materials">TRAIN_DETAILED_COST_WKSHT!$B$259</definedName>
    <definedName name="HL_TOP_ACTV_14_Supplies_and_Materials_Outputs">CALCS_DETAILED!$B$548</definedName>
    <definedName name="HL_TOP_ACTV_15_Activity_Number_of_Activities_Annual_Assumptions">SOCIAL_MOBILISATION!$B$73</definedName>
    <definedName name="HL_TOP_ACTV_15_Activity_Summary_Costs_Annual">COST_SUMMARY!$B$288</definedName>
    <definedName name="HL_TOP_ACTV_15_Allowances_Assumptions">SOCMOB_DETAILED_COST_WKSHT!$B$144</definedName>
    <definedName name="HL_TOP_ACTV_15_Allowances_Outputs">CALCS_DETAILED!$B$1284</definedName>
    <definedName name="HL_TOP_ACTV_15_Ass_A">SOCMOB_DETAILED_COST_WKSHT!$B$144</definedName>
    <definedName name="HL_TOP_ACTV_15_Ass_B">SOCMOB_DETAILED_COST_WKSHT!$B$109</definedName>
    <definedName name="HL_TOP_ACTV_15_Cost_Summary_Output">COSTS_DETAILED_SUMMARY!$B$236</definedName>
    <definedName name="HL_TOP_ACTV_15_Detailed_Costing_Worksheet">SOCMOB_DETAILED_COST_WKSHT!$B$101</definedName>
    <definedName name="HL_TOP_ACTV_15_Name">SOCIAL_MOBILISATION!$D$49</definedName>
    <definedName name="HL_TOP_ACTV_15_Other_Direct_Costs">SOCMOB_DETAILED_COST_WKSHT!$B$180</definedName>
    <definedName name="HL_TOP_ACTV_15_Other_Direct_Costs_Outputs">CALCS_DETAILED!$B$1324</definedName>
    <definedName name="HL_TOP_ACTV_15_Out_A">CALCS_DETAILED!$B$1284</definedName>
    <definedName name="HL_TOP_ACTV_15_Personnel_Assumptions">SOCMOB_DETAILED_COST_WKSHT!$B$121</definedName>
    <definedName name="HL_TOP_ACTV_15_Personnel_Outputs">CALCS_DETAILED!$B$1259</definedName>
    <definedName name="HL_TOP_ACTV_15_Single_Activity_Cost_Assumptions_Annual">SOCIAL_MOBILISATION!$B$51</definedName>
    <definedName name="HL_TOP_ACTV_15_Single_Activity_Cost_Outputs_Annual_ECON_International_Currency">CALCS_Annual!$B$543</definedName>
    <definedName name="HL_TOP_ACTV_15_Single_Activity_Cost_Outputs_Annual_ECON_Local_Currency">CALCS_Annual!$B$527</definedName>
    <definedName name="HL_TOP_ACTV_15_Single_Activity_Cost_Outputs_Annual_FIN_International_Currency">CALCS_Annual!$B$535</definedName>
    <definedName name="HL_TOP_ACTV_15_Single_Activity_Cost_Outputs_Annual_FIN_Local_Currency">CALCS_Annual!$B$519</definedName>
    <definedName name="HL_TOP_ACTV_15_Supplies_and_Materials">SOCMOB_DETAILED_COST_WKSHT!$B$162</definedName>
    <definedName name="HL_TOP_ACTV_15_Supplies_and_Materials_Outputs">CALCS_DETAILED!$B$1304</definedName>
    <definedName name="HL_TOP_ACTV_16_Activity_Number_of_Activities_Annual_Assumptions">SOCIAL_MOBILISATION!$B$110</definedName>
    <definedName name="HL_TOP_ACTV_16_Activity_Summary_Costs_Annual">COST_SUMMARY!$B$302</definedName>
    <definedName name="HL_TOP_ACTV_16_Allowances_Assumptions">SOCMOB_DETAILED_COST_WKSHT!$B$241</definedName>
    <definedName name="HL_TOP_ACTV_16_Allowances_Outputs">CALCS_DETAILED!$B$1368</definedName>
    <definedName name="HL_TOP_ACTV_16_Ass_A">SOCMOB_DETAILED_COST_WKSHT!$B$241</definedName>
    <definedName name="HL_TOP_ACTV_16_Ass_B">SOCMOB_DETAILED_COST_WKSHT!$B$206</definedName>
    <definedName name="HL_TOP_ACTV_16_Cost_Summary_Output">COSTS_DETAILED_SUMMARY!$B$251</definedName>
    <definedName name="HL_TOP_ACTV_16_Detailed_Costing_Worksheet">SOCMOB_DETAILED_COST_WKSHT!$B$198</definedName>
    <definedName name="HL_TOP_ACTV_16_Name">SOCIAL_MOBILISATION!$D$86</definedName>
    <definedName name="HL_TOP_ACTV_16_Other_Direct_Costs">SOCMOB_DETAILED_COST_WKSHT!$B$277</definedName>
    <definedName name="HL_TOP_ACTV_16_Other_Direct_Costs_Outputs">CALCS_DETAILED!$B$1408</definedName>
    <definedName name="HL_TOP_ACTV_16_Out_A">CALCS_DETAILED!$B$1368</definedName>
    <definedName name="HL_TOP_ACTV_16_Personnel_Assumptions">SOCMOB_DETAILED_COST_WKSHT!$B$218</definedName>
    <definedName name="HL_TOP_ACTV_16_Personnel_Outputs">CALCS_DETAILED!$B$1343</definedName>
    <definedName name="HL_TOP_ACTV_16_Single_Activity_Cost_Assumptions_Annual">SOCIAL_MOBILISATION!$B$88</definedName>
    <definedName name="HL_TOP_ACTV_16_Single_Activity_Cost_Outputs_Annual_ECON_International_Currency">CALCS_Annual!$B$575</definedName>
    <definedName name="HL_TOP_ACTV_16_Single_Activity_Cost_Outputs_Annual_ECON_Local_Currency">CALCS_Annual!$B$559</definedName>
    <definedName name="HL_TOP_ACTV_16_Single_Activity_Cost_Outputs_Annual_FIN_International_Currency">CALCS_Annual!$B$567</definedName>
    <definedName name="HL_TOP_ACTV_16_Single_Activity_Cost_Outputs_Annual_FIN_Local_Currency">CALCS_Annual!$B$551</definedName>
    <definedName name="HL_TOP_ACTV_16_Supplies_and_Materials">SOCMOB_DETAILED_COST_WKSHT!$B$259</definedName>
    <definedName name="HL_TOP_ACTV_16_Supplies_and_Materials_Outputs">CALCS_DETAILED!$B$1388</definedName>
    <definedName name="HL_TOP_ACTV_17_Activity_Number_of_Activities_Annual_Assumptions">SUPERVISION!$B$73</definedName>
    <definedName name="HL_TOP_ACTV_17_Activity_Summary_Costs_Annual">COST_SUMMARY!$B$456</definedName>
    <definedName name="HL_TOP_ACTV_17_Allowances_Assumptions">SUPV_DETAILED_COST_WKSHT!$B$144</definedName>
    <definedName name="HL_TOP_ACTV_17_Allowances_Outputs">CALCS_DETAILED!$B$1956</definedName>
    <definedName name="HL_TOP_ACTV_17_Ass_A">SUPV_DETAILED_COST_WKSHT!$B$144</definedName>
    <definedName name="HL_TOP_ACTV_17_Ass_B">SUPV_DETAILED_COST_WKSHT!$B$109</definedName>
    <definedName name="HL_TOP_ACTV_17_Cost_Summary_Output">COSTS_DETAILED_SUMMARY!$B$361</definedName>
    <definedName name="HL_TOP_ACTV_17_Detailed_Costing_Worksheet">SUPV_DETAILED_COST_WKSHT!$B$101</definedName>
    <definedName name="HL_TOP_ACTV_17_Name">SUPERVISION!$D$49</definedName>
    <definedName name="HL_TOP_ACTV_17_Other_Direct_Costs">SUPV_DETAILED_COST_WKSHT!$B$180</definedName>
    <definedName name="HL_TOP_ACTV_17_Other_Direct_Costs_Outputs">CALCS_DETAILED!$B$1996</definedName>
    <definedName name="HL_TOP_ACTV_17_Out_A">CALCS_DETAILED!$B$1956</definedName>
    <definedName name="HL_TOP_ACTV_17_Personnel_Assumptions">SUPV_DETAILED_COST_WKSHT!$B$121</definedName>
    <definedName name="HL_TOP_ACTV_17_Personnel_Outputs">CALCS_DETAILED!$B$1931</definedName>
    <definedName name="HL_TOP_ACTV_17_Single_Activity_Cost_Assumptions_Annual">SUPERVISION!$B$51</definedName>
    <definedName name="HL_TOP_ACTV_17_Single_Activity_Cost_Outputs_Annual_ECON_International_Currency">CALCS_Annual!$B$824</definedName>
    <definedName name="HL_TOP_ACTV_17_Single_Activity_Cost_Outputs_Annual_ECON_Local_Currency">CALCS_Annual!$B$808</definedName>
    <definedName name="HL_TOP_ACTV_17_Single_Activity_Cost_Outputs_Annual_FIN_International_Currency">CALCS_Annual!$B$816</definedName>
    <definedName name="HL_TOP_ACTV_17_Single_Activity_Cost_Outputs_Annual_FIN_Local_Currency">CALCS_Annual!$B$800</definedName>
    <definedName name="HL_TOP_ACTV_17_Supplies_and_Materials">SUPV_DETAILED_COST_WKSHT!$B$162</definedName>
    <definedName name="HL_TOP_ACTV_17_Supplies_and_Materials_Outputs">CALCS_DETAILED!$B$1976</definedName>
    <definedName name="HL_TOP_ACTV_18_Activity_Number_of_Activities_Annual_Assumptions">SUPERVISION!$B$110</definedName>
    <definedName name="HL_TOP_ACTV_18_Activity_Summary_Costs_Annual">COST_SUMMARY!$B$470</definedName>
    <definedName name="HL_TOP_ACTV_18_Allowances_Assumptions">SUPV_DETAILED_COST_WKSHT!$B$241</definedName>
    <definedName name="HL_TOP_ACTV_18_Allowances_Outputs">CALCS_DETAILED!$B$2040</definedName>
    <definedName name="HL_TOP_ACTV_18_Ass_A">SUPV_DETAILED_COST_WKSHT!$B$241</definedName>
    <definedName name="HL_TOP_ACTV_18_Ass_B">SUPV_DETAILED_COST_WKSHT!$B$206</definedName>
    <definedName name="HL_TOP_ACTV_18_Cost_Summary_Output">COSTS_DETAILED_SUMMARY!$B$376</definedName>
    <definedName name="HL_TOP_ACTV_18_Detailed_Costing_Worksheet">SUPV_DETAILED_COST_WKSHT!$B$198</definedName>
    <definedName name="HL_TOP_ACTV_18_Name">SUPERVISION!$D$86</definedName>
    <definedName name="HL_TOP_ACTV_18_Other_Direct_Costs">SUPV_DETAILED_COST_WKSHT!$B$277</definedName>
    <definedName name="HL_TOP_ACTV_18_Other_Direct_Costs_Outputs">CALCS_DETAILED!$B$2080</definedName>
    <definedName name="HL_TOP_ACTV_18_Out_A">CALCS_DETAILED!$B$2040</definedName>
    <definedName name="HL_TOP_ACTV_18_Personnel_Assumptions">SUPV_DETAILED_COST_WKSHT!$B$218</definedName>
    <definedName name="HL_TOP_ACTV_18_Personnel_Outputs">CALCS_DETAILED!$B$2015</definedName>
    <definedName name="HL_TOP_ACTV_18_Single_Activity_Cost_Assumptions_Annual">SUPERVISION!$B$88</definedName>
    <definedName name="HL_TOP_ACTV_18_Single_Activity_Cost_Outputs_Annual_ECON_International_Currency">CALCS_Annual!$B$856</definedName>
    <definedName name="HL_TOP_ACTV_18_Single_Activity_Cost_Outputs_Annual_ECON_Local_Currency">CALCS_Annual!$B$840</definedName>
    <definedName name="HL_TOP_ACTV_18_Single_Activity_Cost_Outputs_Annual_FIN_International_Currency">CALCS_Annual!$B$848</definedName>
    <definedName name="HL_TOP_ACTV_18_Single_Activity_Cost_Outputs_Annual_FIN_Local_Currency">CALCS_Annual!$B$832</definedName>
    <definedName name="HL_TOP_ACTV_18_Supplies_and_Materials">SUPV_DETAILED_COST_WKSHT!$B$259</definedName>
    <definedName name="HL_TOP_ACTV_18_Supplies_and_Materials_Outputs">CALCS_DETAILED!$B$2060</definedName>
    <definedName name="HL_TOP_ACTV_19_Activity_Number_of_Activities_Annual_Assumptions">OTHER!$B$106</definedName>
    <definedName name="HL_TOP_ACTV_19_Activity_Summary_Costs_Annual">COST_SUMMARY!$B$568</definedName>
    <definedName name="HL_TOP_ACTV_19_Allowances_Assumptions">OTHER_DETAILED_COST_WKSHT!$B$241</definedName>
    <definedName name="HL_TOP_ACTV_19_Allowances_Outputs">CALCS_DETAILED!$B$2628</definedName>
    <definedName name="HL_TOP_ACTV_19_Ass_A">OTHER_DETAILED_COST_WKSHT!$B$241</definedName>
    <definedName name="HL_TOP_ACTV_19_Ass_B">OTHER_DETAILED_COST_WKSHT!$B$206</definedName>
    <definedName name="HL_TOP_ACTV_19_Cost_Summary_Output">COSTS_DETAILED_SUMMARY!$B$548</definedName>
    <definedName name="HL_TOP_ACTV_19_Detailed_Costing_Worksheet">OTHER_DETAILED_COST_WKSHT!$B$198</definedName>
    <definedName name="HL_TOP_ACTV_19_Name">OTHER!$D$81</definedName>
    <definedName name="HL_TOP_ACTV_19_Other_Direct_Costs">OTHER_DETAILED_COST_WKSHT!$B$180</definedName>
    <definedName name="HL_TOP_ACTV_19_Other_Direct_Costs_Outputs">CALCS_DETAILED!$B$2668</definedName>
    <definedName name="HL_TOP_ACTV_19_Out_A">CALCS_DETAILED!$B$2628</definedName>
    <definedName name="HL_TOP_ACTV_19_Personnel_Assumptions">OTHER_DETAILED_COST_WKSHT!$B$218</definedName>
    <definedName name="HL_TOP_ACTV_19_Personnel_Outputs">CALCS_DETAILED!$B$2603</definedName>
    <definedName name="HL_TOP_ACTV_19_Single_Activity_Cost_Assumptions_Annual">OTHER!$B$83</definedName>
    <definedName name="HL_TOP_ACTV_19_Single_Activity_Cost_Outputs_Annual_ECON_International_Currency">CALCS_Annual!$B$1233</definedName>
    <definedName name="HL_TOP_ACTV_19_Single_Activity_Cost_Outputs_Annual_ECON_Local_Currency">CALCS_Annual!$B$1217</definedName>
    <definedName name="HL_TOP_ACTV_19_Single_Activity_Cost_Outputs_Annual_FIN_International_Currency">CALCS_Annual!$B$1225</definedName>
    <definedName name="HL_TOP_ACTV_19_Single_Activity_Cost_Outputs_Annual_FIN_Local_Currency">CALCS_Annual!$B$1209</definedName>
    <definedName name="HL_TOP_ACTV_19_Supplies_and_Materials">OTHER_DETAILED_COST_WKSHT!$B$259</definedName>
    <definedName name="HL_TOP_ACTV_19_Supplies_and_Materials_Outputs">CALCS_DETAILED!$B$2648</definedName>
    <definedName name="HL_TOP_ACTV_2_Activity_Number_of_Activities_Annual_Assumptions">TRAINING!$B$36</definedName>
    <definedName name="HL_TOP_ACTV_2_Activity_Summary_Costs_Annual">COST_SUMMARY!$B$134</definedName>
    <definedName name="HL_TOP_ACTV_2_Allowances_Assumptions">TRAIN_DETAILED_COST_WKSHT!$B$47</definedName>
    <definedName name="HL_TOP_ACTV_2_Allowances_Outputs">CALCS_DETAILED!$B$360</definedName>
    <definedName name="HL_TOP_ACTV_2_Ass_A">TRAIN_DETAILED_COST_WKSHT!$B$47</definedName>
    <definedName name="HL_TOP_ACTV_2_Ass_B">TRAIN_DETAILED_COST_WKSHT!$B$12</definedName>
    <definedName name="HL_TOP_ACTV_2_Cost_Summary_Output">COSTS_DETAILED_SUMMARY!$B$67</definedName>
    <definedName name="HL_TOP_ACTV_2_Detailed_Costing_Worksheet">TRAIN_DETAILED_COST_WKSHT!$B$4</definedName>
    <definedName name="HL_TOP_ACTV_2_Name">TRAINING!$D$12</definedName>
    <definedName name="HL_TOP_ACTV_2_Other_Direct_Costs">TRAIN_DETAILED_COST_WKSHT!$B$83</definedName>
    <definedName name="HL_TOP_ACTV_2_Other_Direct_Costs_Outputs">CALCS_DETAILED!$B$400</definedName>
    <definedName name="HL_TOP_ACTV_2_Out_A">CALCS_DETAILED!$B$360</definedName>
    <definedName name="HL_TOP_ACTV_2_Personnel_Assumptions">TRAIN_DETAILED_COST_WKSHT!$B$24</definedName>
    <definedName name="HL_TOP_ACTV_2_Personnel_Outputs">CALCS_DETAILED!$B$335</definedName>
    <definedName name="HL_TOP_ACTV_2_Single_Activity_Cost_Assumptions_Annual">TRAINING!$B$14</definedName>
    <definedName name="HL_TOP_ACTV_2_Single_Activity_Cost_Outputs_Annual_ECON_International_Currency">CALCS_Annual!$B$171</definedName>
    <definedName name="HL_TOP_ACTV_2_Single_Activity_Cost_Outputs_Annual_ECON_Local_Currency">CALCS_Annual!$B$155</definedName>
    <definedName name="HL_TOP_ACTV_2_Single_Activity_Cost_Outputs_Annual_FIN_International_Currency">CALCS_Annual!$B$163</definedName>
    <definedName name="HL_TOP_ACTV_2_Single_Activity_Cost_Outputs_Annual_FIN_Local_Currency">CALCS_Annual!$B$147</definedName>
    <definedName name="HL_TOP_ACTV_2_Supplies_and_Materials">TRAIN_DETAILED_COST_WKSHT!$B$65</definedName>
    <definedName name="HL_TOP_ACTV_2_Supplies_and_Materials_Outputs">CALCS_DETAILED!$B$380</definedName>
    <definedName name="HL_TOP_ACTV_20_Activity_Number_of_Activities_Annual_Assumptions">OTHER!$B$71</definedName>
    <definedName name="HL_TOP_ACTV_20_Activity_Summary_Costs_Annual">COST_SUMMARY!$B$554</definedName>
    <definedName name="HL_TOP_ACTV_20_Allowances_Assumptions">OTHER_DETAILED_COST_WKSHT!$B$144</definedName>
    <definedName name="HL_TOP_ACTV_20_Allowances_Outputs">CALCS_DETAILED!$B$2544</definedName>
    <definedName name="HL_TOP_ACTV_20_Ass_A">OTHER_DETAILED_COST_WKSHT!$B$144</definedName>
    <definedName name="HL_TOP_ACTV_20_Ass_B">OTHER_DETAILED_COST_WKSHT!$B$109</definedName>
    <definedName name="HL_TOP_ACTV_20_Cost_Summary_Output">COSTS_DETAILED_SUMMARY!$B$533</definedName>
    <definedName name="HL_TOP_ACTV_20_Detailed_Costing_Worksheet">OTHER_DETAILED_COST_WKSHT!$B$101</definedName>
    <definedName name="HL_TOP_ACTV_20_Name">OTHER!$D$46</definedName>
    <definedName name="HL_TOP_ACTV_20_Other_Direct_Costs">OTHER_DETAILED_COST_WKSHT!$B$277</definedName>
    <definedName name="HL_TOP_ACTV_20_Other_Direct_Costs_Outputs">CALCS_DETAILED!$B$2584</definedName>
    <definedName name="HL_TOP_ACTV_20_Out_A">CALCS_DETAILED!$B$2544</definedName>
    <definedName name="HL_TOP_ACTV_20_Personnel_Assumptions">OTHER_DETAILED_COST_WKSHT!$B$121</definedName>
    <definedName name="HL_TOP_ACTV_20_Personnel_Outputs">CALCS_DETAILED!$B$2519</definedName>
    <definedName name="HL_TOP_ACTV_20_Single_Activity_Cost_Assumptions_Annual">OTHER!$B$48</definedName>
    <definedName name="HL_TOP_ACTV_20_Single_Activity_Cost_Outputs_Annual_ECON_International_Currency">CALCS_Annual!$B$1201</definedName>
    <definedName name="HL_TOP_ACTV_20_Single_Activity_Cost_Outputs_Annual_ECON_Local_Currency">CALCS_Annual!$B$1185</definedName>
    <definedName name="HL_TOP_ACTV_20_Single_Activity_Cost_Outputs_Annual_FIN_International_Currency">CALCS_Annual!$B$1193</definedName>
    <definedName name="HL_TOP_ACTV_20_Single_Activity_Cost_Outputs_Annual_FIN_Local_Currency">CALCS_Annual!$B$1177</definedName>
    <definedName name="HL_TOP_ACTV_20_Supplies_and_Materials">OTHER_DETAILED_COST_WKSHT!$B$162</definedName>
    <definedName name="HL_TOP_ACTV_20_Supplies_and_Materials_Outputs">CALCS_DETAILED!$B$2564</definedName>
    <definedName name="HL_TOP_ACTV_3_Activity_Number_of_Activities_Annual_Assumptions">SENSITISATION!$B$36</definedName>
    <definedName name="HL_TOP_ACTV_3_Activity_Summary_Costs_Annual">COST_SUMMARY!$B$190</definedName>
    <definedName name="HL_TOP_ACTV_3_Allowances_Assumptions">SENS_DETAILED_COST_WKSHT!$B$47</definedName>
    <definedName name="HL_TOP_ACTV_3_Allowances_Outputs">CALCS_DETAILED!$B$696</definedName>
    <definedName name="HL_TOP_ACTV_3_Ass_A">SENS_DETAILED_COST_WKSHT!$B$47</definedName>
    <definedName name="HL_TOP_ACTV_3_Ass_B">SENS_DETAILED_COST_WKSHT!$B$12</definedName>
    <definedName name="HL_TOP_ACTV_3_Cost_Summary_Output">COSTS_DETAILED_SUMMARY!$B$128</definedName>
    <definedName name="HL_TOP_ACTV_3_Detailed_Costing_Worksheet">SENS_DETAILED_COST_WKSHT!$B$4</definedName>
    <definedName name="HL_TOP_ACTV_3_Name">SENSITISATION!$D$12</definedName>
    <definedName name="HL_TOP_ACTV_3_Other_Direct_Costs">SENS_DETAILED_COST_WKSHT!$B$83</definedName>
    <definedName name="HL_TOP_ACTV_3_Other_Direct_Costs_Outputs">CALCS_DETAILED!$B$736</definedName>
    <definedName name="HL_TOP_ACTV_3_Out_A">CALCS_DETAILED!$B$696</definedName>
    <definedName name="HL_TOP_ACTV_3_Personnel_Assumptions">SENS_DETAILED_COST_WKSHT!$B$24</definedName>
    <definedName name="HL_TOP_ACTV_3_Personnel_Outputs">CALCS_DETAILED!$B$671</definedName>
    <definedName name="HL_TOP_ACTV_3_Single_Activity_Cost_Assumptions_Annual">SENSITISATION!$B$14</definedName>
    <definedName name="HL_TOP_ACTV_3_Single_Activity_Cost_Outputs_Annual_ECON_International_Currency">CALCS_Annual!$B$304</definedName>
    <definedName name="HL_TOP_ACTV_3_Single_Activity_Cost_Outputs_Annual_ECON_Local_Currency">CALCS_Annual!$B$288</definedName>
    <definedName name="HL_TOP_ACTV_3_Single_Activity_Cost_Outputs_Annual_FIN_International_Currency">CALCS_Annual!$B$296</definedName>
    <definedName name="HL_TOP_ACTV_3_Single_Activity_Cost_Outputs_Annual_FIN_Local_Currency">CALCS_Annual!$B$280</definedName>
    <definedName name="HL_TOP_ACTV_3_Supplies_and_Materials">SENS_DETAILED_COST_WKSHT!$B$65</definedName>
    <definedName name="HL_TOP_ACTV_3_Supplies_and_Materials_Outputs">CALCS_DETAILED!$B$716</definedName>
    <definedName name="HL_TOP_ACTV_4_Activity_Number_of_Activities_Annual_Assumptions">SOCIAL_MOBILISATION!$B$36</definedName>
    <definedName name="HL_TOP_ACTV_4_Activity_Summary_Costs_Annual">COST_SUMMARY!$B$274</definedName>
    <definedName name="HL_TOP_ACTV_4_Allowances_Assumptions">SOCMOB_DETAILED_COST_WKSHT!$B$47</definedName>
    <definedName name="HL_TOP_ACTV_4_Allowances_Outputs">CALCS_DETAILED!$B$1200</definedName>
    <definedName name="HL_TOP_ACTV_4_Ass_A">SOCMOB_DETAILED_COST_WKSHT!$B$47</definedName>
    <definedName name="HL_TOP_ACTV_4_Ass_B">SOCMOB_DETAILED_COST_WKSHT!$B$12</definedName>
    <definedName name="HL_TOP_ACTV_4_Cost_Summary_Output">COSTS_DETAILED_SUMMARY!$B$221</definedName>
    <definedName name="HL_TOP_ACTV_4_Detailed_Costing_Worksheet">SOCMOB_DETAILED_COST_WKSHT!$B$4</definedName>
    <definedName name="HL_TOP_ACTV_4_Name">SOCIAL_MOBILISATION!$D$12</definedName>
    <definedName name="HL_TOP_ACTV_4_Other_Direct_Costs">SOCMOB_DETAILED_COST_WKSHT!$B$83</definedName>
    <definedName name="HL_TOP_ACTV_4_Other_Direct_Costs_Outputs">CALCS_DETAILED!$B$1240</definedName>
    <definedName name="HL_TOP_ACTV_4_Out_A">CALCS_DETAILED!$B$1200</definedName>
    <definedName name="HL_TOP_ACTV_4_Personnel_Assumptions">SOCMOB_DETAILED_COST_WKSHT!$B$24</definedName>
    <definedName name="HL_TOP_ACTV_4_Personnel_Outputs">CALCS_DETAILED!$B$1175</definedName>
    <definedName name="HL_TOP_ACTV_4_Single_Activity_Cost_Assumptions_Annual">SOCIAL_MOBILISATION!$B$14</definedName>
    <definedName name="HL_TOP_ACTV_4_Single_Activity_Cost_Outputs_Annual_ECON_International_Currency">CALCS_Annual!$B$511</definedName>
    <definedName name="HL_TOP_ACTV_4_Single_Activity_Cost_Outputs_Annual_ECON_Local_Currency">CALCS_Annual!$B$495</definedName>
    <definedName name="HL_TOP_ACTV_4_Single_Activity_Cost_Outputs_Annual_FIN_International_Currency">CALCS_Annual!$B$503</definedName>
    <definedName name="HL_TOP_ACTV_4_Single_Activity_Cost_Outputs_Annual_FIN_Local_Currency">CALCS_Annual!$B$487</definedName>
    <definedName name="HL_TOP_ACTV_4_Supplies_and_Materials">SOCMOB_DETAILED_COST_WKSHT!$B$65</definedName>
    <definedName name="HL_TOP_ACTV_4_Supplies_and_Materials_Outputs">CALCS_DETAILED!$B$1220</definedName>
    <definedName name="HL_TOP_ACTV_5_Activity_Number_of_Activities_Annual_Assumptions">SUPERVISION!$B$36</definedName>
    <definedName name="HL_TOP_ACTV_5_Activity_Summary_Costs_Annual">COST_SUMMARY!$B$442</definedName>
    <definedName name="HL_TOP_ACTV_5_Allowances_Assumptions">SUPV_DETAILED_COST_WKSHT!$B$47</definedName>
    <definedName name="HL_TOP_ACTV_5_Allowances_Outputs">CALCS_DETAILED!$B$1872</definedName>
    <definedName name="HL_TOP_ACTV_5_Ass_A">SUPV_DETAILED_COST_WKSHT!$B$47</definedName>
    <definedName name="HL_TOP_ACTV_5_Ass_B">SUPV_DETAILED_COST_WKSHT!$B$12</definedName>
    <definedName name="HL_TOP_ACTV_5_Cost_Summary_Output">COSTS_DETAILED_SUMMARY!$B$346</definedName>
    <definedName name="HL_TOP_ACTV_5_Detailed_Costing_Worksheet">SUPV_DETAILED_COST_WKSHT!$B$4</definedName>
    <definedName name="HL_TOP_ACTV_5_Name">SUPERVISION!$D$12</definedName>
    <definedName name="HL_TOP_ACTV_5_Other_Direct_Costs">SUPV_DETAILED_COST_WKSHT!$B$83</definedName>
    <definedName name="HL_TOP_ACTV_5_Other_Direct_Costs_Outputs">CALCS_DETAILED!$B$1912</definedName>
    <definedName name="HL_TOP_ACTV_5_Out_A">CALCS_DETAILED!$B$1872</definedName>
    <definedName name="HL_TOP_ACTV_5_Personnel_Assumptions">SUPV_DETAILED_COST_WKSHT!$B$24</definedName>
    <definedName name="HL_TOP_ACTV_5_Personnel_Outputs">CALCS_DETAILED!$B$1847</definedName>
    <definedName name="HL_TOP_ACTV_5_Single_Activity_Cost_Assumptions_Annual">SUPERVISION!$B$14</definedName>
    <definedName name="HL_TOP_ACTV_5_Single_Activity_Cost_Outputs_Annual_ECON_International_Currency">CALCS_Annual!$B$792</definedName>
    <definedName name="HL_TOP_ACTV_5_Single_Activity_Cost_Outputs_Annual_ECON_Local_Currency">CALCS_Annual!$B$776</definedName>
    <definedName name="HL_TOP_ACTV_5_Single_Activity_Cost_Outputs_Annual_FIN_International_Currency">CALCS_Annual!$B$784</definedName>
    <definedName name="HL_TOP_ACTV_5_Single_Activity_Cost_Outputs_Annual_FIN_Local_Currency">CALCS_Annual!$B$768</definedName>
    <definedName name="HL_TOP_ACTV_5_Supplies_and_Materials">SUPV_DETAILED_COST_WKSHT!$B$65</definedName>
    <definedName name="HL_TOP_ACTV_5_Supplies_and_Materials_Outputs">CALCS_DETAILED!$B$1892</definedName>
    <definedName name="HL_TOP_ACTV_6_Activity_Number_of_Activities_Annual_Assumptions">OTHER!$B$36</definedName>
    <definedName name="HL_TOP_ACTV_6_Activity_Summary_Costs_Annual">COST_SUMMARY!$B$540</definedName>
    <definedName name="HL_TOP_ACTV_6_Allowances_Assumptions">OTHER_DETAILED_COST_WKSHT!$B$47</definedName>
    <definedName name="HL_TOP_ACTV_6_Allowances_Outputs">CALCS_DETAILED!$B$2460</definedName>
    <definedName name="HL_TOP_ACTV_6_Ass_A">OTHER_DETAILED_COST_WKSHT!$B$47</definedName>
    <definedName name="HL_TOP_ACTV_6_Ass_B">OTHER_DETAILED_COST_WKSHT!$B$12</definedName>
    <definedName name="HL_TOP_ACTV_6_Cost_Summary_Output">COSTS_DETAILED_SUMMARY!$B$518</definedName>
    <definedName name="HL_TOP_ACTV_6_Detailed_Costing_Worksheet">OTHER_DETAILED_COST_WKSHT!$B$4</definedName>
    <definedName name="HL_TOP_ACTV_6_Name">OTHER!$D$12</definedName>
    <definedName name="HL_TOP_ACTV_6_Other_Direct_Costs">OTHER_DETAILED_COST_WKSHT!$B$83</definedName>
    <definedName name="HL_TOP_ACTV_6_Other_Direct_Costs_Outputs">CALCS_DETAILED!$B$2500</definedName>
    <definedName name="HL_TOP_ACTV_6_Out_A">CALCS_DETAILED!$B$2460</definedName>
    <definedName name="HL_TOP_ACTV_6_Personnel_Assumptions">OTHER_DETAILED_COST_WKSHT!$B$24</definedName>
    <definedName name="HL_TOP_ACTV_6_Personnel_Outputs">CALCS_DETAILED!$B$2435</definedName>
    <definedName name="HL_TOP_ACTV_6_Single_Activity_Cost_Assumptions_Annual">OTHER!$B$14</definedName>
    <definedName name="HL_TOP_ACTV_6_Single_Activity_Cost_Outputs_Annual_ECON_International_Currency">CALCS_Annual!$B$1169</definedName>
    <definedName name="HL_TOP_ACTV_6_Single_Activity_Cost_Outputs_Annual_ECON_Local_Currency">CALCS_Annual!$B$1153</definedName>
    <definedName name="HL_TOP_ACTV_6_Single_Activity_Cost_Outputs_Annual_FIN_International_Currency">CALCS_Annual!$B$1161</definedName>
    <definedName name="HL_TOP_ACTV_6_Single_Activity_Cost_Outputs_Annual_FIN_Local_Currency">CALCS_Annual!$B$1145</definedName>
    <definedName name="HL_TOP_ACTV_6_Supplies_and_Materials">OTHER_DETAILED_COST_WKSHT!$B$65</definedName>
    <definedName name="HL_TOP_ACTV_6_Supplies_and_Materials_Outputs">CALCS_DETAILED!$B$2480</definedName>
    <definedName name="HL_TOP_ACTV_7_Activity_Number_of_Activities_Annual_Assumptions">MICROPLANNING!$B$73</definedName>
    <definedName name="HL_TOP_ACTV_7_Activity_Summary_Costs_Annual">COST_SUMMARY!$B$92</definedName>
    <definedName name="HL_TOP_ACTV_7_Allowances_Assumptions">MICRO_DETAILED_COST_WKSHT!$B$139</definedName>
    <definedName name="HL_TOP_ACTV_7_Allowances_Outputs">CALCS_DETAILED!$B$108</definedName>
    <definedName name="HL_TOP_ACTV_7_Ass_A">MICRO_DETAILED_COST_WKSHT!$B$139</definedName>
    <definedName name="HL_TOP_ACTV_7_Ass_B">MICRO_DETAILED_COST_WKSHT!$B$104</definedName>
    <definedName name="HL_TOP_ACTV_7_Cost_Summary_Output">COSTS_DETAILED_SUMMARY!$B$20</definedName>
    <definedName name="HL_TOP_ACTV_7_Detailed_Costing_Worksheet">MICRO_DETAILED_COST_WKSHT!$B$96</definedName>
    <definedName name="HL_TOP_ACTV_7_Name">MICROPLANNING!$D$49</definedName>
    <definedName name="HL_TOP_ACTV_7_Other_Direct_Costs">MICRO_DETAILED_COST_WKSHT!$B$175</definedName>
    <definedName name="HL_TOP_ACTV_7_Other_Direct_Costs_Outputs">CALCS_DETAILED!$B$148</definedName>
    <definedName name="HL_TOP_ACTV_7_Out_A">CALCS_DETAILED!$B$108</definedName>
    <definedName name="HL_TOP_ACTV_7_Personnel_Assumptions">MICRO_DETAILED_COST_WKSHT!$B$116</definedName>
    <definedName name="HL_TOP_ACTV_7_Personnel_Outputs">CALCS_DETAILED!$B$83</definedName>
    <definedName name="HL_TOP_ACTV_7_Single_Activity_Cost_Assumptions_Annual">MICROPLANNING!$B$51</definedName>
    <definedName name="HL_TOP_ACTV_7_Single_Activity_Cost_Outputs_Annual_ECON_International_Currency">CALCS_Annual!$B$65</definedName>
    <definedName name="HL_TOP_ACTV_7_Single_Activity_Cost_Outputs_Annual_ECON_Local_Currency">CALCS_Annual!$B$49</definedName>
    <definedName name="HL_TOP_ACTV_7_Single_Activity_Cost_Outputs_Annual_FIN_International_Currency">CALCS_Annual!$B$57</definedName>
    <definedName name="HL_TOP_ACTV_7_Single_Activity_Cost_Outputs_Annual_FIN_Local_Currency">CALCS_Annual!$B$41</definedName>
    <definedName name="HL_TOP_ACTV_7_Supplies_and_Materials">MICRO_DETAILED_COST_WKSHT!$B$157</definedName>
    <definedName name="HL_TOP_ACTV_7_Supplies_and_Materials_Outputs">CALCS_DETAILED!$B$128</definedName>
    <definedName name="HL_TOP_ACTV_8_Activity_Number_of_Activities_Annual_Assumptions">SUPERVISION!$B$147</definedName>
    <definedName name="HL_TOP_ACTV_8_Activity_Summary_Costs_Annual">COST_SUMMARY!$B$484</definedName>
    <definedName name="HL_TOP_ACTV_8_Allowances_Assumptions">SUPV_DETAILED_COST_WKSHT!$B$338</definedName>
    <definedName name="HL_TOP_ACTV_8_Allowances_Outputs">CALCS_DETAILED!$B$2124</definedName>
    <definedName name="HL_TOP_ACTV_8_Ass_A">SUPV_DETAILED_COST_WKSHT!$B$338</definedName>
    <definedName name="HL_TOP_ACTV_8_Ass_B">SUPV_DETAILED_COST_WKSHT!$B$303</definedName>
    <definedName name="HL_TOP_ACTV_8_Cost_Summary_Output">COSTS_DETAILED_SUMMARY!$B$391</definedName>
    <definedName name="HL_TOP_ACTV_8_Detailed_Costing_Worksheet">SUPV_DETAILED_COST_WKSHT!$B$295</definedName>
    <definedName name="HL_TOP_ACTV_8_Name">SUPERVISION!$D$123</definedName>
    <definedName name="HL_TOP_ACTV_8_Other_Direct_Costs">SUPV_DETAILED_COST_WKSHT!$B$374</definedName>
    <definedName name="HL_TOP_ACTV_8_Other_Direct_Costs_Outputs">CALCS_DETAILED!$B$2164</definedName>
    <definedName name="HL_TOP_ACTV_8_Out_A">CALCS_DETAILED!$B$2124</definedName>
    <definedName name="HL_TOP_ACTV_8_Personnel_Assumptions">SUPV_DETAILED_COST_WKSHT!$B$315</definedName>
    <definedName name="HL_TOP_ACTV_8_Personnel_Outputs">CALCS_DETAILED!$B$2099</definedName>
    <definedName name="HL_TOP_ACTV_8_Single_Activity_Cost_Assumptions_Annual">SUPERVISION!$B$125</definedName>
    <definedName name="HL_TOP_ACTV_8_Single_Activity_Cost_Outputs_Annual_ECON_International_Currency">CALCS_Annual!$B$888</definedName>
    <definedName name="HL_TOP_ACTV_8_Single_Activity_Cost_Outputs_Annual_ECON_Local_Currency">CALCS_Annual!$B$872</definedName>
    <definedName name="HL_TOP_ACTV_8_Single_Activity_Cost_Outputs_Annual_FIN_International_Currency">CALCS_Annual!$B$880</definedName>
    <definedName name="HL_TOP_ACTV_8_Single_Activity_Cost_Outputs_Annual_FIN_Local_Currency">CALCS_Annual!$B$864</definedName>
    <definedName name="HL_TOP_ACTV_8_Supplies_and_Materials">SUPV_DETAILED_COST_WKSHT!$B$356</definedName>
    <definedName name="HL_TOP_ACTV_8_Supplies_and_Materials_Outputs">CALCS_DETAILED!$B$2144</definedName>
    <definedName name="HL_TOP_ACTV_Activity_Number_of_Activities_Annual_Assumptions">MICROPLANNING!$B$36</definedName>
    <definedName name="HL_TOP_ACTV_Activity_Summary_Costs_Annual">COST_SUMMARY!$B$78</definedName>
    <definedName name="HL_TOP_ACTV_Allowances_Assumptions">MICRO_DETAILED_COST_WKSHT!$B$42</definedName>
    <definedName name="HL_TOP_ACTV_Allowances_Outputs">CALCS_DETAILED!$B$24</definedName>
    <definedName name="HL_TOP_ACTV_Ass_A">MICRO_DETAILED_COST_WKSHT!$B$42</definedName>
    <definedName name="HL_TOP_ACTV_Ass_B">MICRO_DETAILED_COST_WKSHT!$B$12</definedName>
    <definedName name="HL_TOP_ACTV_Cost_Summary_Output">COSTS_DETAILED_SUMMARY!$B$5</definedName>
    <definedName name="HL_TOP_ACTV_Detailed_Costing_Worksheet">MICRO_DETAILED_COST_WKSHT!$B$4</definedName>
    <definedName name="HL_TOP_ACTV_Name">MICROPLANNING!$D$12</definedName>
    <definedName name="HL_TOP_ACTV_Other_Direct_Costs">MICRO_DETAILED_COST_WKSHT!$B$78</definedName>
    <definedName name="HL_TOP_ACTV_Other_Direct_Costs_Outputs">CALCS_DETAILED!$B$64</definedName>
    <definedName name="HL_TOP_ACTV_Out_A">CALCS_DETAILED!$B$24</definedName>
    <definedName name="HL_TOP_ACTV_Personnel_Assumptions">MICRO_DETAILED_COST_WKSHT!$B$24</definedName>
    <definedName name="HL_TOP_ACTV_Personnel_Outputs">CALCS_DETAILED!$B$4</definedName>
    <definedName name="HL_TOP_ACTV_Single_Activity_Cost_Assumptions_Annual">MICROPLANNING!$B$14</definedName>
    <definedName name="HL_TOP_ACTV_Single_Activity_Cost_Outputs_Annual_ECON_International_Currency">CALCS_Annual!$B$33</definedName>
    <definedName name="HL_TOP_ACTV_Single_Activity_Cost_Outputs_Annual_ECON_Local_Currency">CALCS_Annual!$B$17</definedName>
    <definedName name="HL_TOP_ACTV_Single_Activity_Cost_Outputs_Annual_FIN_International_Currency">CALCS_Annual!$B$25</definedName>
    <definedName name="HL_TOP_ACTV_Single_Activity_Cost_Outputs_Annual_FIN_Local_Currency">CALCS_Annual!$B$9</definedName>
    <definedName name="HL_TOP_ACTV_Supplies_and_Materials">MICRO_DETAILED_COST_WKSHT!$B$60</definedName>
    <definedName name="HL_TOP_ACTV_Supplies_and_Materials_Outputs">CALCS_DETAILED!$B$44</definedName>
    <definedName name="HL_Vacc_Ass_A">'VACCS_&amp;_SUPPLIES'!$B$101</definedName>
    <definedName name="HL_Vacc_Ass_C">'VACCS_&amp;_SUPPLIES'!$B$9</definedName>
    <definedName name="HL_Vacc_Out">'VACCS_&amp;_SUPPLIES_To'!$B$11</definedName>
    <definedName name="HL_Vacc_Out_A">'VACCS_&amp;_SUPPLIES_To'!$B$32</definedName>
    <definedName name="HL_Vacc_Safety_Box_Capacity_Prospective">'VACCS_&amp;_SUPPLIES'!$H$118</definedName>
    <definedName name="Lang_3percent_Is_Standard_For_Health_Costing_Analyses">LANG!$D$134</definedName>
    <definedName name="Lang_Activities">LANG!$D$469</definedName>
    <definedName name="Lang_Activities_Annual_Assumptions">LANG!$D$476</definedName>
    <definedName name="Lang_Activities_Annual_Assumptions_Projected_Or_Retrospective">LANG!$D$520</definedName>
    <definedName name="Lang_Activity">LANG!$D$464</definedName>
    <definedName name="Lang_Activity_Names_And_Quantities_Performed">LANG!$D$60</definedName>
    <definedName name="Lang_Activity_Quantities_And_Cost_Summary">LANG!$D$268</definedName>
    <definedName name="Lang_Activity_Unit_Day_Hour_Minute">LANG!$D$307</definedName>
    <definedName name="Lang_Additional_Costs">LANG!$D$178</definedName>
    <definedName name="Lang_Additional_Costs_Injection_Syringes">LANG!$D$180</definedName>
    <definedName name="Lang_Additional_Costs_Safety_Boxes">LANG!$D$181</definedName>
    <definedName name="Lang_Additional_Costs_Vaccine">LANG!$D$179</definedName>
    <definedName name="Lang_Adjustment_For_Projected_Wastage_Rate_For_Injection_Syringes">LANG!$D$194</definedName>
    <definedName name="Lang_Adjustment_For_Projected_Wastage_Rate_For_Safety_Boxes">LANG!$D$195</definedName>
    <definedName name="Lang_Adjustment_For_Projected_Wastage_Rate_For_Vaccines">LANG!$D$193</definedName>
    <definedName name="Lang_AEFI_Variables">LANG!$D$369</definedName>
    <definedName name="Lang_Age_Groups">LANG!$D$84</definedName>
    <definedName name="Lang_Alert_Check_Does_Total_Sum_To_Coverage_Total">LANG!$D$223</definedName>
    <definedName name="Lang_Alert_Check_Percent_Administered_Through_School_Should_Not_Exceed_Percent_Of_In_School_Pop_Receiving_Vacc">LANG!$D$214</definedName>
    <definedName name="Lang_Alert_Checks">LANG!$D$333</definedName>
    <definedName name="Lang_Alert_In">LANG!$D$501</definedName>
    <definedName name="Lang_Alerts_Detected">LANG!$D$502</definedName>
    <definedName name="Lang_All_Age_Groups">LANG!$D$436</definedName>
    <definedName name="Lang_All_Age_Groups_Projected">LANG!$D$148</definedName>
    <definedName name="Lang_All_Age_Groups_Retrospective">LANG!$D$149</definedName>
    <definedName name="Lang_All_Age_Groups_Retrospective_AUTOCALCULATED">LANG!$D$150</definedName>
    <definedName name="Lang_All_Target_Pop">LANG!$D$29</definedName>
    <definedName name="Lang_All_Target_Pop_Coverage">LANG!$D$486</definedName>
    <definedName name="Lang_All_Target_Pop_SmallLetter">LANG!$D$483</definedName>
    <definedName name="Lang_All_Years">LANG!$D$81</definedName>
    <definedName name="Lang_Allowance_Type">LANG!$D$309</definedName>
    <definedName name="Lang_Allowance_Unit_Per_Day_Round_Trip_Travel">LANG!$D$310</definedName>
    <definedName name="Lang_Allowances">LANG!$D$348</definedName>
    <definedName name="Lang_Allowances_Outputs">LANG!$D$517</definedName>
    <definedName name="Lang_Analysis">LANG!$D$47</definedName>
    <definedName name="Lang_Analysis_Imported_Selections_Developer_Only">LANG!$D$88</definedName>
    <definedName name="Lang_Analysis_Lookups">LANG!$D$296</definedName>
    <definedName name="Lang_Annual_Discount_Rate_Category_1">LANG!$D$132</definedName>
    <definedName name="Lang_Annual_Discount_Rate_Colon">LANG!$D$282</definedName>
    <definedName name="Lang_Annual_Pop_Growth_Rate">LANG!$D$147</definedName>
    <definedName name="Lang_Annualized">LANG!$D$478</definedName>
    <definedName name="Lang_Appendices">LANG!$D$289</definedName>
    <definedName name="Lang_Applied_Currency">LANG!$D$170</definedName>
    <definedName name="Lang_Area_Name">LANG!$D$239</definedName>
    <definedName name="Lang_Assumptions">LANG!$D$93</definedName>
    <definedName name="Lang_AutoCal_Drop_Out_Rate">LANG!$D$157</definedName>
    <definedName name="Lang_AutoCal_Number_Receiving_Vacc">LANG!$D$154</definedName>
    <definedName name="Lang_AutoCal_Percent_Receiving_Vacc">LANG!$D$155</definedName>
    <definedName name="Lang_AutoCal_Proportion_Of_All_Receiving_Vacc">LANG!$D$156</definedName>
    <definedName name="Lang_Autocalculated">LANG!$D$484</definedName>
    <definedName name="Lang_Average_Number_Of_Persons_Vaccinated_During_A_outine_Outreach_Service_Activity">LANG!$D$143</definedName>
    <definedName name="Lang_Average_Number_Of_Routine_Outreach_Vacc_Activities_Per_Facility">LANG!$D$142</definedName>
    <definedName name="Lang_Avg_Number_Of">LANG!$D$422</definedName>
    <definedName name="Lang_Avg_Number_Of_Vacc_Delivered_During">LANG!$D$463</definedName>
    <definedName name="Lang_Avg_Number_Of_Vacc_Delivered_During_Service_Delivery_Activities_Prospective_Or_Retrospective">LANG!$D$207</definedName>
    <definedName name="Lang_Baseline">LANG!$D$133</definedName>
    <definedName name="Lang_C4P">LANG!$D$17</definedName>
    <definedName name="Lang_Calculations_Coverage">LANG!$D$337</definedName>
    <definedName name="Lang_Calculations_From_Detailed_Cost_Worksheets">LANG!$D$346</definedName>
    <definedName name="Lang_Calculations_Single_Activity_Costs_Annual">LANG!$D$345</definedName>
    <definedName name="Lang_Calculations_Vaccine_Procurement_Costs">LANG!$D$344</definedName>
    <definedName name="Lang_Cant_Divide_By_Zero">LANG!$D$529</definedName>
    <definedName name="Lang_Capacity_Per_Unit">LANG!$D$70</definedName>
    <definedName name="Lang_Capital_Investment_Type">LANG!$D$76</definedName>
    <definedName name="Lang_Check">LANG!$D$329</definedName>
    <definedName name="Lang_Checks">LANG!$D$326</definedName>
    <definedName name="Lang_Cold_Chain_Equipment_Procured">LANG!$D$69</definedName>
    <definedName name="Lang_Cold_Chain_Expansion">LANG!$D$68</definedName>
    <definedName name="Lang_Cold_Chain_Expansion_Assumptions_Annual">LANG!$D$248</definedName>
    <definedName name="Lang_Cold_Chain_Expansion_Costs_Initial_Investment">LANG!$D$71</definedName>
    <definedName name="Lang_Cold_Chain_Expansion_Lookups">LANG!$D$375</definedName>
    <definedName name="Lang_Cold_Chain_Expansion_Outputs">LANG!$D$274</definedName>
    <definedName name="Lang_Cold_Chain_Introduction_Costs">LANG!$D$73</definedName>
    <definedName name="Lang_Complete_Only">LANG!$D$425</definedName>
    <definedName name="Lang_Cost">LANG!$D$420</definedName>
    <definedName name="Lang_Cost_Category">LANG!$D$287</definedName>
    <definedName name="Lang_Cost_Of_A_Single">LANG!$D$472</definedName>
    <definedName name="Lang_Cost_Per_Activity_Unit">LANG!$D$497</definedName>
    <definedName name="Lang_Cost_Per_FIP">LANG!$D$38</definedName>
    <definedName name="Lang_Cost_Per_Injection_Syringe">LANG!$D$186</definedName>
    <definedName name="Lang_Cost_Per_Safety_Box">LANG!$D$187</definedName>
    <definedName name="Lang_Cost_Per_Unit">LANG!$D$72</definedName>
    <definedName name="Lang_Cost_Per_Vaccine_Dose">LANG!$D$185</definedName>
    <definedName name="Lang_Cost_Projection">LANG!$D$522</definedName>
    <definedName name="Lang_Cost_Projection_Counts_Assumptions">LANG!$D$429</definedName>
    <definedName name="Lang_Cost_Projection_Or_Retrospective">LANG!$D$97</definedName>
    <definedName name="Lang_Costing_Start_Year_And_Term">LANG!$D$96</definedName>
    <definedName name="Lang_Costs">LANG!$D$61</definedName>
    <definedName name="Lang_Count_Using_Retrospective_Data">LANG!$D$443</definedName>
    <definedName name="Lang_Counter">LANG!$D$124</definedName>
    <definedName name="Lang_Counts">LANG!$D$135</definedName>
    <definedName name="Lang_Counts_Assumptions_Cost_Projection_Or_Retrospective">LANG!$D$136</definedName>
    <definedName name="Lang_Counts_Lookups">LANG!$D$361</definedName>
    <definedName name="Lang_Counts_Variables">LANG!$D$360</definedName>
    <definedName name="Lang_Cover_Notes">LANG!$D$9</definedName>
    <definedName name="Lang_Coverage_Linked_Names_Developer_Only">LANG!$D$83</definedName>
    <definedName name="Lang_Coverage_Lookups">LANG!$D$363</definedName>
    <definedName name="Lang_Coverage_Navigation">LANG!$D$152</definedName>
    <definedName name="Lang_Coverage_Number_Retrospective_Data">LANG!$D$459</definedName>
    <definedName name="Lang_Coverage_Outputs_Projected_Target_Group_A">LANG!$D$338</definedName>
    <definedName name="Lang_Coverage_Outputs_Retrospective_Target_Group_A">LANG!$D$340</definedName>
    <definedName name="Lang_Coverage_Projection">LANG!$D$339</definedName>
    <definedName name="Lang_Coverage_Projections">LANG!$D$451</definedName>
    <definedName name="Lang_Coverage_Retrospective_Data">LANG!$D$485</definedName>
    <definedName name="Lang_Coverage_Summary_Of_Projected_Assumptions">LANG!$D$160</definedName>
    <definedName name="Lang_Coverage_Summary_Of_Retrospective_Data">LANG!$D$166</definedName>
    <definedName name="Lang_Coverage_Summary_Outputs">LANG!$D$267</definedName>
    <definedName name="Lang_Coverage_Variables">LANG!$D$362</definedName>
    <definedName name="Lang_Currencies">LANG!$D$129</definedName>
    <definedName name="Lang_Currencies_Category_1">LANG!$D$90</definedName>
    <definedName name="Lang_Currencies_Category_2">LANG!$D$91</definedName>
    <definedName name="Lang_Currency_Code">LANG!$D$131</definedName>
    <definedName name="Lang_Currency_Name">LANG!$D$130</definedName>
    <definedName name="Lang_Currency_Options_For_Dropdown_List">LANG!$D$253</definedName>
    <definedName name="Lang_Currency_Used_For_Cost_Inputs">LANG!$D$303</definedName>
    <definedName name="Lang_Current_Calc_Total_Per_FIP">LANG!$D$8</definedName>
    <definedName name="Lang_Current_Language">LANG!$D$412</definedName>
    <definedName name="Lang_Custom_Labels_Lookups">LANG!$D$357</definedName>
    <definedName name="Lang_Custom_Labels_Variables">LANG!$D$356</definedName>
    <definedName name="Lang_Dashboard">LANG!$D$24</definedName>
    <definedName name="Lang_Data_For_Extraction">LANG!$D$414</definedName>
    <definedName name="Lang_Detailed_Activity_Costing_Worksheet_Currency_Selection">LANG!$D$492</definedName>
    <definedName name="Lang_Detailed_Activity_Costing_Worksheet_Instructions">LANG!$D$491</definedName>
    <definedName name="Lang_Detailed_Allowance_Cost_Assumptions">LANG!$D$494</definedName>
    <definedName name="Lang_Detailed_Cost_Summary">LANG!$D$490</definedName>
    <definedName name="Lang_Detailed_Cost_Worksheet_Optional_Outputs_Summaries">LANG!$D$286</definedName>
    <definedName name="Lang_Detailed_Costing_Worksheet_Estimate">LANG!$D$227</definedName>
    <definedName name="Lang_Detailed_Costing_Worksheets_Notes_1">LANG!$D$300</definedName>
    <definedName name="Lang_Detailed_Costing_Worksheets_Notes_2">LANG!$D$301</definedName>
    <definedName name="Lang_Detailed_Costing_Worksheets_Notes_3">LANG!$D$302</definedName>
    <definedName name="Lang_Detailed_Costing_Worksheets_Optional">LANG!$D$297</definedName>
    <definedName name="Lang_Detailed_Other_Direct_Cost_Assumptions">LANG!$D$496</definedName>
    <definedName name="Lang_Detailed_Personnel_Cost_Assumptions">LANG!$D$493</definedName>
    <definedName name="Lang_Detailed_Supply_And_Material_Cost_Assumptions">LANG!$D$495</definedName>
    <definedName name="Lang_Developer_Only">LANG!$D$82</definedName>
    <definedName name="Lang_Direct_User_Entry_Cost_Estimate">LANG!$D$228</definedName>
    <definedName name="Lang_Dose_1_And_2_Coverage_Outputs_Retrospective_All_Target_Pop">LANG!$D$343</definedName>
    <definedName name="Lang_Dose_1_And_2_Coverage_Outputs_Retrospective_Target_Group_A">LANG!$D$342</definedName>
    <definedName name="Lang_Doses">LANG!$D$87</definedName>
    <definedName name="Lang_Drop_Out_Rate">LANG!$D$452</definedName>
    <definedName name="Lang_Econ">LANG!$D$58</definedName>
    <definedName name="Lang_Econ_Costs">LANG!$D$16</definedName>
    <definedName name="Lang_Econ_Costs_Annualized">LANG!$D$277</definedName>
    <definedName name="Lang_Econ_Currencies">LANG!$D$127</definedName>
    <definedName name="Lang_Econ_Instructions">LANG!$D$126</definedName>
    <definedName name="Lang_Econ_Lookups">LANG!$D$359</definedName>
    <definedName name="Lang_Econ_Rates">LANG!$D$128</definedName>
    <definedName name="Lang_Econ_Variables">LANG!$D$358</definedName>
    <definedName name="Lang_Eligible">LANG!$D$482</definedName>
    <definedName name="Lang_Enter_Cost_Estimates_Directly">LANG!$D$528</definedName>
    <definedName name="Lang_Entire">LANG!$D$442</definedName>
    <definedName name="Lang_Error_Check">LANG!$D$158</definedName>
    <definedName name="Lang_Error_Check_Checks_If_Override_Input_economic_Cost_Is_Less_Than_Financial_Cost">LANG!$D$229</definedName>
    <definedName name="Lang_Error_Check_Flags_If_Input_Econ_Cost_Is_Less_Than_Fin_Cost">LANG!$D$319</definedName>
    <definedName name="Lang_Error_Check_HPV2_Coverage_Larger_Than_HPV1_Coverage">LANG!$D$159</definedName>
    <definedName name="Lang_Error_Check_Should_Sum_To_100">LANG!$D$213</definedName>
    <definedName name="Lang_Error_Checks">LANG!$D$327</definedName>
    <definedName name="Lang_Error_In">LANG!$D$498</definedName>
    <definedName name="Lang_Errors_Detected">LANG!$D$499</definedName>
    <definedName name="Lang_Estimated_Cost_For_Cold_Storage_Expansion">LANG!$D$275</definedName>
    <definedName name="Lang_Estimated_Cost_For_Other_Capital_Investments">LANG!$D$284</definedName>
    <definedName name="Lang_Evidence_For_Using_This_Cost_Information_Source_Or_Notes">LANG!$D$312</definedName>
    <definedName name="Lang_Exchange_Rate">LANG!$D$92</definedName>
    <definedName name="Lang_Exchange_Rate_Colon">LANG!$D$281</definedName>
    <definedName name="Lang_Exchange_Rate_From_Econ">LANG!$D$305</definedName>
    <definedName name="Lang_Fin">LANG!$D$57</definedName>
    <definedName name="Lang_Fin_Costs">LANG!$D$15</definedName>
    <definedName name="Lang_Fin_Costs_Annualized">LANG!$D$276</definedName>
    <definedName name="Lang_Financial_Year">LANG!$D$125</definedName>
    <definedName name="Lang_First_Costing_Year">LANG!$D$98</definedName>
    <definedName name="Lang_Flag">LANG!$D$331</definedName>
    <definedName name="Lang_For">LANG!$D$454</definedName>
    <definedName name="Lang_From_Coverage_Assumptions">LANG!$D$468</definedName>
    <definedName name="Lang_From_Econ_Tab">LANG!$D$254</definedName>
    <definedName name="Lang_GoTo">LANG!$D$427</definedName>
    <definedName name="Lang_GoTo_Cost_Projection_Counts_Assumptions">LANG!$D$441</definedName>
    <definedName name="Lang_Goto_Cover">LANG!$D$20</definedName>
    <definedName name="Lang_GoTo_Retrospective_Costing_Pop_Counts">LANG!$D$431</definedName>
    <definedName name="Lang_Goto_TOC">LANG!$D$18</definedName>
    <definedName name="Lang_Group_Service_Delivery_Activity_1_Of_2_Name">LANG!$D$231</definedName>
    <definedName name="Lang_Group_Service_Delivery_Activity_2_Of_2_Name">LANG!$D$232</definedName>
    <definedName name="Lang_Group_Vaccination_Type">LANG!$D$119</definedName>
    <definedName name="Lang_Health_Facilities_Counts_Cost_Projection_Or_Retrospective">LANG!$D$139</definedName>
    <definedName name="Lang_HL_Home">LANG!$D$19</definedName>
    <definedName name="Lang_HPV_Vacc_Administered">LANG!$D$41</definedName>
    <definedName name="Lang_IEC_Social_Mobilisation_Activities_Annual_Assumptions">LANG!$D$242</definedName>
    <definedName name="Lang_IEC_Social_Mobilisation_Activity_Name">LANG!$D$243</definedName>
    <definedName name="Lang_Immunization_Coverage">LANG!$D$50</definedName>
    <definedName name="Lang_Immunization_Coverage_Assumptions">LANG!$D$151</definedName>
    <definedName name="Lang_Imported_From_Econ_Module">LANG!$D$304</definedName>
    <definedName name="Lang_In_A">LANG!$D$489</definedName>
    <definedName name="Lang_In_School">LANG!$D$27</definedName>
    <definedName name="Lang_Include">LANG!$D$330</definedName>
    <definedName name="Lang_Initial_Invest_Costs">LANG!$D$37</definedName>
    <definedName name="Lang_Injection_Syringe_Capacity_Per_Safety_Box_Number">LANG!$D$199</definedName>
    <definedName name="Lang_Injection_Syringe_Each">LANG!$D$173</definedName>
    <definedName name="Lang_Injection_Syringes">LANG!$D$54</definedName>
    <definedName name="Lang_Input_Currency_For_Cold_Storage_Equipment_Prices">LANG!$D$250</definedName>
    <definedName name="Lang_Input_Currency_For_Other_Capital_Investment">LANG!$D$260</definedName>
    <definedName name="Lang_Instructions">LANG!$D$144</definedName>
    <definedName name="Lang_International_Currency_Econ">LANG!$D$512</definedName>
    <definedName name="Lang_International_Currency_Fin">LANG!$D$511</definedName>
    <definedName name="Lang_Intro_Costs">LANG!$D$35</definedName>
    <definedName name="Lang_Introduction">LANG!$D$526</definedName>
    <definedName name="Lang_Labels_For_Important_Data_Points">LANG!$D$99</definedName>
    <definedName name="Lang_Language_Choice_Table">LANG!$D$413</definedName>
    <definedName name="Lang_Language_Translation">LANG!$D$411</definedName>
    <definedName name="Lang_Level_2_Activity_Lookups">LANG!$D$402</definedName>
    <definedName name="Lang_Local_Currency_Econ">LANG!$D$510</definedName>
    <definedName name="Lang_Local_Currency_Fin">LANG!$D$509</definedName>
    <definedName name="Lang_Market_Cost_Of_Vaccine_And_Injectable_Supplies">LANG!$D$171</definedName>
    <definedName name="Lang_Microplanning">LANG!$D$59</definedName>
    <definedName name="Lang_Microplanning_Activities_Annual_Assumptions">LANG!$D$236</definedName>
    <definedName name="Lang_Microplanning_Activity_Name">LANG!$D$233</definedName>
    <definedName name="Lang_Microplanning_Activity_Variables">LANG!$D$364</definedName>
    <definedName name="Lang_Microplanning_Detailed_Costing_Worksheets_Optional">LANG!$D$299</definedName>
    <definedName name="Lang_Microplanning_Level_1_1_Lookups">LANG!$D$365</definedName>
    <definedName name="Lang_Microplanning_Level_1_2_Lookups">LANG!$D$366</definedName>
    <definedName name="Lang_Microplanning_Level_2_1_Lookups">LANG!$D$367</definedName>
    <definedName name="Lang_Microplanning_Level_2_2_Lookups">LANG!$D$368</definedName>
    <definedName name="Lang_Miscellaneous_Check">LANG!$D$500</definedName>
    <definedName name="Lang_Model_Development_And_Maintenance_Developer_Only">LANG!$D$335</definedName>
    <definedName name="Lang_Name">LANG!$D$473</definedName>
    <definedName name="Lang_Name_Of_Capital_Investment">LANG!$D$285</definedName>
    <definedName name="Lang_Name_Of_Cold_Storage_Equipment">LANG!$D$251</definedName>
    <definedName name="Lang_Name_Of_Other_Capital_Investment">LANG!$D$261</definedName>
    <definedName name="Lang_Not_A_Cost_Projection_Skip_This_Section_Use_The_Retrospective_Target_Pop_Counts_Data_Section">LANG!$D$430</definedName>
    <definedName name="Lang_Not_A_Retrospective_Costing_Skip_This_Section_Use_The_Cost_Projection_Counts_Assumptions_Section">LANG!$D$439</definedName>
    <definedName name="Lang_Notes_On_Calculations_Estimates">LANG!$D$252</definedName>
    <definedName name="Lang_Number_Administered_By_Year_And_Service_Delivery_Type">LANG!$D$215</definedName>
    <definedName name="Lang_Number_Injection_Syringes_Procured">LANG!$D$201</definedName>
    <definedName name="Lang_Number_Injection_Syringes_To_Procure_Based_On_Pop_Coverage_Projections_And_Wastage_Rates">LANG!$D$191</definedName>
    <definedName name="Lang_Number_Of">LANG!$D$475</definedName>
    <definedName name="Lang_Number_Of_Activities">LANG!$D$234</definedName>
    <definedName name="Lang_Number_Of_Activities_Per_Year">LANG!$D$235</definedName>
    <definedName name="Lang_Number_Of_Activities_Required_To_Administer_This_Number_Of_Vaccines">LANG!$D$216</definedName>
    <definedName name="Lang_Number_Of_Activities_Vacc_To_A_Group_Completed">LANG!$D$222</definedName>
    <definedName name="Lang_Number_Of_Activity_Units_Required">LANG!$D$308</definedName>
    <definedName name="Lang_Number_Of_Allowance_Units_Required">LANG!$D$311</definedName>
    <definedName name="Lang_Number_Of_Group_Vacc_Activities_Required_To_Administer_Vaccines">LANG!$D$218</definedName>
    <definedName name="Lang_Number_Of_Health_Facilities_Conducting_Routine_HPV_Vacc_Outreach_Services">LANG!$D$141</definedName>
    <definedName name="Lang_Number_Of_Health_Facilities_Providing_HPV_Vacc">LANG!$D$140</definedName>
    <definedName name="Lang_Number_Of_ODC_Units_Required">LANG!$D$318</definedName>
    <definedName name="Lang_Number_Of_Schools_To_Received_Group_Vacc_Visits">LANG!$D$138</definedName>
    <definedName name="Lang_Number_Of_Service_Delivery_Activities_Providing_Vacc_To_A_Single_Person_Completed">LANG!$D$220</definedName>
    <definedName name="Lang_Number_Of_Single_Vacc_Activities_Required_To_Administer_Vaccines">LANG!$D$217</definedName>
    <definedName name="Lang_Number_Of_Supply_Units_Required">LANG!$D$315</definedName>
    <definedName name="Lang_Number_Of_Units">LANG!$D$257</definedName>
    <definedName name="Lang_Number_Of_Vacc_Delivered_And_Activities_Completed_By_Year_And_Service_Delivery_Type_Retrospective">LANG!$D$219</definedName>
    <definedName name="Lang_Number_Of_Vacc_Provided_Through_Vacc_To_A_Group">LANG!$D$221</definedName>
    <definedName name="Lang_Number_Receiving_Vacc">LANG!$D$450</definedName>
    <definedName name="Lang_Number_Receiving_Vacc_Retrospective_Data">LANG!$D$163</definedName>
    <definedName name="Lang_Number_Safety_Boxes_Procured">LANG!$D$202</definedName>
    <definedName name="Lang_Number_Safety_Boxes_To_Procure">LANG!$D$192</definedName>
    <definedName name="Lang_Number_Vaccine_Doses_Procured">LANG!$D$200</definedName>
    <definedName name="Lang_Number_Vaccine_Doses_To_Procure_Based_On_Pop_Coverage_Projections_And_Wastage_Rates">LANG!$D$190</definedName>
    <definedName name="Lang_Numbers">LANG!$D$25</definedName>
    <definedName name="Lang_ODC_Unit_Each_Dozen_100_Pack">LANG!$D$317</definedName>
    <definedName name="Lang_Other">LANG!$D$67</definedName>
    <definedName name="Lang_Other_Activity_Level_1_1_Lookups">LANG!$D$370</definedName>
    <definedName name="Lang_Other_Activity_Level_1_2_Lookups">LANG!$D$371</definedName>
    <definedName name="Lang_Other_Activity_Level_1_3_Lookups">LANG!$D$372</definedName>
    <definedName name="Lang_Other_Activity_Level_2_1_Lookups">LANG!$D$373</definedName>
    <definedName name="Lang_Other_Activity_Level_2_2_Lookups">LANG!$D$374</definedName>
    <definedName name="Lang_Other_Activity_Name_Recurrent_Cost_Activity_Only">LANG!$D$247</definedName>
    <definedName name="Lang_Other_Activity_Recurrent_Costs_Only_Annual_Assumptions">LANG!$D$246</definedName>
    <definedName name="Lang_Other_Capital_Investments">LANG!$D$75</definedName>
    <definedName name="Lang_Other_Capital_Investments_Assumptions_Annual">LANG!$D$258</definedName>
    <definedName name="Lang_Other_Capital_Investments_Initial_Investment">LANG!$D$77</definedName>
    <definedName name="Lang_Other_Capital_Investments_Introduction_Costs">LANG!$D$78</definedName>
    <definedName name="Lang_Other_Capital_Investments_Lookups">LANG!$D$376</definedName>
    <definedName name="Lang_Other_Capital_Investments_Outputs">LANG!$D$283</definedName>
    <definedName name="Lang_Other_Direct_Cost_ODC_Type">LANG!$D$316</definedName>
    <definedName name="Lang_Other_Direct_Costs">LANG!$D$350</definedName>
    <definedName name="Lang_Other_Direct_Costs_Outputs">LANG!$D$519</definedName>
    <definedName name="Lang_Other_Recurrent_Costs_Only_Detailed_Costing_Worksheets_Optional">LANG!$D$325</definedName>
    <definedName name="Lang_Out_Of_School">LANG!$D$28</definedName>
    <definedName name="Lang_Outputs">LANG!$D$262</definedName>
    <definedName name="Lang_Per_Fully_Immunized_Person_FIP">LANG!$D$418</definedName>
    <definedName name="Lang_Per_School">LANG!$D$423</definedName>
    <definedName name="Lang_Percentage">LANG!$D$26</definedName>
    <definedName name="Lang_Period_End_Date">LANG!$D$123</definedName>
    <definedName name="Lang_Period_Start_Date">LANG!$D$122</definedName>
    <definedName name="Lang_Personnel">LANG!$D$347</definedName>
    <definedName name="Lang_Personnel_Cadre_Type">LANG!$D$306</definedName>
    <definedName name="Lang_Personnel_Outputs">LANG!$D$516</definedName>
    <definedName name="Lang_Pop">LANG!$D$42</definedName>
    <definedName name="Lang_Pop_Count">LANG!$D$145</definedName>
    <definedName name="Lang_Pop_SmallLetter">LANG!$D$458</definedName>
    <definedName name="Lang_Pop_With_Vaccine">LANG!$D$44</definedName>
    <definedName name="Lang_Pop_Without_Vaccine">LANG!$D$45</definedName>
    <definedName name="Lang_Portion_Using_Retrospective_Data">LANG!$D$444</definedName>
    <definedName name="Lang_Portion_Using_Retrospective_Data_Autocalculated">LANG!$D$445</definedName>
    <definedName name="Lang_Present_Outputs">LANG!$D$22</definedName>
    <definedName name="Lang_Price_Per_Unit_Econ">LANG!$D$480</definedName>
    <definedName name="Lang_Price_Per_Unit_Fin">LANG!$D$479</definedName>
    <definedName name="Lang_Primary_Area_Used_For_Age_Groups_And_Segments">LANG!$D$86</definedName>
    <definedName name="Lang_Primary_Developer">LANG!$D$7</definedName>
    <definedName name="Lang_Primary_Level_Name">LANG!$D$100</definedName>
    <definedName name="Lang_Procurement_Costs">LANG!$D$169</definedName>
    <definedName name="Lang_Projected">LANG!$D$432</definedName>
    <definedName name="Lang_Projected_Calculation">LANG!$D$481</definedName>
    <definedName name="Lang_Projected_Coverage_Instructions_Input_Percent_Coverage_For_Each_Year_Dose_And_Target_Pop">LANG!$D$153</definedName>
    <definedName name="Lang_Projected_Or_Retrospective">LANG!$D$474</definedName>
    <definedName name="Lang_Projection">LANG!$D$449</definedName>
    <definedName name="Lang_Proportion">LANG!$D$435</definedName>
    <definedName name="Lang_Proportion_Administered_By_Year_And_Service_Delivery_Type">LANG!$D$210</definedName>
    <definedName name="Lang_Proportion_And_Number_Of_Vacc_Delivered_By_Year_And_Service_Delivery_Type_Prospective">LANG!$D$208</definedName>
    <definedName name="Lang_Proportion_Of">LANG!$D$447</definedName>
    <definedName name="Lang_Proportion_Of_Additional_Costs_Injection_Syringes_Subsidized_On_Scale_Of_0_To_100">LANG!$D$183</definedName>
    <definedName name="Lang_Proportion_Of_Additional_Costs_Safety_Boxes_Subsidized_On_Scale_Of_0_To_100">LANG!$D$184</definedName>
    <definedName name="Lang_Proportion_Of_Additional_Costs_Vaccine_Subsidized_On_Scale_Of_0_To_100">LANG!$D$182</definedName>
    <definedName name="Lang_Proportion_Of_Vacc_Delivered_Prospective">LANG!$D$209</definedName>
    <definedName name="Lang_Proportion_Of_Vaccine_And_Injectable_Supply_Procurement_Subsidized">LANG!$D$176</definedName>
    <definedName name="Lang_Proportion_Projected_Autocalculated">LANG!$D$434</definedName>
    <definedName name="Lang_Proportion_Projected_Calculation">LANG!$D$433</definedName>
    <definedName name="Lang_Proportions">LANG!$D$525</definedName>
    <definedName name="Lang_Prospective">LANG!$D$466</definedName>
    <definedName name="Lang_Prospective_Assumptions">LANG!$D$188</definedName>
    <definedName name="Lang_Prospective_Or_Retrospective">LANG!$D$465</definedName>
    <definedName name="Lang_Prospective_Projection">LANG!$D$487</definedName>
    <definedName name="Lang_Receiving">LANG!$D$448</definedName>
    <definedName name="Lang_Recurrent">LANG!$D$477</definedName>
    <definedName name="Lang_Recurrent_Costs">LANG!$D$36</definedName>
    <definedName name="Lang_Required_Capital_Investments">LANG!$D$259</definedName>
    <definedName name="Lang_Required_Cold_Storage_Expansion">LANG!$D$249</definedName>
    <definedName name="Lang_Results_Numbers">LANG!$D$467</definedName>
    <definedName name="Lang_Retrospective">LANG!$D$470</definedName>
    <definedName name="Lang_Retrospective_Costing">LANG!$D$523</definedName>
    <definedName name="Lang_Retrospective_Costs">LANG!$D$419</definedName>
    <definedName name="Lang_Retrospective_Count">LANG!$D$440</definedName>
    <definedName name="Lang_Retrospective_Coverage">LANG!$D$341</definedName>
    <definedName name="Lang_Retrospective_Coverage_Insert_The_Actual_Quantity_Of_Vaccine_Doses_Administered">LANG!$D$162</definedName>
    <definedName name="Lang_Retrospective_Data">LANG!$D$189</definedName>
    <definedName name="Lang_Retrospective_Target_Pop_Counts_Data">LANG!$D$438</definedName>
    <definedName name="Lang_Safety_Box_Costs">LANG!$D$514</definedName>
    <definedName name="Lang_Safety_Box_Each">LANG!$D$174</definedName>
    <definedName name="Lang_Safety_Boxes">LANG!$D$55</definedName>
    <definedName name="Lang_Safety_Boxes_Procured">LANG!$D$507</definedName>
    <definedName name="Lang_Save_Often">LANG!$D$11</definedName>
    <definedName name="Lang_Schools_Counts_Cost_Projection_Or_Retrospective">LANG!$D$137</definedName>
    <definedName name="Lang_Section_1">LANG!$D$23</definedName>
    <definedName name="Lang_Section_2">LANG!$D$264</definedName>
    <definedName name="Lang_Section_3">LANG!$D$263</definedName>
    <definedName name="Lang_Section_4">LANG!$D$290</definedName>
    <definedName name="Lang_Section_5">LANG!$D$336</definedName>
    <definedName name="Lang_Section_Cover_Notes">LANG!$D$291</definedName>
    <definedName name="Lang_Section_Cover_Notes_Appendices_1">LANG!$D$292</definedName>
    <definedName name="Lang_Section_Cover_Notes_Appendices_2">LANG!$D$293</definedName>
    <definedName name="Lang_Section_Cover_Notes_Appendices_3">LANG!$D$294</definedName>
    <definedName name="Lang_Section_Cover_Notes_Appendices_4">LANG!$D$295</definedName>
    <definedName name="Lang_Section_Sheet_Titles">LANG!$D$21</definedName>
    <definedName name="Lang_Segment">LANG!$D$446</definedName>
    <definedName name="Lang_Segments_Used_For_Both_Age_Groups">LANG!$D$85</definedName>
    <definedName name="Lang_Select_Costing_Input_Method">LANG!$D$226</definedName>
    <definedName name="Lang_Select_Currency_Output">LANG!$D$31</definedName>
    <definedName name="Lang_Select_Input_Currency">LANG!$D$225</definedName>
    <definedName name="Lang_Select_Years">LANG!$D$46</definedName>
    <definedName name="Lang_Senistisation_Activity_Name">LANG!$D$241</definedName>
    <definedName name="Lang_Sensitisation">LANG!$D$63</definedName>
    <definedName name="Lang_Sensitisation_Activities_Annual_Assumptions">LANG!$D$240</definedName>
    <definedName name="Lang_Sensitisation_Activity_Variables">LANG!$D$382</definedName>
    <definedName name="Lang_Sensitisation_Detailed_Costing_Worksheets_Optional">LANG!$D$322</definedName>
    <definedName name="Lang_Sensitization_Level_1_1_Lookups">LANG!$D$383</definedName>
    <definedName name="Lang_Sensitization_Level_1_2_Lookups">LANG!$D$384</definedName>
    <definedName name="Lang_Sensitization_Level_1_3_Lookups">LANG!$D$385</definedName>
    <definedName name="Lang_Sensitization_Level_2_1_Lookups">LANG!$D$386</definedName>
    <definedName name="Lang_Sensitization_Level_2_2_Lookups">LANG!$D$387</definedName>
    <definedName name="Lang_Sensitization_Level_2_3_Lookups">LANG!$D$388</definedName>
    <definedName name="Lang_Service_Delivery">LANG!$D$65</definedName>
    <definedName name="Lang_Service_Delivery_Activities_Providing_Vacc_To_A_Group">LANG!$D$212</definedName>
    <definedName name="Lang_Service_Delivery_Activities_Providing_Vacc_To_A_Single_Person">LANG!$D$211</definedName>
    <definedName name="Lang_Service_Delivery_Activity_Types">LANG!$D$115</definedName>
    <definedName name="Lang_Service_Delivery_Activity_Variables">LANG!$D$398</definedName>
    <definedName name="Lang_Service_Delivery_Annual_Assumptions">LANG!$D$206</definedName>
    <definedName name="Lang_Service_Delivery_Detailed_Costing_Worksheets_Optional">LANG!$D$321</definedName>
    <definedName name="Lang_Service_Delivery_Group_Vacc_Types_1">LANG!$D$120</definedName>
    <definedName name="Lang_Service_Delivery_Group_Vacc_Types_2">LANG!$D$121</definedName>
    <definedName name="Lang_Service_Delivery_Level_2_1_Lookups">LANG!$D$399</definedName>
    <definedName name="Lang_Service_Delivery_Level_2_2_Lookups">LANG!$D$400</definedName>
    <definedName name="Lang_Service_Delivery_Level_2_3_Lookups">LANG!$D$401</definedName>
    <definedName name="Lang_Service_Delivery_Single_Vacc_1">LANG!$D$117</definedName>
    <definedName name="Lang_Service_Delivery_Single_Vacc_2">LANG!$D$118</definedName>
    <definedName name="Lang_Service_Delivery_Types">LANG!$D$114</definedName>
    <definedName name="Lang_Single_Activity_Cost_Annual_Assumptions">LANG!$D$471</definedName>
    <definedName name="Lang_Single_Activity_Cost_Annual_Assumptions_Projected_Or_Retrospective">LANG!$D$521</definedName>
    <definedName name="Lang_Single_Activity_Cost_Outputs_Annual">LANG!$D$515</definedName>
    <definedName name="Lang_Single_HPV_Vacc_Delivery_Type_1_Of_2">LANG!$D$224</definedName>
    <definedName name="Lang_Single_HPV_Vacc_Delivery_Type_2_Of_2">LANG!$D$230</definedName>
    <definedName name="Lang_Single_Vaccination_Type">LANG!$D$116</definedName>
    <definedName name="Lang_SOC_MOB_Level_1_1_Lookups">LANG!$D$390</definedName>
    <definedName name="Lang_SOC_MOB_Level_1_2_Lookups">LANG!$D$391</definedName>
    <definedName name="Lang_SOC_MOB_Level_1_3_Lookups">LANG!$D$392</definedName>
    <definedName name="Lang_SOC_MOB_Level_2_1_Lookups">LANG!$D$393</definedName>
    <definedName name="Lang_SOC_MOB_Level_2_2_Lookups">LANG!$D$394</definedName>
    <definedName name="Lang_SOC_MOB_Level_2_3_Lookups">LANG!$D$395</definedName>
    <definedName name="Lang_SOC_MOB_Level_2_4_Lookups">LANG!$D$396</definedName>
    <definedName name="Lang_SOC_MOB_Level_2_5_Lookups">LANG!$D$397</definedName>
    <definedName name="Lang_Social_Mobilisation">LANG!$D$64</definedName>
    <definedName name="Lang_Social_Mobilisation_Activity_Variables">LANG!$D$389</definedName>
    <definedName name="Lang_Social_Mobilisation_Detailed_Costing_Worksheets_Optional">LANG!$D$323</definedName>
    <definedName name="Lang_Source_Of_Information_Notes">LANG!$D$101</definedName>
    <definedName name="Lang_Stays_Constant_All_Years_To_Correctly_Calculate">LANG!$D$40</definedName>
    <definedName name="Lang_Sub_Section_2_1">LANG!$D$298</definedName>
    <definedName name="Lang_Sub_Section_4_1">LANG!$D$352</definedName>
    <definedName name="Lang_Subgroup_Only">LANG!$D$437</definedName>
    <definedName name="Lang_Subgroups">LANG!$D$455</definedName>
    <definedName name="Lang_Subsidies_For_Vaccine_And_Injectable_Supplies">LANG!$D$175</definedName>
    <definedName name="Lang_Summary_Colon">LANG!$D$328</definedName>
    <definedName name="Lang_Summary_Costs_Annual">LANG!$D$488</definedName>
    <definedName name="Lang_Supervision">LANG!$D$66</definedName>
    <definedName name="Lang_Supervision_Activity_Variables">LANG!$D$403</definedName>
    <definedName name="Lang_Supervision_Detailed_Costing_Worksheets_Optional">LANG!$D$324</definedName>
    <definedName name="Lang_Supervision_Level_1_1_Lookups">LANG!$D$404</definedName>
    <definedName name="Lang_Supervision_Level_1_2_Lookups">LANG!$D$405</definedName>
    <definedName name="Lang_Supervision_Level_1_3_Lookups">LANG!$D$406</definedName>
    <definedName name="Lang_Supervision_Level_1_4_Lookups">LANG!$D$407</definedName>
    <definedName name="Lang_Supervision_Level_2_1_Lookups">LANG!$D$408</definedName>
    <definedName name="Lang_Supervision_Level_2_2_Lookups">LANG!$D$409</definedName>
    <definedName name="Lang_Supervision_Level_2_3_Lookups">LANG!$D$410</definedName>
    <definedName name="Lang_Supervision_Monitoring_And_Evaluation_Activities_SME_Annual_Assumptions">LANG!$D$244</definedName>
    <definedName name="Lang_Supervision_Monitoring_And_Evaluation_SME_Activity_Name">LANG!$D$245</definedName>
    <definedName name="Lang_Supplies_And_Materials">LANG!$D$349</definedName>
    <definedName name="Lang_Supplies_And_Materials_Outputs">LANG!$D$518</definedName>
    <definedName name="Lang_Supply_Type">LANG!$D$313</definedName>
    <definedName name="Lang_Supply_Unit_Each_Dozen_100_Pack">LANG!$D$314</definedName>
    <definedName name="Lang_Syringe_Costs">LANG!$D$513</definedName>
    <definedName name="Lang_Syringes">LANG!$D$270</definedName>
    <definedName name="Lang_Syringes_Procured">LANG!$D$506</definedName>
    <definedName name="Lang_Target_Groups_Category_1">LANG!$D$103</definedName>
    <definedName name="Lang_Target_Groups_Category_2">LANG!$D$104</definedName>
    <definedName name="Lang_Target_Groups_Counts_Summary">LANG!$D$266</definedName>
    <definedName name="Lang_Target_Pop">LANG!$D$51</definedName>
    <definedName name="Lang_Target_Pop_And_Coverage_Summary">LANG!$D$265</definedName>
    <definedName name="Lang_Target_Pop_Count">LANG!$D$48</definedName>
    <definedName name="Lang_Target_Pop_Labels">LANG!$D$102</definedName>
    <definedName name="Lang_Target_Subgoups_Category_1">LANG!$D$106</definedName>
    <definedName name="Lang_Target_Subgoups_Category_2">LANG!$D$107</definedName>
    <definedName name="Lang_Target_Subgroup_Labels">LANG!$D$105</definedName>
    <definedName name="Lang_These_Values_Are_Set_By_User_In_Econ">LANG!$D$89</definedName>
    <definedName name="Lang_This_Is_A">LANG!$D$424</definedName>
    <definedName name="Lang_This_is_version">LANG!$D$10</definedName>
    <definedName name="Lang_This_Link_Not_For_Cost_Projection_Use">LANG!$D$428</definedName>
    <definedName name="Lang_This_Link_Not_For_Retrospective_Costing_Use">LANG!$D$426</definedName>
    <definedName name="Lang_Time_Series">LANG!$D$94</definedName>
    <definedName name="Lang_Time_Series_Assumptions">LANG!$D$95</definedName>
    <definedName name="Lang_Time_Series_Lookups">LANG!$D$354</definedName>
    <definedName name="Lang_Time_Series_Variables">LANG!$D$353</definedName>
    <definedName name="Lang_To">LANG!$D$453</definedName>
    <definedName name="Lang_Total">LANG!$D$34</definedName>
    <definedName name="Lang_Total_Alerts">LANG!$D$334</definedName>
    <definedName name="Lang_Total_All_Years">LANG!$D$256</definedName>
    <definedName name="Lang_Total_Cost_Per_FIP">LANG!$D$39</definedName>
    <definedName name="Lang_Total_Cost_Per_Fully_Immunized_Person_FIP">LANG!$D$30</definedName>
    <definedName name="Lang_Total_Econ_Costs">LANG!$D$33</definedName>
    <definedName name="Lang_Total_Econ_Costs_Annualized">LANG!$D$279</definedName>
    <definedName name="Lang_Total_Errors">LANG!$D$332</definedName>
    <definedName name="Lang_Total_Expansion">LANG!$D$79</definedName>
    <definedName name="Lang_Total_Fin_Costs">LANG!$D$32</definedName>
    <definedName name="Lang_Total_Fin_Costs_Annualized">LANG!$D$278</definedName>
    <definedName name="Lang_Total_Number_Injection_Syringes_Procured_Retrospective_Data">LANG!$D$204</definedName>
    <definedName name="Lang_Total_Number_Injection_Syringes_To_Procure_Projected_Based_On_Pop_Coverage_Projections_And_Wastage_Rates">LANG!$D$197</definedName>
    <definedName name="Lang_Total_Number_Of">LANG!$D$461</definedName>
    <definedName name="Lang_Total_Number_Safety_Boxes_Procured_Retrospective_Data">LANG!$D$205</definedName>
    <definedName name="Lang_Total_Number_Safety_Boxes_To_Procure_Projected_Based_On_Pop_Coverage_Projections_And_Wastage_Rates">LANG!$D$198</definedName>
    <definedName name="Lang_Total_Number_Vaccine_Doses_Procured_Retrospective_Data">LANG!$D$203</definedName>
    <definedName name="Lang_Total_Number_Vaccine_Doses_To_Procure_Projected_Based_On_Pop_Coverage_Projections_And_Wastage_Rates">LANG!$D$196</definedName>
    <definedName name="Lang_Total_Single_Activity_Cost">LANG!$D$288</definedName>
    <definedName name="Lang_Total_SmallLetter">LANG!$D$421</definedName>
    <definedName name="Lang_Total_Target_Pop">LANG!$D$49</definedName>
    <definedName name="Lang_Total_Units_Procured">LANG!$D$80</definedName>
    <definedName name="Lang_Total_Vacc_Received_By_All_Target_Pop_Through_Any_Service_Delivery_Method_From_Coverage_Assumptions_Projected">LANG!$D$161</definedName>
    <definedName name="Lang_Total_Vacc_Received_By_All_Target_Pop_Through_Any_Service_Delivery_Method_From_Coverage_Assumptions_Retrospective">LANG!$D$165</definedName>
    <definedName name="Lang_Total_Vaccine_Doses_Administered_Retrospective_Data">LANG!$D$164</definedName>
    <definedName name="Lang_Total_Vaccines_And_Supplies">LANG!$D$417</definedName>
    <definedName name="Lang_Training">LANG!$D$62</definedName>
    <definedName name="Lang_Training_Activities_Annual_Assumptions">LANG!$D$237</definedName>
    <definedName name="Lang_Training_Activity_Name">LANG!$D$238</definedName>
    <definedName name="Lang_Training_Activity_Variables">LANG!$D$377</definedName>
    <definedName name="Lang_Training_Detailed_Costing_Worksheets_Optional">LANG!$D$320</definedName>
    <definedName name="Lang_Training_Level_1_1_Lookups">LANG!$D$378</definedName>
    <definedName name="Lang_Training_Level_1_2_Lookups">LANG!$D$379</definedName>
    <definedName name="Lang_Training_Level_1_3_Lookups">LANG!$D$380</definedName>
    <definedName name="Lang_Training_Level_2_1_Lookups">LANG!$D$381</definedName>
    <definedName name="Lang_Unit_Cost">LANG!$D$280</definedName>
    <definedName name="Lang_Unit_Cost_Annualized">LANG!$D$74</definedName>
    <definedName name="Lang_Use_Detailed_Cost_Worksheet">LANG!$D$527</definedName>
    <definedName name="Lang_use_TOC">LANG!$D$12</definedName>
    <definedName name="Lang_Useful_Life_Years">LANG!$D$255</definedName>
    <definedName name="Lang_Vacc">LANG!$D$460</definedName>
    <definedName name="Lang_Vacc_Administered_Projected">LANG!$D$503</definedName>
    <definedName name="Lang_Vacc_Administered_Retrospective">LANG!$D$504</definedName>
    <definedName name="Lang_Vacc_Received_By">LANG!$D$457</definedName>
    <definedName name="Lang_Vacc_Received_By_All_Target_Pop_Through_Any_Service_Delivery_Method_From_Coverage_Assumptions_Projected">LANG!$D$456</definedName>
    <definedName name="Lang_Vacc_Received_By_All_Target_Pop_Through_Any_Service_Delivery_Method_From_Coverage_Assumptions_Retrospective">LANG!$D$462</definedName>
    <definedName name="Lang_Vaccinated">LANG!$D$43</definedName>
    <definedName name="Lang_Vaccination_Module">LANG!$D$524</definedName>
    <definedName name="Lang_Vaccine">LANG!$D$167</definedName>
    <definedName name="Lang_Vaccine_And_Dose_Labels">LANG!$D$108</definedName>
    <definedName name="Lang_Vaccine_And_Injection_Supplies_Economic_Local_Currency">LANG!$D$271</definedName>
    <definedName name="Lang_Vaccine_And_Injection_Supply_Costs">LANG!$D$56</definedName>
    <definedName name="Lang_Vaccine_And_Injection_Supply_Quantities_Includes_Administered_And_Wasted">LANG!$D$52</definedName>
    <definedName name="Lang_Vaccine_And_Supply_Costs_Assumptions_Prospective_Or_Retrospective">LANG!$D$168</definedName>
    <definedName name="Lang_Vaccine_Costs">LANG!$D$508</definedName>
    <definedName name="Lang_Vaccine_Dose_Labels">LANG!$D$111</definedName>
    <definedName name="Lang_Vaccine_Dose_Number_Label_Category_1">LANG!$D$112</definedName>
    <definedName name="Lang_Vaccine_Dose_Number_Label_Category_2">LANG!$D$113</definedName>
    <definedName name="Lang_Vaccine_Doses">LANG!$D$53</definedName>
    <definedName name="Lang_Vaccine_Doses_Procured">LANG!$D$505</definedName>
    <definedName name="Lang_Vaccine_Label">LANG!$D$109</definedName>
    <definedName name="Lang_Vaccine_Lookups">LANG!$D$355</definedName>
    <definedName name="Lang_Vaccine_Name">LANG!$D$110</definedName>
    <definedName name="Lang_Vaccine_Per_Dose">LANG!$D$172</definedName>
    <definedName name="Lang_Vaccines">LANG!$D$177</definedName>
    <definedName name="Lang_Vaccines_And_Injection_Supplies_Economic_International_Currency">LANG!$D$273</definedName>
    <definedName name="Lang_Vaccines_And_Injection_Supplies_Financial_International_Currency">LANG!$D$272</definedName>
    <definedName name="Lang_Vaccines_And_Injection_Supplies_Financial_Local_Currency">LANG!$D$269</definedName>
    <definedName name="Lang_Variable_Lookup_Worksheets_Auto">LANG!$D$351</definedName>
    <definedName name="Lang_with">LANG!$D$13</definedName>
    <definedName name="Lang_without">LANG!$D$14</definedName>
    <definedName name="Lang_Year">LANG!$D$146</definedName>
    <definedName name="Lang_Year_Ending">LANG!$D$416</definedName>
    <definedName name="Lang_Years_Selected">LANG!$D$415</definedName>
    <definedName name="LU_Analy_Currencies">Analy_Lu!$D$12:$D$13</definedName>
    <definedName name="LU_Analy_Financial_or_Economic">Analy_Lu!$D$18:$D$19</definedName>
    <definedName name="LU_Analy_HPV_Dose">Analy_Lu!$D$25:$D$26</definedName>
    <definedName name="LU_CAP_OTH_Currency">CAP_OTH_Lu!$D$14:$D$15</definedName>
    <definedName name="LU_CAP_OTH_Financial_Economic">CAP_OTH_Lu!$D$20:$D$21</definedName>
    <definedName name="LU_COLD_Currency">COLD_Lu!$D$12:$D$13</definedName>
    <definedName name="LU_COLD_Financial_Economic">COLD_Lu!$D$18:$D$19</definedName>
    <definedName name="LU_Count_Target_Groups">Count_Lu!$D$11:$D$12</definedName>
    <definedName name="LU_Count_Target_Sub_Groups">Count_Lu!$D$18:$D$19</definedName>
    <definedName name="LU_CVG_Doses">CVG_Lu!$D$31:$D$32</definedName>
    <definedName name="LU_CVG_Numbers_or_Proportion">CVG_Lu!$D$36:$D$37</definedName>
    <definedName name="LU_CVG_Secondary_Level_Areas">CVG_Lu!$D$12</definedName>
    <definedName name="LU_CVG_Target_Grpi_s">CVG_Lu!$D$18:$D$19</definedName>
    <definedName name="LU_CVG_Target_Sub_Groups">CVG_Lu!$D$25:$D$26</definedName>
    <definedName name="LU_Econ_Annual_Discount_Rate">Econ_Lu!$D$27</definedName>
    <definedName name="LU_Econ_Currencies">Econ_Lu!$D$9:$D$10</definedName>
    <definedName name="LU_Econ_Currency_Codes">Econ_Lu!$D$15:$D$16</definedName>
    <definedName name="LU_Econ_Exchange_Rate">Econ_Lu!$D$21</definedName>
    <definedName name="LU_Lbl_SVC_Delivery_Types">Lbl_Lu!$D$26:$D$27</definedName>
    <definedName name="LU_Lbl_Target_Groups">Lbl_Lu!$D$14:$D$15</definedName>
    <definedName name="LU_Lbl_Target_Subgroups">Lbl_Lu!$D$20:$D$21</definedName>
    <definedName name="LU_Lbl_Top_Level_Name">Lbl_Lu!$D$9</definedName>
    <definedName name="LU_LVL2_ACTV_10_Currencies">SOCMOB_Lu!$D$152:$D$153</definedName>
    <definedName name="LU_LVL2_ACTV_10_Detail_or_Freeform">SOCMOB_Lu!$D$178:$D$179</definedName>
    <definedName name="LU_LVL2_ACTV_10_FIN_ECON">SOCMOB_Lu!$D$172:$D$173</definedName>
    <definedName name="LU_LVL2_ACTV_10_INTRO_RECURRING">SOCMOB_Lu!$D$166:$D$167</definedName>
    <definedName name="LU_LVL2_ACTV_10_PROJECTION_RETROSPECTIVE">SOCMOB_Lu!$D$159:$D$160</definedName>
    <definedName name="LU_LVL2_ACTV_11_Currencies">SOCMOB_Lu!$D$187:$D$188</definedName>
    <definedName name="LU_LVL2_ACTV_11_Detail_or_Freeform">SOCMOB_Lu!$D$213:$D$214</definedName>
    <definedName name="LU_LVL2_ACTV_11_FIN_ECON">SOCMOB_Lu!$D$207:$D$208</definedName>
    <definedName name="LU_LVL2_ACTV_11_INTRO_RECURRING">SOCMOB_Lu!$D$201:$D$202</definedName>
    <definedName name="LU_LVL2_ACTV_11_PROJECTION_RETROSPECTIVE">SOCMOB_Lu!$D$194:$D$195</definedName>
    <definedName name="LU_LVL2_ACTV_12_Currencies">SD_Lu!$D$47:$D$48</definedName>
    <definedName name="LU_LVL2_ACTV_12_Detail_or_Freeform">SD_Lu!$D$73:$D$74</definedName>
    <definedName name="LU_LVL2_ACTV_12_FIN_ECON">SD_Lu!$D$67:$D$68</definedName>
    <definedName name="LU_LVL2_ACTV_12_INTRO_RECURRING">SD_Lu!$D$61:$D$62</definedName>
    <definedName name="LU_LVL2_ACTV_12_PROJECTION_RETROSPECTIVE">SD_Lu!$D$54:$D$55</definedName>
    <definedName name="LU_LVL2_ACTV_13_Currencies">SD_Lu!$D$82:$D$83</definedName>
    <definedName name="LU_LVL2_ACTV_13_Detail_or_Freeform">SD_Lu!$D$108:$D$109</definedName>
    <definedName name="LU_LVL2_ACTV_13_FIN_ECON">SD_Lu!$D$102:$D$103</definedName>
    <definedName name="LU_LVL2_ACTV_13_INTRO_RECURRING">SD_Lu!$D$96:$D$97</definedName>
    <definedName name="LU_LVL2_ACTV_13_PROJECTION_RETROSPECTIVE">SD_Lu!$D$89:$D$90</definedName>
    <definedName name="LU_LVL2_ACTV_14_Currencies">SUPV_Lu!$D$187:$D$188</definedName>
    <definedName name="LU_LVL2_ACTV_14_Detail_or_Freeform">SUPV_Lu!$D$213:$D$214</definedName>
    <definedName name="LU_LVL2_ACTV_14_FIN_ECON">SUPV_Lu!$D$207:$D$208</definedName>
    <definedName name="LU_LVL2_ACTV_14_INTRO_RECURRING">SUPV_Lu!$D$201:$D$202</definedName>
    <definedName name="LU_LVL2_ACTV_14_PROJECTION_RETROSPECTIVE">SUPV_Lu!$D$194:$D$195</definedName>
    <definedName name="LU_LVL2_ACTV_15_Currencies">SUPV_Lu!$D$222:$D$223</definedName>
    <definedName name="LU_LVL2_ACTV_15_Detail_or_Freeform">SUPV_Lu!$D$248:$D$249</definedName>
    <definedName name="LU_LVL2_ACTV_15_FIN_ECON">SUPV_Lu!$D$242:$D$243</definedName>
    <definedName name="LU_LVL2_ACTV_15_INTRO_RECURRING">SUPV_Lu!$D$236:$D$237</definedName>
    <definedName name="LU_LVL2_ACTV_15_PROJECTION_RETROSPECTIVE">SUPV_Lu!$D$229:$D$230</definedName>
    <definedName name="LU_LVL2_ACTV_16_Currencies">OTHER_Lu!$D$152:$D$153</definedName>
    <definedName name="LU_LVL2_ACTV_16_Detail_or_Freeform">OTHER_Lu!$D$178:$D$179</definedName>
    <definedName name="LU_LVL2_ACTV_16_FIN_ECON">OTHER_Lu!$D$172:$D$173</definedName>
    <definedName name="LU_LVL2_ACTV_16_INTRO_RECURRING">OTHER_Lu!$D$166:$D$167</definedName>
    <definedName name="LU_LVL2_ACTV_16_PROJECTION_RETROSPECTIVE">OTHER_Lu!$D$159:$D$160</definedName>
    <definedName name="LU_LVL2_ACTV_18_Currencies">SENS_Lu!$D$152:$D$153</definedName>
    <definedName name="LU_LVL2_ACTV_18_Detail_or_Freeform">SENS_Lu!$D$178:$D$179</definedName>
    <definedName name="LU_LVL2_ACTV_18_FIN_ECON">SENS_Lu!$D$172:$D$173</definedName>
    <definedName name="LU_LVL2_ACTV_18_INTRO_RECURRING">SENS_Lu!$D$166:$D$167</definedName>
    <definedName name="LU_LVL2_ACTV_18_PROJECTION_RETROSPECTIVE">SENS_Lu!$D$159:$D$160</definedName>
    <definedName name="LU_LVL2_ACTV_19_Currencies">SENS_Lu!$D$187:$D$188</definedName>
    <definedName name="LU_LVL2_ACTV_19_Detail_or_Freeform">SENS_Lu!$D$213:$D$214</definedName>
    <definedName name="LU_LVL2_ACTV_19_FIN_ECON">SENS_Lu!$D$207:$D$208</definedName>
    <definedName name="LU_LVL2_ACTV_19_INTRO_RECURRING">SENS_Lu!$D$201:$D$202</definedName>
    <definedName name="LU_LVL2_ACTV_19_PROJECTION_RETROSPECTIVE">SENS_Lu!$D$194:$D$195</definedName>
    <definedName name="LU_LVL2_ACTV_2_Currencies">TRAIN_Lu!$D$115:$D$116</definedName>
    <definedName name="LU_LVL2_ACTV_2_Detail_or_Freeform">TRAIN_Lu!$D$141:$D$142</definedName>
    <definedName name="LU_LVL2_ACTV_2_FIN_ECON">TRAIN_Lu!$D$135:$D$136</definedName>
    <definedName name="LU_LVL2_ACTV_2_INTRO_RECURRING">TRAIN_Lu!$D$129:$D$130</definedName>
    <definedName name="LU_LVL2_ACTV_2_PROJECTION_RETROSPECTIVE">TRAIN_Lu!$D$122:$D$123</definedName>
    <definedName name="LU_LVL2_ACTV_20_Currencies">MICRO_Lu!$D$115:$D$116</definedName>
    <definedName name="LU_LVL2_ACTV_20_Detail_or_Freeform">MICRO_Lu!$D$141:$D$142</definedName>
    <definedName name="LU_LVL2_ACTV_20_FIN_ECON">MICRO_Lu!$D$135:$D$136</definedName>
    <definedName name="LU_LVL2_ACTV_20_INTRO_RECURRING">MICRO_Lu!$D$129:$D$130</definedName>
    <definedName name="LU_LVL2_ACTV_20_PROJECTION_RETROSPECTIVE">MICRO_Lu!$D$122:$D$123</definedName>
    <definedName name="LU_LVL2_ACTV_21_Currencies">SOCMOB_Lu!$D$257:$D$258</definedName>
    <definedName name="LU_LVL2_ACTV_21_Detail_or_Freeform">SOCMOB_Lu!$D$283:$D$284</definedName>
    <definedName name="LU_LVL2_ACTV_21_FIN_ECON">SOCMOB_Lu!$D$277:$D$278</definedName>
    <definedName name="LU_LVL2_ACTV_21_INTRO_RECURRING">SOCMOB_Lu!$D$271:$D$272</definedName>
    <definedName name="LU_LVL2_ACTV_21_PROJECTION_RETROSPECTIVE">SOCMOB_Lu!$D$264:$D$265</definedName>
    <definedName name="LU_LVL2_ACTV_3_Currencies">SENS_Lu!$D$117:$D$118</definedName>
    <definedName name="LU_LVL2_ACTV_3_Detail_or_Freeform">SENS_Lu!$D$143:$D$144</definedName>
    <definedName name="LU_LVL2_ACTV_3_FIN_ECON">SENS_Lu!$D$137:$D$138</definedName>
    <definedName name="LU_LVL2_ACTV_3_INTRO_RECURRING">SENS_Lu!$D$131:$D$132</definedName>
    <definedName name="LU_LVL2_ACTV_3_PROJECTION_RETROSPECTIVE">SENS_Lu!$D$124:$D$125</definedName>
    <definedName name="LU_LVL2_ACTV_4_Currencies">SOCMOB_Lu!$D$117:$D$118</definedName>
    <definedName name="LU_LVL2_ACTV_4_Detail_or_Freeform">SOCMOB_Lu!$D$143:$D$144</definedName>
    <definedName name="LU_LVL2_ACTV_4_FIN_ECON">SOCMOB_Lu!$D$137:$D$138</definedName>
    <definedName name="LU_LVL2_ACTV_4_INTRO_RECURRING">SOCMOB_Lu!$D$131:$D$132</definedName>
    <definedName name="LU_LVL2_ACTV_4_PROJECTION_RETROSPECTIVE">SOCMOB_Lu!$D$124:$D$125</definedName>
    <definedName name="LU_LVL2_ACTV_5_Currencies">SUPV_Lu!$D$152:$D$153</definedName>
    <definedName name="LU_LVL2_ACTV_5_Detail_or_Freeform">SUPV_Lu!$D$178:$D$179</definedName>
    <definedName name="LU_LVL2_ACTV_5_FIN_ECON">SUPV_Lu!$D$172:$D$173</definedName>
    <definedName name="LU_LVL2_ACTV_5_INTRO_RECURRING">SUPV_Lu!$D$166:$D$167</definedName>
    <definedName name="LU_LVL2_ACTV_5_PROJECTION_RETROSPECTIVE">SUPV_Lu!$D$159:$D$160</definedName>
    <definedName name="LU_LVL2_ACTV_6_Currencies">SD_Lu!$D$12:$D$13</definedName>
    <definedName name="LU_LVL2_ACTV_6_Detail_or_Freeform">SD_Lu!$D$38:$D$39</definedName>
    <definedName name="LU_LVL2_ACTV_6_FIN_ECON">SD_Lu!$D$32:$D$33</definedName>
    <definedName name="LU_LVL2_ACTV_6_INTRO_RECURRING">SD_Lu!$D$26:$D$27</definedName>
    <definedName name="LU_LVL2_ACTV_6_PROJECTION_RETROSPECTIVE">SD_Lu!$D$19:$D$20</definedName>
    <definedName name="LU_LVL2_ACTV_7_Currencies">OTHER_Lu!$D$117:$D$118</definedName>
    <definedName name="LU_LVL2_ACTV_7_Detail_or_Freeform">OTHER_Lu!$D$143:$D$144</definedName>
    <definedName name="LU_LVL2_ACTV_7_FIN_ECON">OTHER_Lu!$D$137:$D$138</definedName>
    <definedName name="LU_LVL2_ACTV_7_INTRO_RECURRING">OTHER_Lu!$D$131:$D$132</definedName>
    <definedName name="LU_LVL2_ACTV_7_PROJECTION_RETROSPECTIVE">OTHER_Lu!$D$124:$D$125</definedName>
    <definedName name="LU_LVL2_ACTV_8_Currencies">SOCMOB_Lu!$D$222:$D$223</definedName>
    <definedName name="LU_LVL2_ACTV_8_Detail_or_Freeform">SOCMOB_Lu!$D$248:$D$249</definedName>
    <definedName name="LU_LVL2_ACTV_8_FIN_ECON">SOCMOB_Lu!$D$242:$D$243</definedName>
    <definedName name="LU_LVL2_ACTV_8_INTRO_RECURRING">SOCMOB_Lu!$D$236:$D$237</definedName>
    <definedName name="LU_LVL2_ACTV_8_PROJECTION_RETROSPECTIVE">SOCMOB_Lu!$D$229:$D$230</definedName>
    <definedName name="LU_LVL2_ACTV_9_Currencies">SD_Lu!$D$117:$D$118</definedName>
    <definedName name="LU_LVL2_ACTV_9_Detail_or_Freeform">SD_Lu!$D$143:$D$144</definedName>
    <definedName name="LU_LVL2_ACTV_9_FIN_ECON">SD_Lu!$D$137:$D$138</definedName>
    <definedName name="LU_LVL2_ACTV_9_INTRO_RECURRING">SD_Lu!$D$131:$D$132</definedName>
    <definedName name="LU_LVL2_ACTV_9_PROJECTION_RETROSPECTIVE">SD_Lu!$D$124:$D$125</definedName>
    <definedName name="LU_LVL2_ACTV_Currencies">MICRO_Lu!$D$80:$D$81</definedName>
    <definedName name="LU_LVL2_ACTV_Detail_or_Freeform">MICRO_Lu!$D$106:$D$107</definedName>
    <definedName name="LU_LVL2_ACTV_FIN_ECON">MICRO_Lu!$D$100:$D$101</definedName>
    <definedName name="LU_LVL2_ACTV_INTRO_RECURRING">MICRO_Lu!$D$94:$D$95</definedName>
    <definedName name="LU_LVL2_ACTV_PROJECTION_RETROSPECTIVE">MICRO_Lu!$D$87:$D$88</definedName>
    <definedName name="LU_TOP_ACTV_10_Currencies">SENS_Lu!$D$47:$D$48</definedName>
    <definedName name="LU_TOP_ACTV_10_Detail_or_Freeform">SENS_Lu!$D$73:$D$74</definedName>
    <definedName name="LU_TOP_ACTV_10_FIN_ECON">SENS_Lu!$D$67:$D$68</definedName>
    <definedName name="LU_TOP_ACTV_10_INTRO_RECURRING">SENS_Lu!$D$61:$D$62</definedName>
    <definedName name="LU_TOP_ACTV_10_PROJECTION_RETROSPECTIVE">SENS_Lu!$D$54:$D$55</definedName>
    <definedName name="LU_TOP_ACTV_11_Currencies">SENS_Lu!$D$82:$D$83</definedName>
    <definedName name="LU_TOP_ACTV_11_Detail_or_Freeform">SENS_Lu!$D$108:$D$109</definedName>
    <definedName name="LU_TOP_ACTV_11_FIN_ECON">SENS_Lu!$D$102:$D$103</definedName>
    <definedName name="LU_TOP_ACTV_11_INTRO_RECURRING">SENS_Lu!$D$96:$D$97</definedName>
    <definedName name="LU_TOP_ACTV_11_PROJECTION_RETROSPECTIVE">SENS_Lu!$D$89:$D$90</definedName>
    <definedName name="LU_TOP_ACTV_13_Currencies">TRAIN_Lu!$D$45:$D$46</definedName>
    <definedName name="LU_TOP_ACTV_13_Detail_or_Freeform">TRAIN_Lu!$D$71:$D$72</definedName>
    <definedName name="LU_TOP_ACTV_13_FIN_ECON">TRAIN_Lu!$D$65:$D$66</definedName>
    <definedName name="LU_TOP_ACTV_13_INTRO_RECURRING">TRAIN_Lu!$D$59:$D$60</definedName>
    <definedName name="LU_TOP_ACTV_13_PROJECTION_RETROSPECTIVE">TRAIN_Lu!$D$52:$D$53</definedName>
    <definedName name="LU_TOP_ACTV_14_Currencies">TRAIN_Lu!$D$80:$D$81</definedName>
    <definedName name="LU_TOP_ACTV_14_Detail_or_Freeform">TRAIN_Lu!$D$106:$D$107</definedName>
    <definedName name="LU_TOP_ACTV_14_FIN_ECON">TRAIN_Lu!$D$100:$D$101</definedName>
    <definedName name="LU_TOP_ACTV_14_INTRO_RECURRING">TRAIN_Lu!$D$94:$D$95</definedName>
    <definedName name="LU_TOP_ACTV_14_PROJECTION_RETROSPECTIVE">TRAIN_Lu!$D$87:$D$88</definedName>
    <definedName name="LU_TOP_ACTV_15_Currencies">SOCMOB_Lu!$D$47:$D$48</definedName>
    <definedName name="LU_TOP_ACTV_15_Detail_or_Freeform">SOCMOB_Lu!$D$73:$D$74</definedName>
    <definedName name="LU_TOP_ACTV_15_FIN_ECON">SOCMOB_Lu!$D$67:$D$68</definedName>
    <definedName name="LU_TOP_ACTV_15_INTRO_RECURRING">SOCMOB_Lu!$D$61:$D$62</definedName>
    <definedName name="LU_TOP_ACTV_15_PROJECTION_RETROSPECTIVE">SOCMOB_Lu!$D$54:$D$55</definedName>
    <definedName name="LU_TOP_ACTV_16_Currencies">SOCMOB_Lu!$D$82:$D$83</definedName>
    <definedName name="LU_TOP_ACTV_16_Detail_or_Freeform">SOCMOB_Lu!$D$108:$D$109</definedName>
    <definedName name="LU_TOP_ACTV_16_FIN_ECON">SOCMOB_Lu!$D$102:$D$103</definedName>
    <definedName name="LU_TOP_ACTV_16_INTRO_RECURRING">SOCMOB_Lu!$D$96:$D$97</definedName>
    <definedName name="LU_TOP_ACTV_16_PROJECTION_RETROSPECTIVE">SOCMOB_Lu!$D$89:$D$90</definedName>
    <definedName name="LU_TOP_ACTV_17_Currencies">SUPV_Lu!$D$47:$D$48</definedName>
    <definedName name="LU_TOP_ACTV_17_Detail_or_Freeform">SUPV_Lu!$D$73:$D$74</definedName>
    <definedName name="LU_TOP_ACTV_17_FIN_ECON">SUPV_Lu!$D$67:$D$68</definedName>
    <definedName name="LU_TOP_ACTV_17_INTRO_RECURRING">SUPV_Lu!$D$61:$D$62</definedName>
    <definedName name="LU_TOP_ACTV_17_PROJECTION_RETROSPECTIVE">SUPV_Lu!$D$54:$D$55</definedName>
    <definedName name="LU_TOP_ACTV_18_Currencies">SUPV_Lu!$D$82:$D$83</definedName>
    <definedName name="LU_TOP_ACTV_18_Detail_or_Freeform">SUPV_Lu!$D$108:$D$109</definedName>
    <definedName name="LU_TOP_ACTV_18_FIN_ECON">SUPV_Lu!$D$102:$D$103</definedName>
    <definedName name="LU_TOP_ACTV_18_INTRO_RECURRING">SUPV_Lu!$D$96:$D$97</definedName>
    <definedName name="LU_TOP_ACTV_18_PROJECTION_RETROSPECTIVE">SUPV_Lu!$D$89:$D$90</definedName>
    <definedName name="LU_TOP_ACTV_19_Currencies">OTHER_Lu!$D$82:$D$83</definedName>
    <definedName name="LU_TOP_ACTV_19_Detail_or_Freeform">OTHER_Lu!$D$108:$D$109</definedName>
    <definedName name="LU_TOP_ACTV_19_FIN_ECON">OTHER_Lu!$D$102:$D$103</definedName>
    <definedName name="LU_TOP_ACTV_19_INTRO_RECURRING">OTHER_Lu!$D$96:$D$97</definedName>
    <definedName name="LU_TOP_ACTV_19_PROJECTION_RETROSPECTIVE">OTHER_Lu!$D$89:$D$90</definedName>
    <definedName name="LU_TOP_ACTV_2_Currencies">TRAIN_Lu!$D$10:$D$11</definedName>
    <definedName name="LU_TOP_ACTV_2_Detail_or_Freeform">TRAIN_Lu!$D$36:$D$37</definedName>
    <definedName name="LU_TOP_ACTV_2_FIN_ECON">TRAIN_Lu!$D$30:$D$31</definedName>
    <definedName name="LU_TOP_ACTV_2_INTRO_RECURRING">TRAIN_Lu!$D$24:$D$25</definedName>
    <definedName name="LU_TOP_ACTV_2_PROJECTION_RETROSPECTIVE">TRAIN_Lu!$D$17:$D$18</definedName>
    <definedName name="LU_TOP_ACTV_20_Currencies">OTHER_Lu!$D$47:$D$48</definedName>
    <definedName name="LU_TOP_ACTV_20_Detail_or_Freeform">OTHER_Lu!$D$73:$D$74</definedName>
    <definedName name="LU_TOP_ACTV_20_FIN_ECON">OTHER_Lu!$D$67:$D$68</definedName>
    <definedName name="LU_TOP_ACTV_20_INTRO_RECURRING">OTHER_Lu!$D$61:$D$62</definedName>
    <definedName name="LU_TOP_ACTV_20_PROJECTION_RETROSPECTIVE">OTHER_Lu!$D$54:$D$55</definedName>
    <definedName name="LU_TOP_ACTV_3_Currencies">SENS_Lu!$D$12:$D$13</definedName>
    <definedName name="LU_TOP_ACTV_3_Detail_or_Freeform">SENS_Lu!$D$38:$D$39</definedName>
    <definedName name="LU_TOP_ACTV_3_FIN_ECON">SENS_Lu!$D$32:$D$33</definedName>
    <definedName name="LU_TOP_ACTV_3_INTRO_RECURRING">SENS_Lu!$D$26:$D$27</definedName>
    <definedName name="LU_TOP_ACTV_3_PROJECTION_RETROSPECTIVE">SENS_Lu!$D$19:$D$20</definedName>
    <definedName name="LU_TOP_ACTV_4_Currencies">SOCMOB_Lu!$D$12:$D$13</definedName>
    <definedName name="LU_TOP_ACTV_4_Detail_or_Freeform">SOCMOB_Lu!$D$38:$D$39</definedName>
    <definedName name="LU_TOP_ACTV_4_FIN_ECON">SOCMOB_Lu!$D$32:$D$33</definedName>
    <definedName name="LU_TOP_ACTV_4_INTRO_RECURRING">SOCMOB_Lu!$D$26:$D$27</definedName>
    <definedName name="LU_TOP_ACTV_4_PROJECTION_RETROSPECTIVE">SOCMOB_Lu!$D$19:$D$20</definedName>
    <definedName name="LU_TOP_ACTV_5_Currencies">SUPV_Lu!$D$12:$D$13</definedName>
    <definedName name="LU_TOP_ACTV_5_Detail_or_Freeform">SUPV_Lu!$D$38:$D$39</definedName>
    <definedName name="LU_TOP_ACTV_5_FIN_ECON">SUPV_Lu!$D$32:$D$33</definedName>
    <definedName name="LU_TOP_ACTV_5_INTRO_RECURRING">SUPV_Lu!$D$26:$D$27</definedName>
    <definedName name="LU_TOP_ACTV_5_PROJECTION_RETROSPECTIVE">SUPV_Lu!$D$19:$D$20</definedName>
    <definedName name="LU_TOP_ACTV_6_Currencies">OTHER_Lu!$D$12:$D$13</definedName>
    <definedName name="LU_TOP_ACTV_6_Detail_or_Freeform">OTHER_Lu!$D$38:$D$39</definedName>
    <definedName name="LU_TOP_ACTV_6_FIN_ECON">OTHER_Lu!$D$32:$D$33</definedName>
    <definedName name="LU_TOP_ACTV_6_INTRO_RECURRING">OTHER_Lu!$D$26:$D$27</definedName>
    <definedName name="LU_TOP_ACTV_6_PROJECTION_RETROSPECTIVE">OTHER_Lu!$D$19:$D$20</definedName>
    <definedName name="LU_TOP_ACTV_7_Currencies">MICRO_Lu!$D$45:$D$46</definedName>
    <definedName name="LU_TOP_ACTV_7_Detail_or_Freeform">MICRO_Lu!$D$71:$D$72</definedName>
    <definedName name="LU_TOP_ACTV_7_FIN_ECON">MICRO_Lu!$D$65:$D$66</definedName>
    <definedName name="LU_TOP_ACTV_7_INTRO_RECURRING">MICRO_Lu!$D$59:$D$60</definedName>
    <definedName name="LU_TOP_ACTV_7_PROJECTION_RETROSPECTIVE">MICRO_Lu!$D$52:$D$53</definedName>
    <definedName name="LU_TOP_ACTV_8_Currencies">SUPV_Lu!$D$117:$D$118</definedName>
    <definedName name="LU_TOP_ACTV_8_Detail_or_Freeform">SUPV_Lu!$D$143:$D$144</definedName>
    <definedName name="LU_TOP_ACTV_8_FIN_ECON">SUPV_Lu!$D$137:$D$138</definedName>
    <definedName name="LU_TOP_ACTV_8_INTRO_RECURRING">SUPV_Lu!$D$131:$D$132</definedName>
    <definedName name="LU_TOP_ACTV_8_PROJECTION_RETROSPECTIVE">SUPV_Lu!$D$124:$D$125</definedName>
    <definedName name="LU_TOP_ACTV_Currencies">MICRO_Lu!$D$10:$D$11</definedName>
    <definedName name="LU_TOP_ACTV_Detail_or_Freeform">MICRO_Lu!$D$36:$D$37</definedName>
    <definedName name="LU_TOP_ACTV_FIN_ECON">MICRO_Lu!$D$30:$D$31</definedName>
    <definedName name="LU_TOP_ACTV_INTRO_RECURRING">MICRO_Lu!$D$24:$D$25</definedName>
    <definedName name="LU_TOP_ACTV_PROJECTION_RETROSPECTIVE">MICRO_Lu!$D$17:$D$18</definedName>
    <definedName name="LU_TS_Denom">Time_Lu!$D$80:$D$83</definedName>
    <definedName name="LU_TS_Denom_Conv">Time_Lu!$D$88:$D$91</definedName>
    <definedName name="LU_TS_Mth_Days">Time_Lu!$D$14:$D$45</definedName>
    <definedName name="LU_TS_Mth_Names">Time_Lu!$D$50:$D$61</definedName>
    <definedName name="LU_TS_PROSPECTIVE_OR_RETROSPECTIVE">Time_Lu!$D$8:$D$9</definedName>
    <definedName name="LU_Vacc_Currency">Vacc_Lu!$D$12:$D$13</definedName>
    <definedName name="LVL2_ACTV_10_Cost_Summary">COSTS_DETAILED_SUMMARY!$B$282</definedName>
    <definedName name="LVL2_ACTV_10_Exchange_Rate">SOCMOB_DETAILED_COST_WKSHT!$E$414</definedName>
    <definedName name="LVL2_ACTV_11_Cost_Summary">COSTS_DETAILED_SUMMARY!$B$298</definedName>
    <definedName name="LVL2_ACTV_11_Exchange_Rate">SOCMOB_DETAILED_COST_WKSHT!$E$513</definedName>
    <definedName name="LVL2_ACTV_12_Cost_Summary">COSTS_DETAILED_SUMMARY!$B$470</definedName>
    <definedName name="LVL2_ACTV_12_Exchange_Rate">SD_DETAILED_COST_WKSHT!$E$123</definedName>
    <definedName name="LVL2_ACTV_13_Cost_Summary">COSTS_DETAILED_SUMMARY!$B$486</definedName>
    <definedName name="LVL2_ACTV_13_Exchange_Rate">SD_DETAILED_COST_WKSHT!$E$222</definedName>
    <definedName name="LVL2_ACTV_14_Cost_Summary">COSTS_DETAILED_SUMMARY!$B$422</definedName>
    <definedName name="LVL2_ACTV_14_Exchange_Rate">SUPV_DETAILED_COST_WKSHT!$E$511</definedName>
    <definedName name="LVL2_ACTV_15_Cost_Summary">COSTS_DETAILED_SUMMARY!$B$438</definedName>
    <definedName name="LVL2_ACTV_15_Exchange_Rate">SUPV_DETAILED_COST_WKSHT!$E$610</definedName>
    <definedName name="LVL2_ACTV_16_Cost_Summary">COSTS_DETAILED_SUMMARY!$B$579</definedName>
    <definedName name="LVL2_ACTV_16_Exchange_Rate">OTHER_DETAILED_COST_WKSHT!$E$414</definedName>
    <definedName name="LVL2_ACTV_18_Cost_Summary">COSTS_DETAILED_SUMMARY!$B$189</definedName>
    <definedName name="LVL2_ACTV_18_Exchange_Rate">SENS_DETAILED_COST_WKSHT!$E$414</definedName>
    <definedName name="LVL2_ACTV_19_Cost_Summary">COSTS_DETAILED_SUMMARY!$B$205</definedName>
    <definedName name="LVL2_ACTV_19_Exchange_Rate">SENS_DETAILED_COST_WKSHT!$E$513</definedName>
    <definedName name="LVL2_ACTV_2_Cost_Summary">COSTS_DETAILED_SUMMARY!$B$112</definedName>
    <definedName name="LVL2_ACTV_2_Exchange_Rate">TRAIN_DETAILED_COST_WKSHT!$E$315</definedName>
    <definedName name="LVL2_ACTV_20_Cost_Summary">COSTS_DETAILED_SUMMARY!$B$51</definedName>
    <definedName name="LVL2_ACTV_20_Exchange_Rate">MICRO_DETAILED_COST_WKSHT!$E$312</definedName>
    <definedName name="LVL2_ACTV_21_Cost_Summary">COSTS_DETAILED_SUMMARY!$B$330</definedName>
    <definedName name="LVL2_ACTV_21_Exchange_Rate">SOCMOB_DETAILED_COST_WKSHT!$E$711</definedName>
    <definedName name="LVL2_ACTV_3_Cost_Summary">COSTS_DETAILED_SUMMARY!$B$173</definedName>
    <definedName name="LVL2_ACTV_3_Exchange_Rate">SENS_DETAILED_COST_WKSHT!$E$315</definedName>
    <definedName name="LVL2_ACTV_4_Cost_Summary">COSTS_DETAILED_SUMMARY!$B$266</definedName>
    <definedName name="LVL2_ACTV_4_Exchange_Rate">SOCMOB_DETAILED_COST_WKSHT!$E$315</definedName>
    <definedName name="LVL2_ACTV_5_Cost_Summary">COSTS_DETAILED_SUMMARY!$B$406</definedName>
    <definedName name="LVL2_ACTV_5_Exchange_Rate">SUPV_DETAILED_COST_WKSHT!$E$412</definedName>
    <definedName name="LVL2_ACTV_6_Cost_Summary">COSTS_DETAILED_SUMMARY!$B$454</definedName>
    <definedName name="LVL2_ACTV_6_Exchange_Rate">SD_DETAILED_COST_WKSHT!$E$24</definedName>
    <definedName name="LVL2_ACTV_7_Cost_Summary">COSTS_DETAILED_SUMMARY!$B$563</definedName>
    <definedName name="LVL2_ACTV_7_Exchange_Rate">OTHER_DETAILED_COST_WKSHT!$E$315</definedName>
    <definedName name="LVL2_ACTV_8_Cost_Summary">COSTS_DETAILED_SUMMARY!$B$314</definedName>
    <definedName name="LVL2_ACTV_8_Exchange_Rate">SOCMOB_DETAILED_COST_WKSHT!$E$612</definedName>
    <definedName name="LVL2_ACTV_9_Cost_Summary">COSTS_DETAILED_SUMMARY!$B$502</definedName>
    <definedName name="LVL2_ACTV_9_Exchange_Rate">SD_DETAILED_COST_WKSHT!$E$321</definedName>
    <definedName name="LVL2_ACTV_Cost_Summary">COSTS_DETAILED_SUMMARY!$B$35</definedName>
    <definedName name="LVL2_ACTV_Exchange_Rate">MICRO_DETAILED_COST_WKSHT!$E$213</definedName>
    <definedName name="MdoLsk" hidden="1">"XuEsxGD3R7u02rioiW4z1baCzoRug+IGopNj5IqL8q2pvj8ZF9Xu8kb7PsbL4lEw"</definedName>
    <definedName name="MdoStgs" hidden="1">"{D5D194C9-86A9-45F7-AC6D-5DAFDD8CA4F1}"</definedName>
    <definedName name="Model_Name">Cover!$C$10</definedName>
    <definedName name="MODMC1" hidden="1">Developer_Only_To!$5:$9</definedName>
    <definedName name="MODMC10" hidden="1">OTHER_DETAILED_COST_WKSHT!$11:$22</definedName>
    <definedName name="MODMC100" hidden="1">SERVICE_DELIVERY!$307:$311</definedName>
    <definedName name="MODMC1007" hidden="1">SUPV_DETAILED_COST_WKSHT!$294:$301</definedName>
    <definedName name="MODMC1008" hidden="1">SUPV_DETAILED_COST_WKSHT!$302:$313</definedName>
    <definedName name="MODMC1009" hidden="1">SUPV_DETAILED_COST_WKSHT!$314:$336</definedName>
    <definedName name="MODMC101" hidden="1">SERVICE_DELIVERY!$312:$331</definedName>
    <definedName name="MODMC1010" hidden="1">SUPV_DETAILED_COST_WKSHT!$337:$354</definedName>
    <definedName name="MODMC1011" hidden="1">SUPV_DETAILED_COST_WKSHT!$355:$372</definedName>
    <definedName name="MODMC1012" hidden="1">SUPV_DETAILED_COST_WKSHT!$373:$390</definedName>
    <definedName name="MODMC1013" hidden="1">SUPERVISION!$119:$123</definedName>
    <definedName name="MODMC1014" hidden="1">SUPERVISION!$124:$140</definedName>
    <definedName name="MODMC1015" hidden="1">SUPERVISION!$141:$155</definedName>
    <definedName name="MODMC1016" hidden="1">CALCS_DETAILED!$2098:$2122</definedName>
    <definedName name="MODMC1017" hidden="1">CALCS_DETAILED!$2123:$2142</definedName>
    <definedName name="MODMC1018" hidden="1">CALCS_DETAILED!$2143:$2162</definedName>
    <definedName name="MODMC1019" hidden="1">CALCS_DETAILED!$2163:$2181</definedName>
    <definedName name="MODMC102" hidden="1">SERVICE_DELIVERY!$8:$25</definedName>
    <definedName name="MODMC1020" hidden="1">CALCS_Annual!$863:$870</definedName>
    <definedName name="MODMC1021" hidden="1">CALCS_Annual!$871:$878</definedName>
    <definedName name="MODMC1022" hidden="1">CALCS_Annual!$879:$886</definedName>
    <definedName name="MODMC1023" hidden="1">CALCS_Annual!$887:$894</definedName>
    <definedName name="MODMC103" hidden="1">CALCS_DETAILED!$3067:$3091</definedName>
    <definedName name="MODMC104" hidden="1">CALCS_DETAILED!$3092:$3111</definedName>
    <definedName name="MODMC1041" hidden="1">COSTS_DETAILED_SUMMARY!$390:$404</definedName>
    <definedName name="MODMC1046" hidden="1">SENS_DETAILED_COST_WKSHT!$393:$394</definedName>
    <definedName name="MODMC1047" hidden="1">SENS_DETAILED_COST_WKSHT!$395:$414</definedName>
    <definedName name="MODMC1048" hidden="1">SENS_DETAILED_COST_WKSHT!$415:$437</definedName>
    <definedName name="MODMC1049" hidden="1">SENS_DETAILED_COST_WKSHT!$438:$455</definedName>
    <definedName name="MODMC105" hidden="1">CALCS_DETAILED!$3132:$3151</definedName>
    <definedName name="MODMC1050" hidden="1">SENS_DETAILED_COST_WKSHT!$456:$473</definedName>
    <definedName name="MODMC1051" hidden="1">SENS_DETAILED_COST_WKSHT!$474:$491</definedName>
    <definedName name="MODMC1052" hidden="1">SENSITISATION!$162:$166</definedName>
    <definedName name="MODMC1053" hidden="1">SENSITISATION!$167:$185</definedName>
    <definedName name="MODMC1054" hidden="1">SENSITISATION!$186:$204</definedName>
    <definedName name="MODMC1055" hidden="1">CALCS_DETAILED!$1006:$1030</definedName>
    <definedName name="MODMC1056" hidden="1">CALCS_DETAILED!$1031:$1050</definedName>
    <definedName name="MODMC1057" hidden="1">CALCS_DETAILED!$1051:$1070</definedName>
    <definedName name="MODMC1058" hidden="1">CALCS_DETAILED!$1071:$1089</definedName>
    <definedName name="MODMC1059" hidden="1">CALCS_Annual!$412:$421</definedName>
    <definedName name="MODMC106" hidden="1">CALCS_DETAILED!$3171:$3189</definedName>
    <definedName name="MODMC1060" hidden="1">CALCS_Annual!$422:$430</definedName>
    <definedName name="MODMC1061" hidden="1">CALCS_Annual!$431:$439</definedName>
    <definedName name="MODMC1062" hidden="1">CALCS_Annual!$440:$448</definedName>
    <definedName name="MODMC1063" hidden="1">COSTS_DETAILED_SUMMARY!$188:$203</definedName>
    <definedName name="MODMC1064" hidden="1">COST_SUMMARY!$245:$258</definedName>
    <definedName name="MODMC1065" hidden="1">SENS_Lu!$145:$179</definedName>
    <definedName name="MODMC1067" hidden="1">SENS_DETAILED_COST_WKSHT!$492:$493</definedName>
    <definedName name="MODMC1068" hidden="1">SENS_DETAILED_COST_WKSHT!$494:$513</definedName>
    <definedName name="MODMC1069" hidden="1">SENS_DETAILED_COST_WKSHT!$514:$536</definedName>
    <definedName name="MODMC107" hidden="1">CALCS_Annual!$1110:$1117</definedName>
    <definedName name="MODMC1070" hidden="1">SENS_DETAILED_COST_WKSHT!$537:$554</definedName>
    <definedName name="MODMC1071" hidden="1">SENS_DETAILED_COST_WKSHT!$555:$572</definedName>
    <definedName name="MODMC1072" hidden="1">SENS_DETAILED_COST_WKSHT!$573:$590</definedName>
    <definedName name="MODMC1073" hidden="1">SENSITISATION!$205:$209</definedName>
    <definedName name="MODMC1074" hidden="1">SENSITISATION!$210:$228</definedName>
    <definedName name="MODMC1075" hidden="1">SENSITISATION!$229:$247</definedName>
    <definedName name="MODMC1076" hidden="1">CALCS_DETAILED!$1090:$1114</definedName>
    <definedName name="MODMC1077" hidden="1">CALCS_DETAILED!$1115:$1134</definedName>
    <definedName name="MODMC1078" hidden="1">CALCS_DETAILED!$1135:$1154</definedName>
    <definedName name="MODMC1079" hidden="1">CALCS_DETAILED!$1155:$1173</definedName>
    <definedName name="MODMC108" hidden="1">CALCS_Annual!$1118:$1125</definedName>
    <definedName name="MODMC1080" hidden="1">CALCS_Annual!$449:$458</definedName>
    <definedName name="MODMC1081" hidden="1">CALCS_Annual!$459:$467</definedName>
    <definedName name="MODMC1082" hidden="1">CALCS_Annual!$468:$476</definedName>
    <definedName name="MODMC1083" hidden="1">CALCS_Annual!$477:$485</definedName>
    <definedName name="MODMC1084" hidden="1">COSTS_DETAILED_SUMMARY!$204:$219</definedName>
    <definedName name="MODMC1085" hidden="1">COST_SUMMARY!$259:$272</definedName>
    <definedName name="MODMC1086" hidden="1">SENS_Lu!$180:$214</definedName>
    <definedName name="MODMC109" hidden="1">CALCS_Annual!$1126:$1134</definedName>
    <definedName name="MODMC11" hidden="1">Analysis!$107:$174</definedName>
    <definedName name="MODMC110" hidden="1">CALCS_Annual!$1135:$1143</definedName>
    <definedName name="MODMC1102" hidden="1">COST_SUMMARY!$483:$496</definedName>
    <definedName name="MODMC111" hidden="1">COSTS_DETAILED_SUMMARY!$501:$516</definedName>
    <definedName name="MODMC112" hidden="1">COST_SUMMARY!$427:$440</definedName>
    <definedName name="MODMC1123" hidden="1">SUPV_Lu!$110:$144</definedName>
    <definedName name="MODMC113" hidden="1">SD_Lu!$110:$144</definedName>
    <definedName name="MODMC114" hidden="1">COVERAGE!$247:$275</definedName>
    <definedName name="MODMC115" hidden="1">Analysis!$623:$782</definedName>
    <definedName name="MODMC116" hidden="1">COVERAGE!$117:$135</definedName>
    <definedName name="MODMC117" hidden="1">OTHER!$117:$141</definedName>
    <definedName name="MODMC118" hidden="1">OTHER!$142:$152</definedName>
    <definedName name="MODMC119" hidden="1">COLD_CHAIN_EXPANS!$10:$47</definedName>
    <definedName name="MODMC12" hidden="1">Analysis!$175:$241</definedName>
    <definedName name="MODMC120" hidden="1">CALCS_DETAILED!$2686:$2710</definedName>
    <definedName name="MODMC121" hidden="1">CALCS_DETAILED!$2711:$2730</definedName>
    <definedName name="MODMC122" hidden="1">TRAIN_DETAILED_COST_WKSHT!$3:$10</definedName>
    <definedName name="MODMC123" hidden="1">TRAIN_DETAILED_COST_WKSHT!$11:$22</definedName>
    <definedName name="MODMC124" hidden="1">TRAIN_DETAILED_COST_WKSHT!$23:$45</definedName>
    <definedName name="MODMC125" hidden="1">TRAIN_DETAILED_COST_WKSHT!$46:$63</definedName>
    <definedName name="MODMC126" hidden="1">TRAIN_DETAILED_COST_WKSHT!$64:$81</definedName>
    <definedName name="MODMC127" hidden="1">TRAIN_DETAILED_COST_WKSHT!$82:$99</definedName>
    <definedName name="MODMC128" hidden="1">TRAINING!$8:$12</definedName>
    <definedName name="MODMC129" hidden="1">TRAINING!$13:$29</definedName>
    <definedName name="MODMC13" hidden="1">Analysis!$242:$320</definedName>
    <definedName name="MODMC130" hidden="1">TRAINING!$30:$44</definedName>
    <definedName name="MODMC131" hidden="1">CALCS_DETAILED!$334:$358</definedName>
    <definedName name="MODMC132" hidden="1">CALCS_DETAILED!$359:$378</definedName>
    <definedName name="MODMC133" hidden="1">CALCS_DETAILED!$379:$398</definedName>
    <definedName name="MODMC134" hidden="1">CALCS_DETAILED!$399:$417</definedName>
    <definedName name="MODMC135" hidden="1">CALCS_Annual!$146:$153</definedName>
    <definedName name="MODMC136" hidden="1">CALCS_Annual!$154:$161</definedName>
    <definedName name="MODMC137" hidden="1">CALCS_Annual!$162:$169</definedName>
    <definedName name="MODMC138" hidden="1">CALCS_Annual!$170:$177</definedName>
    <definedName name="MODMC139" hidden="1">COSTS_DETAILED_SUMMARY!$66:$80</definedName>
    <definedName name="MODMC14" hidden="1">Analysis!$321:$411</definedName>
    <definedName name="MODMC140" hidden="1">COST_SUMMARY!$133:$146</definedName>
    <definedName name="MODMC141" hidden="1">TRAIN_Lu!$3:$37</definedName>
    <definedName name="MODMC142" hidden="1">CALCS_DETAILED!$2731:$2750</definedName>
    <definedName name="MODMC143" hidden="1">SENS_DETAILED_COST_WKSHT!$3:$10</definedName>
    <definedName name="MODMC144" hidden="1">SENS_DETAILED_COST_WKSHT!$11:$22</definedName>
    <definedName name="MODMC145" hidden="1">SENS_DETAILED_COST_WKSHT!$23:$45</definedName>
    <definedName name="MODMC146" hidden="1">SENS_DETAILED_COST_WKSHT!$46:$63</definedName>
    <definedName name="MODMC147" hidden="1">SENS_DETAILED_COST_WKSHT!$64:$81</definedName>
    <definedName name="MODMC148" hidden="1">SENS_DETAILED_COST_WKSHT!$82:$99</definedName>
    <definedName name="MODMC149" hidden="1">SENSITISATION!$8:$12</definedName>
    <definedName name="MODMC15" hidden="1">LABELS!$3:$14</definedName>
    <definedName name="MODMC150" hidden="1">SENSITISATION!$13:$29</definedName>
    <definedName name="MODMC151" hidden="1">SENSITISATION!$30:$44</definedName>
    <definedName name="MODMC152" hidden="1">CALCS_DETAILED!$670:$694</definedName>
    <definedName name="MODMC153" hidden="1">CALCS_DETAILED!$695:$714</definedName>
    <definedName name="MODMC154" hidden="1">CALCS_DETAILED!$715:$734</definedName>
    <definedName name="MODMC155" hidden="1">CALCS_DETAILED!$735:$753</definedName>
    <definedName name="MODMC156" hidden="1">CALCS_Annual!$279:$286</definedName>
    <definedName name="MODMC157" hidden="1">CALCS_Annual!$287:$294</definedName>
    <definedName name="MODMC158" hidden="1">CALCS_Annual!$295:$302</definedName>
    <definedName name="MODMC159" hidden="1">CALCS_Annual!$303:$310</definedName>
    <definedName name="MODMC16" hidden="1">'VACCS_&amp;_SUPPLIES'!$126:$149</definedName>
    <definedName name="MODMC160" hidden="1">COSTS_DETAILED_SUMMARY!$127:$141</definedName>
    <definedName name="MODMC161" hidden="1">COST_SUMMARY!$189:$202</definedName>
    <definedName name="MODMC162" hidden="1">SENS_Lu!$5:$39</definedName>
    <definedName name="MODMC163" hidden="1">CALCS_DETAILED!$2751:$2769</definedName>
    <definedName name="MODMC164" hidden="1">SOCMOB_DETAILED_COST_WKSHT!$3:$10</definedName>
    <definedName name="MODMC165" hidden="1">SOCMOB_DETAILED_COST_WKSHT!$11:$22</definedName>
    <definedName name="MODMC166" hidden="1">SOCMOB_DETAILED_COST_WKSHT!$23:$45</definedName>
    <definedName name="MODMC167" hidden="1">SOCMOB_DETAILED_COST_WKSHT!$46:$63</definedName>
    <definedName name="MODMC168" hidden="1">SOCMOB_DETAILED_COST_WKSHT!$64:$81</definedName>
    <definedName name="MODMC169" hidden="1">SOCMOB_DETAILED_COST_WKSHT!$82:$99</definedName>
    <definedName name="MODMC17" hidden="1">Analysis!$412:$474</definedName>
    <definedName name="MODMC170" hidden="1">SOCIAL_MOBILISATION!$8:$12</definedName>
    <definedName name="MODMC171" hidden="1">SOCIAL_MOBILISATION!$13:$29</definedName>
    <definedName name="MODMC172" hidden="1">SOCIAL_MOBILISATION!$30:$44</definedName>
    <definedName name="MODMC173" hidden="1">CALCS_DETAILED!$1174:$1198</definedName>
    <definedName name="MODMC174" hidden="1">CALCS_DETAILED!$1199:$1218</definedName>
    <definedName name="MODMC175" hidden="1">CALCS_DETAILED!$1219:$1238</definedName>
    <definedName name="MODMC176" hidden="1">CALCS_DETAILED!$1239:$1257</definedName>
    <definedName name="MODMC177" hidden="1">CALCS_Annual!$486:$493</definedName>
    <definedName name="MODMC178" hidden="1">CALCS_Annual!$494:$501</definedName>
    <definedName name="MODMC179" hidden="1">CALCS_Annual!$502:$509</definedName>
    <definedName name="MODMC18" hidden="1">Analysis!$475:$552</definedName>
    <definedName name="MODMC180" hidden="1">CALCS_Annual!$510:$517</definedName>
    <definedName name="MODMC181" hidden="1">COSTS_DETAILED_SUMMARY!$220:$234</definedName>
    <definedName name="MODMC182" hidden="1">COST_SUMMARY!$273:$286</definedName>
    <definedName name="MODMC183" hidden="1">SOCMOB_Lu!$5:$39</definedName>
    <definedName name="MODMC184" hidden="1">CALCS_Annual!$1240:$1249</definedName>
    <definedName name="MODMC185" hidden="1">SUPV_DETAILED_COST_WKSHT!$3:$10</definedName>
    <definedName name="MODMC186" hidden="1">SUPV_DETAILED_COST_WKSHT!$11:$22</definedName>
    <definedName name="MODMC187" hidden="1">SUPV_DETAILED_COST_WKSHT!$23:$45</definedName>
    <definedName name="MODMC188" hidden="1">SUPV_DETAILED_COST_WKSHT!$46:$63</definedName>
    <definedName name="MODMC189" hidden="1">SUPV_DETAILED_COST_WKSHT!$64:$81</definedName>
    <definedName name="MODMC19" hidden="1">Lbl_Lu!$3:$27</definedName>
    <definedName name="MODMC190" hidden="1">SUPV_DETAILED_COST_WKSHT!$82:$99</definedName>
    <definedName name="MODMC191" hidden="1">SUPERVISION!$8:$12</definedName>
    <definedName name="MODMC192" hidden="1">SUPERVISION!$13:$29</definedName>
    <definedName name="MODMC193" hidden="1">SUPERVISION!$30:$44</definedName>
    <definedName name="MODMC194" hidden="1">CALCS_DETAILED!$1846:$1870</definedName>
    <definedName name="MODMC195" hidden="1">CALCS_DETAILED!$1871:$1890</definedName>
    <definedName name="MODMC196" hidden="1">CALCS_DETAILED!$1891:$1910</definedName>
    <definedName name="MODMC197" hidden="1">CALCS_DETAILED!$1911:$1929</definedName>
    <definedName name="MODMC198" hidden="1">CALCS_Annual!$767:$774</definedName>
    <definedName name="MODMC199" hidden="1">CALCS_Annual!$775:$782</definedName>
    <definedName name="MODMC2" hidden="1">Analysis!$3:$7</definedName>
    <definedName name="MODMC20" hidden="1">OTHER_DETAILED_COST_WKSHT!$23:$45</definedName>
    <definedName name="MODMC200" hidden="1">CALCS_Annual!$783:$790</definedName>
    <definedName name="MODMC201" hidden="1">CALCS_Annual!$791:$798</definedName>
    <definedName name="MODMC202" hidden="1">COSTS_DETAILED_SUMMARY!$345:$359</definedName>
    <definedName name="MODMC203" hidden="1">COST_SUMMARY!$441:$454</definedName>
    <definedName name="MODMC204" hidden="1">SUPV_Lu!$5:$39</definedName>
    <definedName name="MODMC205" hidden="1">CALCS_Annual!$1250:$1258</definedName>
    <definedName name="MODMC206" hidden="1">MICROPLANNING!$3:$7</definedName>
    <definedName name="MODMC207" hidden="1">TRAINING!$3:$7</definedName>
    <definedName name="MODMC208" hidden="1">SENSITISATION!$3:$7</definedName>
    <definedName name="MODMC209" hidden="1">SOCIAL_MOBILISATION!$3:$7</definedName>
    <definedName name="MODMC21" hidden="1">SD_DETAILED_COST_WKSHT!$300:$301</definedName>
    <definedName name="MODMC210" hidden="1">SERVICE_DELIVERY!$26:$170</definedName>
    <definedName name="MODMC211" hidden="1">LABELS!$47:$63</definedName>
    <definedName name="MODMC212" hidden="1">COUNTS!$8:$31</definedName>
    <definedName name="MODMC213" hidden="1">COLD_CHAIN!$10:$134</definedName>
    <definedName name="MODMC214" hidden="1">SERVICE_DELIVERY!$171:$233</definedName>
    <definedName name="MODMC215" hidden="1">TRAIN_DETAILED_COST_WKSHT!$294:$295</definedName>
    <definedName name="MODMC216" hidden="1">TRAIN_DETAILED_COST_WKSHT!$296:$315</definedName>
    <definedName name="MODMC217" hidden="1">TRAIN_DETAILED_COST_WKSHT!$316:$338</definedName>
    <definedName name="MODMC218" hidden="1">TRAIN_DETAILED_COST_WKSHT!$339:$356</definedName>
    <definedName name="MODMC219" hidden="1">TRAIN_DETAILED_COST_WKSHT!$357:$374</definedName>
    <definedName name="MODMC22" hidden="1">SD_DETAILED_COST_WKSHT!$302:$321</definedName>
    <definedName name="MODMC220" hidden="1">TRAIN_DETAILED_COST_WKSHT!$375:$392</definedName>
    <definedName name="MODMC221" hidden="1">TRAINING!$119:$123</definedName>
    <definedName name="MODMC222" hidden="1">TRAINING!$124:$142</definedName>
    <definedName name="MODMC223" hidden="1">TRAINING!$143:$162</definedName>
    <definedName name="MODMC224" hidden="1">CALCS_DETAILED!$586:$610</definedName>
    <definedName name="MODMC225" hidden="1">CALCS_DETAILED!$611:$630</definedName>
    <definedName name="MODMC226" hidden="1">CALCS_DETAILED!$631:$650</definedName>
    <definedName name="MODMC227" hidden="1">CALCS_DETAILED!$651:$669</definedName>
    <definedName name="MODMC228" hidden="1">CALCS_Annual!$242:$251</definedName>
    <definedName name="MODMC229" hidden="1">CALCS_Annual!$252:$260</definedName>
    <definedName name="MODMC230" hidden="1">CALCS_Annual!$261:$269</definedName>
    <definedName name="MODMC231" hidden="1">CALCS_Annual!$270:$278</definedName>
    <definedName name="MODMC232" hidden="1">COSTS_DETAILED_SUMMARY!$111:$126</definedName>
    <definedName name="MODMC233" hidden="1">COST_SUMMARY!$175:$188</definedName>
    <definedName name="MODMC234" hidden="1">TRAIN_Lu!$108:$142</definedName>
    <definedName name="MODMC235" hidden="1">CALCS_Annual!$1259:$1267</definedName>
    <definedName name="MODMC236" hidden="1">COLD_Lu!$3:$29</definedName>
    <definedName name="MODMC237" hidden="1">COLD_CHAIN_EXPANS!$3:$9</definedName>
    <definedName name="MODMC238" hidden="1">COLD_CHAIN!$3:$9</definedName>
    <definedName name="MODMC239" hidden="1">CAPITAL_INVESTS_OTH!$11:$48</definedName>
    <definedName name="MODMC24" hidden="1">MICRO_DETAILED_COST_WKSHT!$23:$40</definedName>
    <definedName name="MODMC240" hidden="1">CAP_OTH!$12:$136</definedName>
    <definedName name="MODMC241" hidden="1">CAP_OTH_Lu!$5:$31</definedName>
    <definedName name="MODMC242" hidden="1">CAPITAL_INVESTS_OTH!$4:$10</definedName>
    <definedName name="MODMC243" hidden="1">CAP_OTH!$5:$11</definedName>
    <definedName name="MODMC244" hidden="1">Analysis!$783:$941</definedName>
    <definedName name="MODMC245" hidden="1">Analysis!$942:$947</definedName>
    <definedName name="MODMC25" hidden="1">MICRO_DETAILED_COST_WKSHT!$41:$58</definedName>
    <definedName name="MODMC256" hidden="1">CALCS_Annual!$1268:$1276</definedName>
    <definedName name="MODMC257" hidden="1">SENS_DETAILED_COST_WKSHT!$294:$295</definedName>
    <definedName name="MODMC258" hidden="1">SENS_DETAILED_COST_WKSHT!$296:$315</definedName>
    <definedName name="MODMC259" hidden="1">SENS_DETAILED_COST_WKSHT!$316:$338</definedName>
    <definedName name="MODMC26" hidden="1">MICRO_DETAILED_COST_WKSHT!$59:$76</definedName>
    <definedName name="MODMC260" hidden="1">SENS_DETAILED_COST_WKSHT!$339:$356</definedName>
    <definedName name="MODMC261" hidden="1">SENS_DETAILED_COST_WKSHT!$357:$374</definedName>
    <definedName name="MODMC262" hidden="1">SENS_DETAILED_COST_WKSHT!$375:$392</definedName>
    <definedName name="MODMC263" hidden="1">SENSITISATION!$119:$123</definedName>
    <definedName name="MODMC264" hidden="1">SENSITISATION!$124:$142</definedName>
    <definedName name="MODMC265" hidden="1">SENSITISATION!$143:$161</definedName>
    <definedName name="MODMC266" hidden="1">CALCS_DETAILED!$922:$946</definedName>
    <definedName name="MODMC267" hidden="1">CALCS_DETAILED!$947:$966</definedName>
    <definedName name="MODMC268" hidden="1">CALCS_DETAILED!$967:$986</definedName>
    <definedName name="MODMC269" hidden="1">CALCS_DETAILED!$987:$1005</definedName>
    <definedName name="MODMC27" hidden="1">MICRO_DETAILED_COST_WKSHT!$77:$94</definedName>
    <definedName name="MODMC270" hidden="1">CALCS_Annual!$375:$384</definedName>
    <definedName name="MODMC271" hidden="1">CALCS_Annual!$385:$393</definedName>
    <definedName name="MODMC272" hidden="1">CALCS_Annual!$394:$402</definedName>
    <definedName name="MODMC273" hidden="1">CALCS_Annual!$403:$411</definedName>
    <definedName name="MODMC274" hidden="1">COSTS_DETAILED_SUMMARY!$172:$187</definedName>
    <definedName name="MODMC275" hidden="1">COST_SUMMARY!$231:$244</definedName>
    <definedName name="MODMC276" hidden="1">SENS_Lu!$110:$144</definedName>
    <definedName name="MODMC277" hidden="1">COSTS_DETAILED_SUMMARY!$562:$577</definedName>
    <definedName name="MODMC278" hidden="1">SOCMOB_DETAILED_COST_WKSHT!$294:$295</definedName>
    <definedName name="MODMC279" hidden="1">SOCMOB_DETAILED_COST_WKSHT!$296:$315</definedName>
    <definedName name="MODMC28" hidden="1">MICROPLANNING!$8:$12</definedName>
    <definedName name="MODMC280" hidden="1">SOCMOB_DETAILED_COST_WKSHT!$316:$338</definedName>
    <definedName name="MODMC281" hidden="1">SOCMOB_DETAILED_COST_WKSHT!$339:$356</definedName>
    <definedName name="MODMC282" hidden="1">SOCMOB_DETAILED_COST_WKSHT!$357:$374</definedName>
    <definedName name="MODMC283" hidden="1">SOCMOB_DETAILED_COST_WKSHT!$375:$392</definedName>
    <definedName name="MODMC284" hidden="1">SOCIAL_MOBILISATION!$119:$123</definedName>
    <definedName name="MODMC285" hidden="1">SOCIAL_MOBILISATION!$124:$142</definedName>
    <definedName name="MODMC286" hidden="1">SOCIAL_MOBILISATION!$143:$161</definedName>
    <definedName name="MODMC287" hidden="1">CALCS_DETAILED!$1426:$1450</definedName>
    <definedName name="MODMC288" hidden="1">CALCS_DETAILED!$1451:$1470</definedName>
    <definedName name="MODMC289" hidden="1">CALCS_DETAILED!$1471:$1490</definedName>
    <definedName name="MODMC29" hidden="1">MICROPLANNING!$13:$29</definedName>
    <definedName name="MODMC290" hidden="1">CALCS_DETAILED!$1491:$1509</definedName>
    <definedName name="MODMC291" hidden="1">CALCS_Annual!$582:$591</definedName>
    <definedName name="MODMC292" hidden="1">CALCS_Annual!$592:$600</definedName>
    <definedName name="MODMC293" hidden="1">CALCS_Annual!$601:$609</definedName>
    <definedName name="MODMC294" hidden="1">CALCS_Annual!$610:$618</definedName>
    <definedName name="MODMC295" hidden="1">COSTS_DETAILED_SUMMARY!$265:$280</definedName>
    <definedName name="MODMC296" hidden="1">COST_SUMMARY!$315:$328</definedName>
    <definedName name="MODMC297" hidden="1">SOCMOB_Lu!$110:$144</definedName>
    <definedName name="MODMC298" hidden="1">COST_SUMMARY!$581:$594</definedName>
    <definedName name="MODMC299" hidden="1">SUPV_DETAILED_COST_WKSHT!$391:$392</definedName>
    <definedName name="MODMC3" hidden="1">Analysis!$8:$24</definedName>
    <definedName name="MODMC30" hidden="1">MICROPLANNING!$30:$44</definedName>
    <definedName name="MODMC300" hidden="1">SUPV_DETAILED_COST_WKSHT!$393:$412</definedName>
    <definedName name="MODMC301" hidden="1">SUPV_DETAILED_COST_WKSHT!$413:$435</definedName>
    <definedName name="MODMC302" hidden="1">SUPV_DETAILED_COST_WKSHT!$436:$453</definedName>
    <definedName name="MODMC303" hidden="1">SUPV_DETAILED_COST_WKSHT!$454:$471</definedName>
    <definedName name="MODMC304" hidden="1">SUPV_DETAILED_COST_WKSHT!$472:$489</definedName>
    <definedName name="MODMC305" hidden="1">SUPERVISION!$156:$160</definedName>
    <definedName name="MODMC306" hidden="1">SUPERVISION!$161:$179</definedName>
    <definedName name="MODMC307" hidden="1">SUPERVISION!$180:$198</definedName>
    <definedName name="MODMC308" hidden="1">CALCS_DETAILED!$2182:$2206</definedName>
    <definedName name="MODMC309" hidden="1">CALCS_DETAILED!$2207:$2226</definedName>
    <definedName name="MODMC31" hidden="1">OTHER_DETAILED_COST_WKSHT!$46:$63</definedName>
    <definedName name="MODMC310" hidden="1">CALCS_DETAILED!$2227:$2246</definedName>
    <definedName name="MODMC311" hidden="1">CALCS_DETAILED!$2247:$2265</definedName>
    <definedName name="MODMC312" hidden="1">CALCS_Annual!$895:$903</definedName>
    <definedName name="MODMC313" hidden="1">CALCS_Annual!$904:$912</definedName>
    <definedName name="MODMC314" hidden="1">CALCS_Annual!$913:$921</definedName>
    <definedName name="MODMC315" hidden="1">CALCS_Annual!$922:$930</definedName>
    <definedName name="MODMC316" hidden="1">COSTS_DETAILED_SUMMARY!$405:$420</definedName>
    <definedName name="MODMC317" hidden="1">COST_SUMMARY!$497:$510</definedName>
    <definedName name="MODMC318" hidden="1">SUPV_Lu!$145:$179</definedName>
    <definedName name="MODMC319" hidden="1">OTHER_Lu!$110:$144</definedName>
    <definedName name="MODMC32" hidden="1">CALCS_DETAILED!$3:$22</definedName>
    <definedName name="MODMC33" hidden="1">CALCS_DETAILED!$23:$42</definedName>
    <definedName name="MODMC34" hidden="1">CALCS_DETAILED!$43:$62</definedName>
    <definedName name="MODMC340" hidden="1">OTHER!$3:$7</definedName>
    <definedName name="MODMC35" hidden="1">CALCS_DETAILED!$63:$81</definedName>
    <definedName name="MODMC36" hidden="1">CALCS_Annual!$8:$15</definedName>
    <definedName name="MODMC361" hidden="1">Analysis!$553:$622</definedName>
    <definedName name="MODMC37" hidden="1">CALCS_Annual!$16:$23</definedName>
    <definedName name="MODMC38" hidden="1">CALCS_Annual!$24:$31</definedName>
    <definedName name="MODMC382" hidden="1">'VACCS_&amp;_SUPPLIES'!$150:$160</definedName>
    <definedName name="MODMC383" hidden="1">SD_DETAILED_COST_WKSHT!$3:$4</definedName>
    <definedName name="MODMC384" hidden="1">SD_DETAILED_COST_WKSHT!$5:$24</definedName>
    <definedName name="MODMC385" hidden="1">SD_DETAILED_COST_WKSHT!$25:$47</definedName>
    <definedName name="MODMC386" hidden="1">SD_DETAILED_COST_WKSHT!$48:$65</definedName>
    <definedName name="MODMC387" hidden="1">SD_DETAILED_COST_WKSHT!$66:$83</definedName>
    <definedName name="MODMC388" hidden="1">SD_DETAILED_COST_WKSHT!$84:$101</definedName>
    <definedName name="MODMC389" hidden="1">SERVICE_DELIVERY!$234:$238</definedName>
    <definedName name="MODMC39" hidden="1">CALCS_Annual!$32:$39</definedName>
    <definedName name="MODMC390" hidden="1">SERVICE_DELIVERY!$239:$257</definedName>
    <definedName name="MODMC392" hidden="1">CALCS_DETAILED!$2854:$2878</definedName>
    <definedName name="MODMC393" hidden="1">CALCS_DETAILED!$2879:$2898</definedName>
    <definedName name="MODMC394" hidden="1">CALCS_DETAILED!$2899:$2918</definedName>
    <definedName name="MODMC395" hidden="1">CALCS_DETAILED!$2919:$2937</definedName>
    <definedName name="MODMC396" hidden="1">CALCS_Annual!$1004:$1012</definedName>
    <definedName name="MODMC397" hidden="1">CALCS_Annual!$1013:$1021</definedName>
    <definedName name="MODMC398" hidden="1">CALCS_Annual!$1022:$1032</definedName>
    <definedName name="MODMC399" hidden="1">CALCS_Annual!$1033:$1041</definedName>
    <definedName name="MODMC4" hidden="1">Analysis!$25:$43</definedName>
    <definedName name="MODMC40" hidden="1">COSTS_DETAILED_SUMMARY!$4:$18</definedName>
    <definedName name="MODMC400" hidden="1">COSTS_DETAILED_SUMMARY!$453:$468</definedName>
    <definedName name="MODMC401" hidden="1">COST_SUMMARY!$385:$398</definedName>
    <definedName name="MODMC402" hidden="1">SD_Lu!$5:$39</definedName>
    <definedName name="MODMC403" hidden="1">MICRO_DETAILED_COST_WKSHT!$103:$114</definedName>
    <definedName name="MODMC41" hidden="1">COST_SUMMARY!$77:$90</definedName>
    <definedName name="MODMC42" hidden="1">MICRO_Lu!$3:$37</definedName>
    <definedName name="MODMC424" hidden="1">SERVICE_DELIVERY!$3:$7</definedName>
    <definedName name="MODMC426" hidden="1">MICRO_DETAILED_COST_WKSHT!$115:$137</definedName>
    <definedName name="MODMC427" hidden="1">COST_SUMMARY!$3:$7</definedName>
    <definedName name="MODMC428" hidden="1">COUNTS!$32:$38</definedName>
    <definedName name="MODMC429" hidden="1">COUNTS!$151:$162</definedName>
    <definedName name="MODMC43" hidden="1">SUPERVISION!$3:$7</definedName>
    <definedName name="MODMC430" hidden="1">COUNTS!$39:$76</definedName>
    <definedName name="MODMC431" hidden="1">COUNTS!$77:$150</definedName>
    <definedName name="MODMC436" hidden="1">COUNTS_and_COVERAGE_Summary!$8:$36</definedName>
    <definedName name="MODMC437" hidden="1">Count_Lu!$5:$21</definedName>
    <definedName name="MODMC438" hidden="1">COUNTS!$3:$7</definedName>
    <definedName name="MODMC439" hidden="1">MICRO_DETAILED_COST_WKSHT!$138:$155</definedName>
    <definedName name="MODMC44" hidden="1">OTHER_DETAILED_COST_WKSHT!$64:$81</definedName>
    <definedName name="MODMC441" hidden="1">LABELS!$15:$32</definedName>
    <definedName name="MODMC442" hidden="1">COVERAGE!$8:$14</definedName>
    <definedName name="MODMC443" hidden="1">Developer_Only_To!$24:$46</definedName>
    <definedName name="MODMC444" hidden="1">COVERAGE!$20:$42</definedName>
    <definedName name="MODMC445" hidden="1">COVERAGE!$43:$65</definedName>
    <definedName name="MODMC446" hidden="1">COVERAGE!$66:$91</definedName>
    <definedName name="MODMC447" hidden="1">COVERAGE!$92:$116</definedName>
    <definedName name="MODMC448" hidden="1">COVERAGE!$141:$165</definedName>
    <definedName name="MODMC449" hidden="1">COVERAGE!$166:$191</definedName>
    <definedName name="MODMC45" hidden="1">CALCS_Annual!$3:$7</definedName>
    <definedName name="MODMC450" hidden="1">COVERAGE!$192:$219</definedName>
    <definedName name="MODMC451" hidden="1">COVERAGE!$220:$246</definedName>
    <definedName name="MODMC452" hidden="1">COUNTS_and_COVERAGE_Summary!$37:$114</definedName>
    <definedName name="MODMC453" hidden="1">CVG_Lu!$5:$6</definedName>
    <definedName name="MODMC454" hidden="1">CVG_Lu!$7:$37</definedName>
    <definedName name="MODMC455" hidden="1">COVERAGE!$3:$7</definedName>
    <definedName name="MODMC456" hidden="1">LABELS!$33:$46</definedName>
    <definedName name="MODMC457" hidden="1">COVERAGE!$15:$19</definedName>
    <definedName name="MODMC458" hidden="1">COVERAGE!$136:$140</definedName>
    <definedName name="MODMC459" hidden="1">COUNTS_and_COVERAGE_Summary!$3:$7</definedName>
    <definedName name="MODMC46" hidden="1">ECONOMICS!$3:$3</definedName>
    <definedName name="MODMC460" hidden="1">CALCS_COVERAGE!$5:$9</definedName>
    <definedName name="MODMC461" hidden="1">CALCS_COVERAGE!$10:$22</definedName>
    <definedName name="MODMC462" hidden="1">CALCS_COVERAGE!$23:$35</definedName>
    <definedName name="MODMC463" hidden="1">CALCS_COVERAGE!$36:$47</definedName>
    <definedName name="MODMC464" hidden="1">CALCS_COVERAGE!$48:$58</definedName>
    <definedName name="MODMC465" hidden="1">CALCS_COVERAGE!$102:$112</definedName>
    <definedName name="MODMC466" hidden="1">CALCS_COVERAGE!$113:$123</definedName>
    <definedName name="MODMC467" hidden="1">CALCS_COVERAGE!$124:$134</definedName>
    <definedName name="MODMC468" hidden="1">CALCS_COVERAGE!$135:$145</definedName>
    <definedName name="MODMC469" hidden="1">MICRO_DETAILED_COST_WKSHT!$156:$173</definedName>
    <definedName name="MODMC47" hidden="1">Econ_Lu!$3:$27</definedName>
    <definedName name="MODMC470" hidden="1">'VACCS_&amp;_SUPPLIES'!$100:$125</definedName>
    <definedName name="MODMC472" hidden="1">'VACCS_&amp;_SUPPLIES'!$161:$161</definedName>
    <definedName name="MODMC473" hidden="1">MICRO_DETAILED_COST_WKSHT!$174:$191</definedName>
    <definedName name="MODMC474" hidden="1">MICROPLANNING!$45:$49</definedName>
    <definedName name="MODMC475" hidden="1">Vacc_Lu!$5:$23</definedName>
    <definedName name="MODMC476" hidden="1">'VACCS_&amp;_SUPPLIES'!$3:$7</definedName>
    <definedName name="MODMC477" hidden="1">MICROPLANNING!$50:$66</definedName>
    <definedName name="MODMC478" hidden="1">CALCS_COVERAGE!$59:$71</definedName>
    <definedName name="MODMC479" hidden="1">CALCS_COVERAGE!$72:$89</definedName>
    <definedName name="MODMC480" hidden="1">CALCS_COVERAGE!$146:$156</definedName>
    <definedName name="MODMC481" hidden="1">CALCS_COVERAGE!$157:$167</definedName>
    <definedName name="MODMC482" hidden="1">CALCS_COVERAGE!$90:$101</definedName>
    <definedName name="MODMC483" hidden="1">CALCS_COVERAGE!$168:$178</definedName>
    <definedName name="MODMC484" hidden="1">'VACCS_&amp;_SUPPLIES'!$8:$99</definedName>
    <definedName name="MODMC485" hidden="1">'VACCS_&amp;_SUPPLIES_To'!$5:$9</definedName>
    <definedName name="MODMC486" hidden="1">'VACCS_&amp;_SUPPLIES_To'!$10:$16</definedName>
    <definedName name="MODMC487" hidden="1">'VACCS_&amp;_SUPPLIES_To'!$31:$39</definedName>
    <definedName name="MODMC488" hidden="1">'VACCS_&amp;_SUPPLIES_To'!$40:$48</definedName>
    <definedName name="MODMC489" hidden="1">'VACCS_&amp;_SUPPLIES_To'!$49:$57</definedName>
    <definedName name="MODMC49" hidden="1">ECONOMICS!$4:$8</definedName>
    <definedName name="MODMC490" hidden="1">'VACCS_&amp;_SUPPLIES_To'!$58:$66</definedName>
    <definedName name="MODMC491" hidden="1">'VACCS_&amp;_SUPPLIES_To'!$67:$74</definedName>
    <definedName name="MODMC492" hidden="1">'VACCS_&amp;_SUPPLIES_To'!$75:$83</definedName>
    <definedName name="MODMC493" hidden="1">'VACCS_&amp;_SUPPLIES_To'!$84:$92</definedName>
    <definedName name="MODMC494" hidden="1">'VACCS_&amp;_SUPPLIES_To'!$93:$101</definedName>
    <definedName name="MODMC495" hidden="1">'VACCS_&amp;_SUPPLIES_To'!$17:$23</definedName>
    <definedName name="MODMC496" hidden="1">'VACCS_&amp;_SUPPLIES_To'!$24:$30</definedName>
    <definedName name="MODMC5" hidden="1">Analysis!$44:$59</definedName>
    <definedName name="MODMC50" hidden="1">ECONOMICS!$9:$20</definedName>
    <definedName name="MODMC500" hidden="1">'VACCS_&amp;_SUPPLIES_To'!$102:$110</definedName>
    <definedName name="MODMC501" hidden="1">'VACCS_&amp;_SUPPLIES_To'!$111:$119</definedName>
    <definedName name="MODMC502" hidden="1">'VACCS_&amp;_SUPPLIES_To'!$120:$128</definedName>
    <definedName name="MODMC503" hidden="1">'VACCS_&amp;_SUPPLIES_To'!$129:$137</definedName>
    <definedName name="MODMC504" hidden="1">COST_SUMMARY!$8:$25</definedName>
    <definedName name="MODMC505" hidden="1">COST_SUMMARY!$26:$42</definedName>
    <definedName name="MODMC506" hidden="1">COST_SUMMARY!$43:$59</definedName>
    <definedName name="MODMC507" hidden="1">COST_SUMMARY!$60:$76</definedName>
    <definedName name="MODMC508" hidden="1">MICROPLANNING!$67:$81</definedName>
    <definedName name="MODMC509" hidden="1">CALCS_DETAILED!$82:$106</definedName>
    <definedName name="MODMC51" hidden="1">MICRO_DETAILED_COST_WKSHT!$11:$22</definedName>
    <definedName name="MODMC510" hidden="1">CALCS_DETAILED!$107:$126</definedName>
    <definedName name="MODMC511" hidden="1">CALCS_DETAILED!$127:$146</definedName>
    <definedName name="MODMC512" hidden="1">CALCS_DETAILED!$147:$165</definedName>
    <definedName name="MODMC513" hidden="1">CALCS_Annual!$40:$47</definedName>
    <definedName name="MODMC514" hidden="1">CALCS_Annual!$48:$55</definedName>
    <definedName name="MODMC515" hidden="1">CALCS_Annual!$56:$63</definedName>
    <definedName name="MODMC516" hidden="1">CALCS_Annual!$64:$71</definedName>
    <definedName name="MODMC517" hidden="1">COSTS_DETAILED_SUMMARY!$19:$33</definedName>
    <definedName name="MODMC518" hidden="1">COST_SUMMARY!$91:$104</definedName>
    <definedName name="MODMC519" hidden="1">MICRO_Lu!$38:$72</definedName>
    <definedName name="MODMC52" hidden="1">MICRO_DETAILED_COST_WKSHT!$3:$10</definedName>
    <definedName name="MODMC521" hidden="1">MICRO_DETAILED_COST_WKSHT!$291:$292</definedName>
    <definedName name="MODMC522" hidden="1">MICRO_DETAILED_COST_WKSHT!$293:$312</definedName>
    <definedName name="MODMC523" hidden="1">MICRO_DETAILED_COST_WKSHT!$313:$335</definedName>
    <definedName name="MODMC524" hidden="1">MICRO_DETAILED_COST_WKSHT!$336:$353</definedName>
    <definedName name="MODMC525" hidden="1">MICRO_DETAILED_COST_WKSHT!$354:$371</definedName>
    <definedName name="MODMC526" hidden="1">MICRO_DETAILED_COST_WKSHT!$372:$389</definedName>
    <definedName name="MODMC527" hidden="1">MICROPLANNING!$125:$129</definedName>
    <definedName name="MODMC528" hidden="1">MICROPLANNING!$130:$148</definedName>
    <definedName name="MODMC529" hidden="1">MICROPLANNING!$149:$167</definedName>
    <definedName name="MODMC53" hidden="1">OTHER_DETAILED_COST_WKSHT!$82:$99</definedName>
    <definedName name="MODMC530" hidden="1">CALCS_DETAILED!$250:$274</definedName>
    <definedName name="MODMC531" hidden="1">CALCS_DETAILED!$275:$294</definedName>
    <definedName name="MODMC532" hidden="1">CALCS_DETAILED!$295:$314</definedName>
    <definedName name="MODMC533" hidden="1">CALCS_DETAILED!$315:$333</definedName>
    <definedName name="MODMC534" hidden="1">CALCS_Annual!$109:$118</definedName>
    <definedName name="MODMC535" hidden="1">CALCS_Annual!$119:$127</definedName>
    <definedName name="MODMC536" hidden="1">CALCS_Annual!$128:$136</definedName>
    <definedName name="MODMC537" hidden="1">CALCS_Annual!$137:$145</definedName>
    <definedName name="MODMC538" hidden="1">COSTS_DETAILED_SUMMARY!$50:$65</definedName>
    <definedName name="MODMC539" hidden="1">COST_SUMMARY!$119:$132</definedName>
    <definedName name="MODMC54" hidden="1">OTHER!$8:$12</definedName>
    <definedName name="MODMC540" hidden="1">MICRO_Lu!$108:$142</definedName>
    <definedName name="MODMC543" hidden="1">SOCMOB_DETAILED_COST_WKSHT!$591:$592</definedName>
    <definedName name="MODMC544" hidden="1">SOCMOB_DETAILED_COST_WKSHT!$593:$612</definedName>
    <definedName name="MODMC545" hidden="1">SOCMOB_DETAILED_COST_WKSHT!$613:$635</definedName>
    <definedName name="MODMC546" hidden="1">SOCMOB_DETAILED_COST_WKSHT!$636:$653</definedName>
    <definedName name="MODMC547" hidden="1">SOCMOB_DETAILED_COST_WKSHT!$654:$671</definedName>
    <definedName name="MODMC548" hidden="1">SOCMOB_DETAILED_COST_WKSHT!$672:$689</definedName>
    <definedName name="MODMC549" hidden="1">SOCIAL_MOBILISATION!$248:$252</definedName>
    <definedName name="MODMC55" hidden="1">OTHER!$13:$34</definedName>
    <definedName name="MODMC550" hidden="1">SOCIAL_MOBILISATION!$253:$271</definedName>
    <definedName name="MODMC551" hidden="1">SOCIAL_MOBILISATION!$272:$290</definedName>
    <definedName name="MODMC552" hidden="1">CALCS_DETAILED!$1678:$1702</definedName>
    <definedName name="MODMC553" hidden="1">CALCS_DETAILED!$1703:$1722</definedName>
    <definedName name="MODMC554" hidden="1">CALCS_DETAILED!$1723:$1742</definedName>
    <definedName name="MODMC555" hidden="1">CALCS_DETAILED!$1743:$1761</definedName>
    <definedName name="MODMC556" hidden="1">CALCS_Annual!$693:$702</definedName>
    <definedName name="MODMC557" hidden="1">CALCS_Annual!$703:$711</definedName>
    <definedName name="MODMC558" hidden="1">CALCS_Annual!$712:$720</definedName>
    <definedName name="MODMC559" hidden="1">CALCS_Annual!$721:$729</definedName>
    <definedName name="MODMC56" hidden="1">OTHER!$35:$41</definedName>
    <definedName name="MODMC560" hidden="1">COSTS_DETAILED_SUMMARY!$313:$328</definedName>
    <definedName name="MODMC561" hidden="1">COST_SUMMARY!$357:$370</definedName>
    <definedName name="MODMC563" hidden="1">SENS_DETAILED_COST_WKSHT!$100:$107</definedName>
    <definedName name="MODMC564" hidden="1">SENS_DETAILED_COST_WKSHT!$108:$119</definedName>
    <definedName name="MODMC565" hidden="1">SENS_DETAILED_COST_WKSHT!$120:$142</definedName>
    <definedName name="MODMC566" hidden="1">SENS_DETAILED_COST_WKSHT!$143:$160</definedName>
    <definedName name="MODMC567" hidden="1">SENS_DETAILED_COST_WKSHT!$161:$178</definedName>
    <definedName name="MODMC568" hidden="1">SENS_DETAILED_COST_WKSHT!$179:$196</definedName>
    <definedName name="MODMC569" hidden="1">SENSITISATION!$45:$49</definedName>
    <definedName name="MODMC57" hidden="1">CALCS_DETAILED!$2434:$2458</definedName>
    <definedName name="MODMC570" hidden="1">SENSITISATION!$50:$66</definedName>
    <definedName name="MODMC571" hidden="1">SENSITISATION!$67:$81</definedName>
    <definedName name="MODMC572" hidden="1">CALCS_DETAILED!$754:$778</definedName>
    <definedName name="MODMC573" hidden="1">CALCS_DETAILED!$779:$798</definedName>
    <definedName name="MODMC574" hidden="1">CALCS_DETAILED!$799:$818</definedName>
    <definedName name="MODMC575" hidden="1">CALCS_DETAILED!$819:$837</definedName>
    <definedName name="MODMC576" hidden="1">CALCS_Annual!$311:$318</definedName>
    <definedName name="MODMC577" hidden="1">CALCS_Annual!$319:$326</definedName>
    <definedName name="MODMC578" hidden="1">CALCS_Annual!$327:$334</definedName>
    <definedName name="MODMC579" hidden="1">CALCS_Annual!$335:$342</definedName>
    <definedName name="MODMC58" hidden="1">CALCS_DETAILED!$2459:$2478</definedName>
    <definedName name="MODMC580" hidden="1">COSTS_DETAILED_SUMMARY!$142:$156</definedName>
    <definedName name="MODMC581" hidden="1">COST_SUMMARY!$203:$216</definedName>
    <definedName name="MODMC582" hidden="1">SENS_Lu!$40:$74</definedName>
    <definedName name="MODMC584" hidden="1">SENS_DETAILED_COST_WKSHT!$197:$204</definedName>
    <definedName name="MODMC585" hidden="1">SENS_DETAILED_COST_WKSHT!$205:$216</definedName>
    <definedName name="MODMC586" hidden="1">SENS_DETAILED_COST_WKSHT!$217:$239</definedName>
    <definedName name="MODMC587" hidden="1">SENS_DETAILED_COST_WKSHT!$240:$257</definedName>
    <definedName name="MODMC588" hidden="1">SENS_DETAILED_COST_WKSHT!$258:$275</definedName>
    <definedName name="MODMC589" hidden="1">SENS_DETAILED_COST_WKSHT!$276:$293</definedName>
    <definedName name="MODMC59" hidden="1">CALCS_DETAILED!$2479:$2498</definedName>
    <definedName name="MODMC590" hidden="1">SENSITISATION!$82:$86</definedName>
    <definedName name="MODMC591" hidden="1">SENSITISATION!$87:$103</definedName>
    <definedName name="MODMC592" hidden="1">SENSITISATION!$104:$118</definedName>
    <definedName name="MODMC593" hidden="1">CALCS_DETAILED!$838:$862</definedName>
    <definedName name="MODMC594" hidden="1">CALCS_DETAILED!$863:$882</definedName>
    <definedName name="MODMC595" hidden="1">CALCS_DETAILED!$883:$902</definedName>
    <definedName name="MODMC596" hidden="1">CALCS_DETAILED!$903:$921</definedName>
    <definedName name="MODMC597" hidden="1">CALCS_Annual!$343:$350</definedName>
    <definedName name="MODMC598" hidden="1">CALCS_Annual!$351:$358</definedName>
    <definedName name="MODMC599" hidden="1">CALCS_Annual!$359:$366</definedName>
    <definedName name="MODMC6" hidden="1">Analysis!$60:$106</definedName>
    <definedName name="MODMC60" hidden="1">CALCS_DETAILED!$2499:$2517</definedName>
    <definedName name="MODMC600" hidden="1">CALCS_Annual!$367:$374</definedName>
    <definedName name="MODMC601" hidden="1">COSTS_DETAILED_SUMMARY!$157:$171</definedName>
    <definedName name="MODMC602" hidden="1">COST_SUMMARY!$217:$230</definedName>
    <definedName name="MODMC603" hidden="1">SENS_Lu!$75:$109</definedName>
    <definedName name="MODMC605" hidden="1">SOCMOB_Lu!$215:$249</definedName>
    <definedName name="MODMC607" hidden="1">SOCMOB_DETAILED_COST_WKSHT!$690:$691</definedName>
    <definedName name="MODMC608" hidden="1">SOCMOB_DETAILED_COST_WKSHT!$692:$711</definedName>
    <definedName name="MODMC609" hidden="1">SOCMOB_DETAILED_COST_WKSHT!$712:$734</definedName>
    <definedName name="MODMC61" hidden="1">CALCS_Annual!$1144:$1151</definedName>
    <definedName name="MODMC610" hidden="1">SOCMOB_DETAILED_COST_WKSHT!$735:$752</definedName>
    <definedName name="MODMC611" hidden="1">SOCMOB_DETAILED_COST_WKSHT!$753:$770</definedName>
    <definedName name="MODMC612" hidden="1">SOCMOB_DETAILED_COST_WKSHT!$771:$788</definedName>
    <definedName name="MODMC613" hidden="1">SOCIAL_MOBILISATION!$291:$295</definedName>
    <definedName name="MODMC614" hidden="1">SOCIAL_MOBILISATION!$296:$314</definedName>
    <definedName name="MODMC615" hidden="1">SOCIAL_MOBILISATION!$315:$333</definedName>
    <definedName name="MODMC616" hidden="1">CALCS_DETAILED!$1762:$1786</definedName>
    <definedName name="MODMC617" hidden="1">CALCS_DETAILED!$1787:$1806</definedName>
    <definedName name="MODMC618" hidden="1">CALCS_DETAILED!$1807:$1826</definedName>
    <definedName name="MODMC619" hidden="1">CALCS_DETAILED!$1827:$1845</definedName>
    <definedName name="MODMC62" hidden="1">CALCS_Annual!$1152:$1159</definedName>
    <definedName name="MODMC620" hidden="1">CALCS_Annual!$730:$739</definedName>
    <definedName name="MODMC621" hidden="1">CALCS_Annual!$740:$748</definedName>
    <definedName name="MODMC622" hidden="1">CALCS_Annual!$749:$757</definedName>
    <definedName name="MODMC623" hidden="1">CALCS_Annual!$758:$766</definedName>
    <definedName name="MODMC624" hidden="1">COSTS_DETAILED_SUMMARY!$329:$344</definedName>
    <definedName name="MODMC626" hidden="1">TRAIN_DETAILED_COST_WKSHT!$100:$107</definedName>
    <definedName name="MODMC627" hidden="1">TRAIN_DETAILED_COST_WKSHT!$108:$119</definedName>
    <definedName name="MODMC628" hidden="1">TRAIN_DETAILED_COST_WKSHT!$120:$142</definedName>
    <definedName name="MODMC629" hidden="1">TRAIN_DETAILED_COST_WKSHT!$143:$160</definedName>
    <definedName name="MODMC63" hidden="1">CALCS_Annual!$1160:$1167</definedName>
    <definedName name="MODMC630" hidden="1">TRAIN_DETAILED_COST_WKSHT!$161:$178</definedName>
    <definedName name="MODMC631" hidden="1">TRAIN_DETAILED_COST_WKSHT!$179:$196</definedName>
    <definedName name="MODMC632" hidden="1">TRAINING!$45:$49</definedName>
    <definedName name="MODMC633" hidden="1">TRAINING!$50:$66</definedName>
    <definedName name="MODMC634" hidden="1">TRAINING!$67:$81</definedName>
    <definedName name="MODMC635" hidden="1">CALCS_DETAILED!$418:$442</definedName>
    <definedName name="MODMC636" hidden="1">CALCS_DETAILED!$443:$462</definedName>
    <definedName name="MODMC637" hidden="1">CALCS_DETAILED!$463:$482</definedName>
    <definedName name="MODMC638" hidden="1">CALCS_DETAILED!$483:$501</definedName>
    <definedName name="MODMC639" hidden="1">CALCS_Annual!$178:$185</definedName>
    <definedName name="MODMC64" hidden="1">CALCS_Annual!$1168:$1175</definedName>
    <definedName name="MODMC640" hidden="1">CALCS_Annual!$186:$193</definedName>
    <definedName name="MODMC641" hidden="1">CALCS_Annual!$194:$201</definedName>
    <definedName name="MODMC642" hidden="1">CALCS_Annual!$202:$209</definedName>
    <definedName name="MODMC643" hidden="1">COSTS_DETAILED_SUMMARY!$81:$95</definedName>
    <definedName name="MODMC644" hidden="1">COST_SUMMARY!$147:$160</definedName>
    <definedName name="MODMC645" hidden="1">TRAIN_Lu!$38:$72</definedName>
    <definedName name="MODMC647" hidden="1">TRAIN_DETAILED_COST_WKSHT!$197:$204</definedName>
    <definedName name="MODMC648" hidden="1">TRAIN_DETAILED_COST_WKSHT!$205:$216</definedName>
    <definedName name="MODMC649" hidden="1">TRAIN_DETAILED_COST_WKSHT!$217:$239</definedName>
    <definedName name="MODMC65" hidden="1">COSTS_DETAILED_SUMMARY!$517:$531</definedName>
    <definedName name="MODMC650" hidden="1">TRAIN_DETAILED_COST_WKSHT!$240:$257</definedName>
    <definedName name="MODMC651" hidden="1">TRAIN_DETAILED_COST_WKSHT!$258:$275</definedName>
    <definedName name="MODMC652" hidden="1">TRAIN_DETAILED_COST_WKSHT!$276:$293</definedName>
    <definedName name="MODMC653" hidden="1">TRAINING!$82:$86</definedName>
    <definedName name="MODMC654" hidden="1">TRAINING!$87:$103</definedName>
    <definedName name="MODMC655" hidden="1">TRAINING!$104:$118</definedName>
    <definedName name="MODMC656" hidden="1">CALCS_DETAILED!$502:$526</definedName>
    <definedName name="MODMC657" hidden="1">CALCS_DETAILED!$527:$546</definedName>
    <definedName name="MODMC658" hidden="1">CALCS_DETAILED!$547:$566</definedName>
    <definedName name="MODMC659" hidden="1">CALCS_DETAILED!$567:$585</definedName>
    <definedName name="MODMC66" hidden="1">COST_SUMMARY!$539:$552</definedName>
    <definedName name="MODMC660" hidden="1">CALCS_Annual!$210:$217</definedName>
    <definedName name="MODMC661" hidden="1">CALCS_Annual!$218:$225</definedName>
    <definedName name="MODMC662" hidden="1">CALCS_Annual!$226:$233</definedName>
    <definedName name="MODMC663" hidden="1">CALCS_Annual!$234:$241</definedName>
    <definedName name="MODMC664" hidden="1">COSTS_DETAILED_SUMMARY!$96:$110</definedName>
    <definedName name="MODMC665" hidden="1">COST_SUMMARY!$161:$174</definedName>
    <definedName name="MODMC666" hidden="1">TRAIN_Lu!$73:$107</definedName>
    <definedName name="MODMC668" hidden="1">COST_SUMMARY!$371:$384</definedName>
    <definedName name="MODMC669" hidden="1">SOCMOB_Lu!$250:$284</definedName>
    <definedName name="MODMC67" hidden="1">OTHER_Lu!$5:$39</definedName>
    <definedName name="MODMC68" hidden="1">MICRO_DETAILED_COST_WKSHT!$95:$102</definedName>
    <definedName name="MODMC69" hidden="1">OTHER_DETAILED_COST_WKSHT!$294:$295</definedName>
    <definedName name="MODMC7" hidden="1">Developer_Only_To!$10:$23</definedName>
    <definedName name="MODMC70" hidden="1">OTHER_DETAILED_COST_WKSHT!$296:$315</definedName>
    <definedName name="MODMC71" hidden="1">OTHER_DETAILED_COST_WKSHT!$316:$338</definedName>
    <definedName name="MODMC710" hidden="1">SOCMOB_DETAILED_COST_WKSHT!$100:$107</definedName>
    <definedName name="MODMC711" hidden="1">SOCMOB_DETAILED_COST_WKSHT!$108:$119</definedName>
    <definedName name="MODMC712" hidden="1">SOCMOB_DETAILED_COST_WKSHT!$120:$142</definedName>
    <definedName name="MODMC713" hidden="1">SOCMOB_DETAILED_COST_WKSHT!$143:$160</definedName>
    <definedName name="MODMC714" hidden="1">SOCMOB_DETAILED_COST_WKSHT!$161:$178</definedName>
    <definedName name="MODMC715" hidden="1">SOCMOB_DETAILED_COST_WKSHT!$179:$196</definedName>
    <definedName name="MODMC716" hidden="1">SOCIAL_MOBILISATION!$45:$49</definedName>
    <definedName name="MODMC717" hidden="1">SOCIAL_MOBILISATION!$50:$66</definedName>
    <definedName name="MODMC718" hidden="1">SOCIAL_MOBILISATION!$67:$81</definedName>
    <definedName name="MODMC719" hidden="1">CALCS_DETAILED!$1258:$1282</definedName>
    <definedName name="MODMC72" hidden="1">OTHER_DETAILED_COST_WKSHT!$339:$356</definedName>
    <definedName name="MODMC720" hidden="1">CALCS_DETAILED!$1283:$1302</definedName>
    <definedName name="MODMC721" hidden="1">CALCS_DETAILED!$1303:$1322</definedName>
    <definedName name="MODMC722" hidden="1">CALCS_DETAILED!$1323:$1341</definedName>
    <definedName name="MODMC723" hidden="1">CALCS_Annual!$518:$525</definedName>
    <definedName name="MODMC724" hidden="1">CALCS_Annual!$526:$533</definedName>
    <definedName name="MODMC725" hidden="1">CALCS_Annual!$534:$541</definedName>
    <definedName name="MODMC726" hidden="1">CALCS_Annual!$542:$549</definedName>
    <definedName name="MODMC727" hidden="1">COSTS_DETAILED_SUMMARY!$235:$249</definedName>
    <definedName name="MODMC728" hidden="1">COST_SUMMARY!$287:$300</definedName>
    <definedName name="MODMC729" hidden="1">SOCMOB_Lu!$40:$74</definedName>
    <definedName name="MODMC73" hidden="1">OTHER_DETAILED_COST_WKSHT!$357:$374</definedName>
    <definedName name="MODMC731" hidden="1">SOCMOB_DETAILED_COST_WKSHT!$197:$204</definedName>
    <definedName name="MODMC732" hidden="1">SOCMOB_DETAILED_COST_WKSHT!$205:$216</definedName>
    <definedName name="MODMC733" hidden="1">SOCMOB_DETAILED_COST_WKSHT!$217:$239</definedName>
    <definedName name="MODMC734" hidden="1">SOCMOB_DETAILED_COST_WKSHT!$240:$257</definedName>
    <definedName name="MODMC735" hidden="1">SOCMOB_DETAILED_COST_WKSHT!$258:$275</definedName>
    <definedName name="MODMC736" hidden="1">SOCMOB_DETAILED_COST_WKSHT!$276:$293</definedName>
    <definedName name="MODMC737" hidden="1">SOCIAL_MOBILISATION!$82:$86</definedName>
    <definedName name="MODMC738" hidden="1">SOCIAL_MOBILISATION!$87:$103</definedName>
    <definedName name="MODMC739" hidden="1">SOCIAL_MOBILISATION!$104:$118</definedName>
    <definedName name="MODMC74" hidden="1">MICRO_DETAILED_COST_WKSHT!$192:$193</definedName>
    <definedName name="MODMC740" hidden="1">CALCS_DETAILED!$1342:$1366</definedName>
    <definedName name="MODMC741" hidden="1">CALCS_DETAILED!$1367:$1386</definedName>
    <definedName name="MODMC742" hidden="1">CALCS_DETAILED!$1387:$1406</definedName>
    <definedName name="MODMC743" hidden="1">CALCS_DETAILED!$1407:$1425</definedName>
    <definedName name="MODMC744" hidden="1">CALCS_Annual!$550:$557</definedName>
    <definedName name="MODMC745" hidden="1">CALCS_Annual!$558:$565</definedName>
    <definedName name="MODMC746" hidden="1">CALCS_Annual!$566:$573</definedName>
    <definedName name="MODMC747" hidden="1">CALCS_Annual!$574:$581</definedName>
    <definedName name="MODMC748" hidden="1">COSTS_DETAILED_SUMMARY!$250:$264</definedName>
    <definedName name="MODMC749" hidden="1">COST_SUMMARY!$301:$314</definedName>
    <definedName name="MODMC75" hidden="1">MICRO_DETAILED_COST_WKSHT!$194:$213</definedName>
    <definedName name="MODMC750" hidden="1">SOCMOB_Lu!$75:$109</definedName>
    <definedName name="MODMC752" hidden="1">SOCMOB_DETAILED_COST_WKSHT!$393:$394</definedName>
    <definedName name="MODMC753" hidden="1">SOCMOB_DETAILED_COST_WKSHT!$395:$414</definedName>
    <definedName name="MODMC754" hidden="1">SOCMOB_DETAILED_COST_WKSHT!$415:$437</definedName>
    <definedName name="MODMC755" hidden="1">SOCMOB_DETAILED_COST_WKSHT!$438:$455</definedName>
    <definedName name="MODMC756" hidden="1">SOCMOB_DETAILED_COST_WKSHT!$456:$473</definedName>
    <definedName name="MODMC757" hidden="1">SOCMOB_DETAILED_COST_WKSHT!$474:$491</definedName>
    <definedName name="MODMC758" hidden="1">SOCIAL_MOBILISATION!$162:$166</definedName>
    <definedName name="MODMC759" hidden="1">SOCIAL_MOBILISATION!$167:$185</definedName>
    <definedName name="MODMC76" hidden="1">MICRO_DETAILED_COST_WKSHT!$214:$236</definedName>
    <definedName name="MODMC760" hidden="1">SOCIAL_MOBILISATION!$186:$204</definedName>
    <definedName name="MODMC761" hidden="1">CALCS_DETAILED!$1510:$1534</definedName>
    <definedName name="MODMC762" hidden="1">CALCS_DETAILED!$1535:$1554</definedName>
    <definedName name="MODMC763" hidden="1">CALCS_DETAILED!$1555:$1574</definedName>
    <definedName name="MODMC764" hidden="1">CALCS_DETAILED!$1575:$1593</definedName>
    <definedName name="MODMC765" hidden="1">CALCS_Annual!$619:$628</definedName>
    <definedName name="MODMC766" hidden="1">CALCS_Annual!$629:$637</definedName>
    <definedName name="MODMC767" hidden="1">CALCS_Annual!$638:$646</definedName>
    <definedName name="MODMC768" hidden="1">CALCS_Annual!$647:$655</definedName>
    <definedName name="MODMC769" hidden="1">COSTS_DETAILED_SUMMARY!$281:$296</definedName>
    <definedName name="MODMC77" hidden="1">MICRO_DETAILED_COST_WKSHT!$237:$254</definedName>
    <definedName name="MODMC770" hidden="1">COST_SUMMARY!$329:$342</definedName>
    <definedName name="MODMC771" hidden="1">SOCMOB_Lu!$145:$179</definedName>
    <definedName name="MODMC773" hidden="1">SOCMOB_DETAILED_COST_WKSHT!$492:$493</definedName>
    <definedName name="MODMC774" hidden="1">SOCMOB_DETAILED_COST_WKSHT!$494:$513</definedName>
    <definedName name="MODMC775" hidden="1">SOCMOB_DETAILED_COST_WKSHT!$514:$536</definedName>
    <definedName name="MODMC776" hidden="1">SOCMOB_DETAILED_COST_WKSHT!$537:$554</definedName>
    <definedName name="MODMC777" hidden="1">SOCMOB_DETAILED_COST_WKSHT!$555:$572</definedName>
    <definedName name="MODMC778" hidden="1">SOCMOB_DETAILED_COST_WKSHT!$573:$590</definedName>
    <definedName name="MODMC779" hidden="1">SOCIAL_MOBILISATION!$205:$209</definedName>
    <definedName name="MODMC78" hidden="1">MICRO_DETAILED_COST_WKSHT!$255:$272</definedName>
    <definedName name="MODMC780" hidden="1">SOCIAL_MOBILISATION!$210:$228</definedName>
    <definedName name="MODMC781" hidden="1">SOCIAL_MOBILISATION!$229:$247</definedName>
    <definedName name="MODMC782" hidden="1">CALCS_DETAILED!$1594:$1618</definedName>
    <definedName name="MODMC783" hidden="1">CALCS_DETAILED!$1619:$1638</definedName>
    <definedName name="MODMC784" hidden="1">CALCS_DETAILED!$1639:$1658</definedName>
    <definedName name="MODMC785" hidden="1">CALCS_DETAILED!$1659:$1677</definedName>
    <definedName name="MODMC786" hidden="1">CALCS_Annual!$656:$665</definedName>
    <definedName name="MODMC787" hidden="1">CALCS_Annual!$666:$674</definedName>
    <definedName name="MODMC788" hidden="1">CALCS_Annual!$675:$683</definedName>
    <definedName name="MODMC789" hidden="1">CALCS_Annual!$684:$692</definedName>
    <definedName name="MODMC79" hidden="1">MICRO_DETAILED_COST_WKSHT!$273:$290</definedName>
    <definedName name="MODMC790" hidden="1">COSTS_DETAILED_SUMMARY!$297:$312</definedName>
    <definedName name="MODMC791" hidden="1">COST_SUMMARY!$343:$356</definedName>
    <definedName name="MODMC792" hidden="1">SOCMOB_Lu!$180:$214</definedName>
    <definedName name="MODMC794" hidden="1">SD_DETAILED_COST_WKSHT!$102:$103</definedName>
    <definedName name="MODMC795" hidden="1">SD_DETAILED_COST_WKSHT!$104:$123</definedName>
    <definedName name="MODMC796" hidden="1">SD_DETAILED_COST_WKSHT!$124:$146</definedName>
    <definedName name="MODMC797" hidden="1">SD_DETAILED_COST_WKSHT!$147:$164</definedName>
    <definedName name="MODMC798" hidden="1">SD_DETAILED_COST_WKSHT!$165:$182</definedName>
    <definedName name="MODMC799" hidden="1">SD_DETAILED_COST_WKSHT!$183:$200</definedName>
    <definedName name="MODMC8" hidden="1">Analy_Lu!$5:$36</definedName>
    <definedName name="MODMC80" hidden="1">MICROPLANNING!$82:$86</definedName>
    <definedName name="MODMC800" hidden="1">SERVICE_DELIVERY!$258:$262</definedName>
    <definedName name="MODMC801" hidden="1">SERVICE_DELIVERY!$263:$281</definedName>
    <definedName name="MODMC803" hidden="1">CALCS_DETAILED!$3022:$3046</definedName>
    <definedName name="MODMC804" hidden="1">CALCS_DETAILED!$2963:$2982</definedName>
    <definedName name="MODMC805" hidden="1">CALCS_DETAILED!$2983:$3002</definedName>
    <definedName name="MODMC806" hidden="1">CALCS_DETAILED!$3003:$3021</definedName>
    <definedName name="MODMC807" hidden="1">CALCS_Annual!$1042:$1050</definedName>
    <definedName name="MODMC808" hidden="1">CALCS_Annual!$1051:$1059</definedName>
    <definedName name="MODMC809" hidden="1">CALCS_Annual!$1060:$1068</definedName>
    <definedName name="MODMC81" hidden="1">MICROPLANNING!$87:$105</definedName>
    <definedName name="MODMC810" hidden="1">CALCS_Annual!$1069:$1077</definedName>
    <definedName name="MODMC811" hidden="1">COSTS_DETAILED_SUMMARY!$469:$484</definedName>
    <definedName name="MODMC812" hidden="1">COST_SUMMARY!$399:$412</definedName>
    <definedName name="MODMC813" hidden="1">SD_Lu!$40:$74</definedName>
    <definedName name="MODMC815" hidden="1">SD_DETAILED_COST_WKSHT!$201:$202</definedName>
    <definedName name="MODMC816" hidden="1">SD_DETAILED_COST_WKSHT!$203:$222</definedName>
    <definedName name="MODMC817" hidden="1">SD_DETAILED_COST_WKSHT!$223:$245</definedName>
    <definedName name="MODMC818" hidden="1">SD_DETAILED_COST_WKSHT!$246:$263</definedName>
    <definedName name="MODMC819" hidden="1">SD_DETAILED_COST_WKSHT!$264:$281</definedName>
    <definedName name="MODMC82" hidden="1">MICROPLANNING!$106:$124</definedName>
    <definedName name="MODMC820" hidden="1">SD_DETAILED_COST_WKSHT!$282:$299</definedName>
    <definedName name="MODMC821" hidden="1">SERVICE_DELIVERY!$282:$286</definedName>
    <definedName name="MODMC822" hidden="1">SERVICE_DELIVERY!$287:$306</definedName>
    <definedName name="MODMC824" hidden="1">CALCS_DETAILED!$2938:$2962</definedName>
    <definedName name="MODMC825" hidden="1">CALCS_DETAILED!$3047:$3066</definedName>
    <definedName name="MODMC826" hidden="1">CALCS_DETAILED!$3112:$3131</definedName>
    <definedName name="MODMC827" hidden="1">CALCS_DETAILED!$3152:$3170</definedName>
    <definedName name="MODMC828" hidden="1">CALCS_Annual!$1078:$1085</definedName>
    <definedName name="MODMC829" hidden="1">CALCS_Annual!$1086:$1093</definedName>
    <definedName name="MODMC83" hidden="1">CALCS_DETAILED!$166:$190</definedName>
    <definedName name="MODMC830" hidden="1">CALCS_Annual!$1094:$1101</definedName>
    <definedName name="MODMC831" hidden="1">CALCS_Annual!$1102:$1109</definedName>
    <definedName name="MODMC832" hidden="1">COSTS_DETAILED_SUMMARY!$485:$500</definedName>
    <definedName name="MODMC833" hidden="1">COST_SUMMARY!$413:$426</definedName>
    <definedName name="MODMC834" hidden="1">SD_Lu!$75:$109</definedName>
    <definedName name="MODMC836" hidden="1">SUPV_DETAILED_COST_WKSHT!$100:$107</definedName>
    <definedName name="MODMC837" hidden="1">SUPV_DETAILED_COST_WKSHT!$108:$119</definedName>
    <definedName name="MODMC838" hidden="1">SUPV_DETAILED_COST_WKSHT!$120:$142</definedName>
    <definedName name="MODMC839" hidden="1">SUPV_DETAILED_COST_WKSHT!$143:$160</definedName>
    <definedName name="MODMC84" hidden="1">CALCS_DETAILED!$191:$210</definedName>
    <definedName name="MODMC840" hidden="1">SUPV_DETAILED_COST_WKSHT!$161:$178</definedName>
    <definedName name="MODMC841" hidden="1">SUPV_DETAILED_COST_WKSHT!$179:$196</definedName>
    <definedName name="MODMC842" hidden="1">SUPERVISION!$45:$49</definedName>
    <definedName name="MODMC843" hidden="1">SUPERVISION!$50:$66</definedName>
    <definedName name="MODMC844" hidden="1">SUPERVISION!$67:$81</definedName>
    <definedName name="MODMC845" hidden="1">CALCS_DETAILED!$1930:$1954</definedName>
    <definedName name="MODMC846" hidden="1">CALCS_DETAILED!$1955:$1974</definedName>
    <definedName name="MODMC847" hidden="1">CALCS_DETAILED!$1975:$1994</definedName>
    <definedName name="MODMC848" hidden="1">CALCS_DETAILED!$1995:$2013</definedName>
    <definedName name="MODMC849" hidden="1">CALCS_Annual!$799:$806</definedName>
    <definedName name="MODMC85" hidden="1">CALCS_DETAILED!$211:$230</definedName>
    <definedName name="MODMC850" hidden="1">CALCS_Annual!$807:$814</definedName>
    <definedName name="MODMC851" hidden="1">CALCS_Annual!$815:$822</definedName>
    <definedName name="MODMC852" hidden="1">CALCS_Annual!$823:$830</definedName>
    <definedName name="MODMC853" hidden="1">COSTS_DETAILED_SUMMARY!$360:$374</definedName>
    <definedName name="MODMC854" hidden="1">COST_SUMMARY!$455:$468</definedName>
    <definedName name="MODMC855" hidden="1">SUPV_Lu!$40:$74</definedName>
    <definedName name="MODMC857" hidden="1">SUPV_DETAILED_COST_WKSHT!$197:$204</definedName>
    <definedName name="MODMC858" hidden="1">SUPV_DETAILED_COST_WKSHT!$205:$216</definedName>
    <definedName name="MODMC859" hidden="1">SUPV_DETAILED_COST_WKSHT!$217:$239</definedName>
    <definedName name="MODMC86" hidden="1">CALCS_DETAILED!$231:$249</definedName>
    <definedName name="MODMC860" hidden="1">SUPV_DETAILED_COST_WKSHT!$240:$257</definedName>
    <definedName name="MODMC861" hidden="1">SUPV_DETAILED_COST_WKSHT!$258:$275</definedName>
    <definedName name="MODMC862" hidden="1">SUPV_DETAILED_COST_WKSHT!$276:$293</definedName>
    <definedName name="MODMC863" hidden="1">SUPERVISION!$82:$86</definedName>
    <definedName name="MODMC864" hidden="1">SUPERVISION!$87:$103</definedName>
    <definedName name="MODMC865" hidden="1">SUPERVISION!$104:$118</definedName>
    <definedName name="MODMC866" hidden="1">CALCS_DETAILED!$2014:$2038</definedName>
    <definedName name="MODMC867" hidden="1">CALCS_DETAILED!$2039:$2058</definedName>
    <definedName name="MODMC868" hidden="1">CALCS_DETAILED!$2059:$2078</definedName>
    <definedName name="MODMC869" hidden="1">CALCS_DETAILED!$2079:$2097</definedName>
    <definedName name="MODMC87" hidden="1">CALCS_Annual!$72:$81</definedName>
    <definedName name="MODMC870" hidden="1">CALCS_Annual!$831:$838</definedName>
    <definedName name="MODMC871" hidden="1">CALCS_Annual!$839:$846</definedName>
    <definedName name="MODMC872" hidden="1">CALCS_Annual!$847:$854</definedName>
    <definedName name="MODMC873" hidden="1">CALCS_Annual!$855:$862</definedName>
    <definedName name="MODMC874" hidden="1">COSTS_DETAILED_SUMMARY!$375:$389</definedName>
    <definedName name="MODMC875" hidden="1">COST_SUMMARY!$469:$482</definedName>
    <definedName name="MODMC876" hidden="1">SUPV_Lu!$75:$109</definedName>
    <definedName name="MODMC878" hidden="1">SUPV_DETAILED_COST_WKSHT!$490:$491</definedName>
    <definedName name="MODMC879" hidden="1">SUPV_DETAILED_COST_WKSHT!$492:$511</definedName>
    <definedName name="MODMC88" hidden="1">CALCS_Annual!$82:$90</definedName>
    <definedName name="MODMC880" hidden="1">SUPV_DETAILED_COST_WKSHT!$512:$534</definedName>
    <definedName name="MODMC881" hidden="1">SUPV_DETAILED_COST_WKSHT!$535:$552</definedName>
    <definedName name="MODMC882" hidden="1">SUPV_DETAILED_COST_WKSHT!$553:$570</definedName>
    <definedName name="MODMC883" hidden="1">SUPV_DETAILED_COST_WKSHT!$571:$588</definedName>
    <definedName name="MODMC884" hidden="1">SUPERVISION!$199:$203</definedName>
    <definedName name="MODMC885" hidden="1">SUPERVISION!$204:$222</definedName>
    <definedName name="MODMC886" hidden="1">SUPERVISION!$223:$241</definedName>
    <definedName name="MODMC887" hidden="1">CALCS_DETAILED!$2266:$2290</definedName>
    <definedName name="MODMC888" hidden="1">CALCS_DETAILED!$2291:$2310</definedName>
    <definedName name="MODMC889" hidden="1">CALCS_DETAILED!$2311:$2330</definedName>
    <definedName name="MODMC89" hidden="1">CALCS_Annual!$91:$99</definedName>
    <definedName name="MODMC890" hidden="1">CALCS_DETAILED!$2331:$2349</definedName>
    <definedName name="MODMC891" hidden="1">CALCS_Annual!$931:$939</definedName>
    <definedName name="MODMC892" hidden="1">CALCS_Annual!$940:$948</definedName>
    <definedName name="MODMC893" hidden="1">CALCS_Annual!$949:$957</definedName>
    <definedName name="MODMC894" hidden="1">CALCS_Annual!$958:$966</definedName>
    <definedName name="MODMC895" hidden="1">COSTS_DETAILED_SUMMARY!$421:$436</definedName>
    <definedName name="MODMC896" hidden="1">COST_SUMMARY!$511:$524</definedName>
    <definedName name="MODMC897" hidden="1">SUPV_Lu!$180:$214</definedName>
    <definedName name="MODMC899" hidden="1">SUPV_DETAILED_COST_WKSHT!$589:$590</definedName>
    <definedName name="MODMC9" hidden="1">OTHER_DETAILED_COST_WKSHT!$3:$10</definedName>
    <definedName name="MODMC90" hidden="1">CALCS_Annual!$100:$108</definedName>
    <definedName name="MODMC900" hidden="1">SUPV_DETAILED_COST_WKSHT!$591:$610</definedName>
    <definedName name="MODMC901" hidden="1">SUPV_DETAILED_COST_WKSHT!$611:$633</definedName>
    <definedName name="MODMC902" hidden="1">SUPV_DETAILED_COST_WKSHT!$634:$651</definedName>
    <definedName name="MODMC903" hidden="1">SUPV_DETAILED_COST_WKSHT!$652:$669</definedName>
    <definedName name="MODMC904" hidden="1">SUPV_DETAILED_COST_WKSHT!$670:$687</definedName>
    <definedName name="MODMC905" hidden="1">SUPERVISION!$242:$246</definedName>
    <definedName name="MODMC906" hidden="1">SUPERVISION!$247:$265</definedName>
    <definedName name="MODMC907" hidden="1">SUPERVISION!$266:$284</definedName>
    <definedName name="MODMC908" hidden="1">CALCS_DETAILED!$2350:$2374</definedName>
    <definedName name="MODMC909" hidden="1">CALCS_DETAILED!$2375:$2394</definedName>
    <definedName name="MODMC91" hidden="1">COSTS_DETAILED_SUMMARY!$34:$49</definedName>
    <definedName name="MODMC910" hidden="1">CALCS_DETAILED!$2395:$2414</definedName>
    <definedName name="MODMC911" hidden="1">CALCS_DETAILED!$2415:$2433</definedName>
    <definedName name="MODMC912" hidden="1">CALCS_Annual!$967:$976</definedName>
    <definedName name="MODMC913" hidden="1">CALCS_Annual!$977:$985</definedName>
    <definedName name="MODMC914" hidden="1">CALCS_Annual!$986:$994</definedName>
    <definedName name="MODMC915" hidden="1">CALCS_Annual!$995:$1003</definedName>
    <definedName name="MODMC916" hidden="1">COSTS_DETAILED_SUMMARY!$437:$452</definedName>
    <definedName name="MODMC917" hidden="1">COST_SUMMARY!$525:$538</definedName>
    <definedName name="MODMC918" hidden="1">SUPV_Lu!$215:$249</definedName>
    <definedName name="MODMC92" hidden="1">COST_SUMMARY!$105:$118</definedName>
    <definedName name="MODMC920" hidden="1">OTHER_DETAILED_COST_WKSHT!$197:$204</definedName>
    <definedName name="MODMC921" hidden="1">OTHER_DETAILED_COST_WKSHT!$205:$216</definedName>
    <definedName name="MODMC922" hidden="1">OTHER_DETAILED_COST_WKSHT!$217:$239</definedName>
    <definedName name="MODMC923" hidden="1">OTHER_DETAILED_COST_WKSHT!$240:$257</definedName>
    <definedName name="MODMC924" hidden="1">OTHER_DETAILED_COST_WKSHT!$258:$275</definedName>
    <definedName name="MODMC925" hidden="1">OTHER_DETAILED_COST_WKSHT!$179:$196</definedName>
    <definedName name="MODMC926" hidden="1">OTHER!$77:$81</definedName>
    <definedName name="MODMC927" hidden="1">OTHER!$82:$104</definedName>
    <definedName name="MODMC928" hidden="1">OTHER!$105:$111</definedName>
    <definedName name="MODMC929" hidden="1">CALCS_DETAILED!$2602:$2626</definedName>
    <definedName name="MODMC93" hidden="1">MICRO_Lu!$73:$107</definedName>
    <definedName name="MODMC930" hidden="1">CALCS_DETAILED!$2627:$2646</definedName>
    <definedName name="MODMC931" hidden="1">CALCS_DETAILED!$2647:$2666</definedName>
    <definedName name="MODMC932" hidden="1">CALCS_DETAILED!$2667:$2685</definedName>
    <definedName name="MODMC933" hidden="1">CALCS_Annual!$1208:$1215</definedName>
    <definedName name="MODMC934" hidden="1">CALCS_Annual!$1216:$1223</definedName>
    <definedName name="MODMC935" hidden="1">CALCS_Annual!$1224:$1231</definedName>
    <definedName name="MODMC936" hidden="1">CALCS_Annual!$1232:$1239</definedName>
    <definedName name="MODMC937" hidden="1">COSTS_DETAILED_SUMMARY!$547:$561</definedName>
    <definedName name="MODMC938" hidden="1">COST_SUMMARY!$567:$580</definedName>
    <definedName name="MODMC939" hidden="1">OTHER_Lu!$75:$109</definedName>
    <definedName name="MODMC94" hidden="1">OTHER_DETAILED_COST_WKSHT!$375:$392</definedName>
    <definedName name="MODMC941" hidden="1">OTHER_DETAILED_COST_WKSHT!$100:$107</definedName>
    <definedName name="MODMC942" hidden="1">OTHER_DETAILED_COST_WKSHT!$108:$119</definedName>
    <definedName name="MODMC943" hidden="1">OTHER_DETAILED_COST_WKSHT!$120:$142</definedName>
    <definedName name="MODMC944" hidden="1">OTHER_DETAILED_COST_WKSHT!$143:$160</definedName>
    <definedName name="MODMC945" hidden="1">OTHER_DETAILED_COST_WKSHT!$161:$178</definedName>
    <definedName name="MODMC946" hidden="1">OTHER_DETAILED_COST_WKSHT!$276:$293</definedName>
    <definedName name="MODMC947" hidden="1">OTHER!$42:$46</definedName>
    <definedName name="MODMC948" hidden="1">OTHER!$47:$69</definedName>
    <definedName name="MODMC949" hidden="1">OTHER!$70:$76</definedName>
    <definedName name="MODMC95" hidden="1">OTHER!$112:$116</definedName>
    <definedName name="MODMC950" hidden="1">CALCS_DETAILED!$2518:$2542</definedName>
    <definedName name="MODMC951" hidden="1">CALCS_DETAILED!$2543:$2562</definedName>
    <definedName name="MODMC952" hidden="1">CALCS_DETAILED!$2563:$2582</definedName>
    <definedName name="MODMC953" hidden="1">CALCS_DETAILED!$2583:$2601</definedName>
    <definedName name="MODMC954" hidden="1">CALCS_Annual!$1176:$1183</definedName>
    <definedName name="MODMC955" hidden="1">CALCS_Annual!$1184:$1191</definedName>
    <definedName name="MODMC956" hidden="1">CALCS_Annual!$1192:$1199</definedName>
    <definedName name="MODMC957" hidden="1">CALCS_Annual!$1200:$1207</definedName>
    <definedName name="MODMC958" hidden="1">COSTS_DETAILED_SUMMARY!$532:$546</definedName>
    <definedName name="MODMC959" hidden="1">COST_SUMMARY!$553:$566</definedName>
    <definedName name="MODMC96" hidden="1">SD_DETAILED_COST_WKSHT!$322:$344</definedName>
    <definedName name="MODMC960" hidden="1">OTHER_Lu!$40:$74</definedName>
    <definedName name="MODMC962" hidden="1">OTHER_DETAILED_COST_WKSHT!$393:$394</definedName>
    <definedName name="MODMC963" hidden="1">OTHER_DETAILED_COST_WKSHT!$395:$414</definedName>
    <definedName name="MODMC964" hidden="1">OTHER_DETAILED_COST_WKSHT!$415:$437</definedName>
    <definedName name="MODMC965" hidden="1">OTHER_DETAILED_COST_WKSHT!$438:$455</definedName>
    <definedName name="MODMC966" hidden="1">OTHER_DETAILED_COST_WKSHT!$456:$473</definedName>
    <definedName name="MODMC967" hidden="1">OTHER_DETAILED_COST_WKSHT!$474:$491</definedName>
    <definedName name="MODMC968" hidden="1">OTHER!$153:$157</definedName>
    <definedName name="MODMC969" hidden="1">OTHER!$158:$181</definedName>
    <definedName name="MODMC97" hidden="1">SD_DETAILED_COST_WKSHT!$345:$362</definedName>
    <definedName name="MODMC970" hidden="1">OTHER!$182:$192</definedName>
    <definedName name="MODMC971" hidden="1">CALCS_DETAILED!$2770:$2794</definedName>
    <definedName name="MODMC972" hidden="1">CALCS_DETAILED!$2795:$2814</definedName>
    <definedName name="MODMC973" hidden="1">CALCS_DETAILED!$2815:$2834</definedName>
    <definedName name="MODMC974" hidden="1">CALCS_DETAILED!$2835:$2853</definedName>
    <definedName name="MODMC975" hidden="1">CALCS_Annual!$1277:$1286</definedName>
    <definedName name="MODMC976" hidden="1">CALCS_Annual!$1287:$1295</definedName>
    <definedName name="MODMC977" hidden="1">CALCS_Annual!$1296:$1304</definedName>
    <definedName name="MODMC978" hidden="1">CALCS_Annual!$1305:$1313</definedName>
    <definedName name="MODMC979" hidden="1">COSTS_DETAILED_SUMMARY!$578:$593</definedName>
    <definedName name="MODMC98" hidden="1">SD_DETAILED_COST_WKSHT!$363:$380</definedName>
    <definedName name="MODMC980" hidden="1">COST_SUMMARY!$595:$608</definedName>
    <definedName name="MODMC981" hidden="1">OTHER_Lu!$145:$179</definedName>
    <definedName name="MODMC99" hidden="1">SD_DETAILED_COST_WKSHT!$381:$398</definedName>
    <definedName name="Presentation_Outputs">Pres_Out_Sc!$C$9</definedName>
    <definedName name="_xlnm.Print_Area" localSheetId="45">'6.3_Variable_Lookups'!$B$1:$N$30</definedName>
    <definedName name="_xlnm.Print_Area" localSheetId="47">Analy_Lu!$B$1:$G$54</definedName>
    <definedName name="_xlnm.Print_Area" localSheetId="6">Analysis!$B$1:$Q$37</definedName>
    <definedName name="_xlnm.Print_Area" localSheetId="30">APPENDIX!$B$1:$N$30</definedName>
    <definedName name="_xlnm.Print_Area" localSheetId="8">Assumptions!$A$1:$R$19</definedName>
    <definedName name="_xlnm.Print_Area" localSheetId="43">CALCS_Annual!$B$1:$P$878</definedName>
    <definedName name="_xlnm.Print_Area" localSheetId="41">CALCS_COVERAGE!$B$1:$Q$35</definedName>
    <definedName name="_xlnm.Print_Area" localSheetId="44">CALCS_DETAILED!$B$1:$Q$2142</definedName>
    <definedName name="_xlnm.Print_Area" localSheetId="28">CAP_OTH!$B$1:$Q$35</definedName>
    <definedName name="_xlnm.Print_Area" localSheetId="56">CAP_OTH_Lu!$B$1:$G$40</definedName>
    <definedName name="_xlnm.Print_Area" localSheetId="23">CAPITAL_INVESTS_OTH!$B$1:$Q$39</definedName>
    <definedName name="_xlnm.Print_Area" localSheetId="39">Checks!$B$1:$Q$219</definedName>
    <definedName name="_xlnm.Print_Area" localSheetId="27">COLD_CHAIN!$B$1:$Q$134</definedName>
    <definedName name="_xlnm.Print_Area" localSheetId="22">COLD_CHAIN_EXPANS!$B$1:$Q$47</definedName>
    <definedName name="_xlnm.Print_Area" localSheetId="55">COLD_Lu!$B$1:$G$29</definedName>
    <definedName name="_xlnm.Print_Area" localSheetId="3">Contents!$B$1:$Q$59</definedName>
    <definedName name="_xlnm.Print_Area" localSheetId="26">COST_SUMMARY!$B$1:$Q$76</definedName>
    <definedName name="_xlnm.Print_Area" localSheetId="29">COSTS_DETAILED_SUMMARY!$B$1:$Q$141</definedName>
    <definedName name="_xlnm.Print_Area" localSheetId="51">Count_Lu!$B$1:$G$21</definedName>
    <definedName name="_xlnm.Print_Area" localSheetId="12">COUNTS!$B$1:$Q$47</definedName>
    <definedName name="_xlnm.Print_Area" localSheetId="25">COUNTS_and_COVERAGE_Summary!$B$1:$Q$7</definedName>
    <definedName name="_xlnm.Print_Area" localSheetId="2">Cover!$A$1:$V$51</definedName>
    <definedName name="_xlnm.Print_Area" localSheetId="13">COVERAGE!$B$1:$Q$7</definedName>
    <definedName name="_xlnm.Print_Area" localSheetId="52">CVG_Lu!$B$1:$G$32</definedName>
    <definedName name="_xlnm.Print_Area" localSheetId="5">Dashboard!$B$1:$AG$27</definedName>
    <definedName name="_xlnm.Print_Area" localSheetId="31">Detailed_Costing_Worksheets!$B$1:$N$26</definedName>
    <definedName name="_xlnm.Print_Area" localSheetId="7">Developer_Only_To!$B$1:$Q$23</definedName>
    <definedName name="_xlnm.Print_Area" localSheetId="40">DEVELOPER_Sc!$B$1:$N$30</definedName>
    <definedName name="_xlnm.Print_Area" localSheetId="50">Econ_Lu!$B$1:$G$27</definedName>
    <definedName name="_xlnm.Print_Area" localSheetId="11">ECONOMICS!$B$1:$K$3</definedName>
    <definedName name="_xlnm.Print_Area" localSheetId="9">LABELS!$B$1:$K$14</definedName>
    <definedName name="_xlnm.Print_Area" localSheetId="49">Lbl_Lu!$B$1:$G$26</definedName>
    <definedName name="_xlnm.Print_Area" localSheetId="32">MICRO_DETAILED_COST_WKSHT!$B$1:$Q$191</definedName>
    <definedName name="_xlnm.Print_Area" localSheetId="53">MICRO_Lu!$B$1:$G$37</definedName>
    <definedName name="_xlnm.Print_Area" localSheetId="16">MICROPLANNING!$B$1:$Q$129</definedName>
    <definedName name="_xlnm.Print_Area" localSheetId="21">OTHER!$B$1:$Q$202</definedName>
    <definedName name="_xlnm.Print_Area" localSheetId="38">OTHER_DETAILED_COST_WKSHT!$B$1:$Q$491</definedName>
    <definedName name="_xlnm.Print_Area" localSheetId="54">OTHER_Lu!$B$1:$G$145</definedName>
    <definedName name="_xlnm.Print_Area" localSheetId="24">Outputs!$B$1:$N$27</definedName>
    <definedName name="_xlnm.Print_Area" localSheetId="4">Pres_Out_Sc!$B$1:$N$30</definedName>
    <definedName name="_xlnm.Print_Area" localSheetId="34">SD_DETAILED_COST_WKSHT!$B$1:$Q$416</definedName>
    <definedName name="_xlnm.Print_Area" localSheetId="60">SD_Lu!$B$1:$G$110</definedName>
    <definedName name="_xlnm.Print_Area" localSheetId="35">SENS_DETAILED_COST_WKSHT!$B$1:$Q$293</definedName>
    <definedName name="_xlnm.Print_Area" localSheetId="58">SENS_Lu!$B$1:$G$144</definedName>
    <definedName name="_xlnm.Print_Area" localSheetId="18">SENSITISATION!$B$1:$Q$209</definedName>
    <definedName name="_xlnm.Print_Area" localSheetId="15">SERVICE_DELIVERY!$B$1:$Q$306</definedName>
    <definedName name="_xlnm.Print_Area" localSheetId="19">SOCIAL_MOBILISATION!$B$1:$Q$118</definedName>
    <definedName name="_xlnm.Print_Area" localSheetId="36">SOCMOB_DETAILED_COST_WKSHT!$B$1:$Q$216</definedName>
    <definedName name="_xlnm.Print_Area" localSheetId="59">SOCMOB_Lu!$B$1:$G$144</definedName>
    <definedName name="_xlnm.Print_Area" localSheetId="20">SUPERVISION!$B$1:$P$7</definedName>
    <definedName name="_xlnm.Print_Area" localSheetId="37">SUPV_DETAILED_COST_WKSHT!$B$1:$Q$336</definedName>
    <definedName name="_xlnm.Print_Area" localSheetId="61">SUPV_Lu!$B$1:$G$179</definedName>
    <definedName name="_xlnm.Print_Area" localSheetId="46">Time_Lu!$B$1:$G$43</definedName>
    <definedName name="_xlnm.Print_Area" localSheetId="10">TIME_SERIES!$B$1:$Q$15</definedName>
    <definedName name="_xlnm.Print_Area" localSheetId="33">TRAIN_DETAILED_COST_WKSHT!$B$1:$Q$293</definedName>
    <definedName name="_xlnm.Print_Area" localSheetId="57">TRAIN_Lu!$B$1:$G$2</definedName>
    <definedName name="_xlnm.Print_Area" localSheetId="17">TRAINING!$B$1:$Q$162</definedName>
    <definedName name="_xlnm.Print_Area" localSheetId="48">Vacc_Lu!$B$1:$G$23</definedName>
    <definedName name="_xlnm.Print_Area" localSheetId="14">'VACCS_&amp;_SUPPLIES'!$B$1:$Q$161</definedName>
    <definedName name="_xlnm.Print_Area" localSheetId="42">'VACCS_&amp;_SUPPLIES_To'!$B$1:$Q$39</definedName>
    <definedName name="_xlnm.Print_Titles" localSheetId="47">Analy_Lu!$1:$4</definedName>
    <definedName name="_xlnm.Print_Titles" localSheetId="6">Analysis!$1:$7</definedName>
    <definedName name="_xlnm.Print_Titles" localSheetId="43">CALCS_Annual!$1:$7</definedName>
    <definedName name="_xlnm.Print_Titles" localSheetId="41">CALCS_COVERAGE!$1:$9</definedName>
    <definedName name="_xlnm.Print_Titles" localSheetId="44">CALCS_DETAILED!$1:$2</definedName>
    <definedName name="_xlnm.Print_Titles" localSheetId="28">CAP_OTH!$1:$11</definedName>
    <definedName name="_xlnm.Print_Titles" localSheetId="56">CAP_OTH_Lu!$1:$4</definedName>
    <definedName name="_xlnm.Print_Titles" localSheetId="23">CAPITAL_INVESTS_OTH!$1:$10</definedName>
    <definedName name="_xlnm.Print_Titles" localSheetId="39">Checks!$1:$4</definedName>
    <definedName name="_xlnm.Print_Titles" localSheetId="27">COLD_CHAIN!$1:$9</definedName>
    <definedName name="_xlnm.Print_Titles" localSheetId="22">COLD_CHAIN_EXPANS!$1:$9</definedName>
    <definedName name="_xlnm.Print_Titles" localSheetId="55">COLD_Lu!$1:$2</definedName>
    <definedName name="_xlnm.Print_Titles" localSheetId="3">Contents!$1:$6</definedName>
    <definedName name="_xlnm.Print_Titles" localSheetId="26">COST_SUMMARY!$1:$7</definedName>
    <definedName name="_xlnm.Print_Titles" localSheetId="29">COSTS_DETAILED_SUMMARY!$1:$2</definedName>
    <definedName name="_xlnm.Print_Titles" localSheetId="51">Count_Lu!$1:$4</definedName>
    <definedName name="_xlnm.Print_Titles" localSheetId="12">COUNTS!$1:$34</definedName>
    <definedName name="_xlnm.Print_Titles" localSheetId="25">COUNTS_and_COVERAGE_Summary!$1:$7</definedName>
    <definedName name="_xlnm.Print_Titles" localSheetId="13">COVERAGE!$1:$7</definedName>
    <definedName name="_xlnm.Print_Titles" localSheetId="52">CVG_Lu!$1:$4</definedName>
    <definedName name="_xlnm.Print_Titles" localSheetId="7">Developer_Only_To!$1:$9</definedName>
    <definedName name="_xlnm.Print_Titles" localSheetId="50">Econ_Lu!$1:$2</definedName>
    <definedName name="_xlnm.Print_Titles" localSheetId="11">ECONOMICS!$1:$2</definedName>
    <definedName name="_xlnm.Print_Titles" localSheetId="9">LABELS!$1:$2</definedName>
    <definedName name="_xlnm.Print_Titles" localSheetId="49">Lbl_Lu!$1:$2</definedName>
    <definedName name="_xlnm.Print_Titles" localSheetId="32">MICRO_DETAILED_COST_WKSHT!$1:$2</definedName>
    <definedName name="_xlnm.Print_Titles" localSheetId="53">MICRO_Lu!$1:$2</definedName>
    <definedName name="_xlnm.Print_Titles" localSheetId="16">MICROPLANNING!$1:$7</definedName>
    <definedName name="_xlnm.Print_Titles" localSheetId="21">OTHER!$1:$7</definedName>
    <definedName name="_xlnm.Print_Titles" localSheetId="38">OTHER_DETAILED_COST_WKSHT!$1:$2</definedName>
    <definedName name="_xlnm.Print_Titles" localSheetId="54">OTHER_Lu!$1:$4</definedName>
    <definedName name="_xlnm.Print_Titles" localSheetId="34">SD_DETAILED_COST_WKSHT!$1:$2</definedName>
    <definedName name="_xlnm.Print_Titles" localSheetId="60">SD_Lu!$1:$4</definedName>
    <definedName name="_xlnm.Print_Titles" localSheetId="35">SENS_DETAILED_COST_WKSHT!$1:$2</definedName>
    <definedName name="_xlnm.Print_Titles" localSheetId="58">SENS_Lu!$1:$4</definedName>
    <definedName name="_xlnm.Print_Titles" localSheetId="18">SENSITISATION!$1:$7</definedName>
    <definedName name="_xlnm.Print_Titles" localSheetId="15">SERVICE_DELIVERY!$1:$7</definedName>
    <definedName name="_xlnm.Print_Titles" localSheetId="19">SOCIAL_MOBILISATION!$1:$7</definedName>
    <definedName name="_xlnm.Print_Titles" localSheetId="36">SOCMOB_DETAILED_COST_WKSHT!$1:$2</definedName>
    <definedName name="_xlnm.Print_Titles" localSheetId="59">SOCMOB_Lu!$1:$4</definedName>
    <definedName name="_xlnm.Print_Titles" localSheetId="20">SUPERVISION!$1:$7</definedName>
    <definedName name="_xlnm.Print_Titles" localSheetId="37">SUPV_DETAILED_COST_WKSHT!$1:$2</definedName>
    <definedName name="_xlnm.Print_Titles" localSheetId="61">SUPV_Lu!$1:$4</definedName>
    <definedName name="_xlnm.Print_Titles" localSheetId="10">TIME_SERIES!$1:$2</definedName>
    <definedName name="_xlnm.Print_Titles" localSheetId="33">TRAIN_DETAILED_COST_WKSHT!$1:$2</definedName>
    <definedName name="_xlnm.Print_Titles" localSheetId="57">TRAIN_Lu!$1:$2</definedName>
    <definedName name="_xlnm.Print_Titles" localSheetId="17">TRAINING!$1:$7</definedName>
    <definedName name="_xlnm.Print_Titles" localSheetId="48">Vacc_Lu!$1:$4</definedName>
    <definedName name="_xlnm.Print_Titles" localSheetId="14">'VACCS_&amp;_SUPPLIES'!$1:$7</definedName>
    <definedName name="_xlnm.Print_Titles" localSheetId="42">'VACCS_&amp;_SUPPLIES_To'!$1:$9</definedName>
    <definedName name="Section_1.">Pres_Out_Sc!$C$10</definedName>
    <definedName name="TBXBST" localSheetId="45" hidden="1">"|B|SSC|B|"</definedName>
    <definedName name="TBXBST" localSheetId="47" hidden="1">"|B|Lu|B|"</definedName>
    <definedName name="TBXBST" localSheetId="6" hidden="1">"|B|To|B||T|All|T||N|1|N||FTSCN|10|FTSCN||TSP|0|TSP|"</definedName>
    <definedName name="TBXBST" localSheetId="30" hidden="1">"|B|SC|B|"</definedName>
    <definedName name="TBXBST" localSheetId="8" hidden="1">"|B|SC|B|"</definedName>
    <definedName name="TBXBST" localSheetId="43" hidden="1">"|B|To|B||T|All|T||N|1|N||FTSCN|10|FTSCN||TSP|0|TSP|"</definedName>
    <definedName name="TBXBST" localSheetId="41" hidden="1">"|B|To|B||T|All|T||N|1|N||FTSCN|10|FTSCN||TSP|0|TSP|"</definedName>
    <definedName name="TBXBST" localSheetId="44" hidden="1">"|B|Bo|B|"</definedName>
    <definedName name="TBXBST" localSheetId="28" hidden="1">"|B|To|B||T|All|T||N|1|N||FTSCN|10|FTSCN||TSP|0|TSP|"</definedName>
    <definedName name="TBXBST" localSheetId="56" hidden="1">"|B|Lu|B|"</definedName>
    <definedName name="TBXBST" localSheetId="23" hidden="1">"|B|Ta|B||T|All|T||N|1|N||FTSCN|10|FTSCN||TSP|0|TSP|"</definedName>
    <definedName name="TBXBST" localSheetId="39" hidden="1">"|B|BO|B|"</definedName>
    <definedName name="TBXBST" localSheetId="27" hidden="1">"|B|To|B||T|All|T||N|1|N||FTSCN|10|FTSCN||TSP|0|TSP|"</definedName>
    <definedName name="TBXBST" localSheetId="22" hidden="1">"|B|Ta|B||T|All|T||N|1|N||FTSCN|10|FTSCN||TSP|0|TSP|"</definedName>
    <definedName name="TBXBST" localSheetId="55" hidden="1">"|B|Lu|B|"</definedName>
    <definedName name="TBXBST" localSheetId="3" hidden="1">"|B|Contents|B|"</definedName>
    <definedName name="TBXBST" localSheetId="26" hidden="1">"|B|To|B||T|All|T||N|1|N||FTSCN|10|FTSCN||TSP|0|TSP||P|"</definedName>
    <definedName name="TBXBST" localSheetId="29" hidden="1">"|B|Bo|B|"</definedName>
    <definedName name="TBXBST" localSheetId="51" hidden="1">"|B|Lu|B|"</definedName>
    <definedName name="TBXBST" localSheetId="12" hidden="1">"|B|Ta|B||T|All|T||N|1|N||FTSCN|10|FTSCN||TSP|0|TSP|"</definedName>
    <definedName name="TBXBST" localSheetId="25" hidden="1">"|B|To|B||T|All|T||N|1|N||FTSCN|10|FTSCN||TSP|0|TSP||P|"</definedName>
    <definedName name="TBXBST" localSheetId="2" hidden="1">"|B|Cover|B|"</definedName>
    <definedName name="TBXBST" localSheetId="13" hidden="1">"|B|Ta|B||T|All|T||N|1|N||FTSCN|10|FTSCN||TSP|0|TSP|"</definedName>
    <definedName name="TBXBST" localSheetId="52" hidden="1">"|B|Lu|B|"</definedName>
    <definedName name="TBXBST" localSheetId="5" hidden="1">"|B|Ms|B||P|"</definedName>
    <definedName name="TBXBST" localSheetId="31" hidden="1">"|B|Ssc|B|"</definedName>
    <definedName name="TBXBST" localSheetId="7" hidden="1">"|B|To|B||T|All|T||N|1|N||FTSCN|10|FTSCN||TSP|0|TSP|"</definedName>
    <definedName name="TBXBST" localSheetId="40" hidden="1">"|B|Sc|B|"</definedName>
    <definedName name="TBXBST" localSheetId="50" hidden="1">"|B|Lu|B|"</definedName>
    <definedName name="TBXBST" localSheetId="11" hidden="1">"|B|Ta|B||T|All|T||N|1|N||FTSCN|10|FTSCN||TSP|0|TSP|"</definedName>
    <definedName name="TBXBST" localSheetId="9" hidden="1">"|B|BA|B|"</definedName>
    <definedName name="TBXBST" localSheetId="49" hidden="1">"|B|Lu|B|"</definedName>
    <definedName name="TBXBST" localSheetId="32" hidden="1">"|B|Ba|B|"</definedName>
    <definedName name="TBXBST" localSheetId="53" hidden="1">"|B|Lu|B|"</definedName>
    <definedName name="TBXBST" localSheetId="16" hidden="1">"|B|Ta|B||T|All|T||N|1|N||FTSCN|10|FTSCN||TSP|0|TSP|"</definedName>
    <definedName name="TBXBST" localSheetId="21" hidden="1">"|B|Ta|B||T|All|T||N|1|N||FTSCN|10|FTSCN||TSP|0|TSP|"</definedName>
    <definedName name="TBXBST" localSheetId="38" hidden="1">"|B|Ba|B|"</definedName>
    <definedName name="TBXBST" localSheetId="54" hidden="1">"|B|Lu|B|"</definedName>
    <definedName name="TBXBST" localSheetId="24" hidden="1">"|B|Sc|B|"</definedName>
    <definedName name="TBXBST" localSheetId="4" hidden="1">"|B|Sc|B|"</definedName>
    <definedName name="TBXBST" localSheetId="34" hidden="1">"|B|Ba|B|"</definedName>
    <definedName name="TBXBST" localSheetId="60" hidden="1">"|B|Lu|B|"</definedName>
    <definedName name="TBXBST" localSheetId="35" hidden="1">"|B|Ba|B|"</definedName>
    <definedName name="TBXBST" localSheetId="58" hidden="1">"|B|Lu|B|"</definedName>
    <definedName name="TBXBST" localSheetId="18" hidden="1">"|B|Ta|B||T|All|T||N|1|N||FTSCN|10|FTSCN||TSP|0|TSP|"</definedName>
    <definedName name="TBXBST" localSheetId="15" hidden="1">"|B|Ta|B||T|All|T||N|1|N||FTSCN|10|FTSCN||TSP|0|TSP|"</definedName>
    <definedName name="TBXBST" localSheetId="19" hidden="1">"|B|Ta|B||T|All|T||N|1|N||FTSCN|10|FTSCN||TSP|0|TSP|"</definedName>
    <definedName name="TBXBST" localSheetId="36" hidden="1">"|B|Ba|B|"</definedName>
    <definedName name="TBXBST" localSheetId="59" hidden="1">"|B|Lu|B|"</definedName>
    <definedName name="TBXBST" localSheetId="20" hidden="1">"|B|Ta|B||T|All|T||N|1|N||FTSCN|10|FTSCN||TSP|0|TSP|"</definedName>
    <definedName name="TBXBST" localSheetId="37" hidden="1">"|B|Ba|B|"</definedName>
    <definedName name="TBXBST" localSheetId="61" hidden="1">"|B|Lu|B|"</definedName>
    <definedName name="TBXBST" localSheetId="46" hidden="1">"|B|LU|B|"</definedName>
    <definedName name="TBXBST" localSheetId="10" hidden="1">"|B|BA|B|"</definedName>
    <definedName name="TBXBST" localSheetId="33" hidden="1">"|B|Ba|B|"</definedName>
    <definedName name="TBXBST" localSheetId="57" hidden="1">"|B|Lu|B|"</definedName>
    <definedName name="TBXBST" localSheetId="17" hidden="1">"|B|Ta|B||T|All|T||N|1|N||FTSCN|10|FTSCN||TSP|0|TSP|"</definedName>
    <definedName name="TBXBST" localSheetId="48" hidden="1">"|B|Lu|B|"</definedName>
    <definedName name="TBXBST" localSheetId="14" hidden="1">"|B|Ta|B||T|All|T||N|1|N||FTSCN|10|FTSCN||TSP|0|TSP|"</definedName>
    <definedName name="TBXBST" localSheetId="42" hidden="1">"|B|To|B||T|All|T||N|1|N||FTSCN|10|FTSCN||TSP|0|TSP|"</definedName>
    <definedName name="TOC_Hdg_1" hidden="1">Checks!$B$4</definedName>
    <definedName name="TOC_Hdg_10" hidden="1">MICROPLANNING!$B$9</definedName>
    <definedName name="TOC_Hdg_100" hidden="1">SENSITISATION!$B$9</definedName>
    <definedName name="TOC_Hdg_1000" hidden="1">SENS_DETAILED_COST_WKSHT!$B$574</definedName>
    <definedName name="TOC_Hdg_1001" hidden="1">SENSITISATION!$B$206</definedName>
    <definedName name="TOC_Hdg_1002" hidden="1">SENSITISATION!$B$211</definedName>
    <definedName name="TOC_Hdg_1003" hidden="1">SENSITISATION!$B$235</definedName>
    <definedName name="TOC_Hdg_1004" hidden="1">CALCS_DETAILED!$B$1091</definedName>
    <definedName name="TOC_Hdg_1005" hidden="1">CALCS_DETAILED!$B$1116</definedName>
    <definedName name="TOC_Hdg_1006" hidden="1">CALCS_DETAILED!$B$1136</definedName>
    <definedName name="TOC_Hdg_1007" hidden="1">CALCS_DETAILED!$B$1156</definedName>
    <definedName name="TOC_Hdg_1008" hidden="1">CALCS_Annual!$B$450</definedName>
    <definedName name="TOC_Hdg_1009" hidden="1">CALCS_Annual!$B$460</definedName>
    <definedName name="TOC_Hdg_101" hidden="1">SENSITISATION!$B$14</definedName>
    <definedName name="TOC_Hdg_1010" hidden="1">CALCS_Annual!$B$469</definedName>
    <definedName name="TOC_Hdg_1011" hidden="1">CALCS_Annual!$B$478</definedName>
    <definedName name="TOC_Hdg_1012" hidden="1">COSTS_DETAILED_SUMMARY!$B$205</definedName>
    <definedName name="TOC_Hdg_1013" hidden="1">COST_SUMMARY!$B$260</definedName>
    <definedName name="TOC_Hdg_1014" hidden="1">SENS_Lu!$B$181</definedName>
    <definedName name="TOC_Hdg_102" hidden="1">SENSITISATION!$B$36</definedName>
    <definedName name="TOC_Hdg_103" hidden="1">CALCS_DETAILED!$B$671</definedName>
    <definedName name="TOC_Hdg_104" hidden="1">CALCS_DETAILED!$B$696</definedName>
    <definedName name="TOC_Hdg_105" hidden="1">CALCS_DETAILED!$B$716</definedName>
    <definedName name="TOC_Hdg_106" hidden="1">CALCS_DETAILED!$B$736</definedName>
    <definedName name="TOC_Hdg_107" hidden="1">CALCS_Annual!$B$280</definedName>
    <definedName name="TOC_Hdg_108" hidden="1">CALCS_Annual!$B$288</definedName>
    <definedName name="TOC_Hdg_109" hidden="1">CALCS_Annual!$B$296</definedName>
    <definedName name="TOC_Hdg_11" hidden="1">MICROPLANNING!$B$14</definedName>
    <definedName name="TOC_Hdg_110" hidden="1">CALCS_Annual!$B$304</definedName>
    <definedName name="TOC_Hdg_111" hidden="1">COSTS_DETAILED_SUMMARY!$B$128</definedName>
    <definedName name="TOC_Hdg_112" hidden="1">COST_SUMMARY!$B$190</definedName>
    <definedName name="TOC_Hdg_113" hidden="1">SENS_Lu!$B$6</definedName>
    <definedName name="TOC_Hdg_114" hidden="1">SOCMOB_DETAILED_COST_WKSHT!$B$4</definedName>
    <definedName name="TOC_Hdg_115" hidden="1">SOCMOB_DETAILED_COST_WKSHT!$B$12</definedName>
    <definedName name="TOC_Hdg_116" hidden="1">SOCMOB_DETAILED_COST_WKSHT!$B$24</definedName>
    <definedName name="TOC_Hdg_117" hidden="1">SOCMOB_DETAILED_COST_WKSHT!$B$47</definedName>
    <definedName name="TOC_Hdg_118" hidden="1">SOCMOB_DETAILED_COST_WKSHT!$B$65</definedName>
    <definedName name="TOC_Hdg_119" hidden="1">SOCMOB_DETAILED_COST_WKSHT!$B$83</definedName>
    <definedName name="TOC_Hdg_12" hidden="1">MICROPLANNING!$B$36</definedName>
    <definedName name="TOC_Hdg_120" hidden="1">SOCIAL_MOBILISATION!$B$9</definedName>
    <definedName name="TOC_Hdg_121" hidden="1">SOCIAL_MOBILISATION!$B$14</definedName>
    <definedName name="TOC_Hdg_122" hidden="1">SOCIAL_MOBILISATION!$B$36</definedName>
    <definedName name="TOC_Hdg_123" hidden="1">CALCS_DETAILED!$B$1175</definedName>
    <definedName name="TOC_Hdg_124" hidden="1">CALCS_DETAILED!$B$1200</definedName>
    <definedName name="TOC_Hdg_125" hidden="1">CALCS_DETAILED!$B$1220</definedName>
    <definedName name="TOC_Hdg_126" hidden="1">CALCS_DETAILED!$B$1240</definedName>
    <definedName name="TOC_Hdg_127" hidden="1">CALCS_Annual!$B$487</definedName>
    <definedName name="TOC_Hdg_128" hidden="1">CALCS_Annual!$B$495</definedName>
    <definedName name="TOC_Hdg_129" hidden="1">CALCS_Annual!$B$503</definedName>
    <definedName name="TOC_Hdg_13" hidden="1">MICRO_DETAILED_COST_WKSHT!$B$193</definedName>
    <definedName name="TOC_Hdg_130" hidden="1">CALCS_Annual!$B$511</definedName>
    <definedName name="TOC_Hdg_131" hidden="1">COSTS_DETAILED_SUMMARY!$B$221</definedName>
    <definedName name="TOC_Hdg_132" hidden="1">COST_SUMMARY!$B$274</definedName>
    <definedName name="TOC_Hdg_133" hidden="1">SOCMOB_Lu!$B$6</definedName>
    <definedName name="TOC_Hdg_134" hidden="1">SUPV_DETAILED_COST_WKSHT!$B$4</definedName>
    <definedName name="TOC_Hdg_135" hidden="1">SUPV_DETAILED_COST_WKSHT!$B$12</definedName>
    <definedName name="TOC_Hdg_136" hidden="1">SUPV_DETAILED_COST_WKSHT!$B$24</definedName>
    <definedName name="TOC_Hdg_137" hidden="1">SUPV_DETAILED_COST_WKSHT!$B$47</definedName>
    <definedName name="TOC_Hdg_138" hidden="1">SUPV_DETAILED_COST_WKSHT!$B$65</definedName>
    <definedName name="TOC_Hdg_139" hidden="1">SUPV_DETAILED_COST_WKSHT!$B$83</definedName>
    <definedName name="TOC_Hdg_14" hidden="1">CALCS_DETAILED!$B$4</definedName>
    <definedName name="TOC_Hdg_140" hidden="1">SUPERVISION!$B$9</definedName>
    <definedName name="TOC_Hdg_141" hidden="1">SUPERVISION!$B$14</definedName>
    <definedName name="TOC_Hdg_142" hidden="1">SUPERVISION!$B$36</definedName>
    <definedName name="TOC_Hdg_143" hidden="1">CALCS_DETAILED!$B$1847</definedName>
    <definedName name="TOC_Hdg_144" hidden="1">CALCS_DETAILED!$B$1872</definedName>
    <definedName name="TOC_Hdg_145" hidden="1">CALCS_DETAILED!$B$1892</definedName>
    <definedName name="TOC_Hdg_146" hidden="1">CALCS_DETAILED!$B$1912</definedName>
    <definedName name="TOC_Hdg_147" hidden="1">CALCS_Annual!$B$768</definedName>
    <definedName name="TOC_Hdg_148" hidden="1">CALCS_Annual!$B$776</definedName>
    <definedName name="TOC_Hdg_149" hidden="1">CALCS_Annual!$B$784</definedName>
    <definedName name="TOC_Hdg_15" hidden="1">LABELS!$B$4</definedName>
    <definedName name="TOC_Hdg_150" hidden="1">CALCS_Annual!$B$792</definedName>
    <definedName name="TOC_Hdg_151" hidden="1">COSTS_DETAILED_SUMMARY!$B$346</definedName>
    <definedName name="TOC_Hdg_152" hidden="1">COST_SUMMARY!$B$442</definedName>
    <definedName name="TOC_Hdg_153" hidden="1">SUPV_Lu!$B$6</definedName>
    <definedName name="TOC_Hdg_154" hidden="1">TRAIN_DETAILED_COST_WKSHT!$B$295</definedName>
    <definedName name="TOC_Hdg_155" hidden="1">TRAIN_DETAILED_COST_WKSHT!$B$304</definedName>
    <definedName name="TOC_Hdg_156" hidden="1">TRAIN_DETAILED_COST_WKSHT!$B$317</definedName>
    <definedName name="TOC_Hdg_157" hidden="1">TRAIN_DETAILED_COST_WKSHT!$B$340</definedName>
    <definedName name="TOC_Hdg_158" hidden="1">TRAIN_DETAILED_COST_WKSHT!$B$358</definedName>
    <definedName name="TOC_Hdg_159" hidden="1">TRAIN_DETAILED_COST_WKSHT!$B$376</definedName>
    <definedName name="TOC_Hdg_16" hidden="1">'VACCS_&amp;_SUPPLIES'!$B$127</definedName>
    <definedName name="TOC_Hdg_160" hidden="1">TRAINING!$B$120</definedName>
    <definedName name="TOC_Hdg_161" hidden="1">TRAINING!$B$125</definedName>
    <definedName name="TOC_Hdg_162" hidden="1">TRAINING!$B$149</definedName>
    <definedName name="TOC_Hdg_163" hidden="1">CALCS_DETAILED!$B$587</definedName>
    <definedName name="TOC_Hdg_164" hidden="1">CALCS_DETAILED!$B$612</definedName>
    <definedName name="TOC_Hdg_165" hidden="1">CALCS_DETAILED!$B$632</definedName>
    <definedName name="TOC_Hdg_166" hidden="1">CALCS_DETAILED!$B$652</definedName>
    <definedName name="TOC_Hdg_167" hidden="1">CALCS_Annual!$B$243</definedName>
    <definedName name="TOC_Hdg_168" hidden="1">CALCS_Annual!$B$253</definedName>
    <definedName name="TOC_Hdg_169" hidden="1">CALCS_Annual!$B$262</definedName>
    <definedName name="TOC_Hdg_17" hidden="1">Lbl_Lu!$B$4</definedName>
    <definedName name="TOC_Hdg_170" hidden="1">CALCS_Annual!$B$271</definedName>
    <definedName name="TOC_Hdg_171" hidden="1">COSTS_DETAILED_SUMMARY!$B$112</definedName>
    <definedName name="TOC_Hdg_172" hidden="1">COST_SUMMARY!$B$176</definedName>
    <definedName name="TOC_Hdg_173" hidden="1">TRAIN_Lu!$B$109</definedName>
    <definedName name="TOC_Hdg_174" hidden="1">COVERAGE!$B$118</definedName>
    <definedName name="TOC_Hdg_175" hidden="1">SERVICE_DELIVERY!$B$27</definedName>
    <definedName name="TOC_Hdg_176" hidden="1">LABELS!$B$48</definedName>
    <definedName name="TOC_Hdg_177" hidden="1">COUNTS!$B$9</definedName>
    <definedName name="TOC_Hdg_178" hidden="1">Analysis!$B$624</definedName>
    <definedName name="TOC_Hdg_179" hidden="1">SERVICE_DELIVERY!$B$172</definedName>
    <definedName name="TOC_Hdg_18" hidden="1">SD_DETAILED_COST_WKSHT!$B$301</definedName>
    <definedName name="TOC_Hdg_180" hidden="1">COLD_CHAIN_EXPANS!$B$12</definedName>
    <definedName name="TOC_Hdg_181" hidden="1">COLD_CHAIN!$B$12</definedName>
    <definedName name="TOC_Hdg_182" hidden="1">COLD_Lu!$B$5</definedName>
    <definedName name="TOC_Hdg_183" hidden="1">CAPITAL_INVESTS_OTH!$B$13</definedName>
    <definedName name="TOC_Hdg_184" hidden="1">CAP_OTH!$B$14</definedName>
    <definedName name="TOC_Hdg_185" hidden="1">CAP_OTH_Lu!$B$7</definedName>
    <definedName name="TOC_Hdg_186" hidden="1">Analysis!$B$784</definedName>
    <definedName name="TOC_Hdg_187" hidden="1">Analysis!$B$943</definedName>
    <definedName name="TOC_Hdg_19" hidden="1">SD_DETAILED_COST_WKSHT!$B$310</definedName>
    <definedName name="TOC_Hdg_194" hidden="1">SENS_DETAILED_COST_WKSHT!$B$295</definedName>
    <definedName name="TOC_Hdg_195" hidden="1">SENS_DETAILED_COST_WKSHT!$B$304</definedName>
    <definedName name="TOC_Hdg_196" hidden="1">SENS_DETAILED_COST_WKSHT!$B$317</definedName>
    <definedName name="TOC_Hdg_197" hidden="1">SENS_DETAILED_COST_WKSHT!$B$340</definedName>
    <definedName name="TOC_Hdg_198" hidden="1">SENS_DETAILED_COST_WKSHT!$B$358</definedName>
    <definedName name="TOC_Hdg_199" hidden="1">SENS_DETAILED_COST_WKSHT!$B$376</definedName>
    <definedName name="TOC_Hdg_2" hidden="1">Checks!$B$211</definedName>
    <definedName name="TOC_Hdg_20" hidden="1">CALCS_DETAILED!$B$24</definedName>
    <definedName name="TOC_Hdg_200" hidden="1">SENSITISATION!$B$120</definedName>
    <definedName name="TOC_Hdg_201" hidden="1">SENSITISATION!$B$125</definedName>
    <definedName name="TOC_Hdg_202" hidden="1">SENSITISATION!$B$149</definedName>
    <definedName name="TOC_Hdg_203" hidden="1">CALCS_DETAILED!$B$923</definedName>
    <definedName name="TOC_Hdg_204" hidden="1">CALCS_DETAILED!$B$948</definedName>
    <definedName name="TOC_Hdg_205" hidden="1">CALCS_DETAILED!$B$968</definedName>
    <definedName name="TOC_Hdg_206" hidden="1">CALCS_DETAILED!$B$988</definedName>
    <definedName name="TOC_Hdg_207" hidden="1">CALCS_Annual!$B$376</definedName>
    <definedName name="TOC_Hdg_208" hidden="1">CALCS_Annual!$B$386</definedName>
    <definedName name="TOC_Hdg_209" hidden="1">CALCS_Annual!$B$395</definedName>
    <definedName name="TOC_Hdg_21" hidden="1">CALCS_DETAILED!$B$44</definedName>
    <definedName name="TOC_Hdg_210" hidden="1">CALCS_Annual!$B$404</definedName>
    <definedName name="TOC_Hdg_211" hidden="1">COSTS_DETAILED_SUMMARY!$B$173</definedName>
    <definedName name="TOC_Hdg_212" hidden="1">COST_SUMMARY!$B$232</definedName>
    <definedName name="TOC_Hdg_213" hidden="1">SENS_Lu!$B$111</definedName>
    <definedName name="TOC_Hdg_214" hidden="1">SOCMOB_DETAILED_COST_WKSHT!$B$295</definedName>
    <definedName name="TOC_Hdg_215" hidden="1">SOCMOB_DETAILED_COST_WKSHT!$B$304</definedName>
    <definedName name="TOC_Hdg_216" hidden="1">SOCMOB_DETAILED_COST_WKSHT!$B$317</definedName>
    <definedName name="TOC_Hdg_217" hidden="1">SOCMOB_DETAILED_COST_WKSHT!$B$340</definedName>
    <definedName name="TOC_Hdg_218" hidden="1">SOCMOB_DETAILED_COST_WKSHT!$B$358</definedName>
    <definedName name="TOC_Hdg_219" hidden="1">SOCMOB_DETAILED_COST_WKSHT!$B$376</definedName>
    <definedName name="TOC_Hdg_22" hidden="1">CALCS_DETAILED!$B$64</definedName>
    <definedName name="TOC_Hdg_220" hidden="1">SOCIAL_MOBILISATION!$B$120</definedName>
    <definedName name="TOC_Hdg_221" hidden="1">SOCIAL_MOBILISATION!$B$125</definedName>
    <definedName name="TOC_Hdg_222" hidden="1">SOCIAL_MOBILISATION!$B$149</definedName>
    <definedName name="TOC_Hdg_223" hidden="1">CALCS_DETAILED!$B$1427</definedName>
    <definedName name="TOC_Hdg_224" hidden="1">CALCS_DETAILED!$B$1452</definedName>
    <definedName name="TOC_Hdg_225" hidden="1">CALCS_DETAILED!$B$1472</definedName>
    <definedName name="TOC_Hdg_226" hidden="1">CALCS_DETAILED!$B$1492</definedName>
    <definedName name="TOC_Hdg_227" hidden="1">CALCS_Annual!$B$583</definedName>
    <definedName name="TOC_Hdg_228" hidden="1">CALCS_Annual!$B$593</definedName>
    <definedName name="TOC_Hdg_229" hidden="1">CALCS_Annual!$B$602</definedName>
    <definedName name="TOC_Hdg_23" hidden="1">CALCS_Annual!$B$9</definedName>
    <definedName name="TOC_Hdg_230" hidden="1">CALCS_Annual!$B$611</definedName>
    <definedName name="TOC_Hdg_231" hidden="1">COSTS_DETAILED_SUMMARY!$B$266</definedName>
    <definedName name="TOC_Hdg_232" hidden="1">COST_SUMMARY!$B$316</definedName>
    <definedName name="TOC_Hdg_233" hidden="1">SOCMOB_Lu!$B$111</definedName>
    <definedName name="TOC_Hdg_234" hidden="1">SUPV_DETAILED_COST_WKSHT!$B$392</definedName>
    <definedName name="TOC_Hdg_235" hidden="1">SUPV_DETAILED_COST_WKSHT!$B$401</definedName>
    <definedName name="TOC_Hdg_236" hidden="1">SUPV_DETAILED_COST_WKSHT!$B$414</definedName>
    <definedName name="TOC_Hdg_237" hidden="1">SUPV_DETAILED_COST_WKSHT!$B$437</definedName>
    <definedName name="TOC_Hdg_238" hidden="1">SUPV_DETAILED_COST_WKSHT!$B$455</definedName>
    <definedName name="TOC_Hdg_239" hidden="1">SUPV_DETAILED_COST_WKSHT!$B$473</definedName>
    <definedName name="TOC_Hdg_24" hidden="1">CALCS_Annual!$B$17</definedName>
    <definedName name="TOC_Hdg_240" hidden="1">SUPERVISION!$B$157</definedName>
    <definedName name="TOC_Hdg_241" hidden="1">SUPERVISION!$B$162</definedName>
    <definedName name="TOC_Hdg_242" hidden="1">SUPERVISION!$B$186</definedName>
    <definedName name="TOC_Hdg_243" hidden="1">CALCS_DETAILED!$B$2183</definedName>
    <definedName name="TOC_Hdg_244" hidden="1">CALCS_DETAILED!$B$2208</definedName>
    <definedName name="TOC_Hdg_245" hidden="1">CALCS_DETAILED!$B$2228</definedName>
    <definedName name="TOC_Hdg_246" hidden="1">CALCS_DETAILED!$B$2248</definedName>
    <definedName name="TOC_Hdg_247" hidden="1">CALCS_Annual!$B$896</definedName>
    <definedName name="TOC_Hdg_248" hidden="1">CALCS_Annual!$B$905</definedName>
    <definedName name="TOC_Hdg_249" hidden="1">CALCS_Annual!$B$914</definedName>
    <definedName name="TOC_Hdg_25" hidden="1">CALCS_Annual!$B$25</definedName>
    <definedName name="TOC_Hdg_250" hidden="1">CALCS_Annual!$B$923</definedName>
    <definedName name="TOC_Hdg_251" hidden="1">COSTS_DETAILED_SUMMARY!$B$406</definedName>
    <definedName name="TOC_Hdg_252" hidden="1">COST_SUMMARY!$B$498</definedName>
    <definedName name="TOC_Hdg_253" hidden="1">SUPV_Lu!$B$146</definedName>
    <definedName name="TOC_Hdg_26" hidden="1">CALCS_Annual!$B$33</definedName>
    <definedName name="TOC_Hdg_27" hidden="1">COSTS_DETAILED_SUMMARY!$B$5</definedName>
    <definedName name="TOC_Hdg_28" hidden="1">COST_SUMMARY!$B$78</definedName>
    <definedName name="TOC_Hdg_29" hidden="1">MICRO_Lu!$B$4</definedName>
    <definedName name="TOC_Hdg_3" hidden="1">TIME_SERIES!$B$4</definedName>
    <definedName name="TOC_Hdg_31" hidden="1">Econ_Lu!$B$4</definedName>
    <definedName name="TOC_Hdg_314" hidden="1">SD_DETAILED_COST_WKSHT!$B$4</definedName>
    <definedName name="TOC_Hdg_315" hidden="1">SD_DETAILED_COST_WKSHT!$B$13</definedName>
    <definedName name="TOC_Hdg_316" hidden="1">SD_DETAILED_COST_WKSHT!$B$26</definedName>
    <definedName name="TOC_Hdg_317" hidden="1">SD_DETAILED_COST_WKSHT!$B$49</definedName>
    <definedName name="TOC_Hdg_318" hidden="1">SD_DETAILED_COST_WKSHT!$B$67</definedName>
    <definedName name="TOC_Hdg_319" hidden="1">SD_DETAILED_COST_WKSHT!$B$85</definedName>
    <definedName name="TOC_Hdg_32" hidden="1">ECONOMICS!$B$4</definedName>
    <definedName name="TOC_Hdg_320" hidden="1">SERVICE_DELIVERY!$B$235</definedName>
    <definedName name="TOC_Hdg_321" hidden="1">SERVICE_DELIVERY!$B$240</definedName>
    <definedName name="TOC_Hdg_323" hidden="1">CALCS_DETAILED!$B$2855</definedName>
    <definedName name="TOC_Hdg_324" hidden="1">CALCS_DETAILED!$B$2880</definedName>
    <definedName name="TOC_Hdg_325" hidden="1">CALCS_DETAILED!$B$2900</definedName>
    <definedName name="TOC_Hdg_326" hidden="1">CALCS_DETAILED!$B$2920</definedName>
    <definedName name="TOC_Hdg_327" hidden="1">CALCS_Annual!$B$1005</definedName>
    <definedName name="TOC_Hdg_328" hidden="1">CALCS_Annual!$B$1014</definedName>
    <definedName name="TOC_Hdg_329" hidden="1">CALCS_Annual!$B$1023</definedName>
    <definedName name="TOC_Hdg_33" hidden="1">ECONOMICS!$B$10</definedName>
    <definedName name="TOC_Hdg_330" hidden="1">CALCS_Annual!$B$1034</definedName>
    <definedName name="TOC_Hdg_331" hidden="1">COSTS_DETAILED_SUMMARY!$B$454</definedName>
    <definedName name="TOC_Hdg_332" hidden="1">COST_SUMMARY!$B$386</definedName>
    <definedName name="TOC_Hdg_333" hidden="1">SD_Lu!$B$6</definedName>
    <definedName name="TOC_Hdg_34" hidden="1">MICRO_DETAILED_COST_WKSHT!$B$4</definedName>
    <definedName name="TOC_Hdg_35" hidden="1">MICRO_DETAILED_COST_WKSHT!$B$202</definedName>
    <definedName name="TOC_Hdg_354" hidden="1">COUNTS!$B$33</definedName>
    <definedName name="TOC_Hdg_355" hidden="1">COUNTS!$B$152</definedName>
    <definedName name="TOC_Hdg_356" hidden="1">COUNTS!$B$40</definedName>
    <definedName name="TOC_Hdg_357" hidden="1">COUNTS!$B$98</definedName>
    <definedName name="TOC_Hdg_36" hidden="1">MICRO_DETAILED_COST_WKSHT!$B$215</definedName>
    <definedName name="TOC_Hdg_362" hidden="1">COUNTS_and_COVERAGE_Summary!$B$9</definedName>
    <definedName name="TOC_Hdg_363" hidden="1">Count_Lu!$B$6</definedName>
    <definedName name="TOC_Hdg_364" hidden="1">LABELS!$B$17</definedName>
    <definedName name="TOC_Hdg_365" hidden="1">COVERAGE!$B$9</definedName>
    <definedName name="TOC_Hdg_366" hidden="1">Developer_Only_To!$B$25</definedName>
    <definedName name="TOC_Hdg_367" hidden="1">COVERAGE!$B$21</definedName>
    <definedName name="TOC_Hdg_368" hidden="1">COVERAGE!$B$44</definedName>
    <definedName name="TOC_Hdg_369" hidden="1">COVERAGE!$B$67</definedName>
    <definedName name="TOC_Hdg_37" hidden="1">MICRO_DETAILED_COST_WKSHT!$B$238</definedName>
    <definedName name="TOC_Hdg_370" hidden="1">COVERAGE!$B$93</definedName>
    <definedName name="TOC_Hdg_371" hidden="1">COVERAGE!$B$142</definedName>
    <definedName name="TOC_Hdg_372" hidden="1">COVERAGE!$B$167</definedName>
    <definedName name="TOC_Hdg_373" hidden="1">COVERAGE!$B$193</definedName>
    <definedName name="TOC_Hdg_374" hidden="1">COVERAGE!$B$221</definedName>
    <definedName name="TOC_Hdg_375" hidden="1">COUNTS_and_COVERAGE_Summary!$B$38</definedName>
    <definedName name="TOC_Hdg_376" hidden="1">CVG_Lu!$B$6</definedName>
    <definedName name="TOC_Hdg_377" hidden="1">LABELS!$B$34</definedName>
    <definedName name="TOC_Hdg_378" hidden="1">COVERAGE!$B$16</definedName>
    <definedName name="TOC_Hdg_379" hidden="1">COVERAGE!$B$137</definedName>
    <definedName name="TOC_Hdg_38" hidden="1">MICRO_DETAILED_COST_WKSHT!$B$256</definedName>
    <definedName name="TOC_Hdg_380" hidden="1">CALCS_COVERAGE!$B$11</definedName>
    <definedName name="TOC_Hdg_381" hidden="1">CALCS_COVERAGE!$B$24</definedName>
    <definedName name="TOC_Hdg_382" hidden="1">CALCS_COVERAGE!$B$37</definedName>
    <definedName name="TOC_Hdg_383" hidden="1">CALCS_COVERAGE!$B$49</definedName>
    <definedName name="TOC_Hdg_384" hidden="1">CALCS_COVERAGE!$B$103</definedName>
    <definedName name="TOC_Hdg_385" hidden="1">CALCS_COVERAGE!$B$114</definedName>
    <definedName name="TOC_Hdg_386" hidden="1">CALCS_COVERAGE!$B$125</definedName>
    <definedName name="TOC_Hdg_387" hidden="1">CALCS_COVERAGE!$B$136</definedName>
    <definedName name="TOC_Hdg_388" hidden="1">'VACCS_&amp;_SUPPLIES_To'!$B$11</definedName>
    <definedName name="TOC_Hdg_389" hidden="1">'VACCS_&amp;_SUPPLIES'!$B$101</definedName>
    <definedName name="TOC_Hdg_39" hidden="1">MICRO_DETAILED_COST_WKSHT!$B$274</definedName>
    <definedName name="TOC_Hdg_391" hidden="1">'VACCS_&amp;_SUPPLIES_To'!$B$32</definedName>
    <definedName name="TOC_Hdg_392" hidden="1">'VACCS_&amp;_SUPPLIES_To'!$B$41</definedName>
    <definedName name="TOC_Hdg_393" hidden="1">Vacc_Lu!$B$6</definedName>
    <definedName name="TOC_Hdg_394" hidden="1">CALCS_COVERAGE!$B$60</definedName>
    <definedName name="TOC_Hdg_395" hidden="1">CALCS_COVERAGE!$B$73</definedName>
    <definedName name="TOC_Hdg_396" hidden="1">CALCS_COVERAGE!$B$147</definedName>
    <definedName name="TOC_Hdg_397" hidden="1">CALCS_COVERAGE!$B$158</definedName>
    <definedName name="TOC_Hdg_398" hidden="1">CALCS_COVERAGE!$B$91</definedName>
    <definedName name="TOC_Hdg_399" hidden="1">CALCS_COVERAGE!$B$169</definedName>
    <definedName name="TOC_Hdg_4" hidden="1">Time_Lu!$B$4</definedName>
    <definedName name="TOC_Hdg_40" hidden="1">MICROPLANNING!$B$83</definedName>
    <definedName name="TOC_Hdg_400" hidden="1">'VACCS_&amp;_SUPPLIES'!$B$9</definedName>
    <definedName name="TOC_Hdg_401" hidden="1">'VACCS_&amp;_SUPPLIES_To'!$B$50</definedName>
    <definedName name="TOC_Hdg_402" hidden="1">'VACCS_&amp;_SUPPLIES_To'!$B$59</definedName>
    <definedName name="TOC_Hdg_403" hidden="1">'VACCS_&amp;_SUPPLIES_To'!$B$68</definedName>
    <definedName name="TOC_Hdg_404" hidden="1">'VACCS_&amp;_SUPPLIES_To'!$B$76</definedName>
    <definedName name="TOC_Hdg_405" hidden="1">'VACCS_&amp;_SUPPLIES_To'!$B$85</definedName>
    <definedName name="TOC_Hdg_406" hidden="1">'VACCS_&amp;_SUPPLIES_To'!$B$94</definedName>
    <definedName name="TOC_Hdg_407" hidden="1">'VACCS_&amp;_SUPPLIES_To'!$B$18</definedName>
    <definedName name="TOC_Hdg_408" hidden="1">'VACCS_&amp;_SUPPLIES_To'!$B$25</definedName>
    <definedName name="TOC_Hdg_41" hidden="1">MICROPLANNING!$B$88</definedName>
    <definedName name="TOC_Hdg_412" hidden="1">'VACCS_&amp;_SUPPLIES_To'!$B$103</definedName>
    <definedName name="TOC_Hdg_413" hidden="1">'VACCS_&amp;_SUPPLIES_To'!$B$112</definedName>
    <definedName name="TOC_Hdg_414" hidden="1">'VACCS_&amp;_SUPPLIES_To'!$B$121</definedName>
    <definedName name="TOC_Hdg_415" hidden="1">'VACCS_&amp;_SUPPLIES_To'!$B$130</definedName>
    <definedName name="TOC_Hdg_416" hidden="1">COST_SUMMARY!$B$9</definedName>
    <definedName name="TOC_Hdg_417" hidden="1">COST_SUMMARY!$B$27</definedName>
    <definedName name="TOC_Hdg_418" hidden="1">COST_SUMMARY!$B$44</definedName>
    <definedName name="TOC_Hdg_419" hidden="1">COST_SUMMARY!$B$61</definedName>
    <definedName name="TOC_Hdg_42" hidden="1">MICROPLANNING!$B$112</definedName>
    <definedName name="TOC_Hdg_420" hidden="1">Analysis!$B$9</definedName>
    <definedName name="TOC_Hdg_421" hidden="1">Analysis!$B$26</definedName>
    <definedName name="TOC_Hdg_422" hidden="1">Analysis!$B$45</definedName>
    <definedName name="TOC_Hdg_423" hidden="1">Analysis!$B$61</definedName>
    <definedName name="TOC_Hdg_424" hidden="1">Developer_Only_To!$B$10</definedName>
    <definedName name="TOC_Hdg_425" hidden="1">Analy_Lu!$B$6</definedName>
    <definedName name="TOC_Hdg_426" hidden="1">Analysis!$B$108</definedName>
    <definedName name="TOC_Hdg_427" hidden="1">Analysis!$B$176</definedName>
    <definedName name="TOC_Hdg_428" hidden="1">Analysis!$B$243</definedName>
    <definedName name="TOC_Hdg_429" hidden="1">Analysis!$B$322</definedName>
    <definedName name="TOC_Hdg_43" hidden="1">CALCS_DETAILED!$B$167</definedName>
    <definedName name="TOC_Hdg_430" hidden="1">Analysis!$B$413</definedName>
    <definedName name="TOC_Hdg_431" hidden="1">Analysis!$B$475</definedName>
    <definedName name="TOC_Hdg_433" hidden="1">OTHER_DETAILED_COST_WKSHT!$B$4</definedName>
    <definedName name="TOC_Hdg_434" hidden="1">OTHER_DETAILED_COST_WKSHT!$B$12</definedName>
    <definedName name="TOC_Hdg_435" hidden="1">OTHER_DETAILED_COST_WKSHT!$B$24</definedName>
    <definedName name="TOC_Hdg_436" hidden="1">OTHER_DETAILED_COST_WKSHT!$B$47</definedName>
    <definedName name="TOC_Hdg_437" hidden="1">OTHER_DETAILED_COST_WKSHT!$B$65</definedName>
    <definedName name="TOC_Hdg_438" hidden="1">OTHER_DETAILED_COST_WKSHT!$B$83</definedName>
    <definedName name="TOC_Hdg_439" hidden="1">OTHER!$B$9</definedName>
    <definedName name="TOC_Hdg_44" hidden="1">CALCS_DETAILED!$B$192</definedName>
    <definedName name="TOC_Hdg_440" hidden="1">OTHER!$B$14</definedName>
    <definedName name="TOC_Hdg_441" hidden="1">OTHER!$B$36</definedName>
    <definedName name="TOC_Hdg_442" hidden="1">CALCS_DETAILED!$B$2435</definedName>
    <definedName name="TOC_Hdg_443" hidden="1">CALCS_DETAILED!$B$2460</definedName>
    <definedName name="TOC_Hdg_444" hidden="1">CALCS_DETAILED!$B$2480</definedName>
    <definedName name="TOC_Hdg_445" hidden="1">CALCS_DETAILED!$B$2500</definedName>
    <definedName name="TOC_Hdg_446" hidden="1">CALCS_Annual!$B$1145</definedName>
    <definedName name="TOC_Hdg_447" hidden="1">CALCS_Annual!$B$1153</definedName>
    <definedName name="TOC_Hdg_448" hidden="1">CALCS_Annual!$B$1161</definedName>
    <definedName name="TOC_Hdg_449" hidden="1">CALCS_Annual!$B$1169</definedName>
    <definedName name="TOC_Hdg_45" hidden="1">CALCS_DETAILED!$B$212</definedName>
    <definedName name="TOC_Hdg_450" hidden="1">COSTS_DETAILED_SUMMARY!$B$518</definedName>
    <definedName name="TOC_Hdg_451" hidden="1">COST_SUMMARY!$B$540</definedName>
    <definedName name="TOC_Hdg_452" hidden="1">OTHER_Lu!$B$6</definedName>
    <definedName name="TOC_Hdg_453" hidden="1">OTHER_DETAILED_COST_WKSHT!$B$295</definedName>
    <definedName name="TOC_Hdg_454" hidden="1">OTHER_DETAILED_COST_WKSHT!$B$304</definedName>
    <definedName name="TOC_Hdg_455" hidden="1">OTHER_DETAILED_COST_WKSHT!$B$317</definedName>
    <definedName name="TOC_Hdg_456" hidden="1">OTHER_DETAILED_COST_WKSHT!$B$340</definedName>
    <definedName name="TOC_Hdg_457" hidden="1">OTHER_DETAILED_COST_WKSHT!$B$358</definedName>
    <definedName name="TOC_Hdg_458" hidden="1">OTHER_DETAILED_COST_WKSHT!$B$376</definedName>
    <definedName name="TOC_Hdg_459" hidden="1">OTHER!$B$113</definedName>
    <definedName name="TOC_Hdg_46" hidden="1">CALCS_DETAILED!$B$232</definedName>
    <definedName name="TOC_Hdg_460" hidden="1">OTHER!$B$118</definedName>
    <definedName name="TOC_Hdg_461" hidden="1">OTHER!$B$143</definedName>
    <definedName name="TOC_Hdg_462" hidden="1">CALCS_DETAILED!$B$2687</definedName>
    <definedName name="TOC_Hdg_463" hidden="1">CALCS_DETAILED!$B$2712</definedName>
    <definedName name="TOC_Hdg_464" hidden="1">CALCS_DETAILED!$B$2732</definedName>
    <definedName name="TOC_Hdg_465" hidden="1">CALCS_DETAILED!$B$2752</definedName>
    <definedName name="TOC_Hdg_466" hidden="1">CALCS_Annual!$B$1241</definedName>
    <definedName name="TOC_Hdg_467" hidden="1">CALCS_Annual!$B$1251</definedName>
    <definedName name="TOC_Hdg_468" hidden="1">CALCS_Annual!$B$1260</definedName>
    <definedName name="TOC_Hdg_469" hidden="1">CALCS_Annual!$B$1269</definedName>
    <definedName name="TOC_Hdg_47" hidden="1">CALCS_Annual!$B$73</definedName>
    <definedName name="TOC_Hdg_470" hidden="1">COSTS_DETAILED_SUMMARY!$B$563</definedName>
    <definedName name="TOC_Hdg_471" hidden="1">COST_SUMMARY!$B$582</definedName>
    <definedName name="TOC_Hdg_472" hidden="1">OTHER_Lu!$B$111</definedName>
    <definedName name="TOC_Hdg_473" hidden="1">Analysis!$B$553</definedName>
    <definedName name="TOC_Hdg_474" hidden="1">'VACCS_&amp;_SUPPLIES'!$B$151</definedName>
    <definedName name="TOC_Hdg_475" hidden="1">MICRO_DETAILED_COST_WKSHT!$B$96</definedName>
    <definedName name="TOC_Hdg_476" hidden="1">MICRO_DETAILED_COST_WKSHT!$B$104</definedName>
    <definedName name="TOC_Hdg_477" hidden="1">MICRO_DETAILED_COST_WKSHT!$B$116</definedName>
    <definedName name="TOC_Hdg_478" hidden="1">MICRO_DETAILED_COST_WKSHT!$B$139</definedName>
    <definedName name="TOC_Hdg_479" hidden="1">MICRO_DETAILED_COST_WKSHT!$B$157</definedName>
    <definedName name="TOC_Hdg_48" hidden="1">CALCS_Annual!$B$83</definedName>
    <definedName name="TOC_Hdg_480" hidden="1">MICRO_DETAILED_COST_WKSHT!$B$175</definedName>
    <definedName name="TOC_Hdg_481" hidden="1">MICROPLANNING!$B$46</definedName>
    <definedName name="TOC_Hdg_482" hidden="1">MICROPLANNING!$B$51</definedName>
    <definedName name="TOC_Hdg_483" hidden="1">MICROPLANNING!$B$73</definedName>
    <definedName name="TOC_Hdg_484" hidden="1">CALCS_DETAILED!$B$83</definedName>
    <definedName name="TOC_Hdg_485" hidden="1">CALCS_DETAILED!$B$108</definedName>
    <definedName name="TOC_Hdg_486" hidden="1">CALCS_DETAILED!$B$128</definedName>
    <definedName name="TOC_Hdg_487" hidden="1">CALCS_DETAILED!$B$148</definedName>
    <definedName name="TOC_Hdg_488" hidden="1">CALCS_Annual!$B$41</definedName>
    <definedName name="TOC_Hdg_489" hidden="1">CALCS_Annual!$B$49</definedName>
    <definedName name="TOC_Hdg_49" hidden="1">CALCS_Annual!$B$92</definedName>
    <definedName name="TOC_Hdg_490" hidden="1">CALCS_Annual!$B$57</definedName>
    <definedName name="TOC_Hdg_491" hidden="1">CALCS_Annual!$B$65</definedName>
    <definedName name="TOC_Hdg_492" hidden="1">COSTS_DETAILED_SUMMARY!$B$20</definedName>
    <definedName name="TOC_Hdg_493" hidden="1">COST_SUMMARY!$B$92</definedName>
    <definedName name="TOC_Hdg_494" hidden="1">MICRO_Lu!$B$39</definedName>
    <definedName name="TOC_Hdg_495" hidden="1">MICRO_DETAILED_COST_WKSHT!$B$292</definedName>
    <definedName name="TOC_Hdg_496" hidden="1">MICRO_DETAILED_COST_WKSHT!$B$301</definedName>
    <definedName name="TOC_Hdg_497" hidden="1">MICRO_DETAILED_COST_WKSHT!$B$314</definedName>
    <definedName name="TOC_Hdg_498" hidden="1">MICRO_DETAILED_COST_WKSHT!$B$337</definedName>
    <definedName name="TOC_Hdg_499" hidden="1">MICRO_DETAILED_COST_WKSHT!$B$355</definedName>
    <definedName name="TOC_Hdg_5" hidden="1">MICRO_DETAILED_COST_WKSHT!$B$12</definedName>
    <definedName name="TOC_Hdg_50" hidden="1">CALCS_Annual!$B$101</definedName>
    <definedName name="TOC_Hdg_500" hidden="1">MICRO_DETAILED_COST_WKSHT!$B$373</definedName>
    <definedName name="TOC_Hdg_501" hidden="1">MICROPLANNING!$B$126</definedName>
    <definedName name="TOC_Hdg_502" hidden="1">MICROPLANNING!$B$131</definedName>
    <definedName name="TOC_Hdg_503" hidden="1">MICROPLANNING!$B$155</definedName>
    <definedName name="TOC_Hdg_504" hidden="1">CALCS_DETAILED!$B$251</definedName>
    <definedName name="TOC_Hdg_505" hidden="1">CALCS_DETAILED!$B$276</definedName>
    <definedName name="TOC_Hdg_506" hidden="1">CALCS_DETAILED!$B$296</definedName>
    <definedName name="TOC_Hdg_507" hidden="1">CALCS_DETAILED!$B$316</definedName>
    <definedName name="TOC_Hdg_508" hidden="1">CALCS_Annual!$B$110</definedName>
    <definedName name="TOC_Hdg_509" hidden="1">CALCS_Annual!$B$120</definedName>
    <definedName name="TOC_Hdg_51" hidden="1">COSTS_DETAILED_SUMMARY!$B$35</definedName>
    <definedName name="TOC_Hdg_510" hidden="1">CALCS_Annual!$B$129</definedName>
    <definedName name="TOC_Hdg_511" hidden="1">CALCS_Annual!$B$138</definedName>
    <definedName name="TOC_Hdg_512" hidden="1">COSTS_DETAILED_SUMMARY!$B$51</definedName>
    <definedName name="TOC_Hdg_513" hidden="1">COST_SUMMARY!$B$120</definedName>
    <definedName name="TOC_Hdg_514" hidden="1">MICRO_Lu!$B$109</definedName>
    <definedName name="TOC_Hdg_515" hidden="1">SOCMOB_DETAILED_COST_WKSHT!$B$592</definedName>
    <definedName name="TOC_Hdg_516" hidden="1">SOCMOB_DETAILED_COST_WKSHT!$B$601</definedName>
    <definedName name="TOC_Hdg_517" hidden="1">SOCMOB_DETAILED_COST_WKSHT!$B$614</definedName>
    <definedName name="TOC_Hdg_518" hidden="1">SOCMOB_DETAILED_COST_WKSHT!$B$637</definedName>
    <definedName name="TOC_Hdg_519" hidden="1">SOCMOB_DETAILED_COST_WKSHT!$B$655</definedName>
    <definedName name="TOC_Hdg_52" hidden="1">COST_SUMMARY!$B$106</definedName>
    <definedName name="TOC_Hdg_520" hidden="1">SOCMOB_DETAILED_COST_WKSHT!$B$673</definedName>
    <definedName name="TOC_Hdg_521" hidden="1">SOCIAL_MOBILISATION!$B$249</definedName>
    <definedName name="TOC_Hdg_522" hidden="1">SOCIAL_MOBILISATION!$B$254</definedName>
    <definedName name="TOC_Hdg_523" hidden="1">SOCIAL_MOBILISATION!$B$278</definedName>
    <definedName name="TOC_Hdg_524" hidden="1">CALCS_DETAILED!$B$1679</definedName>
    <definedName name="TOC_Hdg_525" hidden="1">CALCS_DETAILED!$B$1704</definedName>
    <definedName name="TOC_Hdg_526" hidden="1">CALCS_DETAILED!$B$1724</definedName>
    <definedName name="TOC_Hdg_527" hidden="1">CALCS_DETAILED!$B$1744</definedName>
    <definedName name="TOC_Hdg_528" hidden="1">CALCS_Annual!$B$694</definedName>
    <definedName name="TOC_Hdg_529" hidden="1">CALCS_Annual!$B$704</definedName>
    <definedName name="TOC_Hdg_53" hidden="1">MICRO_Lu!$B$74</definedName>
    <definedName name="TOC_Hdg_530" hidden="1">CALCS_Annual!$B$713</definedName>
    <definedName name="TOC_Hdg_531" hidden="1">CALCS_Annual!$B$722</definedName>
    <definedName name="TOC_Hdg_532" hidden="1">COSTS_DETAILED_SUMMARY!$B$314</definedName>
    <definedName name="TOC_Hdg_533" hidden="1">COST_SUMMARY!$B$358</definedName>
    <definedName name="TOC_Hdg_534" hidden="1">SOCMOB_Lu!$B$216</definedName>
    <definedName name="TOC_Hdg_535" hidden="1">SENS_DETAILED_COST_WKSHT!$B$101</definedName>
    <definedName name="TOC_Hdg_536" hidden="1">SENS_DETAILED_COST_WKSHT!$B$109</definedName>
    <definedName name="TOC_Hdg_537" hidden="1">SENS_DETAILED_COST_WKSHT!$B$121</definedName>
    <definedName name="TOC_Hdg_538" hidden="1">SENS_DETAILED_COST_WKSHT!$B$144</definedName>
    <definedName name="TOC_Hdg_539" hidden="1">SENS_DETAILED_COST_WKSHT!$B$162</definedName>
    <definedName name="TOC_Hdg_54" hidden="1">SD_DETAILED_COST_WKSHT!$B$323</definedName>
    <definedName name="TOC_Hdg_540" hidden="1">SENS_DETAILED_COST_WKSHT!$B$180</definedName>
    <definedName name="TOC_Hdg_541" hidden="1">SENSITISATION!$B$46</definedName>
    <definedName name="TOC_Hdg_542" hidden="1">SENSITISATION!$B$51</definedName>
    <definedName name="TOC_Hdg_543" hidden="1">SENSITISATION!$B$73</definedName>
    <definedName name="TOC_Hdg_544" hidden="1">CALCS_DETAILED!$B$755</definedName>
    <definedName name="TOC_Hdg_545" hidden="1">CALCS_DETAILED!$B$780</definedName>
    <definedName name="TOC_Hdg_546" hidden="1">CALCS_DETAILED!$B$800</definedName>
    <definedName name="TOC_Hdg_547" hidden="1">CALCS_DETAILED!$B$820</definedName>
    <definedName name="TOC_Hdg_548" hidden="1">CALCS_Annual!$B$312</definedName>
    <definedName name="TOC_Hdg_549" hidden="1">CALCS_Annual!$B$320</definedName>
    <definedName name="TOC_Hdg_55" hidden="1">SD_DETAILED_COST_WKSHT!$B$346</definedName>
    <definedName name="TOC_Hdg_550" hidden="1">CALCS_Annual!$B$328</definedName>
    <definedName name="TOC_Hdg_551" hidden="1">CALCS_Annual!$B$336</definedName>
    <definedName name="TOC_Hdg_552" hidden="1">COSTS_DETAILED_SUMMARY!$B$143</definedName>
    <definedName name="TOC_Hdg_553" hidden="1">COST_SUMMARY!$B$204</definedName>
    <definedName name="TOC_Hdg_554" hidden="1">SENS_Lu!$B$41</definedName>
    <definedName name="TOC_Hdg_555" hidden="1">SENS_DETAILED_COST_WKSHT!$B$198</definedName>
    <definedName name="TOC_Hdg_556" hidden="1">SENS_DETAILED_COST_WKSHT!$B$206</definedName>
    <definedName name="TOC_Hdg_557" hidden="1">SENS_DETAILED_COST_WKSHT!$B$218</definedName>
    <definedName name="TOC_Hdg_558" hidden="1">SENS_DETAILED_COST_WKSHT!$B$241</definedName>
    <definedName name="TOC_Hdg_559" hidden="1">SENS_DETAILED_COST_WKSHT!$B$259</definedName>
    <definedName name="TOC_Hdg_56" hidden="1">SD_DETAILED_COST_WKSHT!$B$364</definedName>
    <definedName name="TOC_Hdg_560" hidden="1">SENS_DETAILED_COST_WKSHT!$B$277</definedName>
    <definedName name="TOC_Hdg_561" hidden="1">SENSITISATION!$B$83</definedName>
    <definedName name="TOC_Hdg_562" hidden="1">SENSITISATION!$B$88</definedName>
    <definedName name="TOC_Hdg_563" hidden="1">SENSITISATION!$B$110</definedName>
    <definedName name="TOC_Hdg_564" hidden="1">CALCS_DETAILED!$B$839</definedName>
    <definedName name="TOC_Hdg_565" hidden="1">CALCS_DETAILED!$B$864</definedName>
    <definedName name="TOC_Hdg_566" hidden="1">CALCS_DETAILED!$B$884</definedName>
    <definedName name="TOC_Hdg_567" hidden="1">CALCS_DETAILED!$B$904</definedName>
    <definedName name="TOC_Hdg_568" hidden="1">CALCS_Annual!$B$344</definedName>
    <definedName name="TOC_Hdg_569" hidden="1">CALCS_Annual!$B$352</definedName>
    <definedName name="TOC_Hdg_57" hidden="1">SD_DETAILED_COST_WKSHT!$B$382</definedName>
    <definedName name="TOC_Hdg_570" hidden="1">CALCS_Annual!$B$360</definedName>
    <definedName name="TOC_Hdg_571" hidden="1">CALCS_Annual!$B$368</definedName>
    <definedName name="TOC_Hdg_572" hidden="1">COSTS_DETAILED_SUMMARY!$B$158</definedName>
    <definedName name="TOC_Hdg_573" hidden="1">COST_SUMMARY!$B$218</definedName>
    <definedName name="TOC_Hdg_574" hidden="1">SENS_Lu!$B$76</definedName>
    <definedName name="TOC_Hdg_575" hidden="1">SOCMOB_DETAILED_COST_WKSHT!$B$691</definedName>
    <definedName name="TOC_Hdg_576" hidden="1">SOCMOB_DETAILED_COST_WKSHT!$B$700</definedName>
    <definedName name="TOC_Hdg_577" hidden="1">SOCMOB_DETAILED_COST_WKSHT!$B$713</definedName>
    <definedName name="TOC_Hdg_578" hidden="1">SOCMOB_DETAILED_COST_WKSHT!$B$736</definedName>
    <definedName name="TOC_Hdg_579" hidden="1">SOCMOB_DETAILED_COST_WKSHT!$B$754</definedName>
    <definedName name="TOC_Hdg_58" hidden="1">SERVICE_DELIVERY!$B$308</definedName>
    <definedName name="TOC_Hdg_580" hidden="1">SOCMOB_DETAILED_COST_WKSHT!$B$772</definedName>
    <definedName name="TOC_Hdg_581" hidden="1">SOCIAL_MOBILISATION!$B$292</definedName>
    <definedName name="TOC_Hdg_582" hidden="1">SOCIAL_MOBILISATION!$B$297</definedName>
    <definedName name="TOC_Hdg_583" hidden="1">SOCIAL_MOBILISATION!$B$321</definedName>
    <definedName name="TOC_Hdg_584" hidden="1">CALCS_DETAILED!$B$1763</definedName>
    <definedName name="TOC_Hdg_585" hidden="1">CALCS_DETAILED!$B$1788</definedName>
    <definedName name="TOC_Hdg_586" hidden="1">CALCS_DETAILED!$B$1808</definedName>
    <definedName name="TOC_Hdg_587" hidden="1">CALCS_DETAILED!$B$1828</definedName>
    <definedName name="TOC_Hdg_588" hidden="1">CALCS_Annual!$B$731</definedName>
    <definedName name="TOC_Hdg_589" hidden="1">CALCS_Annual!$B$741</definedName>
    <definedName name="TOC_Hdg_59" hidden="1">SERVICE_DELIVERY!$B$313</definedName>
    <definedName name="TOC_Hdg_590" hidden="1">CALCS_Annual!$B$750</definedName>
    <definedName name="TOC_Hdg_591" hidden="1">CALCS_Annual!$B$759</definedName>
    <definedName name="TOC_Hdg_592" hidden="1">COSTS_DETAILED_SUMMARY!$B$330</definedName>
    <definedName name="TOC_Hdg_593" hidden="1">COST_SUMMARY!$B$372</definedName>
    <definedName name="TOC_Hdg_594" hidden="1">SOCMOB_Lu!$B$251</definedName>
    <definedName name="TOC_Hdg_595" hidden="1">TRAIN_DETAILED_COST_WKSHT!$B$101</definedName>
    <definedName name="TOC_Hdg_596" hidden="1">TRAIN_DETAILED_COST_WKSHT!$B$109</definedName>
    <definedName name="TOC_Hdg_597" hidden="1">TRAIN_DETAILED_COST_WKSHT!$B$121</definedName>
    <definedName name="TOC_Hdg_598" hidden="1">TRAIN_DETAILED_COST_WKSHT!$B$144</definedName>
    <definedName name="TOC_Hdg_599" hidden="1">TRAIN_DETAILED_COST_WKSHT!$B$162</definedName>
    <definedName name="TOC_Hdg_6" hidden="1">MICRO_DETAILED_COST_WKSHT!$B$24</definedName>
    <definedName name="TOC_Hdg_60" hidden="1">SERVICE_DELIVERY!$B$9</definedName>
    <definedName name="TOC_Hdg_600" hidden="1">TRAIN_DETAILED_COST_WKSHT!$B$180</definedName>
    <definedName name="TOC_Hdg_601" hidden="1">TRAINING!$B$46</definedName>
    <definedName name="TOC_Hdg_602" hidden="1">TRAINING!$B$51</definedName>
    <definedName name="TOC_Hdg_603" hidden="1">TRAINING!$B$73</definedName>
    <definedName name="TOC_Hdg_604" hidden="1">CALCS_DETAILED!$B$419</definedName>
    <definedName name="TOC_Hdg_605" hidden="1">CALCS_DETAILED!$B$444</definedName>
    <definedName name="TOC_Hdg_606" hidden="1">CALCS_DETAILED!$B$464</definedName>
    <definedName name="TOC_Hdg_607" hidden="1">CALCS_DETAILED!$B$484</definedName>
    <definedName name="TOC_Hdg_608" hidden="1">CALCS_Annual!$B$179</definedName>
    <definedName name="TOC_Hdg_609" hidden="1">CALCS_Annual!$B$187</definedName>
    <definedName name="TOC_Hdg_61" hidden="1">CALCS_DETAILED!$B$3068</definedName>
    <definedName name="TOC_Hdg_610" hidden="1">CALCS_Annual!$B$195</definedName>
    <definedName name="TOC_Hdg_611" hidden="1">CALCS_Annual!$B$203</definedName>
    <definedName name="TOC_Hdg_612" hidden="1">COSTS_DETAILED_SUMMARY!$B$82</definedName>
    <definedName name="TOC_Hdg_613" hidden="1">COST_SUMMARY!$B$148</definedName>
    <definedName name="TOC_Hdg_614" hidden="1">TRAIN_Lu!$B$39</definedName>
    <definedName name="TOC_Hdg_615" hidden="1">TRAIN_DETAILED_COST_WKSHT!$B$198</definedName>
    <definedName name="TOC_Hdg_616" hidden="1">TRAIN_DETAILED_COST_WKSHT!$B$206</definedName>
    <definedName name="TOC_Hdg_617" hidden="1">TRAIN_DETAILED_COST_WKSHT!$B$218</definedName>
    <definedName name="TOC_Hdg_618" hidden="1">TRAIN_DETAILED_COST_WKSHT!$B$241</definedName>
    <definedName name="TOC_Hdg_619" hidden="1">TRAIN_DETAILED_COST_WKSHT!$B$259</definedName>
    <definedName name="TOC_Hdg_62" hidden="1">CALCS_DETAILED!$B$3093</definedName>
    <definedName name="TOC_Hdg_620" hidden="1">TRAIN_DETAILED_COST_WKSHT!$B$277</definedName>
    <definedName name="TOC_Hdg_621" hidden="1">TRAINING!$B$83</definedName>
    <definedName name="TOC_Hdg_622" hidden="1">TRAINING!$B$88</definedName>
    <definedName name="TOC_Hdg_623" hidden="1">TRAINING!$B$110</definedName>
    <definedName name="TOC_Hdg_624" hidden="1">CALCS_DETAILED!$B$503</definedName>
    <definedName name="TOC_Hdg_625" hidden="1">CALCS_DETAILED!$B$528</definedName>
    <definedName name="TOC_Hdg_626" hidden="1">CALCS_DETAILED!$B$548</definedName>
    <definedName name="TOC_Hdg_627" hidden="1">CALCS_DETAILED!$B$568</definedName>
    <definedName name="TOC_Hdg_628" hidden="1">CALCS_Annual!$B$211</definedName>
    <definedName name="TOC_Hdg_629" hidden="1">CALCS_Annual!$B$219</definedName>
    <definedName name="TOC_Hdg_63" hidden="1">CALCS_DETAILED!$B$3133</definedName>
    <definedName name="TOC_Hdg_630" hidden="1">CALCS_Annual!$B$227</definedName>
    <definedName name="TOC_Hdg_631" hidden="1">CALCS_Annual!$B$235</definedName>
    <definedName name="TOC_Hdg_632" hidden="1">COSTS_DETAILED_SUMMARY!$B$97</definedName>
    <definedName name="TOC_Hdg_633" hidden="1">COST_SUMMARY!$B$162</definedName>
    <definedName name="TOC_Hdg_634" hidden="1">TRAIN_Lu!$B$74</definedName>
    <definedName name="TOC_Hdg_64" hidden="1">CALCS_DETAILED!$B$3172</definedName>
    <definedName name="TOC_Hdg_65" hidden="1">CALCS_Annual!$B$1111</definedName>
    <definedName name="TOC_Hdg_66" hidden="1">CALCS_Annual!$B$1119</definedName>
    <definedName name="TOC_Hdg_67" hidden="1">CALCS_Annual!$B$1127</definedName>
    <definedName name="TOC_Hdg_675" hidden="1">SOCMOB_DETAILED_COST_WKSHT!$B$101</definedName>
    <definedName name="TOC_Hdg_676" hidden="1">SOCMOB_DETAILED_COST_WKSHT!$B$109</definedName>
    <definedName name="TOC_Hdg_677" hidden="1">SOCMOB_DETAILED_COST_WKSHT!$B$121</definedName>
    <definedName name="TOC_Hdg_678" hidden="1">SOCMOB_DETAILED_COST_WKSHT!$B$144</definedName>
    <definedName name="TOC_Hdg_679" hidden="1">SOCMOB_DETAILED_COST_WKSHT!$B$162</definedName>
    <definedName name="TOC_Hdg_68" hidden="1">CALCS_Annual!$B$1136</definedName>
    <definedName name="TOC_Hdg_680" hidden="1">SOCMOB_DETAILED_COST_WKSHT!$B$180</definedName>
    <definedName name="TOC_Hdg_681" hidden="1">SOCIAL_MOBILISATION!$B$46</definedName>
    <definedName name="TOC_Hdg_682" hidden="1">SOCIAL_MOBILISATION!$B$51</definedName>
    <definedName name="TOC_Hdg_683" hidden="1">SOCIAL_MOBILISATION!$B$73</definedName>
    <definedName name="TOC_Hdg_684" hidden="1">CALCS_DETAILED!$B$1259</definedName>
    <definedName name="TOC_Hdg_685" hidden="1">CALCS_DETAILED!$B$1284</definedName>
    <definedName name="TOC_Hdg_686" hidden="1">CALCS_DETAILED!$B$1304</definedName>
    <definedName name="TOC_Hdg_687" hidden="1">CALCS_DETAILED!$B$1324</definedName>
    <definedName name="TOC_Hdg_688" hidden="1">CALCS_Annual!$B$519</definedName>
    <definedName name="TOC_Hdg_689" hidden="1">CALCS_Annual!$B$527</definedName>
    <definedName name="TOC_Hdg_69" hidden="1">COSTS_DETAILED_SUMMARY!$B$502</definedName>
    <definedName name="TOC_Hdg_690" hidden="1">CALCS_Annual!$B$535</definedName>
    <definedName name="TOC_Hdg_691" hidden="1">CALCS_Annual!$B$543</definedName>
    <definedName name="TOC_Hdg_692" hidden="1">COSTS_DETAILED_SUMMARY!$B$236</definedName>
    <definedName name="TOC_Hdg_693" hidden="1">COST_SUMMARY!$B$288</definedName>
    <definedName name="TOC_Hdg_694" hidden="1">SOCMOB_Lu!$B$41</definedName>
    <definedName name="TOC_Hdg_695" hidden="1">SOCMOB_DETAILED_COST_WKSHT!$B$198</definedName>
    <definedName name="TOC_Hdg_696" hidden="1">SOCMOB_DETAILED_COST_WKSHT!$B$206</definedName>
    <definedName name="TOC_Hdg_697" hidden="1">SOCMOB_DETAILED_COST_WKSHT!$B$218</definedName>
    <definedName name="TOC_Hdg_698" hidden="1">SOCMOB_DETAILED_COST_WKSHT!$B$241</definedName>
    <definedName name="TOC_Hdg_699" hidden="1">SOCMOB_DETAILED_COST_WKSHT!$B$259</definedName>
    <definedName name="TOC_Hdg_7" hidden="1">MICRO_DETAILED_COST_WKSHT!$B$42</definedName>
    <definedName name="TOC_Hdg_70" hidden="1">COST_SUMMARY!$B$428</definedName>
    <definedName name="TOC_Hdg_700" hidden="1">SOCMOB_DETAILED_COST_WKSHT!$B$277</definedName>
    <definedName name="TOC_Hdg_701" hidden="1">SOCIAL_MOBILISATION!$B$83</definedName>
    <definedName name="TOC_Hdg_702" hidden="1">SOCIAL_MOBILISATION!$B$88</definedName>
    <definedName name="TOC_Hdg_703" hidden="1">SOCIAL_MOBILISATION!$B$110</definedName>
    <definedName name="TOC_Hdg_704" hidden="1">CALCS_DETAILED!$B$1343</definedName>
    <definedName name="TOC_Hdg_705" hidden="1">CALCS_DETAILED!$B$1368</definedName>
    <definedName name="TOC_Hdg_706" hidden="1">CALCS_DETAILED!$B$1388</definedName>
    <definedName name="TOC_Hdg_707" hidden="1">CALCS_DETAILED!$B$1408</definedName>
    <definedName name="TOC_Hdg_708" hidden="1">CALCS_Annual!$B$551</definedName>
    <definedName name="TOC_Hdg_709" hidden="1">CALCS_Annual!$B$559</definedName>
    <definedName name="TOC_Hdg_71" hidden="1">SD_Lu!$B$111</definedName>
    <definedName name="TOC_Hdg_710" hidden="1">CALCS_Annual!$B$567</definedName>
    <definedName name="TOC_Hdg_711" hidden="1">CALCS_Annual!$B$575</definedName>
    <definedName name="TOC_Hdg_712" hidden="1">COSTS_DETAILED_SUMMARY!$B$251</definedName>
    <definedName name="TOC_Hdg_713" hidden="1">COST_SUMMARY!$B$302</definedName>
    <definedName name="TOC_Hdg_714" hidden="1">SOCMOB_Lu!$B$76</definedName>
    <definedName name="TOC_Hdg_715" hidden="1">SOCMOB_DETAILED_COST_WKSHT!$B$394</definedName>
    <definedName name="TOC_Hdg_716" hidden="1">SOCMOB_DETAILED_COST_WKSHT!$B$403</definedName>
    <definedName name="TOC_Hdg_717" hidden="1">SOCMOB_DETAILED_COST_WKSHT!$B$416</definedName>
    <definedName name="TOC_Hdg_718" hidden="1">SOCMOB_DETAILED_COST_WKSHT!$B$439</definedName>
    <definedName name="TOC_Hdg_719" hidden="1">SOCMOB_DETAILED_COST_WKSHT!$B$457</definedName>
    <definedName name="TOC_Hdg_72" hidden="1">COVERAGE!$B$248</definedName>
    <definedName name="TOC_Hdg_720" hidden="1">SOCMOB_DETAILED_COST_WKSHT!$B$475</definedName>
    <definedName name="TOC_Hdg_721" hidden="1">SOCIAL_MOBILISATION!$B$163</definedName>
    <definedName name="TOC_Hdg_722" hidden="1">SOCIAL_MOBILISATION!$B$168</definedName>
    <definedName name="TOC_Hdg_723" hidden="1">SOCIAL_MOBILISATION!$B$192</definedName>
    <definedName name="TOC_Hdg_724" hidden="1">CALCS_DETAILED!$B$1511</definedName>
    <definedName name="TOC_Hdg_725" hidden="1">CALCS_DETAILED!$B$1536</definedName>
    <definedName name="TOC_Hdg_726" hidden="1">CALCS_DETAILED!$B$1556</definedName>
    <definedName name="TOC_Hdg_727" hidden="1">CALCS_DETAILED!$B$1576</definedName>
    <definedName name="TOC_Hdg_728" hidden="1">CALCS_Annual!$B$620</definedName>
    <definedName name="TOC_Hdg_729" hidden="1">CALCS_Annual!$B$630</definedName>
    <definedName name="TOC_Hdg_73" hidden="1">TIME_SERIES!$B$5</definedName>
    <definedName name="TOC_Hdg_730" hidden="1">CALCS_Annual!$B$639</definedName>
    <definedName name="TOC_Hdg_731" hidden="1">CALCS_Annual!$B$648</definedName>
    <definedName name="TOC_Hdg_732" hidden="1">COSTS_DETAILED_SUMMARY!$B$282</definedName>
    <definedName name="TOC_Hdg_733" hidden="1">COST_SUMMARY!$B$330</definedName>
    <definedName name="TOC_Hdg_734" hidden="1">SOCMOB_Lu!$B$146</definedName>
    <definedName name="TOC_Hdg_735" hidden="1">SOCMOB_DETAILED_COST_WKSHT!$B$493</definedName>
    <definedName name="TOC_Hdg_736" hidden="1">SOCMOB_DETAILED_COST_WKSHT!$B$502</definedName>
    <definedName name="TOC_Hdg_737" hidden="1">SOCMOB_DETAILED_COST_WKSHT!$B$515</definedName>
    <definedName name="TOC_Hdg_738" hidden="1">SOCMOB_DETAILED_COST_WKSHT!$B$538</definedName>
    <definedName name="TOC_Hdg_739" hidden="1">SOCMOB_DETAILED_COST_WKSHT!$B$556</definedName>
    <definedName name="TOC_Hdg_74" hidden="1">TRAIN_DETAILED_COST_WKSHT!$B$4</definedName>
    <definedName name="TOC_Hdg_740" hidden="1">SOCMOB_DETAILED_COST_WKSHT!$B$574</definedName>
    <definedName name="TOC_Hdg_741" hidden="1">SOCIAL_MOBILISATION!$B$206</definedName>
    <definedName name="TOC_Hdg_742" hidden="1">SOCIAL_MOBILISATION!$B$211</definedName>
    <definedName name="TOC_Hdg_743" hidden="1">SOCIAL_MOBILISATION!$B$235</definedName>
    <definedName name="TOC_Hdg_744" hidden="1">CALCS_DETAILED!$B$1595</definedName>
    <definedName name="TOC_Hdg_745" hidden="1">CALCS_DETAILED!$B$1620</definedName>
    <definedName name="TOC_Hdg_746" hidden="1">CALCS_DETAILED!$B$1640</definedName>
    <definedName name="TOC_Hdg_747" hidden="1">CALCS_DETAILED!$B$1660</definedName>
    <definedName name="TOC_Hdg_748" hidden="1">CALCS_Annual!$B$657</definedName>
    <definedName name="TOC_Hdg_749" hidden="1">CALCS_Annual!$B$667</definedName>
    <definedName name="TOC_Hdg_75" hidden="1">TRAIN_DETAILED_COST_WKSHT!$B$12</definedName>
    <definedName name="TOC_Hdg_750" hidden="1">CALCS_Annual!$B$676</definedName>
    <definedName name="TOC_Hdg_751" hidden="1">CALCS_Annual!$B$685</definedName>
    <definedName name="TOC_Hdg_752" hidden="1">COSTS_DETAILED_SUMMARY!$B$298</definedName>
    <definedName name="TOC_Hdg_753" hidden="1">COST_SUMMARY!$B$344</definedName>
    <definedName name="TOC_Hdg_754" hidden="1">SOCMOB_Lu!$B$181</definedName>
    <definedName name="TOC_Hdg_755" hidden="1">SD_DETAILED_COST_WKSHT!$B$103</definedName>
    <definedName name="TOC_Hdg_756" hidden="1">SD_DETAILED_COST_WKSHT!$B$112</definedName>
    <definedName name="TOC_Hdg_757" hidden="1">SD_DETAILED_COST_WKSHT!$B$125</definedName>
    <definedName name="TOC_Hdg_758" hidden="1">SD_DETAILED_COST_WKSHT!$B$148</definedName>
    <definedName name="TOC_Hdg_759" hidden="1">SD_DETAILED_COST_WKSHT!$B$166</definedName>
    <definedName name="TOC_Hdg_76" hidden="1">TRAIN_DETAILED_COST_WKSHT!$B$24</definedName>
    <definedName name="TOC_Hdg_760" hidden="1">SD_DETAILED_COST_WKSHT!$B$184</definedName>
    <definedName name="TOC_Hdg_761" hidden="1">SERVICE_DELIVERY!$B$259</definedName>
    <definedName name="TOC_Hdg_762" hidden="1">SERVICE_DELIVERY!$B$264</definedName>
    <definedName name="TOC_Hdg_764" hidden="1">CALCS_DETAILED!$B$3023</definedName>
    <definedName name="TOC_Hdg_765" hidden="1">CALCS_DETAILED!$B$2964</definedName>
    <definedName name="TOC_Hdg_766" hidden="1">CALCS_DETAILED!$B$2984</definedName>
    <definedName name="TOC_Hdg_767" hidden="1">CALCS_DETAILED!$B$3004</definedName>
    <definedName name="TOC_Hdg_768" hidden="1">CALCS_Annual!$B$1043</definedName>
    <definedName name="TOC_Hdg_769" hidden="1">CALCS_Annual!$B$1052</definedName>
    <definedName name="TOC_Hdg_77" hidden="1">TRAIN_DETAILED_COST_WKSHT!$B$47</definedName>
    <definedName name="TOC_Hdg_770" hidden="1">CALCS_Annual!$B$1061</definedName>
    <definedName name="TOC_Hdg_771" hidden="1">CALCS_Annual!$B$1070</definedName>
    <definedName name="TOC_Hdg_772" hidden="1">COSTS_DETAILED_SUMMARY!$B$470</definedName>
    <definedName name="TOC_Hdg_773" hidden="1">COST_SUMMARY!$B$400</definedName>
    <definedName name="TOC_Hdg_774" hidden="1">SD_Lu!$B$41</definedName>
    <definedName name="TOC_Hdg_775" hidden="1">SD_DETAILED_COST_WKSHT!$B$202</definedName>
    <definedName name="TOC_Hdg_776" hidden="1">SD_DETAILED_COST_WKSHT!$B$211</definedName>
    <definedName name="TOC_Hdg_777" hidden="1">SD_DETAILED_COST_WKSHT!$B$224</definedName>
    <definedName name="TOC_Hdg_778" hidden="1">SD_DETAILED_COST_WKSHT!$B$247</definedName>
    <definedName name="TOC_Hdg_779" hidden="1">SD_DETAILED_COST_WKSHT!$B$265</definedName>
    <definedName name="TOC_Hdg_78" hidden="1">TRAIN_DETAILED_COST_WKSHT!$B$65</definedName>
    <definedName name="TOC_Hdg_780" hidden="1">SD_DETAILED_COST_WKSHT!$B$283</definedName>
    <definedName name="TOC_Hdg_781" hidden="1">SERVICE_DELIVERY!$B$283</definedName>
    <definedName name="TOC_Hdg_782" hidden="1">SERVICE_DELIVERY!$B$288</definedName>
    <definedName name="TOC_Hdg_784" hidden="1">CALCS_DETAILED!$B$2939</definedName>
    <definedName name="TOC_Hdg_785" hidden="1">CALCS_DETAILED!$B$3048</definedName>
    <definedName name="TOC_Hdg_786" hidden="1">CALCS_DETAILED!$B$3113</definedName>
    <definedName name="TOC_Hdg_787" hidden="1">CALCS_DETAILED!$B$3153</definedName>
    <definedName name="TOC_Hdg_788" hidden="1">CALCS_Annual!$B$1079</definedName>
    <definedName name="TOC_Hdg_789" hidden="1">CALCS_Annual!$B$1087</definedName>
    <definedName name="TOC_Hdg_79" hidden="1">TRAIN_DETAILED_COST_WKSHT!$B$83</definedName>
    <definedName name="TOC_Hdg_790" hidden="1">CALCS_Annual!$B$1095</definedName>
    <definedName name="TOC_Hdg_791" hidden="1">CALCS_Annual!$B$1103</definedName>
    <definedName name="TOC_Hdg_792" hidden="1">COSTS_DETAILED_SUMMARY!$B$486</definedName>
    <definedName name="TOC_Hdg_793" hidden="1">COST_SUMMARY!$B$414</definedName>
    <definedName name="TOC_Hdg_794" hidden="1">SD_Lu!$B$76</definedName>
    <definedName name="TOC_Hdg_795" hidden="1">SUPV_DETAILED_COST_WKSHT!$B$101</definedName>
    <definedName name="TOC_Hdg_796" hidden="1">SUPV_DETAILED_COST_WKSHT!$B$109</definedName>
    <definedName name="TOC_Hdg_797" hidden="1">SUPV_DETAILED_COST_WKSHT!$B$121</definedName>
    <definedName name="TOC_Hdg_798" hidden="1">SUPV_DETAILED_COST_WKSHT!$B$144</definedName>
    <definedName name="TOC_Hdg_799" hidden="1">SUPV_DETAILED_COST_WKSHT!$B$162</definedName>
    <definedName name="TOC_Hdg_8" hidden="1">MICRO_DETAILED_COST_WKSHT!$B$60</definedName>
    <definedName name="TOC_Hdg_80" hidden="1">TRAINING!$B$9</definedName>
    <definedName name="TOC_Hdg_800" hidden="1">SUPV_DETAILED_COST_WKSHT!$B$180</definedName>
    <definedName name="TOC_Hdg_801" hidden="1">SUPERVISION!$B$46</definedName>
    <definedName name="TOC_Hdg_802" hidden="1">SUPERVISION!$B$51</definedName>
    <definedName name="TOC_Hdg_803" hidden="1">SUPERVISION!$B$73</definedName>
    <definedName name="TOC_Hdg_804" hidden="1">CALCS_DETAILED!$B$1931</definedName>
    <definedName name="TOC_Hdg_805" hidden="1">CALCS_DETAILED!$B$1956</definedName>
    <definedName name="TOC_Hdg_806" hidden="1">CALCS_DETAILED!$B$1976</definedName>
    <definedName name="TOC_Hdg_807" hidden="1">CALCS_DETAILED!$B$1996</definedName>
    <definedName name="TOC_Hdg_808" hidden="1">CALCS_Annual!$B$800</definedName>
    <definedName name="TOC_Hdg_809" hidden="1">CALCS_Annual!$B$808</definedName>
    <definedName name="TOC_Hdg_81" hidden="1">TRAINING!$B$14</definedName>
    <definedName name="TOC_Hdg_810" hidden="1">CALCS_Annual!$B$816</definedName>
    <definedName name="TOC_Hdg_811" hidden="1">CALCS_Annual!$B$824</definedName>
    <definedName name="TOC_Hdg_812" hidden="1">COSTS_DETAILED_SUMMARY!$B$361</definedName>
    <definedName name="TOC_Hdg_813" hidden="1">COST_SUMMARY!$B$456</definedName>
    <definedName name="TOC_Hdg_814" hidden="1">SUPV_Lu!$B$41</definedName>
    <definedName name="TOC_Hdg_815" hidden="1">SUPV_DETAILED_COST_WKSHT!$B$198</definedName>
    <definedName name="TOC_Hdg_816" hidden="1">SUPV_DETAILED_COST_WKSHT!$B$206</definedName>
    <definedName name="TOC_Hdg_817" hidden="1">SUPV_DETAILED_COST_WKSHT!$B$218</definedName>
    <definedName name="TOC_Hdg_818" hidden="1">SUPV_DETAILED_COST_WKSHT!$B$241</definedName>
    <definedName name="TOC_Hdg_819" hidden="1">SUPV_DETAILED_COST_WKSHT!$B$259</definedName>
    <definedName name="TOC_Hdg_82" hidden="1">TRAINING!$B$36</definedName>
    <definedName name="TOC_Hdg_820" hidden="1">SUPV_DETAILED_COST_WKSHT!$B$277</definedName>
    <definedName name="TOC_Hdg_821" hidden="1">SUPERVISION!$B$83</definedName>
    <definedName name="TOC_Hdg_822" hidden="1">SUPERVISION!$B$88</definedName>
    <definedName name="TOC_Hdg_823" hidden="1">SUPERVISION!$B$110</definedName>
    <definedName name="TOC_Hdg_824" hidden="1">CALCS_DETAILED!$B$2015</definedName>
    <definedName name="TOC_Hdg_825" hidden="1">CALCS_DETAILED!$B$2040</definedName>
    <definedName name="TOC_Hdg_826" hidden="1">CALCS_DETAILED!$B$2060</definedName>
    <definedName name="TOC_Hdg_827" hidden="1">CALCS_DETAILED!$B$2080</definedName>
    <definedName name="TOC_Hdg_828" hidden="1">CALCS_Annual!$B$832</definedName>
    <definedName name="TOC_Hdg_829" hidden="1">CALCS_Annual!$B$840</definedName>
    <definedName name="TOC_Hdg_83" hidden="1">CALCS_DETAILED!$B$335</definedName>
    <definedName name="TOC_Hdg_830" hidden="1">CALCS_Annual!$B$848</definedName>
    <definedName name="TOC_Hdg_831" hidden="1">CALCS_Annual!$B$856</definedName>
    <definedName name="TOC_Hdg_832" hidden="1">COSTS_DETAILED_SUMMARY!$B$376</definedName>
    <definedName name="TOC_Hdg_833" hidden="1">COST_SUMMARY!$B$470</definedName>
    <definedName name="TOC_Hdg_834" hidden="1">SUPV_Lu!$B$76</definedName>
    <definedName name="TOC_Hdg_835" hidden="1">SUPV_DETAILED_COST_WKSHT!$B$491</definedName>
    <definedName name="TOC_Hdg_836" hidden="1">SUPV_DETAILED_COST_WKSHT!$B$500</definedName>
    <definedName name="TOC_Hdg_837" hidden="1">SUPV_DETAILED_COST_WKSHT!$B$513</definedName>
    <definedName name="TOC_Hdg_838" hidden="1">SUPV_DETAILED_COST_WKSHT!$B$536</definedName>
    <definedName name="TOC_Hdg_839" hidden="1">SUPV_DETAILED_COST_WKSHT!$B$554</definedName>
    <definedName name="TOC_Hdg_84" hidden="1">CALCS_DETAILED!$B$360</definedName>
    <definedName name="TOC_Hdg_840" hidden="1">SUPV_DETAILED_COST_WKSHT!$B$572</definedName>
    <definedName name="TOC_Hdg_841" hidden="1">SUPERVISION!$B$200</definedName>
    <definedName name="TOC_Hdg_842" hidden="1">SUPERVISION!$B$205</definedName>
    <definedName name="TOC_Hdg_843" hidden="1">SUPERVISION!$B$229</definedName>
    <definedName name="TOC_Hdg_844" hidden="1">CALCS_DETAILED!$B$2267</definedName>
    <definedName name="TOC_Hdg_845" hidden="1">CALCS_DETAILED!$B$2292</definedName>
    <definedName name="TOC_Hdg_846" hidden="1">CALCS_DETAILED!$B$2312</definedName>
    <definedName name="TOC_Hdg_847" hidden="1">CALCS_DETAILED!$B$2332</definedName>
    <definedName name="TOC_Hdg_848" hidden="1">CALCS_Annual!$B$932</definedName>
    <definedName name="TOC_Hdg_849" hidden="1">CALCS_Annual!$B$941</definedName>
    <definedName name="TOC_Hdg_85" hidden="1">CALCS_DETAILED!$B$380</definedName>
    <definedName name="TOC_Hdg_850" hidden="1">CALCS_Annual!$B$950</definedName>
    <definedName name="TOC_Hdg_851" hidden="1">CALCS_Annual!$B$959</definedName>
    <definedName name="TOC_Hdg_852" hidden="1">COSTS_DETAILED_SUMMARY!$B$422</definedName>
    <definedName name="TOC_Hdg_853" hidden="1">COST_SUMMARY!$B$512</definedName>
    <definedName name="TOC_Hdg_854" hidden="1">SUPV_Lu!$B$181</definedName>
    <definedName name="TOC_Hdg_855" hidden="1">SUPV_DETAILED_COST_WKSHT!$B$590</definedName>
    <definedName name="TOC_Hdg_856" hidden="1">SUPV_DETAILED_COST_WKSHT!$B$599</definedName>
    <definedName name="TOC_Hdg_857" hidden="1">SUPV_DETAILED_COST_WKSHT!$B$612</definedName>
    <definedName name="TOC_Hdg_858" hidden="1">SUPV_DETAILED_COST_WKSHT!$B$635</definedName>
    <definedName name="TOC_Hdg_859" hidden="1">SUPV_DETAILED_COST_WKSHT!$B$653</definedName>
    <definedName name="TOC_Hdg_86" hidden="1">CALCS_DETAILED!$B$400</definedName>
    <definedName name="TOC_Hdg_860" hidden="1">SUPV_DETAILED_COST_WKSHT!$B$671</definedName>
    <definedName name="TOC_Hdg_861" hidden="1">SUPERVISION!$B$243</definedName>
    <definedName name="TOC_Hdg_862" hidden="1">SUPERVISION!$B$248</definedName>
    <definedName name="TOC_Hdg_863" hidden="1">SUPERVISION!$B$272</definedName>
    <definedName name="TOC_Hdg_864" hidden="1">CALCS_DETAILED!$B$2351</definedName>
    <definedName name="TOC_Hdg_865" hidden="1">CALCS_DETAILED!$B$2376</definedName>
    <definedName name="TOC_Hdg_866" hidden="1">CALCS_DETAILED!$B$2396</definedName>
    <definedName name="TOC_Hdg_867" hidden="1">CALCS_DETAILED!$B$2416</definedName>
    <definedName name="TOC_Hdg_868" hidden="1">CALCS_Annual!$B$968</definedName>
    <definedName name="TOC_Hdg_869" hidden="1">CALCS_Annual!$B$978</definedName>
    <definedName name="TOC_Hdg_87" hidden="1">CALCS_Annual!$B$147</definedName>
    <definedName name="TOC_Hdg_870" hidden="1">CALCS_Annual!$B$987</definedName>
    <definedName name="TOC_Hdg_871" hidden="1">CALCS_Annual!$B$996</definedName>
    <definedName name="TOC_Hdg_872" hidden="1">COSTS_DETAILED_SUMMARY!$B$438</definedName>
    <definedName name="TOC_Hdg_873" hidden="1">COST_SUMMARY!$B$526</definedName>
    <definedName name="TOC_Hdg_874" hidden="1">SUPV_Lu!$B$216</definedName>
    <definedName name="TOC_Hdg_875" hidden="1">OTHER_DETAILED_COST_WKSHT!$B$198</definedName>
    <definedName name="TOC_Hdg_876" hidden="1">OTHER_DETAILED_COST_WKSHT!$B$206</definedName>
    <definedName name="TOC_Hdg_877" hidden="1">OTHER_DETAILED_COST_WKSHT!$B$218</definedName>
    <definedName name="TOC_Hdg_878" hidden="1">OTHER_DETAILED_COST_WKSHT!$B$241</definedName>
    <definedName name="TOC_Hdg_879" hidden="1">OTHER_DETAILED_COST_WKSHT!$B$259</definedName>
    <definedName name="TOC_Hdg_88" hidden="1">CALCS_Annual!$B$155</definedName>
    <definedName name="TOC_Hdg_880" hidden="1">OTHER_DETAILED_COST_WKSHT!$B$180</definedName>
    <definedName name="TOC_Hdg_881" hidden="1">OTHER!$B$78</definedName>
    <definedName name="TOC_Hdg_882" hidden="1">OTHER!$B$83</definedName>
    <definedName name="TOC_Hdg_883" hidden="1">OTHER!$B$106</definedName>
    <definedName name="TOC_Hdg_884" hidden="1">CALCS_DETAILED!$B$2603</definedName>
    <definedName name="TOC_Hdg_885" hidden="1">CALCS_DETAILED!$B$2628</definedName>
    <definedName name="TOC_Hdg_886" hidden="1">CALCS_DETAILED!$B$2648</definedName>
    <definedName name="TOC_Hdg_887" hidden="1">CALCS_DETAILED!$B$2668</definedName>
    <definedName name="TOC_Hdg_888" hidden="1">CALCS_Annual!$B$1209</definedName>
    <definedName name="TOC_Hdg_889" hidden="1">CALCS_Annual!$B$1217</definedName>
    <definedName name="TOC_Hdg_89" hidden="1">CALCS_Annual!$B$163</definedName>
    <definedName name="TOC_Hdg_890" hidden="1">CALCS_Annual!$B$1225</definedName>
    <definedName name="TOC_Hdg_891" hidden="1">CALCS_Annual!$B$1233</definedName>
    <definedName name="TOC_Hdg_892" hidden="1">COSTS_DETAILED_SUMMARY!$B$548</definedName>
    <definedName name="TOC_Hdg_893" hidden="1">COST_SUMMARY!$B$568</definedName>
    <definedName name="TOC_Hdg_894" hidden="1">OTHER_Lu!$B$76</definedName>
    <definedName name="TOC_Hdg_895" hidden="1">OTHER_DETAILED_COST_WKSHT!$B$101</definedName>
    <definedName name="TOC_Hdg_896" hidden="1">OTHER_DETAILED_COST_WKSHT!$B$109</definedName>
    <definedName name="TOC_Hdg_897" hidden="1">OTHER_DETAILED_COST_WKSHT!$B$121</definedName>
    <definedName name="TOC_Hdg_898" hidden="1">OTHER_DETAILED_COST_WKSHT!$B$144</definedName>
    <definedName name="TOC_Hdg_899" hidden="1">OTHER_DETAILED_COST_WKSHT!$B$162</definedName>
    <definedName name="TOC_Hdg_9" hidden="1">MICRO_DETAILED_COST_WKSHT!$B$78</definedName>
    <definedName name="TOC_Hdg_90" hidden="1">CALCS_Annual!$B$171</definedName>
    <definedName name="TOC_Hdg_900" hidden="1">OTHER_DETAILED_COST_WKSHT!$B$277</definedName>
    <definedName name="TOC_Hdg_901" hidden="1">OTHER!$B$43</definedName>
    <definedName name="TOC_Hdg_902" hidden="1">OTHER!$B$48</definedName>
    <definedName name="TOC_Hdg_903" hidden="1">OTHER!$B$71</definedName>
    <definedName name="TOC_Hdg_904" hidden="1">CALCS_DETAILED!$B$2519</definedName>
    <definedName name="TOC_Hdg_905" hidden="1">CALCS_DETAILED!$B$2544</definedName>
    <definedName name="TOC_Hdg_906" hidden="1">CALCS_DETAILED!$B$2564</definedName>
    <definedName name="TOC_Hdg_907" hidden="1">CALCS_DETAILED!$B$2584</definedName>
    <definedName name="TOC_Hdg_908" hidden="1">CALCS_Annual!$B$1177</definedName>
    <definedName name="TOC_Hdg_909" hidden="1">CALCS_Annual!$B$1185</definedName>
    <definedName name="TOC_Hdg_91" hidden="1">COSTS_DETAILED_SUMMARY!$B$67</definedName>
    <definedName name="TOC_Hdg_910" hidden="1">CALCS_Annual!$B$1193</definedName>
    <definedName name="TOC_Hdg_911" hidden="1">CALCS_Annual!$B$1201</definedName>
    <definedName name="TOC_Hdg_912" hidden="1">COSTS_DETAILED_SUMMARY!$B$533</definedName>
    <definedName name="TOC_Hdg_913" hidden="1">COST_SUMMARY!$B$554</definedName>
    <definedName name="TOC_Hdg_914" hidden="1">OTHER_Lu!$B$41</definedName>
    <definedName name="TOC_Hdg_915" hidden="1">OTHER_DETAILED_COST_WKSHT!$B$394</definedName>
    <definedName name="TOC_Hdg_916" hidden="1">OTHER_DETAILED_COST_WKSHT!$B$403</definedName>
    <definedName name="TOC_Hdg_917" hidden="1">OTHER_DETAILED_COST_WKSHT!$B$416</definedName>
    <definedName name="TOC_Hdg_918" hidden="1">OTHER_DETAILED_COST_WKSHT!$B$439</definedName>
    <definedName name="TOC_Hdg_919" hidden="1">OTHER_DETAILED_COST_WKSHT!$B$457</definedName>
    <definedName name="TOC_Hdg_92" hidden="1">COST_SUMMARY!$B$134</definedName>
    <definedName name="TOC_Hdg_920" hidden="1">OTHER_DETAILED_COST_WKSHT!$B$475</definedName>
    <definedName name="TOC_Hdg_921" hidden="1">OTHER!$B$154</definedName>
    <definedName name="TOC_Hdg_922" hidden="1">OTHER!$B$159</definedName>
    <definedName name="TOC_Hdg_923" hidden="1">OTHER!$B$183</definedName>
    <definedName name="TOC_Hdg_924" hidden="1">CALCS_DETAILED!$B$2771</definedName>
    <definedName name="TOC_Hdg_925" hidden="1">CALCS_DETAILED!$B$2796</definedName>
    <definedName name="TOC_Hdg_926" hidden="1">CALCS_DETAILED!$B$2816</definedName>
    <definedName name="TOC_Hdg_927" hidden="1">CALCS_DETAILED!$B$2836</definedName>
    <definedName name="TOC_Hdg_928" hidden="1">CALCS_Annual!$B$1278</definedName>
    <definedName name="TOC_Hdg_929" hidden="1">CALCS_Annual!$B$1288</definedName>
    <definedName name="TOC_Hdg_93" hidden="1">TRAIN_Lu!$B$4</definedName>
    <definedName name="TOC_Hdg_930" hidden="1">CALCS_Annual!$B$1297</definedName>
    <definedName name="TOC_Hdg_931" hidden="1">CALCS_Annual!$B$1306</definedName>
    <definedName name="TOC_Hdg_932" hidden="1">COSTS_DETAILED_SUMMARY!$B$579</definedName>
    <definedName name="TOC_Hdg_933" hidden="1">COST_SUMMARY!$B$596</definedName>
    <definedName name="TOC_Hdg_934" hidden="1">OTHER_Lu!$B$146</definedName>
    <definedName name="TOC_Hdg_94" hidden="1">SENS_DETAILED_COST_WKSHT!$B$4</definedName>
    <definedName name="TOC_Hdg_95" hidden="1">SENS_DETAILED_COST_WKSHT!$B$12</definedName>
    <definedName name="TOC_Hdg_955" hidden="1">SUPV_DETAILED_COST_WKSHT!$B$295</definedName>
    <definedName name="TOC_Hdg_956" hidden="1">SUPV_DETAILED_COST_WKSHT!$B$303</definedName>
    <definedName name="TOC_Hdg_957" hidden="1">SUPV_DETAILED_COST_WKSHT!$B$315</definedName>
    <definedName name="TOC_Hdg_958" hidden="1">SUPV_DETAILED_COST_WKSHT!$B$338</definedName>
    <definedName name="TOC_Hdg_959" hidden="1">SUPV_DETAILED_COST_WKSHT!$B$356</definedName>
    <definedName name="TOC_Hdg_96" hidden="1">SENS_DETAILED_COST_WKSHT!$B$24</definedName>
    <definedName name="TOC_Hdg_960" hidden="1">SUPV_DETAILED_COST_WKSHT!$B$374</definedName>
    <definedName name="TOC_Hdg_961" hidden="1">SUPERVISION!$B$120</definedName>
    <definedName name="TOC_Hdg_962" hidden="1">SUPERVISION!$B$125</definedName>
    <definedName name="TOC_Hdg_963" hidden="1">SUPERVISION!$B$147</definedName>
    <definedName name="TOC_Hdg_964" hidden="1">CALCS_DETAILED!$B$2099</definedName>
    <definedName name="TOC_Hdg_965" hidden="1">CALCS_DETAILED!$B$2124</definedName>
    <definedName name="TOC_Hdg_966" hidden="1">CALCS_DETAILED!$B$2144</definedName>
    <definedName name="TOC_Hdg_967" hidden="1">CALCS_DETAILED!$B$2164</definedName>
    <definedName name="TOC_Hdg_968" hidden="1">CALCS_Annual!$B$864</definedName>
    <definedName name="TOC_Hdg_969" hidden="1">CALCS_Annual!$B$872</definedName>
    <definedName name="TOC_Hdg_97" hidden="1">SENS_DETAILED_COST_WKSHT!$B$47</definedName>
    <definedName name="TOC_Hdg_970" hidden="1">CALCS_Annual!$B$880</definedName>
    <definedName name="TOC_Hdg_971" hidden="1">CALCS_Annual!$B$888</definedName>
    <definedName name="TOC_Hdg_972" hidden="1">COSTS_DETAILED_SUMMARY!$B$391</definedName>
    <definedName name="TOC_Hdg_973" hidden="1">COST_SUMMARY!$B$484</definedName>
    <definedName name="TOC_Hdg_974" hidden="1">SUPV_Lu!$B$111</definedName>
    <definedName name="TOC_Hdg_975" hidden="1">SENS_DETAILED_COST_WKSHT!$B$394</definedName>
    <definedName name="TOC_Hdg_976" hidden="1">SENS_DETAILED_COST_WKSHT!$B$403</definedName>
    <definedName name="TOC_Hdg_977" hidden="1">SENS_DETAILED_COST_WKSHT!$B$416</definedName>
    <definedName name="TOC_Hdg_978" hidden="1">SENS_DETAILED_COST_WKSHT!$B$439</definedName>
    <definedName name="TOC_Hdg_979" hidden="1">SENS_DETAILED_COST_WKSHT!$B$457</definedName>
    <definedName name="TOC_Hdg_98" hidden="1">SENS_DETAILED_COST_WKSHT!$B$65</definedName>
    <definedName name="TOC_Hdg_980" hidden="1">SENS_DETAILED_COST_WKSHT!$B$475</definedName>
    <definedName name="TOC_Hdg_981" hidden="1">SENSITISATION!$B$163</definedName>
    <definedName name="TOC_Hdg_982" hidden="1">SENSITISATION!$B$168</definedName>
    <definedName name="TOC_Hdg_983" hidden="1">SENSITISATION!$B$192</definedName>
    <definedName name="TOC_Hdg_984" hidden="1">CALCS_DETAILED!$B$1007</definedName>
    <definedName name="TOC_Hdg_985" hidden="1">CALCS_DETAILED!$B$1032</definedName>
    <definedName name="TOC_Hdg_986" hidden="1">CALCS_DETAILED!$B$1052</definedName>
    <definedName name="TOC_Hdg_987" hidden="1">CALCS_DETAILED!$B$1072</definedName>
    <definedName name="TOC_Hdg_988" hidden="1">CALCS_Annual!$B$413</definedName>
    <definedName name="TOC_Hdg_989" hidden="1">CALCS_Annual!$B$423</definedName>
    <definedName name="TOC_Hdg_99" hidden="1">SENS_DETAILED_COST_WKSHT!$B$83</definedName>
    <definedName name="TOC_Hdg_990" hidden="1">CALCS_Annual!$B$432</definedName>
    <definedName name="TOC_Hdg_991" hidden="1">CALCS_Annual!$B$441</definedName>
    <definedName name="TOC_Hdg_992" hidden="1">COSTS_DETAILED_SUMMARY!$B$189</definedName>
    <definedName name="TOC_Hdg_993" hidden="1">COST_SUMMARY!$B$246</definedName>
    <definedName name="TOC_Hdg_994" hidden="1">SENS_Lu!$B$146</definedName>
    <definedName name="TOC_Hdg_995" hidden="1">SENS_DETAILED_COST_WKSHT!$B$493</definedName>
    <definedName name="TOC_Hdg_996" hidden="1">SENS_DETAILED_COST_WKSHT!$B$502</definedName>
    <definedName name="TOC_Hdg_997" hidden="1">SENS_DETAILED_COST_WKSHT!$B$515</definedName>
    <definedName name="TOC_Hdg_998" hidden="1">SENS_DETAILED_COST_WKSHT!$B$538</definedName>
    <definedName name="TOC_Hdg_999" hidden="1">SENS_DETAILED_COST_WKSHT!$B$556</definedName>
    <definedName name="TOP_ACTV_10_Cost_Summary">COSTS_DETAILED_SUMMARY!$B$143</definedName>
    <definedName name="TOP_ACTV_10_Exchange_Rate">SENS_DETAILED_COST_WKSHT!$E$119</definedName>
    <definedName name="TOP_ACTV_11_Cost_Summary">COSTS_DETAILED_SUMMARY!$B$158</definedName>
    <definedName name="TOP_ACTV_11_Exchange_Rate">SENS_DETAILED_COST_WKSHT!$E$216</definedName>
    <definedName name="TOP_ACTV_13_Cost_Summary">COSTS_DETAILED_SUMMARY!$B$82</definedName>
    <definedName name="TOP_ACTV_13_Exchange_Rate">TRAIN_DETAILED_COST_WKSHT!$E$119</definedName>
    <definedName name="TOP_ACTV_14_Cost_Summary">COSTS_DETAILED_SUMMARY!$B$97</definedName>
    <definedName name="TOP_ACTV_14_Exchange_Rate">TRAIN_DETAILED_COST_WKSHT!$E$216</definedName>
    <definedName name="TOP_ACTV_15_Cost_Summary">COSTS_DETAILED_SUMMARY!$B$236</definedName>
    <definedName name="TOP_ACTV_15_Exchange_Rate">SOCMOB_DETAILED_COST_WKSHT!$E$119</definedName>
    <definedName name="TOP_ACTV_16_Cost_Summary">COSTS_DETAILED_SUMMARY!$B$251</definedName>
    <definedName name="TOP_ACTV_16_Exchange_Rate">SOCMOB_DETAILED_COST_WKSHT!$E$216</definedName>
    <definedName name="TOP_ACTV_17_Cost_Summary">COSTS_DETAILED_SUMMARY!$B$361</definedName>
    <definedName name="TOP_ACTV_17_Exchange_Rate">SUPV_DETAILED_COST_WKSHT!$E$119</definedName>
    <definedName name="TOP_ACTV_18_Cost_Summary">COSTS_DETAILED_SUMMARY!$B$376</definedName>
    <definedName name="TOP_ACTV_18_Exchange_Rate">SUPV_DETAILED_COST_WKSHT!$E$216</definedName>
    <definedName name="TOP_ACTV_19_Cost_Summary">COSTS_DETAILED_SUMMARY!$B$548</definedName>
    <definedName name="TOP_ACTV_19_Exchange_Rate">OTHER_DETAILED_COST_WKSHT!$E$216</definedName>
    <definedName name="TOP_ACTV_2_Cost_Summary">COSTS_DETAILED_SUMMARY!$B$67</definedName>
    <definedName name="TOP_ACTV_2_Exchange_Rate">TRAIN_DETAILED_COST_WKSHT!$E$22</definedName>
    <definedName name="TOP_ACTV_20_Cost_Summary">COSTS_DETAILED_SUMMARY!$B$533</definedName>
    <definedName name="TOP_ACTV_20_Exchange_Rate">OTHER_DETAILED_COST_WKSHT!$E$119</definedName>
    <definedName name="TOP_ACTV_3_Cost_Summary">COSTS_DETAILED_SUMMARY!$B$128</definedName>
    <definedName name="TOP_ACTV_3_Exchange_Rate">SENS_DETAILED_COST_WKSHT!$E$22</definedName>
    <definedName name="TOP_ACTV_4_Cost_Summary">COSTS_DETAILED_SUMMARY!$B$221</definedName>
    <definedName name="TOP_ACTV_4_Exchange_Rate">SOCMOB_DETAILED_COST_WKSHT!$E$22</definedName>
    <definedName name="TOP_ACTV_5_Cost_Summary">COSTS_DETAILED_SUMMARY!$B$346</definedName>
    <definedName name="TOP_ACTV_5_Exchange_Rate">SUPV_DETAILED_COST_WKSHT!$E$22</definedName>
    <definedName name="TOP_ACTV_6_Cost_Summary">COSTS_DETAILED_SUMMARY!$B$518</definedName>
    <definedName name="TOP_ACTV_6_Exchange_Rate">OTHER_DETAILED_COST_WKSHT!$E$22</definedName>
    <definedName name="TOP_ACTV_7_Cost_Summary">COSTS_DETAILED_SUMMARY!$B$20</definedName>
    <definedName name="TOP_ACTV_7_Exchange_Rate">MICRO_DETAILED_COST_WKSHT!$E$114</definedName>
    <definedName name="TOP_ACTV_8_Cost_Summary">COSTS_DETAILED_SUMMARY!$B$391</definedName>
    <definedName name="TOP_ACTV_8_Exchange_Rate">SUPV_DETAILED_COST_WKSHT!$E$313</definedName>
    <definedName name="TOP_ACTV_Cost_Summary">COSTS_DETAILED_SUMMARY!$B$5</definedName>
    <definedName name="TOP_ACTV_Exchange_Rate">MICRO_DETAILED_COST_WKSHT!$E$22</definedName>
    <definedName name="TS_Billion">Time_Lu!$D$91</definedName>
    <definedName name="TS_Currency">TIME_SERIES!$H$14</definedName>
    <definedName name="TS_Days_In_Wk">Time_Lu!$D$69</definedName>
    <definedName name="TS_Denom_Conv_Fact">TIME_SERIES!$H$15</definedName>
    <definedName name="TS_End_Date">TIME_SERIES!$H$13</definedName>
    <definedName name="TS_First_Fin_Yr">TIME_SERIES!$H$10</definedName>
    <definedName name="TS_Halves_In_Yr">Time_Lu!$D$75</definedName>
    <definedName name="TS_Hrs_In_Day">Time_Lu!$D$68</definedName>
    <definedName name="TS_Million">Time_Lu!$D$90</definedName>
    <definedName name="TS_Mins_In_Hr">Time_Lu!$D$67</definedName>
    <definedName name="TS_Mths_In_Half">Time_Lu!$D$71</definedName>
    <definedName name="TS_Mths_In_Qtr">Time_Lu!$D$70</definedName>
    <definedName name="TS_Mths_In_Yr">Time_Lu!$D$72</definedName>
    <definedName name="TS_Qtrs_In_Half">Time_Lu!$D$73</definedName>
    <definedName name="TS_Qtrs_In_Yr">Time_Lu!$D$74</definedName>
    <definedName name="TS_Secs_In_Min">Time_Lu!$D$66</definedName>
    <definedName name="TS_Start_Date">TIME_SERIES!$H$12</definedName>
    <definedName name="TS_Term">TIME_SERIES!$H$11</definedName>
    <definedName name="TS_Thousand">Time_Lu!$D$89</definedName>
    <definedName name="Vacc_Baseline_Exchange_Rate">'VACCS_&amp;_SUPPLIES'!$D$158</definedName>
  </definedNames>
  <calcPr calcId="191029" calcMode="autoNoTable"/>
  <extLst>
    <ext xmlns:x14="http://schemas.microsoft.com/office/spreadsheetml/2009/9/main" uri="{79F54976-1DA5-4618-B147-4CDE4B953A38}">
      <x14:workbookPr defaultImageDpi="150"/>
    </ext>
    <ext xmlns:x15="http://schemas.microsoft.com/office/spreadsheetml/2010/11/main" uri="{FCE2AD5D-F65C-4FA6-A056-5C36A1767C68}">
      <x15:dataModel>
        <x15:modelTables>
          <x15:modelTable id="Range" name="Range" connection="WorksheetConnection_Dashboard!$C$7:$E$1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4" l="1"/>
  <c r="N69" i="317"/>
  <c r="M69" i="317"/>
  <c r="L69" i="317"/>
  <c r="K69" i="317"/>
  <c r="J69" i="317"/>
  <c r="K51" i="317"/>
  <c r="L51" i="317"/>
  <c r="M51" i="317"/>
  <c r="N51" i="317"/>
  <c r="J51" i="317"/>
  <c r="E48" i="346"/>
  <c r="E49" i="346"/>
  <c r="E50" i="346"/>
  <c r="E51" i="346"/>
  <c r="E52" i="346"/>
  <c r="E53" i="346"/>
  <c r="E54" i="346"/>
  <c r="E55" i="346"/>
  <c r="E56" i="346"/>
  <c r="E47" i="346"/>
  <c r="C10" i="343" l="1"/>
  <c r="C7" i="343"/>
  <c r="K30" i="345" l="1"/>
  <c r="L30" i="345"/>
  <c r="M30" i="345"/>
  <c r="N30" i="345"/>
  <c r="J30" i="345"/>
  <c r="K572" i="309" l="1"/>
  <c r="L572" i="309"/>
  <c r="M572" i="309"/>
  <c r="N572" i="309"/>
  <c r="J572" i="309"/>
  <c r="K558" i="309"/>
  <c r="L558" i="309"/>
  <c r="M558" i="309"/>
  <c r="N558" i="309"/>
  <c r="J558" i="309"/>
  <c r="K544" i="309"/>
  <c r="L544" i="309"/>
  <c r="M544" i="309"/>
  <c r="N544" i="309"/>
  <c r="J544" i="309"/>
  <c r="N488" i="309" l="1"/>
  <c r="M488" i="309"/>
  <c r="L488" i="309"/>
  <c r="K488" i="309"/>
  <c r="J488" i="309"/>
  <c r="N474" i="309"/>
  <c r="M474" i="309"/>
  <c r="L474" i="309"/>
  <c r="K474" i="309"/>
  <c r="J474" i="309"/>
  <c r="N460" i="309"/>
  <c r="M460" i="309"/>
  <c r="L460" i="309"/>
  <c r="K460" i="309"/>
  <c r="J460" i="309"/>
  <c r="N446" i="309"/>
  <c r="M446" i="309"/>
  <c r="L446" i="309"/>
  <c r="K446" i="309"/>
  <c r="J446" i="309"/>
  <c r="N306" i="309"/>
  <c r="M306" i="309"/>
  <c r="L306" i="309"/>
  <c r="K306" i="309"/>
  <c r="J306" i="309"/>
  <c r="N292" i="309"/>
  <c r="M292" i="309"/>
  <c r="L292" i="309"/>
  <c r="K292" i="309"/>
  <c r="J292" i="309"/>
  <c r="N278" i="309"/>
  <c r="M278" i="309"/>
  <c r="L278" i="309"/>
  <c r="K278" i="309"/>
  <c r="J278" i="309"/>
  <c r="N222" i="309"/>
  <c r="M222" i="309"/>
  <c r="L222" i="309"/>
  <c r="K222" i="309"/>
  <c r="J222" i="309"/>
  <c r="N208" i="309"/>
  <c r="M208" i="309"/>
  <c r="L208" i="309"/>
  <c r="K208" i="309"/>
  <c r="J208" i="309"/>
  <c r="N194" i="309"/>
  <c r="M194" i="309"/>
  <c r="L194" i="309"/>
  <c r="K194" i="309"/>
  <c r="J194" i="309"/>
  <c r="N166" i="309"/>
  <c r="M166" i="309"/>
  <c r="L166" i="309"/>
  <c r="K166" i="309"/>
  <c r="J166" i="309"/>
  <c r="N152" i="309"/>
  <c r="M152" i="309"/>
  <c r="L152" i="309"/>
  <c r="K152" i="309"/>
  <c r="J152" i="309"/>
  <c r="N138" i="309"/>
  <c r="M138" i="309"/>
  <c r="L138" i="309"/>
  <c r="K138" i="309"/>
  <c r="J138" i="309"/>
  <c r="N96" i="309"/>
  <c r="M96" i="309"/>
  <c r="L96" i="309"/>
  <c r="K96" i="309"/>
  <c r="J96" i="309"/>
  <c r="N82" i="309"/>
  <c r="M82" i="309"/>
  <c r="L82" i="309"/>
  <c r="K82" i="309"/>
  <c r="J82" i="309"/>
  <c r="I625" i="352" l="1"/>
  <c r="I624" i="352"/>
  <c r="I623" i="352"/>
  <c r="I607" i="352"/>
  <c r="I606" i="352"/>
  <c r="I604" i="352"/>
  <c r="I605" i="352"/>
  <c r="I603" i="352"/>
  <c r="I602" i="352"/>
  <c r="I601" i="352"/>
  <c r="I600" i="352"/>
  <c r="I599" i="352"/>
  <c r="I598" i="352"/>
  <c r="I597" i="352"/>
  <c r="I596" i="352"/>
  <c r="I595" i="352"/>
  <c r="I594" i="352"/>
  <c r="I593" i="352"/>
  <c r="I679" i="352"/>
  <c r="I678" i="352"/>
  <c r="I677" i="352"/>
  <c r="I676" i="352"/>
  <c r="I675" i="352"/>
  <c r="I674" i="352"/>
  <c r="I673" i="352"/>
  <c r="I672" i="352"/>
  <c r="I671" i="352"/>
  <c r="I670" i="352"/>
  <c r="I669" i="352"/>
  <c r="I668" i="352"/>
  <c r="I667" i="352"/>
  <c r="I666" i="352"/>
  <c r="I663" i="352"/>
  <c r="I664" i="352"/>
  <c r="I665" i="352"/>
  <c r="I662" i="352"/>
  <c r="I661" i="352"/>
  <c r="I660" i="352"/>
  <c r="I659" i="352"/>
  <c r="I658" i="352"/>
  <c r="I657" i="352"/>
  <c r="I656" i="352"/>
  <c r="I655" i="352"/>
  <c r="I654" i="352"/>
  <c r="I653" i="352"/>
  <c r="I652" i="352"/>
  <c r="I651" i="352"/>
  <c r="I650" i="352"/>
  <c r="I649" i="352"/>
  <c r="I648" i="352"/>
  <c r="I647" i="352"/>
  <c r="I646" i="352"/>
  <c r="I645" i="352"/>
  <c r="I644" i="352"/>
  <c r="I643" i="352"/>
  <c r="I642" i="352"/>
  <c r="I641" i="352"/>
  <c r="I640" i="352"/>
  <c r="I639" i="352"/>
  <c r="I638" i="352"/>
  <c r="I637" i="352"/>
  <c r="I636" i="352"/>
  <c r="I635" i="352"/>
  <c r="I634" i="352"/>
  <c r="I633" i="352"/>
  <c r="I632" i="352"/>
  <c r="I631" i="352"/>
  <c r="I630" i="352"/>
  <c r="I629" i="352"/>
  <c r="I628" i="352"/>
  <c r="I627" i="352"/>
  <c r="I626" i="352"/>
  <c r="I65" i="352" l="1"/>
  <c r="I64" i="352"/>
  <c r="I63" i="352"/>
  <c r="I62" i="352"/>
  <c r="I61" i="352"/>
  <c r="I60" i="352"/>
  <c r="I59" i="352"/>
  <c r="I58" i="352"/>
  <c r="I57" i="352"/>
  <c r="I56" i="352"/>
  <c r="I55" i="352"/>
  <c r="I54" i="352"/>
  <c r="I53" i="352"/>
  <c r="I52" i="352"/>
  <c r="I51" i="352"/>
  <c r="I50" i="352"/>
  <c r="I49" i="352"/>
  <c r="I48" i="352"/>
  <c r="I47" i="352"/>
  <c r="I46" i="352"/>
  <c r="I45" i="352"/>
  <c r="I44" i="352"/>
  <c r="I43" i="352"/>
  <c r="I42" i="352"/>
  <c r="I41" i="352"/>
  <c r="I40" i="352"/>
  <c r="I39" i="352"/>
  <c r="I38" i="352"/>
  <c r="I37" i="352"/>
  <c r="I36" i="352"/>
  <c r="I35" i="352"/>
  <c r="I34" i="352"/>
  <c r="I33" i="352"/>
  <c r="I32" i="352"/>
  <c r="I31" i="352"/>
  <c r="D747" i="352"/>
  <c r="F747" i="352"/>
  <c r="D745" i="352"/>
  <c r="D746" i="352"/>
  <c r="F745" i="352"/>
  <c r="F746" i="352"/>
  <c r="D737" i="352"/>
  <c r="D738" i="352"/>
  <c r="D739" i="352"/>
  <c r="D740" i="352"/>
  <c r="D741" i="352"/>
  <c r="D742" i="352"/>
  <c r="D743" i="352"/>
  <c r="D744" i="352"/>
  <c r="F737" i="352"/>
  <c r="F738" i="352"/>
  <c r="F739" i="352"/>
  <c r="F740" i="352"/>
  <c r="F741" i="352"/>
  <c r="F742" i="352"/>
  <c r="F743" i="352"/>
  <c r="F744" i="352"/>
  <c r="D721" i="352"/>
  <c r="D722" i="352"/>
  <c r="D723" i="352"/>
  <c r="D724" i="352"/>
  <c r="D725" i="352"/>
  <c r="D726" i="352"/>
  <c r="D727" i="352"/>
  <c r="D728" i="352"/>
  <c r="D729" i="352"/>
  <c r="D730" i="352"/>
  <c r="D731" i="352"/>
  <c r="D732" i="352"/>
  <c r="D733" i="352"/>
  <c r="D734" i="352"/>
  <c r="D735" i="352"/>
  <c r="D736" i="352"/>
  <c r="F721" i="352"/>
  <c r="F722" i="352"/>
  <c r="F723" i="352"/>
  <c r="F724" i="352"/>
  <c r="F725" i="352"/>
  <c r="F726" i="352"/>
  <c r="F727" i="352"/>
  <c r="F728" i="352"/>
  <c r="F729" i="352"/>
  <c r="F730" i="352"/>
  <c r="F731" i="352"/>
  <c r="F732" i="352"/>
  <c r="F733" i="352"/>
  <c r="F734" i="352"/>
  <c r="F735" i="352"/>
  <c r="F736" i="352"/>
  <c r="D711" i="352"/>
  <c r="D712" i="352"/>
  <c r="D713" i="352"/>
  <c r="D714" i="352"/>
  <c r="D715" i="352"/>
  <c r="D716" i="352"/>
  <c r="D717" i="352"/>
  <c r="D718" i="352"/>
  <c r="D719" i="352"/>
  <c r="D720" i="352"/>
  <c r="F711" i="352"/>
  <c r="F712" i="352"/>
  <c r="F713" i="352"/>
  <c r="F714" i="352"/>
  <c r="F715" i="352"/>
  <c r="F716" i="352"/>
  <c r="F717" i="352"/>
  <c r="F718" i="352"/>
  <c r="F719" i="352"/>
  <c r="F720" i="352"/>
  <c r="D692" i="352"/>
  <c r="D693" i="352"/>
  <c r="D694" i="352"/>
  <c r="D695" i="352"/>
  <c r="D696" i="352"/>
  <c r="D697" i="352"/>
  <c r="D698" i="352"/>
  <c r="D699" i="352"/>
  <c r="D700" i="352"/>
  <c r="D701" i="352"/>
  <c r="D702" i="352"/>
  <c r="D703" i="352"/>
  <c r="D704" i="352"/>
  <c r="D705" i="352"/>
  <c r="D706" i="352"/>
  <c r="D707" i="352"/>
  <c r="D708" i="352"/>
  <c r="D709" i="352"/>
  <c r="D710" i="352"/>
  <c r="F692" i="352"/>
  <c r="F693" i="352"/>
  <c r="F694" i="352"/>
  <c r="F695" i="352"/>
  <c r="F696" i="352"/>
  <c r="F697" i="352"/>
  <c r="F698" i="352"/>
  <c r="F699" i="352"/>
  <c r="F700" i="352"/>
  <c r="F701" i="352"/>
  <c r="F702" i="352"/>
  <c r="F703" i="352"/>
  <c r="F704" i="352"/>
  <c r="F705" i="352"/>
  <c r="F706" i="352"/>
  <c r="F707" i="352"/>
  <c r="F708" i="352"/>
  <c r="F709" i="352"/>
  <c r="F710" i="352"/>
  <c r="D680" i="352"/>
  <c r="D681" i="352"/>
  <c r="D682" i="352"/>
  <c r="D683" i="352"/>
  <c r="D684" i="352"/>
  <c r="D685" i="352"/>
  <c r="D686" i="352"/>
  <c r="D687" i="352"/>
  <c r="D688" i="352"/>
  <c r="D689" i="352"/>
  <c r="D690" i="352"/>
  <c r="D691" i="352"/>
  <c r="F680" i="352"/>
  <c r="F681" i="352"/>
  <c r="F682" i="352"/>
  <c r="F683" i="352"/>
  <c r="F684" i="352"/>
  <c r="F685" i="352"/>
  <c r="F686" i="352"/>
  <c r="F687" i="352"/>
  <c r="F688" i="352"/>
  <c r="F689" i="352"/>
  <c r="F690" i="352"/>
  <c r="F691" i="352"/>
  <c r="D670" i="352"/>
  <c r="D671" i="352"/>
  <c r="D672" i="352"/>
  <c r="D673" i="352"/>
  <c r="D674" i="352"/>
  <c r="D675" i="352"/>
  <c r="D676" i="352"/>
  <c r="D677" i="352"/>
  <c r="D678" i="352"/>
  <c r="D679" i="352"/>
  <c r="F670" i="352"/>
  <c r="F671" i="352"/>
  <c r="F672" i="352"/>
  <c r="F673" i="352"/>
  <c r="F674" i="352"/>
  <c r="F675" i="352"/>
  <c r="F676" i="352"/>
  <c r="F677" i="352"/>
  <c r="F678" i="352"/>
  <c r="F679" i="352"/>
  <c r="D7" i="351" l="1"/>
  <c r="D8" i="351"/>
  <c r="D9" i="351"/>
  <c r="D10" i="351"/>
  <c r="D11" i="351"/>
  <c r="D12" i="351"/>
  <c r="D13" i="351"/>
  <c r="D14" i="351"/>
  <c r="D15" i="351"/>
  <c r="D16" i="351"/>
  <c r="D17" i="351"/>
  <c r="D18" i="351"/>
  <c r="D19" i="351"/>
  <c r="D20" i="351"/>
  <c r="D21" i="351"/>
  <c r="D22" i="351"/>
  <c r="D23" i="351"/>
  <c r="D24" i="351"/>
  <c r="D25" i="351"/>
  <c r="D26" i="351"/>
  <c r="D27" i="351"/>
  <c r="D28" i="351"/>
  <c r="D29" i="351"/>
  <c r="D30" i="351"/>
  <c r="D31" i="351"/>
  <c r="D32" i="351"/>
  <c r="D33" i="351"/>
  <c r="D34" i="351"/>
  <c r="D35" i="351"/>
  <c r="D36" i="351"/>
  <c r="D37" i="351"/>
  <c r="D38" i="351"/>
  <c r="D39" i="351"/>
  <c r="D40" i="351"/>
  <c r="D41" i="351"/>
  <c r="D42" i="351"/>
  <c r="D43" i="351"/>
  <c r="D44" i="351"/>
  <c r="D45" i="351"/>
  <c r="D46" i="351"/>
  <c r="D47" i="351"/>
  <c r="D48" i="351"/>
  <c r="D49" i="351"/>
  <c r="D50" i="351"/>
  <c r="D51" i="351"/>
  <c r="D52" i="351"/>
  <c r="D53" i="351"/>
  <c r="D54" i="351"/>
  <c r="D55" i="351"/>
  <c r="D56" i="351"/>
  <c r="D57" i="351"/>
  <c r="D58" i="351"/>
  <c r="D59" i="351"/>
  <c r="D60" i="351"/>
  <c r="D61" i="351"/>
  <c r="D62" i="351"/>
  <c r="D63" i="351"/>
  <c r="D64" i="351"/>
  <c r="D65" i="351"/>
  <c r="D66" i="351"/>
  <c r="D67" i="351"/>
  <c r="D68" i="351"/>
  <c r="D69" i="351"/>
  <c r="D70" i="351"/>
  <c r="D71" i="351"/>
  <c r="D72" i="351"/>
  <c r="D73" i="351"/>
  <c r="D74" i="351"/>
  <c r="D75" i="351"/>
  <c r="D76" i="351"/>
  <c r="D77" i="351"/>
  <c r="D78" i="351"/>
  <c r="D79" i="351"/>
  <c r="D80" i="351"/>
  <c r="D81" i="351"/>
  <c r="D82" i="351"/>
  <c r="D83" i="351"/>
  <c r="D84" i="351"/>
  <c r="D85" i="351"/>
  <c r="D86" i="351"/>
  <c r="D87" i="351"/>
  <c r="D88" i="351"/>
  <c r="D89" i="351"/>
  <c r="D90" i="351"/>
  <c r="D91" i="351"/>
  <c r="D92" i="351"/>
  <c r="D93" i="351"/>
  <c r="D94" i="351"/>
  <c r="D95" i="351"/>
  <c r="D96" i="351"/>
  <c r="D97" i="351"/>
  <c r="D98" i="351"/>
  <c r="D99" i="351"/>
  <c r="D100" i="351"/>
  <c r="D101" i="351"/>
  <c r="D102" i="351"/>
  <c r="D103" i="351"/>
  <c r="D104" i="351"/>
  <c r="D105" i="351"/>
  <c r="D106" i="351"/>
  <c r="D107" i="351"/>
  <c r="D108" i="351"/>
  <c r="D109" i="351"/>
  <c r="D110" i="351"/>
  <c r="D111" i="351"/>
  <c r="D112" i="351"/>
  <c r="D113" i="351"/>
  <c r="D114" i="351"/>
  <c r="D115" i="351"/>
  <c r="D116" i="351"/>
  <c r="D117" i="351"/>
  <c r="D118" i="351"/>
  <c r="D119" i="351"/>
  <c r="D120" i="351"/>
  <c r="D121" i="351"/>
  <c r="D122" i="351"/>
  <c r="D123" i="351"/>
  <c r="D124" i="351"/>
  <c r="D125" i="351"/>
  <c r="D126" i="351"/>
  <c r="D127" i="351"/>
  <c r="D128" i="351"/>
  <c r="D129" i="351"/>
  <c r="D130" i="351"/>
  <c r="D131" i="351"/>
  <c r="D132" i="351"/>
  <c r="D133" i="351"/>
  <c r="D134" i="351"/>
  <c r="D135" i="351"/>
  <c r="D136" i="351"/>
  <c r="D137" i="351"/>
  <c r="D138" i="351"/>
  <c r="D139" i="351"/>
  <c r="D140" i="351"/>
  <c r="D141" i="351"/>
  <c r="D142" i="351"/>
  <c r="D143" i="351"/>
  <c r="D144" i="351"/>
  <c r="D145" i="351"/>
  <c r="D146" i="351"/>
  <c r="D147" i="351"/>
  <c r="D148" i="351"/>
  <c r="D149" i="351"/>
  <c r="D150" i="351"/>
  <c r="D151" i="351"/>
  <c r="D152" i="351"/>
  <c r="D153" i="351"/>
  <c r="D154" i="351"/>
  <c r="D155" i="351"/>
  <c r="D156" i="351"/>
  <c r="D157" i="351"/>
  <c r="D158" i="351"/>
  <c r="D159" i="351"/>
  <c r="D160" i="351"/>
  <c r="D161" i="351"/>
  <c r="D162" i="351"/>
  <c r="D163" i="351"/>
  <c r="D164" i="351"/>
  <c r="D165" i="351"/>
  <c r="D166" i="351"/>
  <c r="D167" i="351"/>
  <c r="D168" i="351"/>
  <c r="D169" i="351"/>
  <c r="D170" i="351"/>
  <c r="D171" i="351"/>
  <c r="D172" i="351"/>
  <c r="D173" i="351"/>
  <c r="D174" i="351"/>
  <c r="D175" i="351"/>
  <c r="D176" i="351"/>
  <c r="D177" i="351"/>
  <c r="D178" i="351"/>
  <c r="D179" i="351"/>
  <c r="D180" i="351"/>
  <c r="D181" i="351"/>
  <c r="D182" i="351"/>
  <c r="D183" i="351"/>
  <c r="D184" i="351"/>
  <c r="D185" i="351"/>
  <c r="D186" i="351"/>
  <c r="D187" i="351"/>
  <c r="D188" i="351"/>
  <c r="D189" i="351"/>
  <c r="D190" i="351"/>
  <c r="D191" i="351"/>
  <c r="D192" i="351"/>
  <c r="D193" i="351"/>
  <c r="D194" i="351"/>
  <c r="D195" i="351"/>
  <c r="D196" i="351"/>
  <c r="D197" i="351"/>
  <c r="D198" i="351"/>
  <c r="D199" i="351"/>
  <c r="D200" i="351"/>
  <c r="D201" i="351"/>
  <c r="D202" i="351"/>
  <c r="D203" i="351"/>
  <c r="D204" i="351"/>
  <c r="D205" i="351"/>
  <c r="D206" i="351"/>
  <c r="D207" i="351"/>
  <c r="D208" i="351"/>
  <c r="D209" i="351"/>
  <c r="D210" i="351"/>
  <c r="D211" i="351"/>
  <c r="D212" i="351"/>
  <c r="D213" i="351"/>
  <c r="D214" i="351"/>
  <c r="D215" i="351"/>
  <c r="D216" i="351"/>
  <c r="D217" i="351"/>
  <c r="D218" i="351"/>
  <c r="D219" i="351"/>
  <c r="D220" i="351"/>
  <c r="D221" i="351"/>
  <c r="D222" i="351"/>
  <c r="D223" i="351"/>
  <c r="D224" i="351"/>
  <c r="D225" i="351"/>
  <c r="D226" i="351"/>
  <c r="D227" i="351"/>
  <c r="D228" i="351"/>
  <c r="D229" i="351"/>
  <c r="D230" i="351"/>
  <c r="D231" i="351"/>
  <c r="D232" i="351"/>
  <c r="D233" i="351"/>
  <c r="D234" i="351"/>
  <c r="D235" i="351"/>
  <c r="D236" i="351"/>
  <c r="D237" i="351"/>
  <c r="D238" i="351"/>
  <c r="D239" i="351"/>
  <c r="D240" i="351"/>
  <c r="D241" i="351"/>
  <c r="D242" i="351"/>
  <c r="D243" i="351"/>
  <c r="D244" i="351"/>
  <c r="D245" i="351"/>
  <c r="D246" i="351"/>
  <c r="D247" i="351"/>
  <c r="D248" i="351"/>
  <c r="D249" i="351"/>
  <c r="D250" i="351"/>
  <c r="D251" i="351"/>
  <c r="D252" i="351"/>
  <c r="D253" i="351"/>
  <c r="D254" i="351"/>
  <c r="D255" i="351"/>
  <c r="D256" i="351"/>
  <c r="D257" i="351"/>
  <c r="D258" i="351"/>
  <c r="D259" i="351"/>
  <c r="D260" i="351"/>
  <c r="D261" i="351"/>
  <c r="D262" i="351"/>
  <c r="D263" i="351"/>
  <c r="D264" i="351"/>
  <c r="D265" i="351"/>
  <c r="D266" i="351"/>
  <c r="D267" i="351"/>
  <c r="D268" i="351"/>
  <c r="D269" i="351"/>
  <c r="D270" i="351"/>
  <c r="D271" i="351"/>
  <c r="D272" i="351"/>
  <c r="D273" i="351"/>
  <c r="D274" i="351"/>
  <c r="D275" i="351"/>
  <c r="D276" i="351"/>
  <c r="D277" i="351"/>
  <c r="D278" i="351"/>
  <c r="D279" i="351"/>
  <c r="D280" i="351"/>
  <c r="D281" i="351"/>
  <c r="D282" i="351"/>
  <c r="D283" i="351"/>
  <c r="D284" i="351"/>
  <c r="D285" i="351"/>
  <c r="D286" i="351"/>
  <c r="D287" i="351"/>
  <c r="D288" i="351"/>
  <c r="D289" i="351"/>
  <c r="D290" i="351"/>
  <c r="D291" i="351"/>
  <c r="D292" i="351"/>
  <c r="D293" i="351"/>
  <c r="D294" i="351"/>
  <c r="D295" i="351"/>
  <c r="D296" i="351"/>
  <c r="D297" i="351"/>
  <c r="D298" i="351"/>
  <c r="D299" i="351"/>
  <c r="D300" i="351"/>
  <c r="D301" i="351"/>
  <c r="D302" i="351"/>
  <c r="D303" i="351"/>
  <c r="D304" i="351"/>
  <c r="D305" i="351"/>
  <c r="D306" i="351"/>
  <c r="D307" i="351"/>
  <c r="D308" i="351"/>
  <c r="D309" i="351"/>
  <c r="D310" i="351"/>
  <c r="D311" i="351"/>
  <c r="D312" i="351"/>
  <c r="D313" i="351"/>
  <c r="D314" i="351"/>
  <c r="D315" i="351"/>
  <c r="D316" i="351"/>
  <c r="D317" i="351"/>
  <c r="D318" i="351"/>
  <c r="D319" i="351"/>
  <c r="D320" i="351"/>
  <c r="D321" i="351"/>
  <c r="D322" i="351"/>
  <c r="D323" i="351"/>
  <c r="D324" i="351"/>
  <c r="D325" i="351"/>
  <c r="D326" i="351"/>
  <c r="D327" i="351"/>
  <c r="D328" i="351"/>
  <c r="D329" i="351"/>
  <c r="D330" i="351"/>
  <c r="D331" i="351"/>
  <c r="D332" i="351"/>
  <c r="D333" i="351"/>
  <c r="D334" i="351"/>
  <c r="D335" i="351"/>
  <c r="D336" i="351"/>
  <c r="D337" i="351"/>
  <c r="D338" i="351"/>
  <c r="D339" i="351"/>
  <c r="D340" i="351"/>
  <c r="D341" i="351"/>
  <c r="D342" i="351"/>
  <c r="D343" i="351"/>
  <c r="D344" i="351"/>
  <c r="D345" i="351"/>
  <c r="D346" i="351"/>
  <c r="D347" i="351"/>
  <c r="D348" i="351"/>
  <c r="D349" i="351"/>
  <c r="D350" i="351"/>
  <c r="D351" i="351"/>
  <c r="D352" i="351"/>
  <c r="D353" i="351"/>
  <c r="D354" i="351"/>
  <c r="D355" i="351"/>
  <c r="D356" i="351"/>
  <c r="D357" i="351"/>
  <c r="D358" i="351"/>
  <c r="D359" i="351"/>
  <c r="D360" i="351"/>
  <c r="D361" i="351"/>
  <c r="D362" i="351"/>
  <c r="D363" i="351"/>
  <c r="D364" i="351"/>
  <c r="D365" i="351"/>
  <c r="D366" i="351"/>
  <c r="D367" i="351"/>
  <c r="D368" i="351"/>
  <c r="D369" i="351"/>
  <c r="D370" i="351"/>
  <c r="D371" i="351"/>
  <c r="D372" i="351"/>
  <c r="D373" i="351"/>
  <c r="D374" i="351"/>
  <c r="D375" i="351"/>
  <c r="D376" i="351"/>
  <c r="D377" i="351"/>
  <c r="D378" i="351"/>
  <c r="D379" i="351"/>
  <c r="D380" i="351"/>
  <c r="D381" i="351"/>
  <c r="D382" i="351"/>
  <c r="D383" i="351"/>
  <c r="D384" i="351"/>
  <c r="D385" i="351"/>
  <c r="D386" i="351"/>
  <c r="D387" i="351"/>
  <c r="D388" i="351"/>
  <c r="D389" i="351"/>
  <c r="D390" i="351"/>
  <c r="D391" i="351"/>
  <c r="D392" i="351"/>
  <c r="D393" i="351"/>
  <c r="D394" i="351"/>
  <c r="D395" i="351"/>
  <c r="D396" i="351"/>
  <c r="D397" i="351"/>
  <c r="D398" i="351"/>
  <c r="D399" i="351"/>
  <c r="D400" i="351"/>
  <c r="D401" i="351"/>
  <c r="D402" i="351"/>
  <c r="D403" i="351"/>
  <c r="D404" i="351"/>
  <c r="D405" i="351"/>
  <c r="D406" i="351"/>
  <c r="D407" i="351"/>
  <c r="D408" i="351"/>
  <c r="D409" i="351"/>
  <c r="D410" i="351"/>
  <c r="D411" i="351"/>
  <c r="D412" i="351"/>
  <c r="D413" i="351"/>
  <c r="D414" i="351"/>
  <c r="D415" i="351"/>
  <c r="D416" i="351"/>
  <c r="D417" i="351"/>
  <c r="D418" i="351"/>
  <c r="D419" i="351"/>
  <c r="D420" i="351"/>
  <c r="D421" i="351"/>
  <c r="D422" i="351"/>
  <c r="D423" i="351"/>
  <c r="D424" i="351"/>
  <c r="D425" i="351"/>
  <c r="D426" i="351"/>
  <c r="D427" i="351"/>
  <c r="D428" i="351"/>
  <c r="D429" i="351"/>
  <c r="D430" i="351"/>
  <c r="D431" i="351"/>
  <c r="D432" i="351"/>
  <c r="D433" i="351"/>
  <c r="D434" i="351"/>
  <c r="D435" i="351"/>
  <c r="D436" i="351"/>
  <c r="D437" i="351"/>
  <c r="D438" i="351"/>
  <c r="D439" i="351"/>
  <c r="D440" i="351"/>
  <c r="D441" i="351"/>
  <c r="D442" i="351"/>
  <c r="D443" i="351"/>
  <c r="D444" i="351"/>
  <c r="D445" i="351"/>
  <c r="D446" i="351"/>
  <c r="D447" i="351"/>
  <c r="D448" i="351"/>
  <c r="D449" i="351"/>
  <c r="D450" i="351"/>
  <c r="D451" i="351"/>
  <c r="D452" i="351"/>
  <c r="D453" i="351"/>
  <c r="D454" i="351"/>
  <c r="D455" i="351"/>
  <c r="D456" i="351"/>
  <c r="D457" i="351"/>
  <c r="D458" i="351"/>
  <c r="D459" i="351"/>
  <c r="D460" i="351"/>
  <c r="D461" i="351"/>
  <c r="D462" i="351"/>
  <c r="D463" i="351"/>
  <c r="D464" i="351"/>
  <c r="D465" i="351"/>
  <c r="D466" i="351"/>
  <c r="D467" i="351"/>
  <c r="D468" i="351"/>
  <c r="D469" i="351"/>
  <c r="D470" i="351"/>
  <c r="D471" i="351"/>
  <c r="D472" i="351"/>
  <c r="D473" i="351"/>
  <c r="D474" i="351"/>
  <c r="D475" i="351"/>
  <c r="D476" i="351"/>
  <c r="D477" i="351"/>
  <c r="D478" i="351"/>
  <c r="D479" i="351"/>
  <c r="D480" i="351"/>
  <c r="D481" i="351"/>
  <c r="D482" i="351"/>
  <c r="D483" i="351"/>
  <c r="D484" i="351"/>
  <c r="D485" i="351"/>
  <c r="D486" i="351"/>
  <c r="D487" i="351"/>
  <c r="D488" i="351"/>
  <c r="D489" i="351"/>
  <c r="D490" i="351"/>
  <c r="D491" i="351"/>
  <c r="D492" i="351"/>
  <c r="D493" i="351"/>
  <c r="D494" i="351"/>
  <c r="D495" i="351"/>
  <c r="D496" i="351"/>
  <c r="D497" i="351"/>
  <c r="D498" i="351"/>
  <c r="D499" i="351"/>
  <c r="D500" i="351"/>
  <c r="D501" i="351"/>
  <c r="D502" i="351"/>
  <c r="D503" i="351"/>
  <c r="D504" i="351"/>
  <c r="D505" i="351"/>
  <c r="D506" i="351"/>
  <c r="D507" i="351"/>
  <c r="D508" i="351"/>
  <c r="D509" i="351"/>
  <c r="D510" i="351"/>
  <c r="D511" i="351"/>
  <c r="D512" i="351"/>
  <c r="D513" i="351"/>
  <c r="D514" i="351"/>
  <c r="D515" i="351"/>
  <c r="D516" i="351"/>
  <c r="D517" i="351"/>
  <c r="D518" i="351"/>
  <c r="D519" i="351"/>
  <c r="D520" i="351"/>
  <c r="D521" i="351"/>
  <c r="D522" i="351"/>
  <c r="D523" i="351"/>
  <c r="D524" i="351"/>
  <c r="D525" i="351"/>
  <c r="D526" i="351"/>
  <c r="D527" i="351"/>
  <c r="D528" i="351"/>
  <c r="D529" i="351"/>
  <c r="D530" i="351"/>
  <c r="D531" i="351"/>
  <c r="D532" i="351"/>
  <c r="D533" i="351"/>
  <c r="D534" i="351"/>
  <c r="D535" i="351"/>
  <c r="D536" i="351"/>
  <c r="D537" i="351"/>
  <c r="D538" i="351"/>
  <c r="D539" i="351"/>
  <c r="D540" i="351"/>
  <c r="D541" i="351"/>
  <c r="D542" i="351"/>
  <c r="D543" i="351"/>
  <c r="D544" i="351"/>
  <c r="D545" i="351"/>
  <c r="D546" i="351"/>
  <c r="D547" i="351"/>
  <c r="D548" i="351"/>
  <c r="D549" i="351"/>
  <c r="D550" i="351"/>
  <c r="D551" i="351"/>
  <c r="D552" i="351"/>
  <c r="D553" i="351"/>
  <c r="D554" i="351"/>
  <c r="D555" i="351"/>
  <c r="D556" i="351"/>
  <c r="D557" i="351"/>
  <c r="D558" i="351"/>
  <c r="D559" i="351"/>
  <c r="D560" i="351"/>
  <c r="D561" i="351"/>
  <c r="D562" i="351"/>
  <c r="D563" i="351"/>
  <c r="D564" i="351"/>
  <c r="D565" i="351"/>
  <c r="D566" i="351"/>
  <c r="D567" i="351"/>
  <c r="D568" i="351"/>
  <c r="D569" i="351"/>
  <c r="D570" i="351"/>
  <c r="D571" i="351"/>
  <c r="D572" i="351"/>
  <c r="D573" i="351"/>
  <c r="D574" i="351"/>
  <c r="D575" i="351"/>
  <c r="D576" i="351"/>
  <c r="D577" i="351"/>
  <c r="D578" i="351"/>
  <c r="D579" i="351"/>
  <c r="D580" i="351"/>
  <c r="D581" i="351"/>
  <c r="D582" i="351"/>
  <c r="D583" i="351"/>
  <c r="D584" i="351"/>
  <c r="D585" i="351"/>
  <c r="D586" i="351"/>
  <c r="D587" i="351"/>
  <c r="D588" i="351"/>
  <c r="D589" i="351"/>
  <c r="D590" i="351"/>
  <c r="D591" i="351"/>
  <c r="D592" i="351"/>
  <c r="D593" i="351"/>
  <c r="D594" i="351"/>
  <c r="D595" i="351"/>
  <c r="D596" i="351"/>
  <c r="D597" i="351"/>
  <c r="D598" i="351"/>
  <c r="D599" i="351"/>
  <c r="D600" i="351"/>
  <c r="D601" i="351"/>
  <c r="D602" i="351"/>
  <c r="D603" i="351"/>
  <c r="D604" i="351"/>
  <c r="D605" i="351"/>
  <c r="D606" i="351"/>
  <c r="D607" i="351"/>
  <c r="D608" i="351"/>
  <c r="D609" i="351"/>
  <c r="D610" i="351"/>
  <c r="D611" i="351"/>
  <c r="D612" i="351"/>
  <c r="D613" i="351"/>
  <c r="D614" i="351"/>
  <c r="D615" i="351"/>
  <c r="D616" i="351"/>
  <c r="D617" i="351"/>
  <c r="D618" i="351"/>
  <c r="D619" i="351"/>
  <c r="D620" i="351"/>
  <c r="D621" i="351"/>
  <c r="D622" i="351"/>
  <c r="D623" i="351"/>
  <c r="D624" i="351"/>
  <c r="D625" i="351"/>
  <c r="D626" i="351"/>
  <c r="D627" i="351"/>
  <c r="D628" i="351"/>
  <c r="D629" i="351"/>
  <c r="D630" i="351"/>
  <c r="D631" i="351"/>
  <c r="D632" i="351"/>
  <c r="D633" i="351"/>
  <c r="D634" i="351"/>
  <c r="D635" i="351"/>
  <c r="D636" i="351"/>
  <c r="D637" i="351"/>
  <c r="D638" i="351"/>
  <c r="D639" i="351"/>
  <c r="D640" i="351"/>
  <c r="D641" i="351"/>
  <c r="D642" i="351"/>
  <c r="D643" i="351"/>
  <c r="D644" i="351"/>
  <c r="D645" i="351"/>
  <c r="D646" i="351"/>
  <c r="D647" i="351"/>
  <c r="D648" i="351"/>
  <c r="D649" i="351"/>
  <c r="D650" i="351"/>
  <c r="D651" i="351"/>
  <c r="D652" i="351"/>
  <c r="D653" i="351"/>
  <c r="D654" i="351"/>
  <c r="D655" i="351"/>
  <c r="D656" i="351"/>
  <c r="D657" i="351"/>
  <c r="D658" i="351"/>
  <c r="D659" i="351"/>
  <c r="D660" i="351"/>
  <c r="D661" i="351"/>
  <c r="D662" i="351"/>
  <c r="D663" i="351"/>
  <c r="D664" i="351"/>
  <c r="D665" i="351"/>
  <c r="D666" i="351"/>
  <c r="D667" i="351"/>
  <c r="D668" i="351"/>
  <c r="D669" i="351"/>
  <c r="D670" i="351"/>
  <c r="D671" i="351"/>
  <c r="D672" i="351"/>
  <c r="D673" i="351"/>
  <c r="D674" i="351"/>
  <c r="D675" i="351"/>
  <c r="D676" i="351"/>
  <c r="D677" i="351"/>
  <c r="D678" i="351"/>
  <c r="D679" i="351"/>
  <c r="D680" i="351"/>
  <c r="D681" i="351"/>
  <c r="D682" i="351"/>
  <c r="D683" i="351"/>
  <c r="D684" i="351"/>
  <c r="D685" i="351"/>
  <c r="D686" i="351"/>
  <c r="D687" i="351"/>
  <c r="D688" i="351"/>
  <c r="D689" i="351"/>
  <c r="D690" i="351"/>
  <c r="D691" i="351"/>
  <c r="D692" i="351"/>
  <c r="D693" i="351"/>
  <c r="D694" i="351"/>
  <c r="D695" i="351"/>
  <c r="D696" i="351"/>
  <c r="D697" i="351"/>
  <c r="D698" i="351"/>
  <c r="D699" i="351"/>
  <c r="D700" i="351"/>
  <c r="D701" i="351"/>
  <c r="D702" i="351"/>
  <c r="D703" i="351"/>
  <c r="D704" i="351"/>
  <c r="D705" i="351"/>
  <c r="D706" i="351"/>
  <c r="D707" i="351"/>
  <c r="D708" i="351"/>
  <c r="D709" i="351"/>
  <c r="D710" i="351"/>
  <c r="D711" i="351"/>
  <c r="D712" i="351"/>
  <c r="D713" i="351"/>
  <c r="D714" i="351"/>
  <c r="D715" i="351"/>
  <c r="D716" i="351"/>
  <c r="D717" i="351"/>
  <c r="D718" i="351"/>
  <c r="D719" i="351"/>
  <c r="D720" i="351"/>
  <c r="D721" i="351"/>
  <c r="D722" i="351"/>
  <c r="D723" i="351"/>
  <c r="D724" i="351"/>
  <c r="D725" i="351"/>
  <c r="D726" i="351"/>
  <c r="D727" i="351"/>
  <c r="D728" i="351"/>
  <c r="D729" i="351"/>
  <c r="D730" i="351"/>
  <c r="D731" i="351"/>
  <c r="D732" i="351"/>
  <c r="D733" i="351"/>
  <c r="D734" i="351"/>
  <c r="D735" i="351"/>
  <c r="D736" i="351"/>
  <c r="D737" i="351"/>
  <c r="D738" i="351"/>
  <c r="D739" i="351"/>
  <c r="D740" i="351"/>
  <c r="D741" i="351"/>
  <c r="D742" i="351"/>
  <c r="D743" i="351"/>
  <c r="D744" i="351"/>
  <c r="D745" i="351"/>
  <c r="D746" i="351"/>
  <c r="D747" i="351"/>
  <c r="D748" i="351"/>
  <c r="D749" i="351"/>
  <c r="D750" i="351"/>
  <c r="D751" i="351"/>
  <c r="D752" i="351"/>
  <c r="D753" i="351"/>
  <c r="D754" i="351"/>
  <c r="D755" i="351"/>
  <c r="D756" i="351"/>
  <c r="D757" i="351"/>
  <c r="D758" i="351"/>
  <c r="D759" i="351"/>
  <c r="D760" i="351"/>
  <c r="D761" i="351"/>
  <c r="D762" i="351"/>
  <c r="D763" i="351"/>
  <c r="D764" i="351"/>
  <c r="D765" i="351"/>
  <c r="D766" i="351"/>
  <c r="D767" i="351"/>
  <c r="D768" i="351"/>
  <c r="D769" i="351"/>
  <c r="D770" i="351"/>
  <c r="D771" i="351"/>
  <c r="D772" i="351"/>
  <c r="D773" i="351"/>
  <c r="D774" i="351"/>
  <c r="D775" i="351"/>
  <c r="D776" i="351"/>
  <c r="D777" i="351"/>
  <c r="D778" i="351"/>
  <c r="D779" i="351"/>
  <c r="D780" i="351"/>
  <c r="D781" i="351"/>
  <c r="D782" i="351"/>
  <c r="D783" i="351"/>
  <c r="D784" i="351"/>
  <c r="D785" i="351"/>
  <c r="D786" i="351"/>
  <c r="D787" i="351"/>
  <c r="D788" i="351"/>
  <c r="D789" i="351"/>
  <c r="D790" i="351"/>
  <c r="D791" i="351"/>
  <c r="D792" i="351"/>
  <c r="D793" i="351"/>
  <c r="D794" i="351"/>
  <c r="D795" i="351"/>
  <c r="D796" i="351"/>
  <c r="D797" i="351"/>
  <c r="D798" i="351"/>
  <c r="D799" i="351"/>
  <c r="D800" i="351"/>
  <c r="D801" i="351"/>
  <c r="D802" i="351"/>
  <c r="D803" i="351"/>
  <c r="D804" i="351"/>
  <c r="D805" i="351"/>
  <c r="D806" i="351"/>
  <c r="D807" i="351"/>
  <c r="D808" i="351"/>
  <c r="D809" i="351"/>
  <c r="D810" i="351"/>
  <c r="D811" i="351"/>
  <c r="D812" i="351"/>
  <c r="D813" i="351"/>
  <c r="D814" i="351"/>
  <c r="D815" i="351"/>
  <c r="D816" i="351"/>
  <c r="D817" i="351"/>
  <c r="D818" i="351"/>
  <c r="D819" i="351"/>
  <c r="D820" i="351"/>
  <c r="D821" i="351"/>
  <c r="D822" i="351"/>
  <c r="D823" i="351"/>
  <c r="D824" i="351"/>
  <c r="D825" i="351"/>
  <c r="D826" i="351"/>
  <c r="D827" i="351"/>
  <c r="D828" i="351"/>
  <c r="D829" i="351"/>
  <c r="D830" i="351"/>
  <c r="D831" i="351"/>
  <c r="D832" i="351"/>
  <c r="D833" i="351"/>
  <c r="D834" i="351"/>
  <c r="D835" i="351"/>
  <c r="D836" i="351"/>
  <c r="D837" i="351"/>
  <c r="D838" i="351"/>
  <c r="D839" i="351"/>
  <c r="D840" i="351"/>
  <c r="D841" i="351"/>
  <c r="D842" i="351"/>
  <c r="D843" i="351"/>
  <c r="D844" i="351"/>
  <c r="D845" i="351"/>
  <c r="D846" i="351"/>
  <c r="D847" i="351"/>
  <c r="D848" i="351"/>
  <c r="D849" i="351"/>
  <c r="D850" i="351"/>
  <c r="D851" i="351"/>
  <c r="D852" i="351"/>
  <c r="D853" i="351"/>
  <c r="D854" i="351"/>
  <c r="D855" i="351"/>
  <c r="D856" i="351"/>
  <c r="D857" i="351"/>
  <c r="D858" i="351"/>
  <c r="D859" i="351"/>
  <c r="D860" i="351"/>
  <c r="D861" i="351"/>
  <c r="D862" i="351"/>
  <c r="D863" i="351"/>
  <c r="D864" i="351"/>
  <c r="D865" i="351"/>
  <c r="D866" i="351"/>
  <c r="D867" i="351"/>
  <c r="D868" i="351"/>
  <c r="D869" i="351"/>
  <c r="D870" i="351"/>
  <c r="D871" i="351"/>
  <c r="D872" i="351"/>
  <c r="D873" i="351"/>
  <c r="D874" i="351"/>
  <c r="D875" i="351"/>
  <c r="D876" i="351"/>
  <c r="D877" i="351"/>
  <c r="D878" i="351"/>
  <c r="I66" i="317" l="1"/>
  <c r="I69" i="317"/>
  <c r="I48" i="317"/>
  <c r="I222" i="329"/>
  <c r="I418" i="329"/>
  <c r="I602" i="329"/>
  <c r="I165" i="329"/>
  <c r="I398" i="329"/>
  <c r="I232" i="329"/>
  <c r="I431" i="329"/>
  <c r="I613" i="329"/>
  <c r="I155" i="329"/>
  <c r="I269" i="329"/>
  <c r="I455" i="329"/>
  <c r="I821" i="329"/>
  <c r="I282" i="329"/>
  <c r="I465" i="329"/>
  <c r="I113" i="329"/>
  <c r="I384" i="329"/>
  <c r="I248" i="329"/>
  <c r="I442" i="329"/>
  <c r="I789" i="329"/>
  <c r="I141" i="329"/>
  <c r="I130" i="329"/>
  <c r="I839" i="329"/>
  <c r="I297" i="329"/>
  <c r="I480" i="329"/>
  <c r="I854" i="329"/>
  <c r="I98" i="329"/>
  <c r="I89" i="329"/>
  <c r="I807" i="329"/>
  <c r="I367" i="329"/>
  <c r="I49" i="329"/>
  <c r="I588" i="329"/>
  <c r="I309" i="329"/>
  <c r="I496" i="329"/>
  <c r="I872" i="329"/>
  <c r="I526" i="329"/>
  <c r="I68" i="329"/>
  <c r="I539" i="329"/>
  <c r="I576" i="329"/>
  <c r="I327" i="329"/>
  <c r="I510" i="329"/>
  <c r="I891" i="329"/>
  <c r="I77" i="329"/>
  <c r="I352" i="329"/>
  <c r="I909" i="329"/>
  <c r="I12" i="329"/>
  <c r="I926" i="329"/>
  <c r="I558" i="329"/>
  <c r="I198" i="329"/>
  <c r="I209" i="329"/>
  <c r="I181" i="329"/>
  <c r="B3" i="309"/>
  <c r="B3" i="322"/>
  <c r="B3" i="329"/>
  <c r="B6" i="348"/>
  <c r="B5" i="345"/>
  <c r="B3" i="336"/>
  <c r="B3" i="317"/>
  <c r="B3" i="321"/>
  <c r="B3" i="247"/>
  <c r="B3" i="286"/>
  <c r="B3" i="324"/>
  <c r="B3" i="285"/>
  <c r="B3" i="284"/>
  <c r="B3" i="283"/>
  <c r="B3" i="301"/>
  <c r="D153" i="285" l="1"/>
  <c r="D84" i="352" l="1"/>
  <c r="F84" i="352"/>
  <c r="D66" i="352"/>
  <c r="F66" i="352"/>
  <c r="D83" i="352"/>
  <c r="F83" i="352"/>
  <c r="D85" i="352"/>
  <c r="F85" i="352"/>
  <c r="D86" i="352"/>
  <c r="F86" i="352"/>
  <c r="D79" i="352"/>
  <c r="F79" i="352"/>
  <c r="D78" i="352"/>
  <c r="F78" i="352"/>
  <c r="D80" i="352"/>
  <c r="F80" i="352"/>
  <c r="D81" i="352"/>
  <c r="F81" i="352"/>
  <c r="D74" i="352"/>
  <c r="F74" i="352"/>
  <c r="D68" i="352"/>
  <c r="F68" i="352"/>
  <c r="D69" i="352"/>
  <c r="F69" i="352"/>
  <c r="D70" i="352"/>
  <c r="F70" i="352"/>
  <c r="D71" i="352"/>
  <c r="F71" i="352"/>
  <c r="D62" i="352"/>
  <c r="F62" i="352"/>
  <c r="D63" i="352"/>
  <c r="F63" i="352"/>
  <c r="D64" i="352"/>
  <c r="F64" i="352"/>
  <c r="D65" i="352"/>
  <c r="F65" i="352"/>
  <c r="D57" i="352"/>
  <c r="F57" i="352"/>
  <c r="D58" i="352"/>
  <c r="F58" i="352"/>
  <c r="D59" i="352"/>
  <c r="F59" i="352"/>
  <c r="D60" i="352"/>
  <c r="F60" i="352"/>
  <c r="D52" i="352"/>
  <c r="F52" i="352"/>
  <c r="D53" i="352"/>
  <c r="F53" i="352"/>
  <c r="D54" i="352"/>
  <c r="F54" i="352"/>
  <c r="D55" i="352"/>
  <c r="F55" i="352"/>
  <c r="D47" i="352"/>
  <c r="F47" i="352"/>
  <c r="D48" i="352"/>
  <c r="F48" i="352"/>
  <c r="D49" i="352"/>
  <c r="F49" i="352"/>
  <c r="D50" i="352"/>
  <c r="F50" i="352"/>
  <c r="D42" i="352"/>
  <c r="F42" i="352"/>
  <c r="D43" i="352"/>
  <c r="F43" i="352"/>
  <c r="D44" i="352"/>
  <c r="F44" i="352"/>
  <c r="D45" i="352"/>
  <c r="F45" i="352"/>
  <c r="D37" i="352"/>
  <c r="F37" i="352"/>
  <c r="D38" i="352"/>
  <c r="F38" i="352"/>
  <c r="D39" i="352"/>
  <c r="F39" i="352"/>
  <c r="D40" i="352"/>
  <c r="F40" i="352"/>
  <c r="D32" i="352"/>
  <c r="F32" i="352"/>
  <c r="D33" i="352"/>
  <c r="F33" i="352"/>
  <c r="D34" i="352"/>
  <c r="F34" i="352"/>
  <c r="D35" i="352"/>
  <c r="F35" i="352"/>
  <c r="D46" i="352"/>
  <c r="F46" i="352"/>
  <c r="D51" i="352"/>
  <c r="F51" i="352"/>
  <c r="D56" i="352"/>
  <c r="F56" i="352"/>
  <c r="D61" i="352"/>
  <c r="F61" i="352"/>
  <c r="D31" i="352"/>
  <c r="F31" i="352"/>
  <c r="D36" i="352"/>
  <c r="F36" i="352"/>
  <c r="D41" i="352"/>
  <c r="F41" i="352"/>
  <c r="I30" i="352"/>
  <c r="I29" i="352"/>
  <c r="I28" i="352"/>
  <c r="I27" i="352"/>
  <c r="I26" i="352"/>
  <c r="I25" i="352"/>
  <c r="I24" i="352"/>
  <c r="I23" i="352"/>
  <c r="I22" i="352"/>
  <c r="I21" i="352"/>
  <c r="I20" i="352"/>
  <c r="I19" i="352"/>
  <c r="I18" i="352"/>
  <c r="I17" i="352"/>
  <c r="I6" i="352"/>
  <c r="D16" i="352" l="1"/>
  <c r="F16" i="352"/>
  <c r="F6" i="352"/>
  <c r="F7" i="352"/>
  <c r="F8" i="352"/>
  <c r="F9" i="352"/>
  <c r="F10" i="352"/>
  <c r="F11" i="352"/>
  <c r="F12" i="352"/>
  <c r="F13" i="352"/>
  <c r="F14" i="352"/>
  <c r="F15" i="352"/>
  <c r="F17" i="352"/>
  <c r="F18" i="352"/>
  <c r="F19" i="352"/>
  <c r="F20" i="352"/>
  <c r="F21" i="352"/>
  <c r="F22" i="352"/>
  <c r="F23" i="352"/>
  <c r="F24" i="352"/>
  <c r="F25" i="352"/>
  <c r="F26" i="352"/>
  <c r="F27" i="352"/>
  <c r="F28" i="352"/>
  <c r="F29" i="352"/>
  <c r="F30" i="352"/>
  <c r="F67" i="352"/>
  <c r="F72" i="352"/>
  <c r="F73" i="352"/>
  <c r="F75" i="352"/>
  <c r="F76" i="352"/>
  <c r="F77" i="352"/>
  <c r="F82" i="352"/>
  <c r="F87" i="352"/>
  <c r="F88" i="352"/>
  <c r="F89" i="352"/>
  <c r="F90" i="352"/>
  <c r="F91" i="352"/>
  <c r="F92" i="352"/>
  <c r="F93" i="352"/>
  <c r="F94" i="352"/>
  <c r="F95" i="352"/>
  <c r="F96" i="352"/>
  <c r="F97" i="352"/>
  <c r="F98" i="352"/>
  <c r="F99" i="352"/>
  <c r="F100" i="352"/>
  <c r="F101" i="352"/>
  <c r="F102" i="352"/>
  <c r="F103" i="352"/>
  <c r="F104" i="352"/>
  <c r="F105" i="352"/>
  <c r="F106" i="352"/>
  <c r="F107" i="352"/>
  <c r="F108" i="352"/>
  <c r="F109" i="352"/>
  <c r="F110" i="352"/>
  <c r="F111" i="352"/>
  <c r="F112" i="352"/>
  <c r="F113" i="352"/>
  <c r="F114" i="352"/>
  <c r="F115" i="352"/>
  <c r="F116" i="352"/>
  <c r="F117" i="352"/>
  <c r="F118" i="352"/>
  <c r="F119" i="352"/>
  <c r="F120" i="352"/>
  <c r="F121" i="352"/>
  <c r="F122" i="352"/>
  <c r="F123" i="352"/>
  <c r="F124" i="352"/>
  <c r="F125" i="352"/>
  <c r="F126" i="352"/>
  <c r="F127" i="352"/>
  <c r="F128" i="352"/>
  <c r="F129" i="352"/>
  <c r="F130" i="352"/>
  <c r="F131" i="352"/>
  <c r="F132" i="352"/>
  <c r="F133" i="352"/>
  <c r="F134" i="352"/>
  <c r="F135" i="352"/>
  <c r="F136" i="352"/>
  <c r="F137" i="352"/>
  <c r="F138" i="352"/>
  <c r="F139" i="352"/>
  <c r="F140" i="352"/>
  <c r="F141" i="352"/>
  <c r="F142" i="352"/>
  <c r="F143" i="352"/>
  <c r="F144" i="352"/>
  <c r="F145" i="352"/>
  <c r="F146" i="352"/>
  <c r="F147" i="352"/>
  <c r="F148" i="352"/>
  <c r="F149" i="352"/>
  <c r="F150" i="352"/>
  <c r="F151" i="352"/>
  <c r="F152" i="352"/>
  <c r="F153" i="352"/>
  <c r="F154" i="352"/>
  <c r="F155" i="352"/>
  <c r="F156" i="352"/>
  <c r="F157" i="352"/>
  <c r="F158" i="352"/>
  <c r="F159" i="352"/>
  <c r="F160" i="352"/>
  <c r="F161" i="352"/>
  <c r="F162" i="352"/>
  <c r="F163" i="352"/>
  <c r="F164" i="352"/>
  <c r="F165" i="352"/>
  <c r="F166" i="352"/>
  <c r="F167" i="352"/>
  <c r="F168" i="352"/>
  <c r="F169" i="352"/>
  <c r="F170" i="352"/>
  <c r="F171" i="352"/>
  <c r="F172" i="352"/>
  <c r="F173" i="352"/>
  <c r="F174" i="352"/>
  <c r="F175" i="352"/>
  <c r="F176" i="352"/>
  <c r="F177" i="352"/>
  <c r="F178" i="352"/>
  <c r="F179" i="352"/>
  <c r="F180" i="352"/>
  <c r="F181" i="352"/>
  <c r="F182" i="352"/>
  <c r="F183" i="352"/>
  <c r="F184" i="352"/>
  <c r="F185" i="352"/>
  <c r="F186" i="352"/>
  <c r="F187" i="352"/>
  <c r="F188" i="352"/>
  <c r="F189" i="352"/>
  <c r="F190" i="352"/>
  <c r="F191" i="352"/>
  <c r="F192" i="352"/>
  <c r="F193" i="352"/>
  <c r="F194" i="352"/>
  <c r="F195" i="352"/>
  <c r="F196" i="352"/>
  <c r="F197" i="352"/>
  <c r="F198" i="352"/>
  <c r="F199" i="352"/>
  <c r="F200" i="352"/>
  <c r="F201" i="352"/>
  <c r="F202" i="352"/>
  <c r="F203" i="352"/>
  <c r="F204" i="352"/>
  <c r="F205" i="352"/>
  <c r="F206" i="352"/>
  <c r="F207" i="352"/>
  <c r="F208" i="352"/>
  <c r="F209" i="352"/>
  <c r="F210" i="352"/>
  <c r="F211" i="352"/>
  <c r="F212" i="352"/>
  <c r="F213" i="352"/>
  <c r="F214" i="352"/>
  <c r="F215" i="352"/>
  <c r="F216" i="352"/>
  <c r="F217" i="352"/>
  <c r="F218" i="352"/>
  <c r="F219" i="352"/>
  <c r="F220" i="352"/>
  <c r="F221" i="352"/>
  <c r="F222" i="352"/>
  <c r="F223" i="352"/>
  <c r="F224" i="352"/>
  <c r="F225" i="352"/>
  <c r="F226" i="352"/>
  <c r="F227" i="352"/>
  <c r="F228" i="352"/>
  <c r="F229" i="352"/>
  <c r="F230" i="352"/>
  <c r="F231" i="352"/>
  <c r="F232" i="352"/>
  <c r="F233" i="352"/>
  <c r="F234" i="352"/>
  <c r="F235" i="352"/>
  <c r="F236" i="352"/>
  <c r="F237" i="352"/>
  <c r="F238" i="352"/>
  <c r="F239" i="352"/>
  <c r="F240" i="352"/>
  <c r="F241" i="352"/>
  <c r="F242" i="352"/>
  <c r="F243" i="352"/>
  <c r="F244" i="352"/>
  <c r="F245" i="352"/>
  <c r="F246" i="352"/>
  <c r="F247" i="352"/>
  <c r="F248" i="352"/>
  <c r="F249" i="352"/>
  <c r="F250" i="352"/>
  <c r="F251" i="352"/>
  <c r="F252" i="352"/>
  <c r="F253" i="352"/>
  <c r="F254" i="352"/>
  <c r="F255" i="352"/>
  <c r="F256" i="352"/>
  <c r="F257" i="352"/>
  <c r="F258" i="352"/>
  <c r="F259" i="352"/>
  <c r="F260" i="352"/>
  <c r="F261" i="352"/>
  <c r="F262" i="352"/>
  <c r="F263" i="352"/>
  <c r="F264" i="352"/>
  <c r="F265" i="352"/>
  <c r="F266" i="352"/>
  <c r="F267" i="352"/>
  <c r="F268" i="352"/>
  <c r="F269" i="352"/>
  <c r="F270" i="352"/>
  <c r="F271" i="352"/>
  <c r="F272" i="352"/>
  <c r="F273" i="352"/>
  <c r="F274" i="352"/>
  <c r="F275" i="352"/>
  <c r="F276" i="352"/>
  <c r="F277" i="352"/>
  <c r="F278" i="352"/>
  <c r="F279" i="352"/>
  <c r="F280" i="352"/>
  <c r="F281" i="352"/>
  <c r="F282" i="352"/>
  <c r="F283" i="352"/>
  <c r="F284" i="352"/>
  <c r="F285" i="352"/>
  <c r="F286" i="352"/>
  <c r="F287" i="352"/>
  <c r="F288" i="352"/>
  <c r="F289" i="352"/>
  <c r="F290" i="352"/>
  <c r="F291" i="352"/>
  <c r="F292" i="352"/>
  <c r="F293" i="352"/>
  <c r="F294" i="352"/>
  <c r="F295" i="352"/>
  <c r="F296" i="352"/>
  <c r="F297" i="352"/>
  <c r="F298" i="352"/>
  <c r="F299" i="352"/>
  <c r="F300" i="352"/>
  <c r="F301" i="352"/>
  <c r="F302" i="352"/>
  <c r="F303" i="352"/>
  <c r="F304" i="352"/>
  <c r="F305" i="352"/>
  <c r="F306" i="352"/>
  <c r="F307" i="352"/>
  <c r="F308" i="352"/>
  <c r="F309" i="352"/>
  <c r="F310" i="352"/>
  <c r="F311" i="352"/>
  <c r="F312" i="352"/>
  <c r="F313" i="352"/>
  <c r="F314" i="352"/>
  <c r="F315" i="352"/>
  <c r="F316" i="352"/>
  <c r="F317" i="352"/>
  <c r="F318" i="352"/>
  <c r="F319" i="352"/>
  <c r="F320" i="352"/>
  <c r="F321" i="352"/>
  <c r="F322" i="352"/>
  <c r="F323" i="352"/>
  <c r="F324" i="352"/>
  <c r="F325" i="352"/>
  <c r="F326" i="352"/>
  <c r="F327" i="352"/>
  <c r="F328" i="352"/>
  <c r="F329" i="352"/>
  <c r="F330" i="352"/>
  <c r="F331" i="352"/>
  <c r="F332" i="352"/>
  <c r="F333" i="352"/>
  <c r="F334" i="352"/>
  <c r="F335" i="352"/>
  <c r="F336" i="352"/>
  <c r="F337" i="352"/>
  <c r="F338" i="352"/>
  <c r="F339" i="352"/>
  <c r="F340" i="352"/>
  <c r="F341" i="352"/>
  <c r="F342" i="352"/>
  <c r="F343" i="352"/>
  <c r="F344" i="352"/>
  <c r="F345" i="352"/>
  <c r="F346" i="352"/>
  <c r="F347" i="352"/>
  <c r="F348" i="352"/>
  <c r="F349" i="352"/>
  <c r="F350" i="352"/>
  <c r="F351" i="352"/>
  <c r="F352" i="352"/>
  <c r="F353" i="352"/>
  <c r="F354" i="352"/>
  <c r="F355" i="352"/>
  <c r="F356" i="352"/>
  <c r="F357" i="352"/>
  <c r="F358" i="352"/>
  <c r="F359" i="352"/>
  <c r="F360" i="352"/>
  <c r="F361" i="352"/>
  <c r="F362" i="352"/>
  <c r="F363" i="352"/>
  <c r="F364" i="352"/>
  <c r="F365" i="352"/>
  <c r="F366" i="352"/>
  <c r="F367" i="352"/>
  <c r="F368" i="352"/>
  <c r="F369" i="352"/>
  <c r="F370" i="352"/>
  <c r="F371" i="352"/>
  <c r="F372" i="352"/>
  <c r="F373" i="352"/>
  <c r="F374" i="352"/>
  <c r="F375" i="352"/>
  <c r="F376" i="352"/>
  <c r="F377" i="352"/>
  <c r="F378" i="352"/>
  <c r="F379" i="352"/>
  <c r="F380" i="352"/>
  <c r="F381" i="352"/>
  <c r="F382" i="352"/>
  <c r="F383" i="352"/>
  <c r="F384" i="352"/>
  <c r="F385" i="352"/>
  <c r="F386" i="352"/>
  <c r="F387" i="352"/>
  <c r="F388" i="352"/>
  <c r="F389" i="352"/>
  <c r="F390" i="352"/>
  <c r="F391" i="352"/>
  <c r="F392" i="352"/>
  <c r="F393" i="352"/>
  <c r="F394" i="352"/>
  <c r="F395" i="352"/>
  <c r="F396" i="352"/>
  <c r="F397" i="352"/>
  <c r="F398" i="352"/>
  <c r="F399" i="352"/>
  <c r="F400" i="352"/>
  <c r="F401" i="352"/>
  <c r="F402" i="352"/>
  <c r="F403" i="352"/>
  <c r="F404" i="352"/>
  <c r="F405" i="352"/>
  <c r="F406" i="352"/>
  <c r="F407" i="352"/>
  <c r="F408" i="352"/>
  <c r="F409" i="352"/>
  <c r="F410" i="352"/>
  <c r="F411" i="352"/>
  <c r="F412" i="352"/>
  <c r="F413" i="352"/>
  <c r="F414" i="352"/>
  <c r="F415" i="352"/>
  <c r="F416" i="352"/>
  <c r="F417" i="352"/>
  <c r="F418" i="352"/>
  <c r="F419" i="352"/>
  <c r="F420" i="352"/>
  <c r="F421" i="352"/>
  <c r="F422" i="352"/>
  <c r="F423" i="352"/>
  <c r="F424" i="352"/>
  <c r="F425" i="352"/>
  <c r="F426" i="352"/>
  <c r="F427" i="352"/>
  <c r="F428" i="352"/>
  <c r="F429" i="352"/>
  <c r="F430" i="352"/>
  <c r="F431" i="352"/>
  <c r="F432" i="352"/>
  <c r="F433" i="352"/>
  <c r="F434" i="352"/>
  <c r="F435" i="352"/>
  <c r="F436" i="352"/>
  <c r="F437" i="352"/>
  <c r="F438" i="352"/>
  <c r="F439" i="352"/>
  <c r="F440" i="352"/>
  <c r="F441" i="352"/>
  <c r="F442" i="352"/>
  <c r="F443" i="352"/>
  <c r="F444" i="352"/>
  <c r="F445" i="352"/>
  <c r="F446" i="352"/>
  <c r="F447" i="352"/>
  <c r="F448" i="352"/>
  <c r="F449" i="352"/>
  <c r="F450" i="352"/>
  <c r="F451" i="352"/>
  <c r="F452" i="352"/>
  <c r="F453" i="352"/>
  <c r="F454" i="352"/>
  <c r="F455" i="352"/>
  <c r="F456" i="352"/>
  <c r="F457" i="352"/>
  <c r="F458" i="352"/>
  <c r="F459" i="352"/>
  <c r="F460" i="352"/>
  <c r="F461" i="352"/>
  <c r="F462" i="352"/>
  <c r="F463" i="352"/>
  <c r="F464" i="352"/>
  <c r="F465" i="352"/>
  <c r="F466" i="352"/>
  <c r="F467" i="352"/>
  <c r="F468" i="352"/>
  <c r="F469" i="352"/>
  <c r="F470" i="352"/>
  <c r="F471" i="352"/>
  <c r="F472" i="352"/>
  <c r="F473" i="352"/>
  <c r="F474" i="352"/>
  <c r="F475" i="352"/>
  <c r="F476" i="352"/>
  <c r="F477" i="352"/>
  <c r="F478" i="352"/>
  <c r="F479" i="352"/>
  <c r="F480" i="352"/>
  <c r="F481" i="352"/>
  <c r="F482" i="352"/>
  <c r="F483" i="352"/>
  <c r="F484" i="352"/>
  <c r="F485" i="352"/>
  <c r="F486" i="352"/>
  <c r="F487" i="352"/>
  <c r="F488" i="352"/>
  <c r="F489" i="352"/>
  <c r="F490" i="352"/>
  <c r="F491" i="352"/>
  <c r="F492" i="352"/>
  <c r="F493" i="352"/>
  <c r="F494" i="352"/>
  <c r="F495" i="352"/>
  <c r="F496" i="352"/>
  <c r="F497" i="352"/>
  <c r="F498" i="352"/>
  <c r="F499" i="352"/>
  <c r="F500" i="352"/>
  <c r="F501" i="352"/>
  <c r="F502" i="352"/>
  <c r="F503" i="352"/>
  <c r="F504" i="352"/>
  <c r="F505" i="352"/>
  <c r="F506" i="352"/>
  <c r="F507" i="352"/>
  <c r="F508" i="352"/>
  <c r="F509" i="352"/>
  <c r="F510" i="352"/>
  <c r="F511" i="352"/>
  <c r="F512" i="352"/>
  <c r="F513" i="352"/>
  <c r="F514" i="352"/>
  <c r="F515" i="352"/>
  <c r="F516" i="352"/>
  <c r="F517" i="352"/>
  <c r="F518" i="352"/>
  <c r="F519" i="352"/>
  <c r="F520" i="352"/>
  <c r="F521" i="352"/>
  <c r="F522" i="352"/>
  <c r="F523" i="352"/>
  <c r="F524" i="352"/>
  <c r="F525" i="352"/>
  <c r="F526" i="352"/>
  <c r="F527" i="352"/>
  <c r="F528" i="352"/>
  <c r="F529" i="352"/>
  <c r="F530" i="352"/>
  <c r="F531" i="352"/>
  <c r="F532" i="352"/>
  <c r="F533" i="352"/>
  <c r="F534" i="352"/>
  <c r="F535" i="352"/>
  <c r="F536" i="352"/>
  <c r="F537" i="352"/>
  <c r="F538" i="352"/>
  <c r="F539" i="352"/>
  <c r="F540" i="352"/>
  <c r="F541" i="352"/>
  <c r="F542" i="352"/>
  <c r="F543" i="352"/>
  <c r="F544" i="352"/>
  <c r="F545" i="352"/>
  <c r="F546" i="352"/>
  <c r="F547" i="352"/>
  <c r="F548" i="352"/>
  <c r="F549" i="352"/>
  <c r="F550" i="352"/>
  <c r="F551" i="352"/>
  <c r="F552" i="352"/>
  <c r="F553" i="352"/>
  <c r="F554" i="352"/>
  <c r="F555" i="352"/>
  <c r="F556" i="352"/>
  <c r="F557" i="352"/>
  <c r="F558" i="352"/>
  <c r="F559" i="352"/>
  <c r="F560" i="352"/>
  <c r="F561" i="352"/>
  <c r="F562" i="352"/>
  <c r="F563" i="352"/>
  <c r="F564" i="352"/>
  <c r="F565" i="352"/>
  <c r="F566" i="352"/>
  <c r="F567" i="352"/>
  <c r="F568" i="352"/>
  <c r="F569" i="352"/>
  <c r="F570" i="352"/>
  <c r="F571" i="352"/>
  <c r="F572" i="352"/>
  <c r="F573" i="352"/>
  <c r="F574" i="352"/>
  <c r="F575" i="352"/>
  <c r="F576" i="352"/>
  <c r="F577" i="352"/>
  <c r="F578" i="352"/>
  <c r="F579" i="352"/>
  <c r="F580" i="352"/>
  <c r="F581" i="352"/>
  <c r="F582" i="352"/>
  <c r="F583" i="352"/>
  <c r="F584" i="352"/>
  <c r="F585" i="352"/>
  <c r="F586" i="352"/>
  <c r="F587" i="352"/>
  <c r="F588" i="352"/>
  <c r="F589" i="352"/>
  <c r="F590" i="352"/>
  <c r="F591" i="352"/>
  <c r="F592" i="352"/>
  <c r="F593" i="352"/>
  <c r="F594" i="352"/>
  <c r="F595" i="352"/>
  <c r="F596" i="352"/>
  <c r="F597" i="352"/>
  <c r="F598" i="352"/>
  <c r="F599" i="352"/>
  <c r="F600" i="352"/>
  <c r="F601" i="352"/>
  <c r="F602" i="352"/>
  <c r="F603" i="352"/>
  <c r="F604" i="352"/>
  <c r="F605" i="352"/>
  <c r="F606" i="352"/>
  <c r="F607" i="352"/>
  <c r="F608" i="352"/>
  <c r="F609" i="352"/>
  <c r="F610" i="352"/>
  <c r="F611" i="352"/>
  <c r="F612" i="352"/>
  <c r="F613" i="352"/>
  <c r="F614" i="352"/>
  <c r="F615" i="352"/>
  <c r="F616" i="352"/>
  <c r="F617" i="352"/>
  <c r="F618" i="352"/>
  <c r="F619" i="352"/>
  <c r="F620" i="352"/>
  <c r="F621" i="352"/>
  <c r="F622" i="352"/>
  <c r="F623" i="352"/>
  <c r="F624" i="352"/>
  <c r="F625" i="352"/>
  <c r="F626" i="352"/>
  <c r="F627" i="352"/>
  <c r="F628" i="352"/>
  <c r="F629" i="352"/>
  <c r="F630" i="352"/>
  <c r="F631" i="352"/>
  <c r="F632" i="352"/>
  <c r="F633" i="352"/>
  <c r="F634" i="352"/>
  <c r="F635" i="352"/>
  <c r="F636" i="352"/>
  <c r="F637" i="352"/>
  <c r="F638" i="352"/>
  <c r="F639" i="352"/>
  <c r="F640" i="352"/>
  <c r="F641" i="352"/>
  <c r="F642" i="352"/>
  <c r="F643" i="352"/>
  <c r="F644" i="352"/>
  <c r="F645" i="352"/>
  <c r="F646" i="352"/>
  <c r="F647" i="352"/>
  <c r="F648" i="352"/>
  <c r="F649" i="352"/>
  <c r="F650" i="352"/>
  <c r="F651" i="352"/>
  <c r="F652" i="352"/>
  <c r="F653" i="352"/>
  <c r="F654" i="352"/>
  <c r="F655" i="352"/>
  <c r="F656" i="352"/>
  <c r="F657" i="352"/>
  <c r="F658" i="352"/>
  <c r="F659" i="352"/>
  <c r="F660" i="352"/>
  <c r="F661" i="352"/>
  <c r="F662" i="352"/>
  <c r="F663" i="352"/>
  <c r="F664" i="352"/>
  <c r="F665" i="352"/>
  <c r="F666" i="352"/>
  <c r="F667" i="352"/>
  <c r="F668" i="352"/>
  <c r="F669" i="352"/>
  <c r="D595" i="352" l="1"/>
  <c r="D594" i="352"/>
  <c r="D593" i="352"/>
  <c r="D208" i="352"/>
  <c r="D207" i="352"/>
  <c r="D206" i="352"/>
  <c r="D205" i="352"/>
  <c r="D204" i="352"/>
  <c r="D203" i="352"/>
  <c r="D202" i="352"/>
  <c r="D201" i="352"/>
  <c r="D200" i="352"/>
  <c r="D199" i="352"/>
  <c r="D198" i="352"/>
  <c r="D197" i="352"/>
  <c r="D196" i="352"/>
  <c r="D195" i="352"/>
  <c r="D194" i="352"/>
  <c r="D193" i="352"/>
  <c r="D192" i="352"/>
  <c r="D191" i="352"/>
  <c r="D190" i="352"/>
  <c r="D189" i="352"/>
  <c r="D188" i="352"/>
  <c r="D187" i="352"/>
  <c r="D186" i="352"/>
  <c r="D185" i="352"/>
  <c r="D184" i="352"/>
  <c r="D183" i="352"/>
  <c r="D182" i="352"/>
  <c r="D181" i="352"/>
  <c r="D180" i="352"/>
  <c r="D179" i="352"/>
  <c r="D178" i="352"/>
  <c r="D177" i="352"/>
  <c r="D176" i="352"/>
  <c r="D175" i="352"/>
  <c r="D174" i="352"/>
  <c r="D173" i="352"/>
  <c r="D172" i="352"/>
  <c r="D171" i="352"/>
  <c r="D170" i="352"/>
  <c r="D169" i="352"/>
  <c r="D168" i="352"/>
  <c r="D167" i="352"/>
  <c r="D166" i="352"/>
  <c r="D165" i="352"/>
  <c r="D164" i="352"/>
  <c r="D163" i="352"/>
  <c r="D162" i="352"/>
  <c r="D161" i="352"/>
  <c r="D160" i="352"/>
  <c r="D159" i="352"/>
  <c r="D158" i="352"/>
  <c r="D157" i="352"/>
  <c r="D156" i="352"/>
  <c r="D155" i="352"/>
  <c r="D154" i="352"/>
  <c r="D153" i="352"/>
  <c r="D152" i="352"/>
  <c r="D151" i="352"/>
  <c r="D150" i="352"/>
  <c r="D149" i="352"/>
  <c r="D148" i="352"/>
  <c r="D147" i="352"/>
  <c r="D146" i="352"/>
  <c r="D145" i="352"/>
  <c r="D144" i="352"/>
  <c r="D143" i="352"/>
  <c r="D142" i="352"/>
  <c r="D141" i="352"/>
  <c r="D140" i="352"/>
  <c r="D139" i="352"/>
  <c r="D138" i="352"/>
  <c r="D137" i="352"/>
  <c r="D136" i="352"/>
  <c r="D135" i="352"/>
  <c r="D134" i="352"/>
  <c r="D130" i="352"/>
  <c r="D129" i="352"/>
  <c r="D131" i="352"/>
  <c r="D133" i="352"/>
  <c r="D128" i="352"/>
  <c r="D127" i="352"/>
  <c r="D126" i="352"/>
  <c r="D125" i="352"/>
  <c r="D124" i="352"/>
  <c r="D123" i="352"/>
  <c r="D122" i="352"/>
  <c r="D121" i="352"/>
  <c r="D120" i="352"/>
  <c r="D119" i="352"/>
  <c r="D118" i="352"/>
  <c r="D117" i="352"/>
  <c r="D116" i="352"/>
  <c r="D115" i="352"/>
  <c r="D114" i="352"/>
  <c r="D113" i="352"/>
  <c r="D112" i="352"/>
  <c r="D111" i="352"/>
  <c r="D110" i="352"/>
  <c r="D109" i="352"/>
  <c r="D108" i="352"/>
  <c r="D107" i="352"/>
  <c r="D106" i="352"/>
  <c r="D105" i="352"/>
  <c r="D104" i="352"/>
  <c r="D103" i="352"/>
  <c r="D102" i="352"/>
  <c r="D101" i="352"/>
  <c r="D100" i="352"/>
  <c r="D99" i="352"/>
  <c r="D98" i="352"/>
  <c r="D97" i="352"/>
  <c r="D96" i="352"/>
  <c r="D95" i="352"/>
  <c r="D94" i="352"/>
  <c r="D89" i="352"/>
  <c r="D91" i="352"/>
  <c r="D90" i="352"/>
  <c r="D93" i="352"/>
  <c r="D556" i="352"/>
  <c r="D555" i="352"/>
  <c r="D554" i="352"/>
  <c r="D553" i="352"/>
  <c r="D552" i="352"/>
  <c r="D551" i="352"/>
  <c r="D550" i="352"/>
  <c r="D549" i="352"/>
  <c r="D548" i="352"/>
  <c r="D547" i="352"/>
  <c r="D546" i="352"/>
  <c r="D545" i="352"/>
  <c r="D544" i="352"/>
  <c r="D543" i="352"/>
  <c r="D542" i="352"/>
  <c r="D541" i="352"/>
  <c r="D540" i="352"/>
  <c r="D539" i="352"/>
  <c r="D538" i="352"/>
  <c r="D537" i="352"/>
  <c r="D536" i="352"/>
  <c r="D535" i="352"/>
  <c r="D534" i="352"/>
  <c r="D533" i="352"/>
  <c r="D460" i="352"/>
  <c r="D459" i="352"/>
  <c r="D458" i="352"/>
  <c r="D457" i="352"/>
  <c r="D456" i="352"/>
  <c r="D455" i="352"/>
  <c r="D454" i="352"/>
  <c r="D453" i="352"/>
  <c r="D452" i="352"/>
  <c r="D451" i="352"/>
  <c r="D450" i="352"/>
  <c r="D449" i="352"/>
  <c r="D448" i="352"/>
  <c r="D447" i="352"/>
  <c r="D446" i="352"/>
  <c r="D445" i="352"/>
  <c r="D444" i="352"/>
  <c r="D443" i="352"/>
  <c r="D442" i="352"/>
  <c r="D441" i="352"/>
  <c r="D440" i="352"/>
  <c r="D439" i="352"/>
  <c r="D438" i="352"/>
  <c r="D437" i="352"/>
  <c r="D364" i="352"/>
  <c r="D363" i="352"/>
  <c r="D362" i="352"/>
  <c r="D361" i="352"/>
  <c r="D360" i="352"/>
  <c r="D359" i="352"/>
  <c r="D358" i="352"/>
  <c r="D357" i="352"/>
  <c r="D356" i="352"/>
  <c r="D355" i="352"/>
  <c r="D354" i="352"/>
  <c r="D353" i="352"/>
  <c r="D352" i="352"/>
  <c r="D351" i="352"/>
  <c r="D350" i="352"/>
  <c r="D349" i="352"/>
  <c r="D348" i="352"/>
  <c r="D347" i="352"/>
  <c r="D346" i="352"/>
  <c r="D345" i="352"/>
  <c r="D344" i="352"/>
  <c r="D343" i="352"/>
  <c r="D342" i="352"/>
  <c r="D341" i="352"/>
  <c r="D268" i="352"/>
  <c r="D267" i="352"/>
  <c r="D266" i="352"/>
  <c r="D265" i="352"/>
  <c r="D264" i="352"/>
  <c r="D263" i="352"/>
  <c r="D262" i="352"/>
  <c r="D261" i="352"/>
  <c r="D260" i="352"/>
  <c r="D259" i="352"/>
  <c r="D258" i="352"/>
  <c r="D257" i="352"/>
  <c r="D256" i="352"/>
  <c r="D255" i="352"/>
  <c r="D254" i="352"/>
  <c r="D253" i="352"/>
  <c r="D252" i="352"/>
  <c r="D251" i="352"/>
  <c r="D250" i="352"/>
  <c r="D249" i="352"/>
  <c r="D248" i="352"/>
  <c r="D247" i="352"/>
  <c r="D246" i="352"/>
  <c r="D245" i="352"/>
  <c r="D132" i="352"/>
  <c r="D649" i="352"/>
  <c r="D648" i="352"/>
  <c r="D647" i="352"/>
  <c r="D646" i="352"/>
  <c r="D641" i="352"/>
  <c r="D640" i="352"/>
  <c r="D645" i="352"/>
  <c r="D644" i="352"/>
  <c r="D643" i="352"/>
  <c r="D642" i="352"/>
  <c r="D639" i="352"/>
  <c r="D638" i="352"/>
  <c r="D637" i="352"/>
  <c r="D636" i="352"/>
  <c r="D635" i="352"/>
  <c r="D634" i="352"/>
  <c r="D633" i="352"/>
  <c r="D632" i="352"/>
  <c r="D631" i="352"/>
  <c r="D630" i="352"/>
  <c r="D629" i="352"/>
  <c r="D628" i="352"/>
  <c r="D627" i="352"/>
  <c r="D626" i="352"/>
  <c r="D625" i="352"/>
  <c r="D624" i="352"/>
  <c r="D621" i="352"/>
  <c r="D620" i="352"/>
  <c r="D623" i="352"/>
  <c r="D622" i="352"/>
  <c r="D619" i="352"/>
  <c r="D618" i="352"/>
  <c r="D617" i="352"/>
  <c r="D616" i="352"/>
  <c r="D611" i="352"/>
  <c r="D610" i="352"/>
  <c r="D613" i="352"/>
  <c r="D612" i="352"/>
  <c r="D614" i="352"/>
  <c r="D615" i="352"/>
  <c r="D607" i="352"/>
  <c r="D606" i="352"/>
  <c r="D608" i="352"/>
  <c r="D602" i="352"/>
  <c r="D603" i="352"/>
  <c r="D604" i="352"/>
  <c r="D605" i="352"/>
  <c r="D609" i="352"/>
  <c r="D597" i="352" l="1"/>
  <c r="D598" i="352"/>
  <c r="D599" i="352"/>
  <c r="D600" i="352"/>
  <c r="D601" i="352"/>
  <c r="D596" i="352"/>
  <c r="D67" i="352"/>
  <c r="D72" i="352"/>
  <c r="D73" i="352"/>
  <c r="D75" i="352"/>
  <c r="D76" i="352"/>
  <c r="D77" i="352"/>
  <c r="D82" i="352"/>
  <c r="D87" i="352"/>
  <c r="D92" i="352"/>
  <c r="D88" i="352"/>
  <c r="D30" i="352" l="1"/>
  <c r="D29" i="352"/>
  <c r="D27" i="352"/>
  <c r="D28" i="352"/>
  <c r="D24" i="352"/>
  <c r="D23" i="352"/>
  <c r="D25" i="352"/>
  <c r="D26" i="352"/>
  <c r="D19" i="352"/>
  <c r="D14" i="352"/>
  <c r="D15" i="352"/>
  <c r="D17" i="352"/>
  <c r="D18" i="352"/>
  <c r="D20" i="352"/>
  <c r="D400" i="352"/>
  <c r="D399" i="352"/>
  <c r="D398" i="352"/>
  <c r="D397" i="352"/>
  <c r="D396" i="352"/>
  <c r="D395" i="352"/>
  <c r="D394" i="352"/>
  <c r="D393" i="352"/>
  <c r="D392" i="352"/>
  <c r="D391" i="352"/>
  <c r="D390" i="352"/>
  <c r="D389" i="352"/>
  <c r="D388" i="352"/>
  <c r="D387" i="352"/>
  <c r="D386" i="352"/>
  <c r="D385" i="352"/>
  <c r="D384" i="352"/>
  <c r="D383" i="352"/>
  <c r="D382" i="352"/>
  <c r="D381" i="352"/>
  <c r="D380" i="352"/>
  <c r="D379" i="352"/>
  <c r="D378" i="352"/>
  <c r="D377" i="352"/>
  <c r="D376" i="352"/>
  <c r="D375" i="352"/>
  <c r="D374" i="352"/>
  <c r="D373" i="352"/>
  <c r="D372" i="352"/>
  <c r="D371" i="352"/>
  <c r="D370" i="352"/>
  <c r="D369" i="352"/>
  <c r="D368" i="352"/>
  <c r="D367" i="352"/>
  <c r="D366" i="352"/>
  <c r="D365" i="352"/>
  <c r="D340" i="352"/>
  <c r="D339" i="352"/>
  <c r="D338" i="352"/>
  <c r="D337" i="352"/>
  <c r="D336" i="352"/>
  <c r="D335" i="352"/>
  <c r="D334" i="352"/>
  <c r="D333" i="352"/>
  <c r="D332" i="352"/>
  <c r="D331" i="352"/>
  <c r="D330" i="352"/>
  <c r="D329" i="352"/>
  <c r="D328" i="352"/>
  <c r="D327" i="352"/>
  <c r="D326" i="352"/>
  <c r="D325" i="352"/>
  <c r="D324" i="352"/>
  <c r="D323" i="352"/>
  <c r="D322" i="352"/>
  <c r="D321" i="352"/>
  <c r="D320" i="352"/>
  <c r="D319" i="352"/>
  <c r="D318" i="352"/>
  <c r="D317" i="352"/>
  <c r="D316" i="352"/>
  <c r="D315" i="352"/>
  <c r="D314" i="352"/>
  <c r="D313" i="352"/>
  <c r="D312" i="352"/>
  <c r="D311" i="352"/>
  <c r="D310" i="352"/>
  <c r="D309" i="352"/>
  <c r="D308" i="352"/>
  <c r="D307" i="352"/>
  <c r="D306" i="352"/>
  <c r="D305" i="352"/>
  <c r="D304" i="352"/>
  <c r="D303" i="352"/>
  <c r="D302" i="352"/>
  <c r="D301" i="352"/>
  <c r="D300" i="352"/>
  <c r="D299" i="352"/>
  <c r="D298" i="352"/>
  <c r="D297" i="352"/>
  <c r="D296" i="352"/>
  <c r="D295" i="352"/>
  <c r="D294" i="352"/>
  <c r="D293" i="352"/>
  <c r="D292" i="352"/>
  <c r="D291" i="352"/>
  <c r="D290" i="352"/>
  <c r="D289" i="352"/>
  <c r="D288" i="352"/>
  <c r="D287" i="352"/>
  <c r="D286" i="352"/>
  <c r="D285" i="352"/>
  <c r="D284" i="352"/>
  <c r="D283" i="352"/>
  <c r="D282" i="352"/>
  <c r="D281" i="352"/>
  <c r="D280" i="352"/>
  <c r="D279" i="352"/>
  <c r="D278" i="352"/>
  <c r="D277" i="352"/>
  <c r="D276" i="352"/>
  <c r="D275" i="352"/>
  <c r="D274" i="352"/>
  <c r="D273" i="352"/>
  <c r="D272" i="352"/>
  <c r="D271" i="352"/>
  <c r="D270" i="352"/>
  <c r="D269" i="352"/>
  <c r="D244" i="352"/>
  <c r="D243" i="352"/>
  <c r="D242" i="352"/>
  <c r="D241" i="352"/>
  <c r="D240" i="352"/>
  <c r="D239" i="352"/>
  <c r="D238" i="352"/>
  <c r="D237" i="352"/>
  <c r="D236" i="352"/>
  <c r="D235" i="352"/>
  <c r="D234" i="352"/>
  <c r="D233" i="352"/>
  <c r="D232" i="352"/>
  <c r="D231" i="352"/>
  <c r="D230" i="352"/>
  <c r="D229" i="352"/>
  <c r="D228" i="352"/>
  <c r="D227" i="352"/>
  <c r="D226" i="352"/>
  <c r="D225" i="352"/>
  <c r="D224" i="352"/>
  <c r="D223" i="352"/>
  <c r="D222" i="352"/>
  <c r="D221" i="352"/>
  <c r="D220" i="352"/>
  <c r="D219" i="352"/>
  <c r="D218" i="352"/>
  <c r="D217" i="352"/>
  <c r="D216" i="352"/>
  <c r="D215" i="352"/>
  <c r="D214" i="352"/>
  <c r="D213" i="352"/>
  <c r="D212" i="352"/>
  <c r="D211" i="352"/>
  <c r="D210" i="352"/>
  <c r="D209" i="352"/>
  <c r="D496" i="352"/>
  <c r="D495" i="352"/>
  <c r="D494" i="352"/>
  <c r="D493" i="352"/>
  <c r="D492" i="352"/>
  <c r="D491" i="352"/>
  <c r="D490" i="352"/>
  <c r="D489" i="352"/>
  <c r="D488" i="352"/>
  <c r="D487" i="352"/>
  <c r="D486" i="352"/>
  <c r="D485" i="352"/>
  <c r="D484" i="352"/>
  <c r="D483" i="352"/>
  <c r="D482" i="352"/>
  <c r="D481" i="352"/>
  <c r="D480" i="352"/>
  <c r="D479" i="352"/>
  <c r="D478" i="352"/>
  <c r="D477" i="352"/>
  <c r="D476" i="352"/>
  <c r="D475" i="352"/>
  <c r="D474" i="352"/>
  <c r="D473" i="352"/>
  <c r="D472" i="352"/>
  <c r="D471" i="352"/>
  <c r="D470" i="352"/>
  <c r="D469" i="352"/>
  <c r="D468" i="352"/>
  <c r="D467" i="352"/>
  <c r="D466" i="352"/>
  <c r="D465" i="352"/>
  <c r="D464" i="352"/>
  <c r="D463" i="352"/>
  <c r="D462" i="352"/>
  <c r="D461" i="352"/>
  <c r="D436" i="352"/>
  <c r="D435" i="352"/>
  <c r="D434" i="352"/>
  <c r="D433" i="352"/>
  <c r="D432" i="352"/>
  <c r="D431" i="352"/>
  <c r="D430" i="352"/>
  <c r="D429" i="352"/>
  <c r="D428" i="352"/>
  <c r="D427" i="352"/>
  <c r="D426" i="352"/>
  <c r="D425" i="352"/>
  <c r="D424" i="352"/>
  <c r="D423" i="352"/>
  <c r="D422" i="352"/>
  <c r="D421" i="352"/>
  <c r="D420" i="352"/>
  <c r="D419" i="352"/>
  <c r="D418" i="352"/>
  <c r="D417" i="352"/>
  <c r="D416" i="352"/>
  <c r="D415" i="352"/>
  <c r="D414" i="352"/>
  <c r="D413" i="352"/>
  <c r="D412" i="352"/>
  <c r="D411" i="352"/>
  <c r="D410" i="352"/>
  <c r="D409" i="352"/>
  <c r="D408" i="352"/>
  <c r="D407" i="352"/>
  <c r="D406" i="352"/>
  <c r="D405" i="352"/>
  <c r="D404" i="352"/>
  <c r="D403" i="352"/>
  <c r="D402" i="352"/>
  <c r="D401" i="352"/>
  <c r="D592" i="352"/>
  <c r="D591" i="352"/>
  <c r="D590" i="352"/>
  <c r="D589" i="352"/>
  <c r="D588" i="352"/>
  <c r="D587" i="352"/>
  <c r="D586" i="352"/>
  <c r="D585" i="352"/>
  <c r="D584" i="352"/>
  <c r="D583" i="352"/>
  <c r="D582" i="352"/>
  <c r="D581" i="352"/>
  <c r="D580" i="352"/>
  <c r="D579" i="352"/>
  <c r="D578" i="352"/>
  <c r="D577" i="352"/>
  <c r="D576" i="352"/>
  <c r="D575" i="352"/>
  <c r="D568" i="352"/>
  <c r="D567" i="352"/>
  <c r="D566" i="352"/>
  <c r="D565" i="352"/>
  <c r="D564" i="352"/>
  <c r="D563" i="352"/>
  <c r="D574" i="352"/>
  <c r="D573" i="352"/>
  <c r="D572" i="352"/>
  <c r="D571" i="352"/>
  <c r="D570" i="352"/>
  <c r="D569" i="352"/>
  <c r="D562" i="352"/>
  <c r="D561" i="352"/>
  <c r="D560" i="352"/>
  <c r="D559" i="352"/>
  <c r="D558" i="352"/>
  <c r="D557" i="352"/>
  <c r="D532" i="352"/>
  <c r="D531" i="352"/>
  <c r="D530" i="352"/>
  <c r="D529" i="352"/>
  <c r="D528" i="352"/>
  <c r="D527" i="352"/>
  <c r="D526" i="352"/>
  <c r="D525" i="352"/>
  <c r="D524" i="352"/>
  <c r="D523" i="352"/>
  <c r="D522" i="352"/>
  <c r="D521" i="352"/>
  <c r="D520" i="352"/>
  <c r="D519" i="352"/>
  <c r="D518" i="352"/>
  <c r="D517" i="352"/>
  <c r="D516" i="352"/>
  <c r="D515" i="352"/>
  <c r="L187" i="329"/>
  <c r="K187" i="329"/>
  <c r="J187" i="329"/>
  <c r="D186" i="329"/>
  <c r="N185" i="329"/>
  <c r="M185" i="329"/>
  <c r="L185" i="329"/>
  <c r="K185" i="329"/>
  <c r="J185" i="329"/>
  <c r="D184" i="329"/>
  <c r="N183" i="329"/>
  <c r="M183" i="329"/>
  <c r="L183" i="329"/>
  <c r="K183" i="329"/>
  <c r="J183" i="329"/>
  <c r="D182" i="329"/>
  <c r="D188" i="329"/>
  <c r="N187" i="329"/>
  <c r="M187" i="329"/>
  <c r="D511" i="352"/>
  <c r="D510" i="352"/>
  <c r="D512" i="352"/>
  <c r="D513" i="352"/>
  <c r="D514" i="352"/>
  <c r="D504" i="352"/>
  <c r="D505" i="352"/>
  <c r="D506" i="352"/>
  <c r="D507" i="352"/>
  <c r="D508" i="352"/>
  <c r="D498" i="352" l="1"/>
  <c r="D499" i="352"/>
  <c r="D500" i="352"/>
  <c r="D501" i="352"/>
  <c r="D502" i="352"/>
  <c r="D11" i="352"/>
  <c r="D22" i="352"/>
  <c r="D2" i="351" l="1"/>
  <c r="D111" i="279" l="1"/>
  <c r="D112" i="279"/>
  <c r="D210" i="279"/>
  <c r="D211" i="279"/>
  <c r="D309" i="279"/>
  <c r="D310" i="279"/>
  <c r="D19" i="280"/>
  <c r="D20" i="280"/>
  <c r="D116" i="280"/>
  <c r="D117" i="280"/>
  <c r="D33" i="324" l="1"/>
  <c r="D25" i="317" l="1"/>
  <c r="D6" i="352" l="1"/>
  <c r="D7" i="352"/>
  <c r="D8" i="352"/>
  <c r="D9" i="352"/>
  <c r="D10" i="352"/>
  <c r="D12" i="352"/>
  <c r="D13" i="352"/>
  <c r="D21" i="352"/>
  <c r="D497" i="352"/>
  <c r="D503" i="352"/>
  <c r="D509" i="352"/>
  <c r="D650" i="352"/>
  <c r="D651" i="352"/>
  <c r="D652" i="352"/>
  <c r="D653" i="352"/>
  <c r="D655" i="352"/>
  <c r="D656" i="352"/>
  <c r="D657" i="352"/>
  <c r="D658" i="352"/>
  <c r="D659" i="352"/>
  <c r="D660" i="352"/>
  <c r="D661" i="352"/>
  <c r="D662" i="352"/>
  <c r="D654" i="352"/>
  <c r="D663" i="352"/>
  <c r="D664" i="352"/>
  <c r="D665" i="352"/>
  <c r="D666" i="352"/>
  <c r="D667" i="352"/>
  <c r="D668" i="352"/>
  <c r="D669" i="352"/>
  <c r="B123" i="351"/>
  <c r="B124" i="351"/>
  <c r="B125" i="351"/>
  <c r="B126" i="351"/>
  <c r="B127" i="351"/>
  <c r="B128" i="351"/>
  <c r="B129" i="351"/>
  <c r="B130" i="351"/>
  <c r="B131" i="351"/>
  <c r="B132" i="351"/>
  <c r="B133" i="351"/>
  <c r="B134" i="351"/>
  <c r="B7" i="338"/>
  <c r="B8" i="338"/>
  <c r="B9" i="338"/>
  <c r="B4" i="253"/>
  <c r="B10" i="253"/>
  <c r="D6" i="253"/>
  <c r="E6" i="253"/>
  <c r="F6" i="253"/>
  <c r="D15" i="253"/>
  <c r="E12" i="253"/>
  <c r="F15" i="253"/>
  <c r="B136" i="351"/>
  <c r="B137" i="351"/>
  <c r="B138" i="351"/>
  <c r="B139" i="351"/>
  <c r="B140" i="351"/>
  <c r="B141" i="351"/>
  <c r="B142" i="351"/>
  <c r="B143" i="351"/>
  <c r="B144" i="351"/>
  <c r="B145" i="351"/>
  <c r="B146" i="351"/>
  <c r="B147" i="351"/>
  <c r="B9" i="317"/>
  <c r="C11" i="317"/>
  <c r="D12" i="317"/>
  <c r="C21" i="317"/>
  <c r="D22" i="317"/>
  <c r="D23" i="317"/>
  <c r="D24" i="317"/>
  <c r="B33" i="317"/>
  <c r="B72" i="351"/>
  <c r="B73" i="351"/>
  <c r="B74" i="351"/>
  <c r="B75" i="351"/>
  <c r="B76" i="351"/>
  <c r="B77" i="351"/>
  <c r="B78" i="351"/>
  <c r="B79" i="351"/>
  <c r="B80" i="351"/>
  <c r="B81" i="351"/>
  <c r="B82" i="351"/>
  <c r="B83" i="351"/>
  <c r="B84" i="351"/>
  <c r="B85" i="351"/>
  <c r="B711" i="329"/>
  <c r="D789" i="329"/>
  <c r="B802" i="329"/>
  <c r="B868" i="329"/>
  <c r="I630" i="329"/>
  <c r="B1" i="338"/>
  <c r="B25" i="338"/>
  <c r="C28" i="338"/>
  <c r="C34" i="338"/>
  <c r="B57" i="351"/>
  <c r="B58" i="351"/>
  <c r="B59" i="351"/>
  <c r="B60" i="351"/>
  <c r="B61" i="351"/>
  <c r="B62" i="351"/>
  <c r="B63" i="351"/>
  <c r="B64" i="351"/>
  <c r="B65" i="351"/>
  <c r="B66" i="351"/>
  <c r="B67" i="351"/>
  <c r="B68" i="351"/>
  <c r="B69" i="351"/>
  <c r="B70" i="351"/>
  <c r="B110" i="329"/>
  <c r="B557" i="329"/>
  <c r="B570" i="329"/>
  <c r="B178" i="329"/>
  <c r="B324" i="329"/>
  <c r="B415" i="329"/>
  <c r="B477" i="329"/>
  <c r="B555" i="329"/>
  <c r="C629" i="329"/>
  <c r="B44" i="351"/>
  <c r="B45" i="351"/>
  <c r="B46" i="351"/>
  <c r="B47" i="351"/>
  <c r="B48" i="351"/>
  <c r="B49" i="351"/>
  <c r="B50" i="351"/>
  <c r="B51" i="351"/>
  <c r="B52" i="351"/>
  <c r="B53" i="351"/>
  <c r="B54" i="351"/>
  <c r="B55" i="351"/>
  <c r="J59" i="343"/>
  <c r="L59" i="343"/>
  <c r="G2" i="343"/>
  <c r="B11" i="329"/>
  <c r="D22" i="329"/>
  <c r="B28" i="329"/>
  <c r="D29" i="329"/>
  <c r="B47" i="329"/>
  <c r="C49" i="329"/>
  <c r="C74" i="309"/>
  <c r="B27" i="351"/>
  <c r="B28" i="351"/>
  <c r="B29" i="351"/>
  <c r="B30" i="351"/>
  <c r="B31" i="351"/>
  <c r="B32" i="351"/>
  <c r="B33" i="351"/>
  <c r="B34" i="351"/>
  <c r="B35" i="351"/>
  <c r="B36" i="351"/>
  <c r="B37" i="351"/>
  <c r="B38" i="351"/>
  <c r="B39" i="351"/>
  <c r="B40" i="351"/>
  <c r="B41" i="351"/>
  <c r="B42" i="351"/>
  <c r="C16" i="343"/>
  <c r="C17" i="343"/>
  <c r="D90" i="349"/>
  <c r="D45" i="349"/>
  <c r="K42" i="343"/>
  <c r="L42" i="343"/>
  <c r="C57" i="343"/>
  <c r="C73" i="343"/>
  <c r="C60" i="343"/>
  <c r="C82" i="343"/>
  <c r="D95" i="343"/>
  <c r="B8" i="351"/>
  <c r="B9" i="351"/>
  <c r="B10" i="351"/>
  <c r="B11" i="351"/>
  <c r="B12" i="351"/>
  <c r="B13" i="351"/>
  <c r="B14" i="351"/>
  <c r="B15" i="351"/>
  <c r="B16" i="351"/>
  <c r="B17" i="351"/>
  <c r="B18" i="351"/>
  <c r="B19" i="351"/>
  <c r="B20" i="351"/>
  <c r="B21" i="351"/>
  <c r="B22" i="351"/>
  <c r="B23" i="351"/>
  <c r="B24" i="351"/>
  <c r="B25" i="351"/>
  <c r="N22" i="310"/>
  <c r="C21" i="4"/>
  <c r="C25" i="4"/>
  <c r="C24" i="4"/>
  <c r="B1" i="5"/>
  <c r="B3" i="5"/>
  <c r="B6" i="5"/>
  <c r="C9" i="333"/>
  <c r="B1" i="343"/>
  <c r="D36" i="340"/>
  <c r="E74" i="343"/>
  <c r="C19" i="4"/>
  <c r="B7" i="351"/>
  <c r="B26" i="351"/>
  <c r="B43" i="351"/>
  <c r="B56" i="351"/>
  <c r="B71" i="351"/>
  <c r="B86" i="351"/>
  <c r="B87" i="351"/>
  <c r="B88" i="351"/>
  <c r="B89" i="351"/>
  <c r="B90" i="351"/>
  <c r="B91" i="351"/>
  <c r="B92" i="351"/>
  <c r="B93" i="351"/>
  <c r="B94" i="351"/>
  <c r="B95" i="351"/>
  <c r="B96" i="351"/>
  <c r="B97" i="351"/>
  <c r="B98" i="351"/>
  <c r="B99" i="351"/>
  <c r="B100" i="351"/>
  <c r="B101" i="351"/>
  <c r="B102" i="351"/>
  <c r="B103" i="351"/>
  <c r="B104" i="351"/>
  <c r="B105" i="351"/>
  <c r="B106" i="351"/>
  <c r="B107" i="351"/>
  <c r="B108" i="351"/>
  <c r="B109" i="351"/>
  <c r="B110" i="351"/>
  <c r="B111" i="351"/>
  <c r="B112" i="351"/>
  <c r="B113" i="351"/>
  <c r="B114" i="351"/>
  <c r="B115" i="351"/>
  <c r="B116" i="351"/>
  <c r="B117" i="351"/>
  <c r="B118" i="351"/>
  <c r="B119" i="351"/>
  <c r="B120" i="351"/>
  <c r="B121" i="351"/>
  <c r="B122" i="351"/>
  <c r="B135" i="351"/>
  <c r="B148" i="351"/>
  <c r="B149" i="351"/>
  <c r="B150" i="351"/>
  <c r="B151" i="351"/>
  <c r="B152" i="351"/>
  <c r="B153" i="351"/>
  <c r="B154" i="351"/>
  <c r="B155" i="351"/>
  <c r="B156" i="351"/>
  <c r="B157" i="351"/>
  <c r="B158" i="351"/>
  <c r="B159" i="351"/>
  <c r="B160" i="351"/>
  <c r="B161" i="351"/>
  <c r="B162" i="351"/>
  <c r="B163" i="351"/>
  <c r="B164" i="351"/>
  <c r="B165" i="351"/>
  <c r="B166" i="351"/>
  <c r="B167" i="351"/>
  <c r="B168" i="351"/>
  <c r="B169" i="351"/>
  <c r="B170" i="351"/>
  <c r="B171" i="351"/>
  <c r="B172" i="351"/>
  <c r="B173" i="351"/>
  <c r="B174" i="351"/>
  <c r="B175" i="351"/>
  <c r="B176" i="351"/>
  <c r="B177" i="351"/>
  <c r="B178" i="351"/>
  <c r="B179" i="351"/>
  <c r="B180" i="351"/>
  <c r="B181" i="351"/>
  <c r="B182" i="351"/>
  <c r="B183" i="351"/>
  <c r="B184" i="351"/>
  <c r="B185" i="351"/>
  <c r="B186" i="351"/>
  <c r="B187" i="351"/>
  <c r="B188" i="351"/>
  <c r="B189" i="351"/>
  <c r="B190" i="351"/>
  <c r="B191" i="351"/>
  <c r="B192" i="351"/>
  <c r="B193" i="351"/>
  <c r="B194" i="351"/>
  <c r="B195" i="351"/>
  <c r="B196" i="351"/>
  <c r="B197" i="351"/>
  <c r="B198" i="351"/>
  <c r="B199" i="351"/>
  <c r="B200" i="351"/>
  <c r="B201" i="351"/>
  <c r="B202" i="351"/>
  <c r="B203" i="351"/>
  <c r="B204" i="351"/>
  <c r="B205" i="351"/>
  <c r="B206" i="351"/>
  <c r="B207" i="351"/>
  <c r="B208" i="351"/>
  <c r="B209" i="351"/>
  <c r="B210" i="351"/>
  <c r="B211" i="351"/>
  <c r="B212" i="351"/>
  <c r="B213" i="351"/>
  <c r="B214" i="351"/>
  <c r="B215" i="351"/>
  <c r="B216" i="351"/>
  <c r="B217" i="351"/>
  <c r="B218" i="351"/>
  <c r="B219" i="351"/>
  <c r="B220" i="351"/>
  <c r="B221" i="351"/>
  <c r="B222" i="351"/>
  <c r="B223" i="351"/>
  <c r="B224" i="351"/>
  <c r="B225" i="351"/>
  <c r="B226" i="351"/>
  <c r="B227" i="351"/>
  <c r="B228" i="351"/>
  <c r="B229" i="351"/>
  <c r="B230" i="351"/>
  <c r="B231" i="351"/>
  <c r="B232" i="351"/>
  <c r="B233" i="351"/>
  <c r="B234" i="351"/>
  <c r="B235" i="351"/>
  <c r="B236" i="351"/>
  <c r="B237" i="351"/>
  <c r="B238" i="351"/>
  <c r="B239" i="351"/>
  <c r="B240" i="351"/>
  <c r="B241" i="351"/>
  <c r="B242" i="351"/>
  <c r="B243" i="351"/>
  <c r="B244" i="351"/>
  <c r="B245" i="351"/>
  <c r="B246" i="351"/>
  <c r="B247" i="351"/>
  <c r="B248" i="351"/>
  <c r="B249" i="351"/>
  <c r="B250" i="351"/>
  <c r="B251" i="351"/>
  <c r="B252" i="351"/>
  <c r="B253" i="351"/>
  <c r="B254" i="351"/>
  <c r="B255" i="351"/>
  <c r="B256" i="351"/>
  <c r="B257" i="351"/>
  <c r="B258" i="351"/>
  <c r="B259" i="351"/>
  <c r="B260" i="351"/>
  <c r="B261" i="351"/>
  <c r="B262" i="351"/>
  <c r="B263" i="351"/>
  <c r="B264" i="351"/>
  <c r="B265" i="351"/>
  <c r="B266" i="351"/>
  <c r="B267" i="351"/>
  <c r="B268" i="351"/>
  <c r="B269" i="351"/>
  <c r="B270" i="351"/>
  <c r="B271" i="351"/>
  <c r="B272" i="351"/>
  <c r="B273" i="351"/>
  <c r="B274" i="351"/>
  <c r="B275" i="351"/>
  <c r="B276" i="351"/>
  <c r="B277" i="351"/>
  <c r="B278" i="351"/>
  <c r="B279" i="351"/>
  <c r="B280" i="351"/>
  <c r="B281" i="351"/>
  <c r="B282" i="351"/>
  <c r="B283" i="351"/>
  <c r="B284" i="351"/>
  <c r="B285" i="351"/>
  <c r="B286" i="351"/>
  <c r="B287" i="351"/>
  <c r="B288" i="351"/>
  <c r="B289" i="351"/>
  <c r="B290" i="351"/>
  <c r="B291" i="351"/>
  <c r="B292" i="351"/>
  <c r="B293" i="351"/>
  <c r="B294" i="351"/>
  <c r="B295" i="351"/>
  <c r="B296" i="351"/>
  <c r="B297" i="351"/>
  <c r="B298" i="351"/>
  <c r="B299" i="351"/>
  <c r="B300" i="351"/>
  <c r="B301" i="351"/>
  <c r="B302" i="351"/>
  <c r="B303" i="351"/>
  <c r="B304" i="351"/>
  <c r="B305" i="351"/>
  <c r="B306" i="351"/>
  <c r="B307" i="351"/>
  <c r="B308" i="351"/>
  <c r="B309" i="351"/>
  <c r="B310" i="351"/>
  <c r="B311" i="351"/>
  <c r="B312" i="351"/>
  <c r="B313" i="351"/>
  <c r="B314" i="351"/>
  <c r="B315" i="351"/>
  <c r="B316" i="351"/>
  <c r="B317" i="351"/>
  <c r="B318" i="351"/>
  <c r="B319" i="351"/>
  <c r="B320" i="351"/>
  <c r="B321" i="351"/>
  <c r="B322" i="351"/>
  <c r="B323" i="351"/>
  <c r="B324" i="351"/>
  <c r="B325" i="351"/>
  <c r="B326" i="351"/>
  <c r="B327" i="351"/>
  <c r="B328" i="351"/>
  <c r="B329" i="351"/>
  <c r="B330" i="351"/>
  <c r="B331" i="351"/>
  <c r="B332" i="351"/>
  <c r="B333" i="351"/>
  <c r="B334" i="351"/>
  <c r="B335" i="351"/>
  <c r="B336" i="351"/>
  <c r="B337" i="351"/>
  <c r="B338" i="351"/>
  <c r="B339" i="351"/>
  <c r="B340" i="351"/>
  <c r="B341" i="351"/>
  <c r="B342" i="351"/>
  <c r="B343" i="351"/>
  <c r="B344" i="351"/>
  <c r="B345" i="351"/>
  <c r="B346" i="351"/>
  <c r="B347" i="351"/>
  <c r="B348" i="351"/>
  <c r="B349" i="351"/>
  <c r="B350" i="351"/>
  <c r="B351" i="351"/>
  <c r="B352" i="351"/>
  <c r="B353" i="351"/>
  <c r="B354" i="351"/>
  <c r="B355" i="351"/>
  <c r="B356" i="351"/>
  <c r="B357" i="351"/>
  <c r="B358" i="351"/>
  <c r="B359" i="351"/>
  <c r="B360" i="351"/>
  <c r="B361" i="351"/>
  <c r="B362" i="351"/>
  <c r="B363" i="351"/>
  <c r="B364" i="351"/>
  <c r="B365" i="351"/>
  <c r="B366" i="351"/>
  <c r="B367" i="351"/>
  <c r="B368" i="351"/>
  <c r="B369" i="351"/>
  <c r="B370" i="351"/>
  <c r="B371" i="351"/>
  <c r="B372" i="351"/>
  <c r="B373" i="351"/>
  <c r="B374" i="351"/>
  <c r="B375" i="351"/>
  <c r="B376" i="351"/>
  <c r="B377" i="351"/>
  <c r="B378" i="351"/>
  <c r="B379" i="351"/>
  <c r="B380" i="351"/>
  <c r="B381" i="351"/>
  <c r="B382" i="351"/>
  <c r="B383" i="351"/>
  <c r="B384" i="351"/>
  <c r="B385" i="351"/>
  <c r="B386" i="351"/>
  <c r="B387" i="351"/>
  <c r="B388" i="351"/>
  <c r="B389" i="351"/>
  <c r="B390" i="351"/>
  <c r="B391" i="351"/>
  <c r="B392" i="351"/>
  <c r="B393" i="351"/>
  <c r="B394" i="351"/>
  <c r="B395" i="351"/>
  <c r="B396" i="351"/>
  <c r="B397" i="351"/>
  <c r="B398" i="351"/>
  <c r="B399" i="351"/>
  <c r="B400" i="351"/>
  <c r="B401" i="351"/>
  <c r="B402" i="351"/>
  <c r="B403" i="351"/>
  <c r="B404" i="351"/>
  <c r="B405" i="351"/>
  <c r="B406" i="351"/>
  <c r="B407" i="351"/>
  <c r="B408" i="351"/>
  <c r="B409" i="351"/>
  <c r="B410" i="351"/>
  <c r="B411" i="351"/>
  <c r="B412" i="351"/>
  <c r="B413" i="351"/>
  <c r="B414" i="351"/>
  <c r="B415" i="351"/>
  <c r="B416" i="351"/>
  <c r="B417" i="351"/>
  <c r="B418" i="351"/>
  <c r="B419" i="351"/>
  <c r="B420" i="351"/>
  <c r="B421" i="351"/>
  <c r="B422" i="351"/>
  <c r="B423" i="351"/>
  <c r="B424" i="351"/>
  <c r="B425" i="351"/>
  <c r="B426" i="351"/>
  <c r="B427" i="351"/>
  <c r="B428" i="351"/>
  <c r="B429" i="351"/>
  <c r="B430" i="351"/>
  <c r="B431" i="351"/>
  <c r="B432" i="351"/>
  <c r="B433" i="351"/>
  <c r="B434" i="351"/>
  <c r="B435" i="351"/>
  <c r="B436" i="351"/>
  <c r="B437" i="351"/>
  <c r="B438" i="351"/>
  <c r="B439" i="351"/>
  <c r="B440" i="351"/>
  <c r="B441" i="351"/>
  <c r="B442" i="351"/>
  <c r="B443" i="351"/>
  <c r="B444" i="351"/>
  <c r="B445" i="351"/>
  <c r="B446" i="351"/>
  <c r="B447" i="351"/>
  <c r="B448" i="351"/>
  <c r="B449" i="351"/>
  <c r="B450" i="351"/>
  <c r="B451" i="351"/>
  <c r="B452" i="351"/>
  <c r="B453" i="351"/>
  <c r="B454" i="351"/>
  <c r="B455" i="351"/>
  <c r="B456" i="351"/>
  <c r="B457" i="351"/>
  <c r="B458" i="351"/>
  <c r="B459" i="351"/>
  <c r="B460" i="351"/>
  <c r="B461" i="351"/>
  <c r="B462" i="351"/>
  <c r="B463" i="351"/>
  <c r="B464" i="351"/>
  <c r="B465" i="351"/>
  <c r="B466" i="351"/>
  <c r="B467" i="351"/>
  <c r="B468" i="351"/>
  <c r="B469" i="351"/>
  <c r="B470" i="351"/>
  <c r="B471" i="351"/>
  <c r="B472" i="351"/>
  <c r="B473" i="351"/>
  <c r="B474" i="351"/>
  <c r="B475" i="351"/>
  <c r="B476" i="351"/>
  <c r="B477" i="351"/>
  <c r="B478" i="351"/>
  <c r="B479" i="351"/>
  <c r="B480" i="351"/>
  <c r="B481" i="351"/>
  <c r="B482" i="351"/>
  <c r="B483" i="351"/>
  <c r="B484" i="351"/>
  <c r="B485" i="351"/>
  <c r="B486" i="351"/>
  <c r="B487" i="351"/>
  <c r="B488" i="351"/>
  <c r="B489" i="351"/>
  <c r="B490" i="351"/>
  <c r="B491" i="351"/>
  <c r="B492" i="351"/>
  <c r="B493" i="351"/>
  <c r="B494" i="351"/>
  <c r="B495" i="351"/>
  <c r="B496" i="351"/>
  <c r="B497" i="351"/>
  <c r="B498" i="351"/>
  <c r="B499" i="351"/>
  <c r="B500" i="351"/>
  <c r="B501" i="351"/>
  <c r="B502" i="351"/>
  <c r="B503" i="351"/>
  <c r="B504" i="351"/>
  <c r="B505" i="351"/>
  <c r="B506" i="351"/>
  <c r="B507" i="351"/>
  <c r="B508" i="351"/>
  <c r="B509" i="351"/>
  <c r="B510" i="351"/>
  <c r="B511" i="351"/>
  <c r="B512" i="351"/>
  <c r="B513" i="351"/>
  <c r="B514" i="351"/>
  <c r="B515" i="351"/>
  <c r="B516" i="351"/>
  <c r="B517" i="351"/>
  <c r="B518" i="351"/>
  <c r="B519" i="351"/>
  <c r="B520" i="351"/>
  <c r="B521" i="351"/>
  <c r="B522" i="351"/>
  <c r="B523" i="351"/>
  <c r="B524" i="351"/>
  <c r="B525" i="351"/>
  <c r="B526" i="351"/>
  <c r="B527" i="351"/>
  <c r="B528" i="351"/>
  <c r="B529" i="351"/>
  <c r="B530" i="351"/>
  <c r="B531" i="351"/>
  <c r="B532" i="351"/>
  <c r="B533" i="351"/>
  <c r="B534" i="351"/>
  <c r="B535" i="351"/>
  <c r="B536" i="351"/>
  <c r="B537" i="351"/>
  <c r="B538" i="351"/>
  <c r="B539" i="351"/>
  <c r="B540" i="351"/>
  <c r="B541" i="351"/>
  <c r="B542" i="351"/>
  <c r="B543" i="351"/>
  <c r="B544" i="351"/>
  <c r="B545" i="351"/>
  <c r="B546" i="351"/>
  <c r="B547" i="351"/>
  <c r="B548" i="351"/>
  <c r="B549" i="351"/>
  <c r="B550" i="351"/>
  <c r="B551" i="351"/>
  <c r="B552" i="351"/>
  <c r="B553" i="351"/>
  <c r="B554" i="351"/>
  <c r="B555" i="351"/>
  <c r="B556" i="351"/>
  <c r="B557" i="351"/>
  <c r="B558" i="351"/>
  <c r="B559" i="351"/>
  <c r="B560" i="351"/>
  <c r="B561" i="351"/>
  <c r="B562" i="351"/>
  <c r="B563" i="351"/>
  <c r="B564" i="351"/>
  <c r="B565" i="351"/>
  <c r="B566" i="351"/>
  <c r="B567" i="351"/>
  <c r="B568" i="351"/>
  <c r="B569" i="351"/>
  <c r="B570" i="351"/>
  <c r="B571" i="351"/>
  <c r="B572" i="351"/>
  <c r="B573" i="351"/>
  <c r="B574" i="351"/>
  <c r="B575" i="351"/>
  <c r="B576" i="351"/>
  <c r="B577" i="351"/>
  <c r="B578" i="351"/>
  <c r="B579" i="351"/>
  <c r="B580" i="351"/>
  <c r="B581" i="351"/>
  <c r="B582" i="351"/>
  <c r="B583" i="351"/>
  <c r="B584" i="351"/>
  <c r="B585" i="351"/>
  <c r="B586" i="351"/>
  <c r="B587" i="351"/>
  <c r="B588" i="351"/>
  <c r="B589" i="351"/>
  <c r="B590" i="351"/>
  <c r="B591" i="351"/>
  <c r="B592" i="351"/>
  <c r="B593" i="351"/>
  <c r="B594" i="351"/>
  <c r="B595" i="351"/>
  <c r="B596" i="351"/>
  <c r="B597" i="351"/>
  <c r="B598" i="351"/>
  <c r="B599" i="351"/>
  <c r="B600" i="351"/>
  <c r="B601" i="351"/>
  <c r="B602" i="351"/>
  <c r="B603" i="351"/>
  <c r="B604" i="351"/>
  <c r="B605" i="351"/>
  <c r="B606" i="351"/>
  <c r="B607" i="351"/>
  <c r="B608" i="351"/>
  <c r="B609" i="351"/>
  <c r="B610" i="351"/>
  <c r="B611" i="351"/>
  <c r="B612" i="351"/>
  <c r="B613" i="351"/>
  <c r="B614" i="351"/>
  <c r="B615" i="351"/>
  <c r="B616" i="351"/>
  <c r="B617" i="351"/>
  <c r="B618" i="351"/>
  <c r="B619" i="351"/>
  <c r="B620" i="351"/>
  <c r="B621" i="351"/>
  <c r="B622" i="351"/>
  <c r="B623" i="351"/>
  <c r="B624" i="351"/>
  <c r="B625" i="351"/>
  <c r="B626" i="351"/>
  <c r="B627" i="351"/>
  <c r="B628" i="351"/>
  <c r="B629" i="351"/>
  <c r="B630" i="351"/>
  <c r="B631" i="351"/>
  <c r="B632" i="351"/>
  <c r="B633" i="351"/>
  <c r="B634" i="351"/>
  <c r="B635" i="351"/>
  <c r="B636" i="351"/>
  <c r="B637" i="351"/>
  <c r="B638" i="351"/>
  <c r="B639" i="351"/>
  <c r="B640" i="351"/>
  <c r="B641" i="351"/>
  <c r="B642" i="351"/>
  <c r="B643" i="351"/>
  <c r="B644" i="351"/>
  <c r="B645" i="351"/>
  <c r="B646" i="351"/>
  <c r="B647" i="351"/>
  <c r="B648" i="351"/>
  <c r="B649" i="351"/>
  <c r="B650" i="351"/>
  <c r="B651" i="351"/>
  <c r="B652" i="351"/>
  <c r="B653" i="351"/>
  <c r="B654" i="351"/>
  <c r="B655" i="351"/>
  <c r="B656" i="351"/>
  <c r="B657" i="351"/>
  <c r="B658" i="351"/>
  <c r="B659" i="351"/>
  <c r="B660" i="351"/>
  <c r="B661" i="351"/>
  <c r="B662" i="351"/>
  <c r="B663" i="351"/>
  <c r="B664" i="351"/>
  <c r="B665" i="351"/>
  <c r="B666" i="351"/>
  <c r="B667" i="351"/>
  <c r="B668" i="351"/>
  <c r="B669" i="351"/>
  <c r="B670" i="351"/>
  <c r="B671" i="351"/>
  <c r="B672" i="351"/>
  <c r="B673" i="351"/>
  <c r="B674" i="351"/>
  <c r="B675" i="351"/>
  <c r="B676" i="351"/>
  <c r="B677" i="351"/>
  <c r="B678" i="351"/>
  <c r="B679" i="351"/>
  <c r="B680" i="351"/>
  <c r="B681" i="351"/>
  <c r="B682" i="351"/>
  <c r="B683" i="351"/>
  <c r="B684" i="351"/>
  <c r="B685" i="351"/>
  <c r="B686" i="351"/>
  <c r="B687" i="351"/>
  <c r="B688" i="351"/>
  <c r="B689" i="351"/>
  <c r="B690" i="351"/>
  <c r="B691" i="351"/>
  <c r="B692" i="351"/>
  <c r="B693" i="351"/>
  <c r="B694" i="351"/>
  <c r="B695" i="351"/>
  <c r="B696" i="351"/>
  <c r="B697" i="351"/>
  <c r="B698" i="351"/>
  <c r="B699" i="351"/>
  <c r="B700" i="351"/>
  <c r="B701" i="351"/>
  <c r="B702" i="351"/>
  <c r="B703" i="351"/>
  <c r="B704" i="351"/>
  <c r="B705" i="351"/>
  <c r="B706" i="351"/>
  <c r="B707" i="351"/>
  <c r="B708" i="351"/>
  <c r="B709" i="351"/>
  <c r="B710" i="351"/>
  <c r="B711" i="351"/>
  <c r="B712" i="351"/>
  <c r="B713" i="351"/>
  <c r="B714" i="351"/>
  <c r="B715" i="351"/>
  <c r="B716" i="351"/>
  <c r="B717" i="351"/>
  <c r="B718" i="351"/>
  <c r="B719" i="351"/>
  <c r="B720" i="351"/>
  <c r="B721" i="351"/>
  <c r="B722" i="351"/>
  <c r="B723" i="351"/>
  <c r="B724" i="351"/>
  <c r="B725" i="351"/>
  <c r="B726" i="351"/>
  <c r="B727" i="351"/>
  <c r="B728" i="351"/>
  <c r="B729" i="351"/>
  <c r="B730" i="351"/>
  <c r="B731" i="351"/>
  <c r="B732" i="351"/>
  <c r="B733" i="351"/>
  <c r="B734" i="351"/>
  <c r="B735" i="351"/>
  <c r="B736" i="351"/>
  <c r="B737" i="351"/>
  <c r="B738" i="351"/>
  <c r="B739" i="351"/>
  <c r="B740" i="351"/>
  <c r="B741" i="351"/>
  <c r="B742" i="351"/>
  <c r="B743" i="351"/>
  <c r="B744" i="351"/>
  <c r="B745" i="351"/>
  <c r="B746" i="351"/>
  <c r="B747" i="351"/>
  <c r="B748" i="351"/>
  <c r="B749" i="351"/>
  <c r="B750" i="351"/>
  <c r="B751" i="351"/>
  <c r="B752" i="351"/>
  <c r="B753" i="351"/>
  <c r="B754" i="351"/>
  <c r="B755" i="351"/>
  <c r="B756" i="351"/>
  <c r="B757" i="351"/>
  <c r="B758" i="351"/>
  <c r="B759" i="351"/>
  <c r="B760" i="351"/>
  <c r="B761" i="351"/>
  <c r="B762" i="351"/>
  <c r="B763" i="351"/>
  <c r="B764" i="351"/>
  <c r="B765" i="351"/>
  <c r="B766" i="351"/>
  <c r="B767" i="351"/>
  <c r="B768" i="351"/>
  <c r="B769" i="351"/>
  <c r="B770" i="351"/>
  <c r="B771" i="351"/>
  <c r="B772" i="351"/>
  <c r="B773" i="351"/>
  <c r="B774" i="351"/>
  <c r="B775" i="351"/>
  <c r="B776" i="351"/>
  <c r="B777" i="351"/>
  <c r="B778" i="351"/>
  <c r="B779" i="351"/>
  <c r="B780" i="351"/>
  <c r="B781" i="351"/>
  <c r="B782" i="351"/>
  <c r="B783" i="351"/>
  <c r="B784" i="351"/>
  <c r="B785" i="351"/>
  <c r="B786" i="351"/>
  <c r="B787" i="351"/>
  <c r="B788" i="351"/>
  <c r="B789" i="351"/>
  <c r="B790" i="351"/>
  <c r="B791" i="351"/>
  <c r="B792" i="351"/>
  <c r="B793" i="351"/>
  <c r="B794" i="351"/>
  <c r="B795" i="351"/>
  <c r="B796" i="351"/>
  <c r="B797" i="351"/>
  <c r="B798" i="351"/>
  <c r="B799" i="351"/>
  <c r="B800" i="351"/>
  <c r="B801" i="351"/>
  <c r="B802" i="351"/>
  <c r="B803" i="351"/>
  <c r="B804" i="351"/>
  <c r="B805" i="351"/>
  <c r="B806" i="351"/>
  <c r="B807" i="351"/>
  <c r="B808" i="351"/>
  <c r="B809" i="351"/>
  <c r="B810" i="351"/>
  <c r="B811" i="351"/>
  <c r="B812" i="351"/>
  <c r="B813" i="351"/>
  <c r="B814" i="351"/>
  <c r="B815" i="351"/>
  <c r="B816" i="351"/>
  <c r="B817" i="351"/>
  <c r="B818" i="351"/>
  <c r="B819" i="351"/>
  <c r="B820" i="351"/>
  <c r="B821" i="351"/>
  <c r="B822" i="351"/>
  <c r="B823" i="351"/>
  <c r="B824" i="351"/>
  <c r="B825" i="351"/>
  <c r="B826" i="351"/>
  <c r="B827" i="351"/>
  <c r="B828" i="351"/>
  <c r="B829" i="351"/>
  <c r="B830" i="351"/>
  <c r="B831" i="351"/>
  <c r="B832" i="351"/>
  <c r="B833" i="351"/>
  <c r="B834" i="351"/>
  <c r="B835" i="351"/>
  <c r="B836" i="351"/>
  <c r="B837" i="351"/>
  <c r="B838" i="351"/>
  <c r="B839" i="351"/>
  <c r="B840" i="351"/>
  <c r="B841" i="351"/>
  <c r="B842" i="351"/>
  <c r="B843" i="351"/>
  <c r="B844" i="351"/>
  <c r="B845" i="351"/>
  <c r="B846" i="351"/>
  <c r="B847" i="351"/>
  <c r="B848" i="351"/>
  <c r="B849" i="351"/>
  <c r="B850" i="351"/>
  <c r="B851" i="351"/>
  <c r="B852" i="351"/>
  <c r="B853" i="351"/>
  <c r="B854" i="351"/>
  <c r="B855" i="351"/>
  <c r="B856" i="351"/>
  <c r="B857" i="351"/>
  <c r="B858" i="351"/>
  <c r="B859" i="351"/>
  <c r="B860" i="351"/>
  <c r="B861" i="351"/>
  <c r="B862" i="351"/>
  <c r="B863" i="351"/>
  <c r="B864" i="351"/>
  <c r="B865" i="351"/>
  <c r="B866" i="351"/>
  <c r="B867" i="351"/>
  <c r="B868" i="351"/>
  <c r="B869" i="351"/>
  <c r="B870" i="351"/>
  <c r="B871" i="351"/>
  <c r="B872" i="351"/>
  <c r="B873" i="351"/>
  <c r="B874" i="351"/>
  <c r="B875" i="351"/>
  <c r="B876" i="351"/>
  <c r="B877" i="351"/>
  <c r="B878" i="351"/>
  <c r="N19" i="249" l="1"/>
  <c r="P20" i="8"/>
  <c r="D18" i="330"/>
  <c r="D19" i="330"/>
  <c r="N10" i="4"/>
  <c r="N17" i="87"/>
  <c r="B245" i="329"/>
  <c r="B243" i="329" s="1"/>
  <c r="D208" i="315"/>
  <c r="D243" i="315"/>
  <c r="D207" i="315"/>
  <c r="D242" i="315"/>
  <c r="D138" i="315"/>
  <c r="D173" i="315"/>
  <c r="D137" i="315"/>
  <c r="D172" i="315"/>
  <c r="D68" i="315"/>
  <c r="D103" i="315"/>
  <c r="D67" i="315"/>
  <c r="D102" i="315"/>
  <c r="D138" i="314"/>
  <c r="D33" i="315"/>
  <c r="D137" i="314"/>
  <c r="D32" i="315"/>
  <c r="D68" i="314"/>
  <c r="D103" i="314"/>
  <c r="D67" i="314"/>
  <c r="D102" i="314"/>
  <c r="D278" i="313"/>
  <c r="D33" i="314"/>
  <c r="D277" i="313"/>
  <c r="D32" i="314"/>
  <c r="D208" i="313"/>
  <c r="D243" i="313"/>
  <c r="D207" i="313"/>
  <c r="D242" i="313"/>
  <c r="D138" i="313"/>
  <c r="D173" i="313"/>
  <c r="D137" i="313"/>
  <c r="D172" i="313"/>
  <c r="D68" i="313"/>
  <c r="D103" i="313"/>
  <c r="D67" i="313"/>
  <c r="D102" i="313"/>
  <c r="D208" i="312"/>
  <c r="D33" i="313"/>
  <c r="D207" i="312"/>
  <c r="D32" i="313"/>
  <c r="D138" i="312"/>
  <c r="D173" i="312"/>
  <c r="D137" i="312"/>
  <c r="D172" i="312"/>
  <c r="D68" i="312"/>
  <c r="D103" i="312"/>
  <c r="D67" i="312"/>
  <c r="D102" i="312"/>
  <c r="D136" i="261"/>
  <c r="D33" i="312"/>
  <c r="D135" i="261"/>
  <c r="D32" i="312"/>
  <c r="D66" i="261"/>
  <c r="D101" i="261"/>
  <c r="D65" i="261"/>
  <c r="D100" i="261"/>
  <c r="D21" i="350"/>
  <c r="D31" i="261"/>
  <c r="D20" i="350"/>
  <c r="D30" i="261"/>
  <c r="D173" i="339"/>
  <c r="D19" i="347"/>
  <c r="D172" i="339"/>
  <c r="D18" i="347"/>
  <c r="D103" i="339"/>
  <c r="D138" i="339"/>
  <c r="D102" i="339"/>
  <c r="D137" i="339"/>
  <c r="D33" i="339"/>
  <c r="D68" i="339"/>
  <c r="D32" i="339"/>
  <c r="D67" i="339"/>
  <c r="D101" i="252"/>
  <c r="D136" i="252"/>
  <c r="D100" i="252"/>
  <c r="D135" i="252"/>
  <c r="D31" i="252"/>
  <c r="D66" i="252"/>
  <c r="D30" i="252"/>
  <c r="D65" i="252"/>
  <c r="E12" i="343"/>
  <c r="D175" i="323"/>
  <c r="B553" i="329"/>
  <c r="B413" i="329"/>
  <c r="B475" i="329"/>
  <c r="B322" i="329"/>
  <c r="B108" i="329"/>
  <c r="B176" i="329"/>
  <c r="B123" i="327"/>
  <c r="B45" i="329"/>
  <c r="B9" i="329"/>
  <c r="B26" i="329"/>
  <c r="I29" i="329"/>
  <c r="B7" i="251"/>
  <c r="B7" i="329"/>
  <c r="B6" i="251"/>
  <c r="B6" i="329"/>
  <c r="B5" i="251"/>
  <c r="B5" i="329"/>
  <c r="C33" i="349"/>
  <c r="C78" i="349"/>
  <c r="B3" i="314"/>
  <c r="B3" i="315"/>
  <c r="B3" i="312"/>
  <c r="B3" i="313"/>
  <c r="B3" i="339"/>
  <c r="B3" i="350"/>
  <c r="B1" i="349"/>
  <c r="I48" i="5" s="1"/>
  <c r="B1" i="350"/>
  <c r="B1" i="346"/>
  <c r="I47" i="5" s="1"/>
  <c r="B1" i="347"/>
  <c r="B3" i="320"/>
  <c r="B3" i="340"/>
  <c r="C12" i="123"/>
  <c r="B3" i="326"/>
  <c r="B114" i="327"/>
  <c r="B132" i="327"/>
  <c r="B78" i="327"/>
  <c r="B96" i="327"/>
  <c r="B43" i="327"/>
  <c r="B61" i="327"/>
  <c r="B87" i="327"/>
  <c r="B105" i="327"/>
  <c r="B52" i="327"/>
  <c r="B70" i="327"/>
  <c r="B46" i="309"/>
  <c r="B34" i="327"/>
  <c r="B3" i="323"/>
  <c r="B3" i="327"/>
  <c r="C13" i="343"/>
  <c r="D97" i="323"/>
  <c r="C12" i="310"/>
  <c r="C12" i="316"/>
  <c r="C12" i="8"/>
  <c r="B3" i="330"/>
  <c r="B1" i="329"/>
  <c r="B1" i="330"/>
  <c r="B3" i="349"/>
  <c r="I79" i="349"/>
  <c r="I20" i="349"/>
  <c r="D101" i="346"/>
  <c r="D103" i="349"/>
  <c r="D88" i="346"/>
  <c r="D32" i="349"/>
  <c r="C89" i="346"/>
  <c r="C91" i="349"/>
  <c r="C76" i="346"/>
  <c r="C20" i="349"/>
  <c r="E48" i="349"/>
  <c r="E62" i="349"/>
  <c r="E121" i="349"/>
  <c r="E106" i="349"/>
  <c r="C12" i="249"/>
  <c r="I18" i="346"/>
  <c r="I77" i="346"/>
  <c r="E104" i="346"/>
  <c r="E119" i="346"/>
  <c r="E46" i="346"/>
  <c r="E60" i="346"/>
  <c r="C53" i="343"/>
  <c r="D43" i="346"/>
  <c r="C38" i="343"/>
  <c r="D30" i="346"/>
  <c r="M60" i="343"/>
  <c r="C31" i="346"/>
  <c r="L60" i="343"/>
  <c r="C18" i="346"/>
  <c r="B29" i="309"/>
  <c r="B63" i="309"/>
  <c r="C40" i="309"/>
  <c r="C57" i="309"/>
  <c r="C56" i="329"/>
  <c r="C23" i="309"/>
  <c r="D89" i="324"/>
  <c r="B11" i="309"/>
  <c r="B3" i="348"/>
  <c r="B786" i="329"/>
  <c r="B1" i="348"/>
  <c r="H630" i="329"/>
  <c r="H19" i="345"/>
  <c r="E630" i="329"/>
  <c r="C19" i="345"/>
  <c r="B626" i="329"/>
  <c r="B1" i="345"/>
  <c r="D85" i="324"/>
  <c r="D90" i="324"/>
  <c r="D77" i="324"/>
  <c r="D84" i="324"/>
  <c r="D74" i="324"/>
  <c r="D78" i="324"/>
  <c r="D66" i="324"/>
  <c r="D73" i="324"/>
  <c r="D63" i="324"/>
  <c r="D67" i="324"/>
  <c r="D62" i="324"/>
  <c r="C52" i="329"/>
  <c r="D28" i="324"/>
  <c r="J42" i="343"/>
  <c r="D138" i="317"/>
  <c r="G44" i="317"/>
  <c r="G62" i="317"/>
  <c r="F44" i="317"/>
  <c r="F62" i="317"/>
  <c r="E44" i="317"/>
  <c r="E62" i="317"/>
  <c r="B9" i="323"/>
  <c r="B9" i="327"/>
  <c r="B8" i="323"/>
  <c r="B8" i="327"/>
  <c r="B7" i="323"/>
  <c r="B7" i="327"/>
  <c r="B8" i="346"/>
  <c r="B10" i="349"/>
  <c r="B9" i="346"/>
  <c r="B11" i="349"/>
  <c r="B7" i="346"/>
  <c r="B9" i="349"/>
  <c r="B7" i="322"/>
  <c r="B7" i="309"/>
  <c r="B6" i="322"/>
  <c r="B6" i="309"/>
  <c r="B5" i="322"/>
  <c r="B5" i="309"/>
  <c r="B9" i="345"/>
  <c r="B10" i="348"/>
  <c r="B8" i="345"/>
  <c r="B9" i="348"/>
  <c r="B7" i="345"/>
  <c r="B8" i="348"/>
  <c r="B6" i="247"/>
  <c r="B6" i="336"/>
  <c r="B7" i="247"/>
  <c r="B7" i="336"/>
  <c r="B5" i="247"/>
  <c r="B5" i="336"/>
  <c r="B7" i="285"/>
  <c r="B7" i="286"/>
  <c r="B6" i="285"/>
  <c r="B6" i="286"/>
  <c r="B5" i="285"/>
  <c r="B5" i="286"/>
  <c r="B7" i="283"/>
  <c r="B7" i="284"/>
  <c r="B6" i="283"/>
  <c r="B6" i="284"/>
  <c r="B5" i="283"/>
  <c r="B5" i="284"/>
  <c r="B7" i="324"/>
  <c r="B7" i="301"/>
  <c r="B6" i="324"/>
  <c r="B6" i="301"/>
  <c r="B5" i="324"/>
  <c r="B5" i="301"/>
  <c r="B7" i="317"/>
  <c r="B7" i="321"/>
  <c r="B6" i="317"/>
  <c r="B6" i="321"/>
  <c r="B5" i="317"/>
  <c r="B5" i="321"/>
  <c r="B1" i="253"/>
  <c r="B3" i="338"/>
  <c r="C12" i="87"/>
  <c r="C10" i="333"/>
  <c r="I750" i="329"/>
  <c r="I769" i="329"/>
  <c r="I715" i="329"/>
  <c r="I732" i="329"/>
  <c r="I682" i="329"/>
  <c r="I697" i="329"/>
  <c r="I649" i="329"/>
  <c r="I664" i="329"/>
  <c r="E750" i="329"/>
  <c r="E769" i="329"/>
  <c r="E715" i="329"/>
  <c r="E732" i="329"/>
  <c r="E682" i="329"/>
  <c r="E697" i="329"/>
  <c r="E649" i="329"/>
  <c r="E664" i="329"/>
  <c r="B425" i="329"/>
  <c r="B490" i="329"/>
  <c r="B417" i="329"/>
  <c r="B479" i="329"/>
  <c r="B263" i="329"/>
  <c r="B346" i="329"/>
  <c r="B247" i="329"/>
  <c r="B326" i="329"/>
  <c r="B124" i="329"/>
  <c r="B192" i="329"/>
  <c r="B112" i="329"/>
  <c r="B180" i="329"/>
  <c r="D84" i="343"/>
  <c r="D90" i="343"/>
  <c r="H60" i="343"/>
  <c r="K60" i="343"/>
  <c r="F75" i="343"/>
  <c r="H75" i="343"/>
  <c r="C40" i="343"/>
  <c r="F60" i="343"/>
  <c r="G75" i="343"/>
  <c r="J60" i="343"/>
  <c r="G60" i="343"/>
  <c r="E75" i="343"/>
  <c r="C25" i="343"/>
  <c r="E60" i="343"/>
  <c r="E27" i="343"/>
  <c r="J27" i="343"/>
  <c r="F27" i="343"/>
  <c r="K27" i="343"/>
  <c r="G27" i="343"/>
  <c r="L27" i="343"/>
  <c r="M27" i="343"/>
  <c r="M42" i="343"/>
  <c r="H27" i="343"/>
  <c r="H42" i="343"/>
  <c r="G42" i="343"/>
  <c r="F42" i="343"/>
  <c r="E42" i="343"/>
  <c r="E6" i="343"/>
  <c r="E9" i="343"/>
  <c r="C11" i="4"/>
  <c r="C12" i="333"/>
  <c r="F12" i="343"/>
  <c r="E95" i="343"/>
  <c r="B63" i="329"/>
  <c r="B644" i="329"/>
  <c r="C41" i="338"/>
  <c r="C44" i="338"/>
  <c r="B10" i="338"/>
  <c r="D17" i="338"/>
  <c r="D13" i="253"/>
  <c r="C9" i="87"/>
  <c r="B1" i="10"/>
  <c r="B4" i="10"/>
  <c r="B5" i="10"/>
  <c r="C6" i="10"/>
  <c r="C10" i="10"/>
  <c r="B1" i="24"/>
  <c r="D8" i="24"/>
  <c r="D21" i="24"/>
  <c r="D22" i="24"/>
  <c r="C24" i="24"/>
  <c r="D25" i="24"/>
  <c r="D26" i="24"/>
  <c r="B34" i="24"/>
  <c r="C36" i="24"/>
  <c r="D37" i="24"/>
  <c r="C39" i="24"/>
  <c r="D40" i="24"/>
  <c r="D41" i="24"/>
  <c r="B48" i="24"/>
  <c r="C50" i="24"/>
  <c r="C52" i="24"/>
  <c r="D53" i="24"/>
  <c r="D54" i="24"/>
  <c r="C56" i="24"/>
  <c r="D57" i="24"/>
  <c r="D58" i="24"/>
  <c r="B6" i="338"/>
  <c r="B1" i="317"/>
  <c r="H30" i="5" s="1"/>
  <c r="C131" i="317"/>
  <c r="D134" i="317"/>
  <c r="B1" i="321"/>
  <c r="H31" i="5" s="1"/>
  <c r="B9" i="321"/>
  <c r="C19" i="321"/>
  <c r="B118" i="321"/>
  <c r="D131" i="321"/>
  <c r="C140" i="321"/>
  <c r="E225" i="321"/>
  <c r="D261" i="321"/>
  <c r="B248" i="321"/>
  <c r="B9" i="324"/>
  <c r="D12" i="324"/>
  <c r="D14" i="324"/>
  <c r="D16" i="324"/>
  <c r="D29" i="324"/>
  <c r="D21" i="324"/>
  <c r="D26" i="324"/>
  <c r="C66" i="309"/>
  <c r="D31" i="324"/>
  <c r="D42" i="324"/>
  <c r="D50" i="324"/>
  <c r="D39" i="324"/>
  <c r="D48" i="324"/>
  <c r="D56" i="324"/>
  <c r="D59" i="324"/>
  <c r="D70" i="324"/>
  <c r="D81" i="324"/>
  <c r="B101" i="324"/>
  <c r="D103" i="324"/>
  <c r="D109" i="324"/>
  <c r="D116" i="324"/>
  <c r="D105" i="324"/>
  <c r="D111" i="324"/>
  <c r="D120" i="324"/>
  <c r="D107" i="324"/>
  <c r="D113" i="324"/>
  <c r="D123" i="324"/>
  <c r="D129" i="324"/>
  <c r="D133" i="324"/>
  <c r="D138" i="324"/>
  <c r="D131" i="324"/>
  <c r="D135" i="324"/>
  <c r="D142" i="324"/>
  <c r="B1" i="301"/>
  <c r="B27" i="301"/>
  <c r="C29" i="301"/>
  <c r="C140" i="301"/>
  <c r="D216" i="301"/>
  <c r="C150" i="301"/>
  <c r="C161" i="301"/>
  <c r="D163" i="301"/>
  <c r="D132" i="301"/>
  <c r="B172" i="301"/>
  <c r="B217" i="9" s="1"/>
  <c r="D177" i="301"/>
  <c r="D220" i="301"/>
  <c r="F213" i="301"/>
  <c r="D237" i="301"/>
  <c r="D261" i="301"/>
  <c r="D285" i="301"/>
  <c r="D310" i="301"/>
  <c r="B1" i="283"/>
  <c r="B1" i="284"/>
  <c r="H35" i="5" s="1"/>
  <c r="D153" i="284"/>
  <c r="B1" i="286"/>
  <c r="B1" i="247"/>
  <c r="D245" i="247"/>
  <c r="B1" i="336"/>
  <c r="D156" i="336"/>
  <c r="B12" i="345"/>
  <c r="B15" i="345"/>
  <c r="C18" i="345"/>
  <c r="D119" i="346"/>
  <c r="B13" i="348"/>
  <c r="B16" i="348"/>
  <c r="C19" i="348"/>
  <c r="B20" i="348"/>
  <c r="C9" i="249"/>
  <c r="D44" i="5" s="1"/>
  <c r="C10" i="249"/>
  <c r="C10" i="87"/>
  <c r="B1" i="322"/>
  <c r="I45" i="5" s="1"/>
  <c r="B9" i="322"/>
  <c r="B38" i="322"/>
  <c r="B1" i="309"/>
  <c r="I46" i="5" s="1"/>
  <c r="B9" i="309"/>
  <c r="B27" i="309"/>
  <c r="B44" i="309"/>
  <c r="B61" i="309"/>
  <c r="B12" i="346"/>
  <c r="B14" i="346"/>
  <c r="B14" i="349"/>
  <c r="B16" i="349"/>
  <c r="B1" i="311"/>
  <c r="I49" i="5" s="1"/>
  <c r="D13" i="311"/>
  <c r="C9" i="8"/>
  <c r="C10" i="8"/>
  <c r="C18" i="8"/>
  <c r="C19" i="8"/>
  <c r="C20" i="8"/>
  <c r="C21" i="8"/>
  <c r="B6" i="330"/>
  <c r="C9" i="310"/>
  <c r="C10" i="310"/>
  <c r="B1" i="279"/>
  <c r="D22" i="280"/>
  <c r="D27" i="337"/>
  <c r="E27" i="337"/>
  <c r="F27" i="337"/>
  <c r="D442" i="337"/>
  <c r="E442" i="337"/>
  <c r="F442" i="337"/>
  <c r="B1" i="280"/>
  <c r="B1" i="307"/>
  <c r="B1" i="282"/>
  <c r="B1" i="246"/>
  <c r="B1" i="337"/>
  <c r="B1" i="9"/>
  <c r="B209" i="9"/>
  <c r="B219" i="9"/>
  <c r="C9" i="316"/>
  <c r="C10" i="316"/>
  <c r="B1" i="323"/>
  <c r="B11" i="323"/>
  <c r="B103" i="323"/>
  <c r="C171" i="323"/>
  <c r="B147" i="323"/>
  <c r="B169" i="323"/>
  <c r="B1" i="327"/>
  <c r="B1" i="251"/>
  <c r="B1" i="250"/>
  <c r="C9" i="123"/>
  <c r="C10" i="123"/>
  <c r="B1" i="11"/>
  <c r="B4" i="11"/>
  <c r="B6" i="326"/>
  <c r="B1" i="244"/>
  <c r="B4" i="244"/>
  <c r="B1" i="254"/>
  <c r="B4" i="254"/>
  <c r="B1" i="320"/>
  <c r="B6" i="320"/>
  <c r="B1" i="340"/>
  <c r="B6" i="340"/>
  <c r="B1" i="252"/>
  <c r="B4" i="252"/>
  <c r="B39" i="252"/>
  <c r="B74" i="252"/>
  <c r="B109" i="252"/>
  <c r="B1" i="339"/>
  <c r="B6" i="339"/>
  <c r="B41" i="339"/>
  <c r="B76" i="339"/>
  <c r="B111" i="339"/>
  <c r="B146" i="339"/>
  <c r="B5" i="347"/>
  <c r="B7" i="350"/>
  <c r="B1" i="261"/>
  <c r="B4" i="261"/>
  <c r="B39" i="261"/>
  <c r="B74" i="261"/>
  <c r="B109" i="261"/>
  <c r="B1" i="312"/>
  <c r="B6" i="312"/>
  <c r="B41" i="312"/>
  <c r="B76" i="312"/>
  <c r="B111" i="312"/>
  <c r="B146" i="312"/>
  <c r="B181" i="312"/>
  <c r="B1" i="313"/>
  <c r="B6" i="313"/>
  <c r="B41" i="313"/>
  <c r="B76" i="313"/>
  <c r="B111" i="313"/>
  <c r="B146" i="313"/>
  <c r="B181" i="313"/>
  <c r="B216" i="313"/>
  <c r="B251" i="313"/>
  <c r="B1" i="314"/>
  <c r="B6" i="314"/>
  <c r="B41" i="314"/>
  <c r="B76" i="314"/>
  <c r="B111" i="314"/>
  <c r="B1" i="315"/>
  <c r="B6" i="315"/>
  <c r="B111" i="315"/>
  <c r="B146" i="315"/>
  <c r="B181" i="315"/>
  <c r="B216" i="315"/>
  <c r="B1" i="351"/>
  <c r="M4" i="4"/>
  <c r="E1" i="351"/>
  <c r="F41" i="317"/>
  <c r="F99" i="317"/>
  <c r="D221" i="301"/>
  <c r="B9" i="247"/>
  <c r="D237" i="315"/>
  <c r="C581" i="311"/>
  <c r="C418" i="337"/>
  <c r="C441" i="337"/>
  <c r="C459" i="337"/>
  <c r="C279" i="337"/>
  <c r="B108" i="250"/>
  <c r="B128" i="250"/>
  <c r="D229" i="315"/>
  <c r="D230" i="315"/>
  <c r="C23" i="4"/>
  <c r="D37" i="340"/>
  <c r="D108" i="336" l="1"/>
  <c r="D38" i="336"/>
  <c r="D73" i="336"/>
  <c r="D112" i="247"/>
  <c r="D149" i="247"/>
  <c r="D38" i="247"/>
  <c r="D75" i="247"/>
  <c r="D112" i="286"/>
  <c r="D38" i="286"/>
  <c r="D75" i="286"/>
  <c r="D112" i="285"/>
  <c r="D38" i="285"/>
  <c r="D75" i="285"/>
  <c r="D38" i="283"/>
  <c r="D75" i="283"/>
  <c r="D112" i="284"/>
  <c r="D38" i="284"/>
  <c r="D75" i="284"/>
  <c r="B149" i="284"/>
  <c r="B36" i="284"/>
  <c r="D11" i="284"/>
  <c r="D48" i="284"/>
  <c r="D122" i="284"/>
  <c r="D85" i="284"/>
  <c r="D28" i="284"/>
  <c r="D23" i="284"/>
  <c r="D141" i="284"/>
  <c r="D136" i="284"/>
  <c r="B148" i="309"/>
  <c r="D81" i="284" s="1"/>
  <c r="B134" i="309"/>
  <c r="D44" i="284" s="1"/>
  <c r="B176" i="309"/>
  <c r="D162" i="284" s="1"/>
  <c r="B162" i="309"/>
  <c r="D118" i="284" s="1"/>
  <c r="D135" i="284"/>
  <c r="D140" i="284"/>
  <c r="D22" i="284"/>
  <c r="D27" i="284"/>
  <c r="B1" i="281"/>
  <c r="B1" i="285"/>
  <c r="C2" i="351"/>
  <c r="D214" i="315"/>
  <c r="D249" i="315"/>
  <c r="D213" i="315"/>
  <c r="D248" i="315"/>
  <c r="D144" i="315"/>
  <c r="D179" i="315"/>
  <c r="D143" i="315"/>
  <c r="D178" i="315"/>
  <c r="D74" i="315"/>
  <c r="D109" i="315"/>
  <c r="D73" i="315"/>
  <c r="D108" i="315"/>
  <c r="D201" i="315"/>
  <c r="D236" i="315"/>
  <c r="D167" i="315"/>
  <c r="D202" i="315"/>
  <c r="D131" i="315"/>
  <c r="D166" i="315"/>
  <c r="D97" i="315"/>
  <c r="D132" i="315"/>
  <c r="D61" i="315"/>
  <c r="D96" i="315"/>
  <c r="D27" i="315"/>
  <c r="D62" i="315"/>
  <c r="D160" i="315"/>
  <c r="D195" i="315"/>
  <c r="D159" i="315"/>
  <c r="D194" i="315"/>
  <c r="D90" i="315"/>
  <c r="D125" i="315"/>
  <c r="D89" i="315"/>
  <c r="D124" i="315"/>
  <c r="D20" i="315"/>
  <c r="D55" i="315"/>
  <c r="D19" i="315"/>
  <c r="D54" i="315"/>
  <c r="D144" i="314"/>
  <c r="D39" i="315"/>
  <c r="D143" i="314"/>
  <c r="D38" i="315"/>
  <c r="D131" i="314"/>
  <c r="D26" i="315"/>
  <c r="D74" i="314"/>
  <c r="D109" i="314"/>
  <c r="D73" i="314"/>
  <c r="D108" i="314"/>
  <c r="D97" i="314"/>
  <c r="D132" i="314"/>
  <c r="D61" i="314"/>
  <c r="D96" i="314"/>
  <c r="D27" i="314"/>
  <c r="D62" i="314"/>
  <c r="D90" i="314"/>
  <c r="D125" i="314"/>
  <c r="D89" i="314"/>
  <c r="D124" i="314"/>
  <c r="D20" i="314"/>
  <c r="D55" i="314"/>
  <c r="D19" i="314"/>
  <c r="D54" i="314"/>
  <c r="D284" i="313"/>
  <c r="D39" i="314"/>
  <c r="D283" i="313"/>
  <c r="D38" i="314"/>
  <c r="D271" i="313"/>
  <c r="D26" i="314"/>
  <c r="D214" i="313"/>
  <c r="D249" i="313"/>
  <c r="D213" i="313"/>
  <c r="D248" i="313"/>
  <c r="D144" i="313"/>
  <c r="D179" i="313"/>
  <c r="D143" i="313"/>
  <c r="D178" i="313"/>
  <c r="D74" i="313"/>
  <c r="D109" i="313"/>
  <c r="D73" i="313"/>
  <c r="D108" i="313"/>
  <c r="D237" i="313"/>
  <c r="D272" i="313"/>
  <c r="D201" i="313"/>
  <c r="D236" i="313"/>
  <c r="D167" i="313"/>
  <c r="D202" i="313"/>
  <c r="D131" i="313"/>
  <c r="D166" i="313"/>
  <c r="D97" i="313"/>
  <c r="D132" i="313"/>
  <c r="D61" i="313"/>
  <c r="D96" i="313"/>
  <c r="D27" i="313"/>
  <c r="D62" i="313"/>
  <c r="D230" i="313"/>
  <c r="D265" i="313"/>
  <c r="D229" i="313"/>
  <c r="D264" i="313"/>
  <c r="D160" i="313"/>
  <c r="D195" i="313"/>
  <c r="D159" i="313"/>
  <c r="D194" i="313"/>
  <c r="D90" i="313"/>
  <c r="D125" i="313"/>
  <c r="D89" i="313"/>
  <c r="D124" i="313"/>
  <c r="D20" i="313"/>
  <c r="D55" i="313"/>
  <c r="D19" i="313"/>
  <c r="D54" i="313"/>
  <c r="D214" i="312"/>
  <c r="D39" i="313"/>
  <c r="D213" i="312"/>
  <c r="D38" i="313"/>
  <c r="D201" i="312"/>
  <c r="D26" i="313"/>
  <c r="D144" i="312"/>
  <c r="D179" i="312"/>
  <c r="D143" i="312"/>
  <c r="D178" i="312"/>
  <c r="D74" i="312"/>
  <c r="D109" i="312"/>
  <c r="D73" i="312"/>
  <c r="D108" i="312"/>
  <c r="D167" i="312"/>
  <c r="D202" i="312"/>
  <c r="D131" i="312"/>
  <c r="D166" i="312"/>
  <c r="D97" i="312"/>
  <c r="D132" i="312"/>
  <c r="D61" i="312"/>
  <c r="D96" i="312"/>
  <c r="D27" i="312"/>
  <c r="D62" i="312"/>
  <c r="D160" i="312"/>
  <c r="D195" i="312"/>
  <c r="D159" i="312"/>
  <c r="D194" i="312"/>
  <c r="D90" i="312"/>
  <c r="D125" i="312"/>
  <c r="D89" i="312"/>
  <c r="D124" i="312"/>
  <c r="D20" i="312"/>
  <c r="D55" i="312"/>
  <c r="D19" i="312"/>
  <c r="D54" i="312"/>
  <c r="D142" i="261"/>
  <c r="D39" i="312"/>
  <c r="D141" i="261"/>
  <c r="D38" i="312"/>
  <c r="D129" i="261"/>
  <c r="D26" i="312"/>
  <c r="D71" i="261"/>
  <c r="D106" i="261"/>
  <c r="D72" i="261"/>
  <c r="D107" i="261"/>
  <c r="D95" i="261"/>
  <c r="D130" i="261"/>
  <c r="D59" i="261"/>
  <c r="D94" i="261"/>
  <c r="D25" i="261"/>
  <c r="D60" i="261"/>
  <c r="D87" i="261"/>
  <c r="D122" i="261"/>
  <c r="D88" i="261"/>
  <c r="D123" i="261"/>
  <c r="D17" i="261"/>
  <c r="D52" i="261"/>
  <c r="D18" i="261"/>
  <c r="D53" i="261"/>
  <c r="D179" i="339"/>
  <c r="D37" i="261"/>
  <c r="D178" i="339"/>
  <c r="D36" i="261"/>
  <c r="D166" i="339"/>
  <c r="D24" i="261"/>
  <c r="D109" i="339"/>
  <c r="D144" i="339"/>
  <c r="D108" i="339"/>
  <c r="D143" i="339"/>
  <c r="D39" i="339"/>
  <c r="D74" i="339"/>
  <c r="D38" i="339"/>
  <c r="D73" i="339"/>
  <c r="D132" i="339"/>
  <c r="D167" i="339"/>
  <c r="D96" i="339"/>
  <c r="D131" i="339"/>
  <c r="D62" i="339"/>
  <c r="D97" i="339"/>
  <c r="D26" i="339"/>
  <c r="D61" i="339"/>
  <c r="D125" i="339"/>
  <c r="D160" i="339"/>
  <c r="D124" i="339"/>
  <c r="D159" i="339"/>
  <c r="D55" i="339"/>
  <c r="D90" i="339"/>
  <c r="D54" i="339"/>
  <c r="D89" i="339"/>
  <c r="D123" i="252"/>
  <c r="D20" i="339"/>
  <c r="D122" i="252"/>
  <c r="D19" i="339"/>
  <c r="D130" i="252"/>
  <c r="D27" i="339"/>
  <c r="D107" i="252"/>
  <c r="D142" i="252"/>
  <c r="D106" i="252"/>
  <c r="D141" i="252"/>
  <c r="D37" i="252"/>
  <c r="D72" i="252"/>
  <c r="D36" i="252"/>
  <c r="D71" i="252"/>
  <c r="D94" i="252"/>
  <c r="D129" i="252"/>
  <c r="D60" i="252"/>
  <c r="D95" i="252"/>
  <c r="D24" i="252"/>
  <c r="D59" i="252"/>
  <c r="C36" i="343"/>
  <c r="D25" i="252"/>
  <c r="D53" i="252"/>
  <c r="D88" i="252"/>
  <c r="D52" i="252"/>
  <c r="D87" i="252"/>
  <c r="D9" i="11"/>
  <c r="D18" i="252"/>
  <c r="D8" i="11"/>
  <c r="D17" i="252"/>
  <c r="B40" i="317"/>
  <c r="C35" i="322" s="1"/>
  <c r="B98" i="317"/>
  <c r="C36" i="322" s="1"/>
  <c r="B159" i="336"/>
  <c r="B55" i="9" s="1"/>
  <c r="B14" i="336"/>
  <c r="B51" i="9" s="1"/>
  <c r="B125" i="247"/>
  <c r="B47" i="9" s="1"/>
  <c r="B297" i="286"/>
  <c r="B43" i="9" s="1"/>
  <c r="B125" i="286"/>
  <c r="B39" i="9" s="1"/>
  <c r="B211" i="285"/>
  <c r="B35" i="9" s="1"/>
  <c r="B51" i="285"/>
  <c r="B31" i="9" s="1"/>
  <c r="B51" i="284"/>
  <c r="B27" i="9" s="1"/>
  <c r="B205" i="247"/>
  <c r="B49" i="9" s="1"/>
  <c r="B211" i="286"/>
  <c r="B41" i="9" s="1"/>
  <c r="B125" i="285"/>
  <c r="B33" i="9" s="1"/>
  <c r="B48" i="336"/>
  <c r="B52" i="9" s="1"/>
  <c r="B14" i="247"/>
  <c r="B44" i="9" s="1"/>
  <c r="B88" i="285"/>
  <c r="B32" i="9" s="1"/>
  <c r="B118" i="336"/>
  <c r="B54" i="9" s="1"/>
  <c r="B248" i="247"/>
  <c r="B50" i="9" s="1"/>
  <c r="B88" i="247"/>
  <c r="B46" i="9" s="1"/>
  <c r="B254" i="286"/>
  <c r="B42" i="9" s="1"/>
  <c r="B88" i="286"/>
  <c r="B38" i="9" s="1"/>
  <c r="B168" i="285"/>
  <c r="B34" i="9" s="1"/>
  <c r="B14" i="285"/>
  <c r="B30" i="9" s="1"/>
  <c r="B14" i="284"/>
  <c r="B26" i="9" s="1"/>
  <c r="B83" i="336"/>
  <c r="B53" i="9" s="1"/>
  <c r="B51" i="286"/>
  <c r="B37" i="9" s="1"/>
  <c r="B125" i="284"/>
  <c r="B29" i="9" s="1"/>
  <c r="B162" i="247"/>
  <c r="B48" i="9" s="1"/>
  <c r="B168" i="286"/>
  <c r="B40" i="9" s="1"/>
  <c r="B88" i="284"/>
  <c r="B28" i="9" s="1"/>
  <c r="B51" i="247"/>
  <c r="B45" i="9" s="1"/>
  <c r="B131" i="283"/>
  <c r="B25" i="9" s="1"/>
  <c r="B14" i="286"/>
  <c r="B36" i="9" s="1"/>
  <c r="B88" i="283"/>
  <c r="B24" i="9" s="1"/>
  <c r="B14" i="283"/>
  <c r="D39" i="251" s="1"/>
  <c r="B51" i="283"/>
  <c r="B23" i="9" s="1"/>
  <c r="D205" i="329"/>
  <c r="C70" i="343"/>
  <c r="B183" i="336"/>
  <c r="B36" i="336"/>
  <c r="B147" i="247"/>
  <c r="B321" i="286"/>
  <c r="B149" i="286"/>
  <c r="B235" i="285"/>
  <c r="B73" i="285"/>
  <c r="B73" i="284"/>
  <c r="B36" i="247"/>
  <c r="B110" i="285"/>
  <c r="B143" i="336"/>
  <c r="B272" i="247"/>
  <c r="B110" i="247"/>
  <c r="B278" i="286"/>
  <c r="B110" i="286"/>
  <c r="B192" i="285"/>
  <c r="B36" i="285"/>
  <c r="B71" i="336"/>
  <c r="B192" i="286"/>
  <c r="B110" i="284"/>
  <c r="B106" i="336"/>
  <c r="B229" i="247"/>
  <c r="B73" i="247"/>
  <c r="B235" i="286"/>
  <c r="B73" i="286"/>
  <c r="B149" i="285"/>
  <c r="B155" i="283"/>
  <c r="B186" i="247"/>
  <c r="B36" i="286"/>
  <c r="B112" i="283"/>
  <c r="B73" i="283"/>
  <c r="B36" i="283"/>
  <c r="I27" i="337"/>
  <c r="I259" i="279"/>
  <c r="D32" i="322"/>
  <c r="B64" i="250"/>
  <c r="D94" i="279" s="1"/>
  <c r="B2500" i="250"/>
  <c r="D531" i="311" s="1"/>
  <c r="B2164" i="250"/>
  <c r="D390" i="246" s="1"/>
  <c r="B820" i="250"/>
  <c r="D156" i="311" s="1"/>
  <c r="B484" i="250"/>
  <c r="D196" i="280" s="1"/>
  <c r="B148" i="250"/>
  <c r="D191" i="279" s="1"/>
  <c r="B2668" i="250"/>
  <c r="D561" i="311" s="1"/>
  <c r="B1996" i="250"/>
  <c r="D196" i="246" s="1"/>
  <c r="B1324" i="250"/>
  <c r="D196" i="282" s="1"/>
  <c r="B904" i="250"/>
  <c r="D293" i="281" s="1"/>
  <c r="B2080" i="250"/>
  <c r="D293" i="246" s="1"/>
  <c r="B1408" i="250"/>
  <c r="D293" i="282" s="1"/>
  <c r="B736" i="250"/>
  <c r="D99" i="281" s="1"/>
  <c r="B400" i="250"/>
  <c r="D99" i="280" s="1"/>
  <c r="B2584" i="250"/>
  <c r="D293" i="337" s="1"/>
  <c r="B1912" i="250"/>
  <c r="D99" i="246" s="1"/>
  <c r="B1240" i="250"/>
  <c r="B568" i="250"/>
  <c r="D293" i="280" s="1"/>
  <c r="B44" i="250"/>
  <c r="D76" i="279" s="1"/>
  <c r="B2480" i="250"/>
  <c r="D81" i="337" s="1"/>
  <c r="B2144" i="250"/>
  <c r="D372" i="246" s="1"/>
  <c r="B800" i="250"/>
  <c r="D178" i="281" s="1"/>
  <c r="B464" i="250"/>
  <c r="D178" i="280" s="1"/>
  <c r="B548" i="250"/>
  <c r="D275" i="280" s="1"/>
  <c r="B2060" i="250"/>
  <c r="D275" i="246" s="1"/>
  <c r="B1388" i="250"/>
  <c r="D275" i="282" s="1"/>
  <c r="B716" i="250"/>
  <c r="D81" i="281" s="1"/>
  <c r="B380" i="250"/>
  <c r="D81" i="280" s="1"/>
  <c r="B2564" i="250"/>
  <c r="D545" i="311" s="1"/>
  <c r="B1892" i="250"/>
  <c r="D358" i="311" s="1"/>
  <c r="B884" i="250"/>
  <c r="D275" i="281" s="1"/>
  <c r="B2648" i="250"/>
  <c r="D275" i="337" s="1"/>
  <c r="B1976" i="250"/>
  <c r="D373" i="311" s="1"/>
  <c r="B1304" i="250"/>
  <c r="D178" i="282" s="1"/>
  <c r="B1220" i="250"/>
  <c r="D233" i="311" s="1"/>
  <c r="B24" i="250"/>
  <c r="D16" i="311" s="1"/>
  <c r="B2460" i="250"/>
  <c r="D63" i="337" s="1"/>
  <c r="B2124" i="250"/>
  <c r="D354" i="246" s="1"/>
  <c r="B780" i="250"/>
  <c r="D160" i="281" s="1"/>
  <c r="B444" i="250"/>
  <c r="D160" i="280" s="1"/>
  <c r="B1956" i="250"/>
  <c r="D160" i="246" s="1"/>
  <c r="B1284" i="250"/>
  <c r="D160" i="282" s="1"/>
  <c r="B528" i="250"/>
  <c r="D257" i="280" s="1"/>
  <c r="B2040" i="250"/>
  <c r="D257" i="246" s="1"/>
  <c r="B1368" i="250"/>
  <c r="D262" i="311" s="1"/>
  <c r="B696" i="250"/>
  <c r="D63" i="281" s="1"/>
  <c r="B360" i="250"/>
  <c r="D78" i="311" s="1"/>
  <c r="B2628" i="250"/>
  <c r="D257" i="337" s="1"/>
  <c r="B2544" i="250"/>
  <c r="D160" i="337" s="1"/>
  <c r="B1872" i="250"/>
  <c r="D63" i="246" s="1"/>
  <c r="B1200" i="250"/>
  <c r="D63" i="282" s="1"/>
  <c r="B864" i="250"/>
  <c r="D257" i="281" s="1"/>
  <c r="B4" i="250"/>
  <c r="D40" i="279" s="1"/>
  <c r="B2435" i="250"/>
  <c r="D45" i="337" s="1"/>
  <c r="B2099" i="250"/>
  <c r="D336" i="246" s="1"/>
  <c r="B755" i="250"/>
  <c r="D153" i="311" s="1"/>
  <c r="B419" i="250"/>
  <c r="D142" i="280" s="1"/>
  <c r="B83" i="250"/>
  <c r="D137" i="279" s="1"/>
  <c r="B2519" i="250"/>
  <c r="D142" i="337" s="1"/>
  <c r="B1847" i="250"/>
  <c r="D356" i="311" s="1"/>
  <c r="B1175" i="250"/>
  <c r="D231" i="311" s="1"/>
  <c r="B2015" i="250"/>
  <c r="D239" i="246" s="1"/>
  <c r="B1343" i="250"/>
  <c r="D239" i="282" s="1"/>
  <c r="B671" i="250"/>
  <c r="D138" i="311" s="1"/>
  <c r="B335" i="250"/>
  <c r="D77" i="311" s="1"/>
  <c r="B2603" i="250"/>
  <c r="D239" i="337" s="1"/>
  <c r="B1931" i="250"/>
  <c r="D142" i="246" s="1"/>
  <c r="B1259" i="250"/>
  <c r="D142" i="282" s="1"/>
  <c r="B839" i="250"/>
  <c r="D239" i="281" s="1"/>
  <c r="B503" i="250"/>
  <c r="D239" i="280" s="1"/>
  <c r="B65" i="251"/>
  <c r="B57" i="251"/>
  <c r="B17" i="251"/>
  <c r="B49" i="251"/>
  <c r="B9" i="251"/>
  <c r="B110" i="251"/>
  <c r="B73" i="251"/>
  <c r="B41" i="251"/>
  <c r="B25" i="251"/>
  <c r="B33" i="251"/>
  <c r="B130" i="327"/>
  <c r="D136" i="327"/>
  <c r="B121" i="327"/>
  <c r="D127" i="327"/>
  <c r="D118" i="327"/>
  <c r="B112" i="327"/>
  <c r="D109" i="327"/>
  <c r="B103" i="327"/>
  <c r="D100" i="327"/>
  <c r="D91" i="327"/>
  <c r="B94" i="327"/>
  <c r="B85" i="327"/>
  <c r="D82" i="327"/>
  <c r="B76" i="327"/>
  <c r="D73" i="327"/>
  <c r="B68" i="327"/>
  <c r="B32" i="327"/>
  <c r="B59" i="327"/>
  <c r="D65" i="327"/>
  <c r="B50" i="327"/>
  <c r="D56" i="327"/>
  <c r="D47" i="327"/>
  <c r="B41" i="327"/>
  <c r="D38" i="327"/>
  <c r="B25" i="327"/>
  <c r="C27" i="327"/>
  <c r="D30" i="327" s="1"/>
  <c r="B18" i="327"/>
  <c r="C20" i="327"/>
  <c r="D23" i="327" s="1"/>
  <c r="B11" i="327"/>
  <c r="C13" i="327"/>
  <c r="D16" i="327" s="1"/>
  <c r="B17" i="9"/>
  <c r="D414" i="337"/>
  <c r="D22" i="279"/>
  <c r="D173" i="279"/>
  <c r="D155" i="279"/>
  <c r="C378" i="337"/>
  <c r="C477" i="337"/>
  <c r="C182" i="337"/>
  <c r="C673" i="246"/>
  <c r="C85" i="337"/>
  <c r="C574" i="246"/>
  <c r="C376" i="246"/>
  <c r="C475" i="246"/>
  <c r="C182" i="246"/>
  <c r="C279" i="246"/>
  <c r="C774" i="282"/>
  <c r="C85" i="246"/>
  <c r="C576" i="282"/>
  <c r="C675" i="282"/>
  <c r="C378" i="282"/>
  <c r="C477" i="282"/>
  <c r="C182" i="282"/>
  <c r="C279" i="282"/>
  <c r="C576" i="281"/>
  <c r="C85" i="282"/>
  <c r="C477" i="281"/>
  <c r="C279" i="281"/>
  <c r="C378" i="281"/>
  <c r="C85" i="281"/>
  <c r="C182" i="281"/>
  <c r="C378" i="280"/>
  <c r="C182" i="280"/>
  <c r="C279" i="280"/>
  <c r="C375" i="279"/>
  <c r="C85" i="280"/>
  <c r="C276" i="279"/>
  <c r="C80" i="279"/>
  <c r="C177" i="279"/>
  <c r="C360" i="337"/>
  <c r="C164" i="337"/>
  <c r="C261" i="337"/>
  <c r="C655" i="246"/>
  <c r="C67" i="337"/>
  <c r="C556" i="246"/>
  <c r="C358" i="246"/>
  <c r="C457" i="246"/>
  <c r="C164" i="246"/>
  <c r="C261" i="246"/>
  <c r="C756" i="282"/>
  <c r="C67" i="246"/>
  <c r="C558" i="282"/>
  <c r="C657" i="282"/>
  <c r="C360" i="282"/>
  <c r="C459" i="282"/>
  <c r="C164" i="282"/>
  <c r="C261" i="282"/>
  <c r="C558" i="281"/>
  <c r="C67" i="282"/>
  <c r="C459" i="281"/>
  <c r="C261" i="281"/>
  <c r="C360" i="281"/>
  <c r="C67" i="281"/>
  <c r="C164" i="281"/>
  <c r="C360" i="280"/>
  <c r="C164" i="280"/>
  <c r="C261" i="280"/>
  <c r="C357" i="279"/>
  <c r="C67" i="280"/>
  <c r="C258" i="279"/>
  <c r="C62" i="279"/>
  <c r="C159" i="279"/>
  <c r="C342" i="337"/>
  <c r="C146" i="337"/>
  <c r="C243" i="337"/>
  <c r="C637" i="246"/>
  <c r="C49" i="337"/>
  <c r="C538" i="246"/>
  <c r="C340" i="246"/>
  <c r="C439" i="246"/>
  <c r="C146" i="246"/>
  <c r="C243" i="246"/>
  <c r="C738" i="282"/>
  <c r="C49" i="246"/>
  <c r="C540" i="282"/>
  <c r="C639" i="282"/>
  <c r="C342" i="282"/>
  <c r="C441" i="282"/>
  <c r="C146" i="282"/>
  <c r="C243" i="282"/>
  <c r="C540" i="281"/>
  <c r="C49" i="282"/>
  <c r="C441" i="281"/>
  <c r="C243" i="281"/>
  <c r="C342" i="281"/>
  <c r="C49" i="281"/>
  <c r="C146" i="281"/>
  <c r="C342" i="280"/>
  <c r="C146" i="280"/>
  <c r="C243" i="280"/>
  <c r="C339" i="279"/>
  <c r="C49" i="280"/>
  <c r="C240" i="279"/>
  <c r="C44" i="279"/>
  <c r="C141" i="279"/>
  <c r="C319" i="337"/>
  <c r="C123" i="337"/>
  <c r="C220" i="337"/>
  <c r="C614" i="246"/>
  <c r="C26" i="337"/>
  <c r="C515" i="246"/>
  <c r="C317" i="246"/>
  <c r="C416" i="246"/>
  <c r="C123" i="246"/>
  <c r="C220" i="246"/>
  <c r="C715" i="282"/>
  <c r="C26" i="246"/>
  <c r="C517" i="282"/>
  <c r="C616" i="282"/>
  <c r="C319" i="282"/>
  <c r="C418" i="282"/>
  <c r="C123" i="282"/>
  <c r="C220" i="282"/>
  <c r="C517" i="281"/>
  <c r="C26" i="282"/>
  <c r="C418" i="281"/>
  <c r="C220" i="281"/>
  <c r="C319" i="281"/>
  <c r="C26" i="281"/>
  <c r="C123" i="281"/>
  <c r="C319" i="280"/>
  <c r="C123" i="280"/>
  <c r="C220" i="280"/>
  <c r="C316" i="279"/>
  <c r="C26" i="280"/>
  <c r="C217" i="279"/>
  <c r="C26" i="279"/>
  <c r="C118" i="279"/>
  <c r="C306" i="337"/>
  <c r="C405" i="337"/>
  <c r="C111" i="337"/>
  <c r="C208" i="337"/>
  <c r="C601" i="246"/>
  <c r="C14" i="337"/>
  <c r="C403" i="246"/>
  <c r="C502" i="246"/>
  <c r="C208" i="246"/>
  <c r="C305" i="246"/>
  <c r="C14" i="246"/>
  <c r="C111" i="246"/>
  <c r="C603" i="282"/>
  <c r="C702" i="282"/>
  <c r="C405" i="282"/>
  <c r="C504" i="282"/>
  <c r="C208" i="282"/>
  <c r="C306" i="282"/>
  <c r="C14" i="282"/>
  <c r="C111" i="282"/>
  <c r="C405" i="281"/>
  <c r="C504" i="281"/>
  <c r="C208" i="281"/>
  <c r="C306" i="281"/>
  <c r="C14" i="281"/>
  <c r="C111" i="281"/>
  <c r="C208" i="280"/>
  <c r="C306" i="280"/>
  <c r="C14" i="280"/>
  <c r="C111" i="280"/>
  <c r="C204" i="279"/>
  <c r="C303" i="279"/>
  <c r="C14" i="279"/>
  <c r="C106" i="279"/>
  <c r="C297" i="337"/>
  <c r="C396" i="337"/>
  <c r="C98" i="279"/>
  <c r="C200" i="337"/>
  <c r="C6" i="337"/>
  <c r="C493" i="246"/>
  <c r="C592" i="246"/>
  <c r="C297" i="246"/>
  <c r="C394" i="246"/>
  <c r="C103" i="246"/>
  <c r="C200" i="246"/>
  <c r="C693" i="282"/>
  <c r="C6" i="246"/>
  <c r="C495" i="282"/>
  <c r="C594" i="282"/>
  <c r="C297" i="282"/>
  <c r="C396" i="282"/>
  <c r="C103" i="282"/>
  <c r="C200" i="282"/>
  <c r="C495" i="281"/>
  <c r="B493" i="281" s="1"/>
  <c r="E218" i="285" s="1"/>
  <c r="C6" i="282"/>
  <c r="C297" i="281"/>
  <c r="B295" i="281" s="1"/>
  <c r="E132" i="285" s="1"/>
  <c r="C396" i="281"/>
  <c r="B394" i="281" s="1"/>
  <c r="E175" i="285" s="1"/>
  <c r="C103" i="281"/>
  <c r="B101" i="281" s="1"/>
  <c r="E56" i="285" s="1"/>
  <c r="C200" i="281"/>
  <c r="B198" i="281" s="1"/>
  <c r="E93" i="285" s="1"/>
  <c r="C6" i="281"/>
  <c r="B4" i="281" s="1"/>
  <c r="E19" i="285" s="1"/>
  <c r="C294" i="279"/>
  <c r="C6" i="279"/>
  <c r="C195" i="279"/>
  <c r="C200" i="280"/>
  <c r="C297" i="280"/>
  <c r="C103" i="280"/>
  <c r="C6" i="280"/>
  <c r="D32" i="311"/>
  <c r="D31" i="311"/>
  <c r="C565" i="311"/>
  <c r="B579" i="311"/>
  <c r="D2853" i="250" s="1"/>
  <c r="B548" i="311"/>
  <c r="D2685" i="250" s="1"/>
  <c r="B563" i="311"/>
  <c r="D2750" i="250" s="1"/>
  <c r="B533" i="311"/>
  <c r="D2582" i="250" s="1"/>
  <c r="C535" i="311"/>
  <c r="B518" i="311"/>
  <c r="D2517" i="250" s="1"/>
  <c r="C520" i="311"/>
  <c r="B438" i="311"/>
  <c r="D2414" i="250" s="1"/>
  <c r="C440" i="311"/>
  <c r="B422" i="311"/>
  <c r="D2349" i="250" s="1"/>
  <c r="C424" i="311"/>
  <c r="B406" i="311"/>
  <c r="D2246" i="250" s="1"/>
  <c r="C408" i="311"/>
  <c r="B391" i="311"/>
  <c r="D2181" i="250" s="1"/>
  <c r="C393" i="311"/>
  <c r="B376" i="311"/>
  <c r="D2038" i="250" s="1"/>
  <c r="C378" i="311"/>
  <c r="B361" i="311"/>
  <c r="D2013" i="250" s="1"/>
  <c r="C363" i="311"/>
  <c r="B346" i="311"/>
  <c r="D1910" i="250" s="1"/>
  <c r="C348" i="311"/>
  <c r="B330" i="311"/>
  <c r="D1845" i="250" s="1"/>
  <c r="C332" i="311"/>
  <c r="B314" i="311"/>
  <c r="D1702" i="250" s="1"/>
  <c r="C316" i="311"/>
  <c r="B298" i="311"/>
  <c r="D1677" i="250" s="1"/>
  <c r="C300" i="311"/>
  <c r="B282" i="311"/>
  <c r="D1574" i="250" s="1"/>
  <c r="C284" i="311"/>
  <c r="B266" i="311"/>
  <c r="D1509" i="250" s="1"/>
  <c r="C268" i="311"/>
  <c r="B251" i="311"/>
  <c r="D1366" i="250" s="1"/>
  <c r="C253" i="311"/>
  <c r="B236" i="311"/>
  <c r="D1341" i="250" s="1"/>
  <c r="C238" i="311"/>
  <c r="B221" i="311"/>
  <c r="D1238" i="250" s="1"/>
  <c r="C223" i="311"/>
  <c r="B205" i="311"/>
  <c r="D1173" i="250" s="1"/>
  <c r="C207" i="311"/>
  <c r="B189" i="311"/>
  <c r="D1030" i="250" s="1"/>
  <c r="C191" i="311"/>
  <c r="B173" i="311"/>
  <c r="D1005" i="250" s="1"/>
  <c r="C175" i="311"/>
  <c r="B158" i="311"/>
  <c r="D902" i="250" s="1"/>
  <c r="C160" i="311"/>
  <c r="B143" i="311"/>
  <c r="D837" i="250" s="1"/>
  <c r="C145" i="311"/>
  <c r="B128" i="311"/>
  <c r="D694" i="250" s="1"/>
  <c r="C130" i="311"/>
  <c r="B112" i="311"/>
  <c r="D669" i="250" s="1"/>
  <c r="C114" i="311"/>
  <c r="B97" i="311"/>
  <c r="D566" i="250" s="1"/>
  <c r="C99" i="311"/>
  <c r="B82" i="311"/>
  <c r="D501" i="250" s="1"/>
  <c r="C84" i="311"/>
  <c r="B67" i="311"/>
  <c r="D358" i="250" s="1"/>
  <c r="C69" i="311"/>
  <c r="B51" i="311"/>
  <c r="D333" i="250" s="1"/>
  <c r="C53" i="311"/>
  <c r="B35" i="311"/>
  <c r="D230" i="250" s="1"/>
  <c r="C37" i="311"/>
  <c r="B20" i="311"/>
  <c r="D165" i="250" s="1"/>
  <c r="C22" i="311"/>
  <c r="B5" i="311"/>
  <c r="D81" i="250" s="1"/>
  <c r="C7" i="311"/>
  <c r="C134" i="346"/>
  <c r="C136" i="349"/>
  <c r="B582" i="309"/>
  <c r="D152" i="336" s="1"/>
  <c r="B596" i="309"/>
  <c r="D192" i="336" s="1"/>
  <c r="B554" i="309"/>
  <c r="D76" i="336" s="1"/>
  <c r="B568" i="309"/>
  <c r="D111" i="336" s="1"/>
  <c r="B526" i="309"/>
  <c r="D284" i="247" s="1"/>
  <c r="B540" i="309"/>
  <c r="D41" i="336" s="1"/>
  <c r="B498" i="309"/>
  <c r="D198" i="247" s="1"/>
  <c r="B512" i="309"/>
  <c r="D241" i="247" s="1"/>
  <c r="B470" i="309"/>
  <c r="D118" i="247" s="1"/>
  <c r="B484" i="309"/>
  <c r="D155" i="247" s="1"/>
  <c r="B442" i="309"/>
  <c r="D44" i="247" s="1"/>
  <c r="B456" i="309"/>
  <c r="D81" i="247" s="1"/>
  <c r="B358" i="309"/>
  <c r="D290" i="286" s="1"/>
  <c r="B372" i="309"/>
  <c r="D333" i="286" s="1"/>
  <c r="B330" i="309"/>
  <c r="D204" i="286" s="1"/>
  <c r="B344" i="309"/>
  <c r="D247" i="286" s="1"/>
  <c r="B302" i="309"/>
  <c r="D118" i="286" s="1"/>
  <c r="B316" i="309"/>
  <c r="D161" i="286" s="1"/>
  <c r="B274" i="309"/>
  <c r="D44" i="286" s="1"/>
  <c r="B288" i="309"/>
  <c r="D81" i="286" s="1"/>
  <c r="B246" i="309"/>
  <c r="D204" i="285" s="1"/>
  <c r="B260" i="309"/>
  <c r="D247" i="285" s="1"/>
  <c r="B218" i="309"/>
  <c r="D118" i="285" s="1"/>
  <c r="B232" i="309"/>
  <c r="D161" i="285" s="1"/>
  <c r="B190" i="309"/>
  <c r="D44" i="285" s="1"/>
  <c r="B204" i="309"/>
  <c r="D81" i="285" s="1"/>
  <c r="B106" i="309"/>
  <c r="D124" i="283" s="1"/>
  <c r="B120" i="309"/>
  <c r="D167" i="283" s="1"/>
  <c r="C114" i="322"/>
  <c r="B78" i="309"/>
  <c r="D44" i="283" s="1"/>
  <c r="B92" i="309"/>
  <c r="D81" i="283" s="1"/>
  <c r="C102" i="322"/>
  <c r="C68" i="322"/>
  <c r="C93" i="323"/>
  <c r="D31" i="322"/>
  <c r="C29" i="322"/>
  <c r="B46" i="345"/>
  <c r="B47" i="348"/>
  <c r="C62" i="343"/>
  <c r="C52" i="343"/>
  <c r="C69" i="343"/>
  <c r="C51" i="343"/>
  <c r="B624" i="329"/>
  <c r="B154" i="336"/>
  <c r="B46" i="247"/>
  <c r="D185" i="336"/>
  <c r="D188" i="336" s="1"/>
  <c r="D145" i="336"/>
  <c r="D148" i="336" s="1"/>
  <c r="D274" i="247"/>
  <c r="D277" i="247" s="1"/>
  <c r="D231" i="247"/>
  <c r="D234" i="247" s="1"/>
  <c r="D188" i="247"/>
  <c r="D191" i="247" s="1"/>
  <c r="D323" i="286"/>
  <c r="D326" i="286" s="1"/>
  <c r="D280" i="286"/>
  <c r="D283" i="286" s="1"/>
  <c r="D237" i="286"/>
  <c r="D240" i="286" s="1"/>
  <c r="D194" i="286"/>
  <c r="D197" i="286" s="1"/>
  <c r="D151" i="286"/>
  <c r="D154" i="286" s="1"/>
  <c r="D237" i="285"/>
  <c r="D240" i="285" s="1"/>
  <c r="D194" i="285"/>
  <c r="D197" i="285" s="1"/>
  <c r="D151" i="285"/>
  <c r="D154" i="285" s="1"/>
  <c r="D151" i="284"/>
  <c r="D155" i="284" s="1"/>
  <c r="D157" i="283"/>
  <c r="D160" i="283" s="1"/>
  <c r="D114" i="283"/>
  <c r="D117" i="283" s="1"/>
  <c r="D190" i="247"/>
  <c r="B78" i="336"/>
  <c r="B113" i="336"/>
  <c r="B9" i="336"/>
  <c r="B43" i="336"/>
  <c r="B200" i="247"/>
  <c r="B243" i="247"/>
  <c r="B120" i="247"/>
  <c r="B157" i="247"/>
  <c r="B83" i="247"/>
  <c r="B249" i="286"/>
  <c r="B292" i="286"/>
  <c r="B163" i="286"/>
  <c r="B206" i="286"/>
  <c r="B83" i="286"/>
  <c r="B120" i="286"/>
  <c r="B9" i="286"/>
  <c r="B46" i="286"/>
  <c r="B163" i="285"/>
  <c r="B206" i="285"/>
  <c r="B83" i="285"/>
  <c r="B120" i="285"/>
  <c r="B9" i="285"/>
  <c r="B46" i="285"/>
  <c r="B83" i="284"/>
  <c r="B120" i="284"/>
  <c r="B9" i="284"/>
  <c r="B46" i="284"/>
  <c r="B126" i="283"/>
  <c r="B9" i="283"/>
  <c r="D174" i="336"/>
  <c r="D175" i="336"/>
  <c r="D169" i="336"/>
  <c r="D170" i="336"/>
  <c r="D133" i="336"/>
  <c r="D134" i="336"/>
  <c r="D128" i="336"/>
  <c r="D129" i="336"/>
  <c r="D96" i="336"/>
  <c r="D97" i="336"/>
  <c r="D91" i="336"/>
  <c r="D92" i="336"/>
  <c r="D61" i="336"/>
  <c r="D62" i="336"/>
  <c r="D56" i="336"/>
  <c r="D57" i="336"/>
  <c r="D27" i="336"/>
  <c r="D28" i="336"/>
  <c r="D22" i="336"/>
  <c r="D23" i="336"/>
  <c r="D263" i="247"/>
  <c r="D264" i="247"/>
  <c r="D258" i="247"/>
  <c r="D259" i="247"/>
  <c r="D220" i="247"/>
  <c r="D221" i="247"/>
  <c r="D215" i="247"/>
  <c r="D216" i="247"/>
  <c r="D177" i="247"/>
  <c r="D178" i="247"/>
  <c r="D172" i="247"/>
  <c r="D173" i="247"/>
  <c r="D138" i="247"/>
  <c r="D139" i="247"/>
  <c r="D133" i="247"/>
  <c r="D134" i="247"/>
  <c r="D101" i="247"/>
  <c r="D102" i="247"/>
  <c r="D96" i="247"/>
  <c r="D97" i="247"/>
  <c r="D64" i="247"/>
  <c r="D65" i="247"/>
  <c r="D59" i="247"/>
  <c r="D60" i="247"/>
  <c r="D27" i="247"/>
  <c r="D28" i="247"/>
  <c r="D22" i="247"/>
  <c r="D23" i="247"/>
  <c r="D312" i="286"/>
  <c r="D313" i="286"/>
  <c r="D307" i="286"/>
  <c r="D308" i="286"/>
  <c r="D269" i="286"/>
  <c r="D270" i="286"/>
  <c r="D264" i="286"/>
  <c r="D265" i="286"/>
  <c r="D226" i="286"/>
  <c r="D227" i="286"/>
  <c r="D221" i="286"/>
  <c r="D222" i="286"/>
  <c r="D183" i="286"/>
  <c r="D184" i="286"/>
  <c r="D178" i="286"/>
  <c r="D179" i="286"/>
  <c r="D140" i="286"/>
  <c r="D141" i="286"/>
  <c r="D135" i="286"/>
  <c r="D136" i="286"/>
  <c r="D101" i="286"/>
  <c r="D102" i="286"/>
  <c r="D96" i="286"/>
  <c r="D97" i="286"/>
  <c r="D64" i="286"/>
  <c r="D65" i="286"/>
  <c r="D59" i="286"/>
  <c r="D60" i="286"/>
  <c r="D27" i="286"/>
  <c r="D28" i="286"/>
  <c r="D22" i="286"/>
  <c r="D23" i="286"/>
  <c r="D226" i="285"/>
  <c r="D227" i="285"/>
  <c r="D221" i="285"/>
  <c r="D222" i="285"/>
  <c r="D183" i="285"/>
  <c r="D184" i="285"/>
  <c r="D178" i="285"/>
  <c r="D179" i="285"/>
  <c r="D140" i="285"/>
  <c r="D141" i="285"/>
  <c r="D135" i="285"/>
  <c r="D136" i="285"/>
  <c r="D101" i="285"/>
  <c r="D102" i="285"/>
  <c r="D96" i="285"/>
  <c r="D97" i="285"/>
  <c r="D64" i="285"/>
  <c r="D65" i="285"/>
  <c r="D59" i="285"/>
  <c r="D60" i="285"/>
  <c r="D27" i="285"/>
  <c r="D28" i="285"/>
  <c r="D22" i="285"/>
  <c r="D23" i="285"/>
  <c r="D101" i="284"/>
  <c r="D102" i="284"/>
  <c r="D96" i="284"/>
  <c r="D97" i="284"/>
  <c r="D64" i="284"/>
  <c r="D65" i="284"/>
  <c r="D59" i="284"/>
  <c r="D60" i="284"/>
  <c r="D146" i="283"/>
  <c r="D147" i="283"/>
  <c r="D141" i="283"/>
  <c r="D142" i="283"/>
  <c r="D103" i="283"/>
  <c r="D104" i="283"/>
  <c r="D98" i="283"/>
  <c r="D99" i="283"/>
  <c r="D64" i="283"/>
  <c r="D65" i="283"/>
  <c r="D59" i="283"/>
  <c r="D60" i="283"/>
  <c r="D27" i="283"/>
  <c r="D28" i="283"/>
  <c r="D22" i="283"/>
  <c r="D23" i="283"/>
  <c r="B46" i="283"/>
  <c r="B83" i="283"/>
  <c r="D218" i="301"/>
  <c r="D222" i="301"/>
  <c r="D204" i="301"/>
  <c r="D217" i="301"/>
  <c r="D200" i="301"/>
  <c r="D203" i="301"/>
  <c r="D183" i="301"/>
  <c r="D199" i="301"/>
  <c r="D182" i="301"/>
  <c r="D178" i="301"/>
  <c r="D179" i="301"/>
  <c r="D55" i="324"/>
  <c r="D42" i="301"/>
  <c r="D43" i="301"/>
  <c r="D36" i="301"/>
  <c r="D37" i="301"/>
  <c r="D16" i="301"/>
  <c r="D15" i="301"/>
  <c r="D13" i="301"/>
  <c r="D14" i="301"/>
  <c r="D47" i="324"/>
  <c r="D38" i="324"/>
  <c r="B127" i="324"/>
  <c r="I51" i="317"/>
  <c r="D14" i="317"/>
  <c r="D13" i="317"/>
  <c r="D438" i="329"/>
  <c r="D939" i="329"/>
  <c r="D922" i="329"/>
  <c r="D904" i="329"/>
  <c r="D885" i="329"/>
  <c r="D782" i="329"/>
  <c r="D763" i="329"/>
  <c r="D745" i="329"/>
  <c r="D728" i="329"/>
  <c r="D621" i="329"/>
  <c r="D610" i="329"/>
  <c r="D596" i="329"/>
  <c r="D584" i="329"/>
  <c r="D549" i="329"/>
  <c r="D536" i="329"/>
  <c r="D520" i="329"/>
  <c r="D506" i="329"/>
  <c r="D472" i="329"/>
  <c r="D462" i="329"/>
  <c r="D449" i="329"/>
  <c r="D216" i="329"/>
  <c r="D409" i="329"/>
  <c r="D395" i="329"/>
  <c r="D378" i="329"/>
  <c r="D363" i="329"/>
  <c r="D318" i="329"/>
  <c r="D306" i="329"/>
  <c r="D291" i="329"/>
  <c r="D278" i="329"/>
  <c r="D239" i="329"/>
  <c r="D229" i="329"/>
  <c r="D172" i="329"/>
  <c r="D641" i="329"/>
  <c r="D137" i="329"/>
  <c r="D162" i="329"/>
  <c r="D148" i="329"/>
  <c r="B61" i="329"/>
  <c r="B784" i="329"/>
  <c r="B4" i="251"/>
  <c r="B4" i="329"/>
  <c r="B1" i="352"/>
  <c r="B76" i="315"/>
  <c r="B41" i="315"/>
  <c r="B1" i="324"/>
  <c r="B1" i="326"/>
  <c r="D3167" i="250"/>
  <c r="D3186" i="250"/>
  <c r="D2934" i="250"/>
  <c r="D3018" i="250"/>
  <c r="D2766" i="250"/>
  <c r="D2850" i="250"/>
  <c r="D2598" i="250"/>
  <c r="D2682" i="250"/>
  <c r="D2430" i="250"/>
  <c r="D2514" i="250"/>
  <c r="D2262" i="250"/>
  <c r="D2346" i="250"/>
  <c r="D2094" i="250"/>
  <c r="D2178" i="250"/>
  <c r="D1926" i="250"/>
  <c r="D2010" i="250"/>
  <c r="D1758" i="250"/>
  <c r="D1842" i="250"/>
  <c r="D1590" i="250"/>
  <c r="D1674" i="250"/>
  <c r="D1422" i="250"/>
  <c r="D1506" i="250"/>
  <c r="D1254" i="250"/>
  <c r="D1338" i="250"/>
  <c r="D1086" i="250"/>
  <c r="D1170" i="250"/>
  <c r="D918" i="250"/>
  <c r="D1002" i="250"/>
  <c r="D750" i="250"/>
  <c r="D834" i="250"/>
  <c r="D582" i="250"/>
  <c r="D666" i="250"/>
  <c r="D414" i="250"/>
  <c r="D498" i="250"/>
  <c r="D246" i="250"/>
  <c r="D330" i="250"/>
  <c r="D78" i="250"/>
  <c r="D162" i="250"/>
  <c r="D3127" i="250"/>
  <c r="D3147" i="250"/>
  <c r="D2914" i="250"/>
  <c r="D2998" i="250"/>
  <c r="D2746" i="250"/>
  <c r="D2830" i="250"/>
  <c r="D2578" i="250"/>
  <c r="D2662" i="250"/>
  <c r="D2410" i="250"/>
  <c r="D2494" i="250"/>
  <c r="D2242" i="250"/>
  <c r="D2326" i="250"/>
  <c r="D2074" i="250"/>
  <c r="D2158" i="250"/>
  <c r="D1906" i="250"/>
  <c r="D1990" i="250"/>
  <c r="D1738" i="250"/>
  <c r="D1822" i="250"/>
  <c r="D1570" i="250"/>
  <c r="D1654" i="250"/>
  <c r="D1402" i="250"/>
  <c r="D1486" i="250"/>
  <c r="D1234" i="250"/>
  <c r="D1318" i="250"/>
  <c r="D1066" i="250"/>
  <c r="D1150" i="250"/>
  <c r="D898" i="250"/>
  <c r="D982" i="250"/>
  <c r="D730" i="250"/>
  <c r="D814" i="250"/>
  <c r="D562" i="250"/>
  <c r="D646" i="250"/>
  <c r="D394" i="250"/>
  <c r="D478" i="250"/>
  <c r="D226" i="250"/>
  <c r="D310" i="250"/>
  <c r="D58" i="250"/>
  <c r="D142" i="250"/>
  <c r="D3062" i="250"/>
  <c r="D3107" i="250"/>
  <c r="D2894" i="250"/>
  <c r="D2978" i="250"/>
  <c r="D2726" i="250"/>
  <c r="D2810" i="250"/>
  <c r="D2558" i="250"/>
  <c r="D2642" i="250"/>
  <c r="D2390" i="250"/>
  <c r="D2474" i="250"/>
  <c r="D2222" i="250"/>
  <c r="D2306" i="250"/>
  <c r="D2054" i="250"/>
  <c r="D2138" i="250"/>
  <c r="D1886" i="250"/>
  <c r="D1970" i="250"/>
  <c r="D1718" i="250"/>
  <c r="D1802" i="250"/>
  <c r="D1550" i="250"/>
  <c r="D1634" i="250"/>
  <c r="D1382" i="250"/>
  <c r="D1466" i="250"/>
  <c r="D1214" i="250"/>
  <c r="D1298" i="250"/>
  <c r="D1046" i="250"/>
  <c r="D1130" i="250"/>
  <c r="D878" i="250"/>
  <c r="D962" i="250"/>
  <c r="D710" i="250"/>
  <c r="D794" i="250"/>
  <c r="D542" i="250"/>
  <c r="D626" i="250"/>
  <c r="D374" i="250"/>
  <c r="D458" i="250"/>
  <c r="D206" i="250"/>
  <c r="D290" i="250"/>
  <c r="D38" i="250"/>
  <c r="D122" i="250"/>
  <c r="D3042" i="250"/>
  <c r="D3087" i="250"/>
  <c r="D2874" i="250"/>
  <c r="D2958" i="250"/>
  <c r="D2706" i="250"/>
  <c r="D2790" i="250"/>
  <c r="D2538" i="250"/>
  <c r="D2622" i="250"/>
  <c r="D2370" i="250"/>
  <c r="D2454" i="250"/>
  <c r="D2202" i="250"/>
  <c r="D2286" i="250"/>
  <c r="D2034" i="250"/>
  <c r="D2118" i="250"/>
  <c r="D1866" i="250"/>
  <c r="D1950" i="250"/>
  <c r="D1698" i="250"/>
  <c r="D1782" i="250"/>
  <c r="D1530" i="250"/>
  <c r="D1614" i="250"/>
  <c r="D1362" i="250"/>
  <c r="D1446" i="250"/>
  <c r="D1194" i="250"/>
  <c r="D1278" i="250"/>
  <c r="D1026" i="250"/>
  <c r="D1110" i="250"/>
  <c r="D858" i="250"/>
  <c r="D942" i="250"/>
  <c r="D690" i="250"/>
  <c r="D774" i="250"/>
  <c r="D522" i="250"/>
  <c r="D606" i="250"/>
  <c r="D354" i="250"/>
  <c r="D438" i="250"/>
  <c r="D186" i="250"/>
  <c r="D270" i="250"/>
  <c r="D18" i="250"/>
  <c r="D102" i="250"/>
  <c r="C149" i="323"/>
  <c r="C160" i="323"/>
  <c r="C127" i="323"/>
  <c r="C138" i="323"/>
  <c r="C105" i="323"/>
  <c r="C116" i="323"/>
  <c r="C62" i="323"/>
  <c r="C75" i="323"/>
  <c r="C40" i="323"/>
  <c r="C51" i="323"/>
  <c r="C13" i="323"/>
  <c r="C28" i="323"/>
  <c r="C17" i="8"/>
  <c r="C17" i="316"/>
  <c r="B211" i="9"/>
  <c r="B215" i="9"/>
  <c r="H6" i="9"/>
  <c r="H213" i="9"/>
  <c r="K8" i="9"/>
  <c r="K215" i="9"/>
  <c r="L8" i="9"/>
  <c r="L215" i="9"/>
  <c r="M8" i="9"/>
  <c r="M215" i="9"/>
  <c r="B4" i="9"/>
  <c r="B8" i="9"/>
  <c r="F181" i="321"/>
  <c r="D471" i="337"/>
  <c r="D489" i="337"/>
  <c r="D435" i="337"/>
  <c r="D453" i="337"/>
  <c r="D372" i="337"/>
  <c r="D390" i="337"/>
  <c r="D336" i="337"/>
  <c r="D354" i="337"/>
  <c r="D273" i="337"/>
  <c r="D291" i="337"/>
  <c r="D237" i="337"/>
  <c r="D255" i="337"/>
  <c r="D176" i="337"/>
  <c r="D194" i="337"/>
  <c r="D140" i="337"/>
  <c r="D158" i="337"/>
  <c r="D79" i="337"/>
  <c r="D97" i="337"/>
  <c r="D43" i="337"/>
  <c r="D61" i="337"/>
  <c r="D61" i="246"/>
  <c r="D43" i="246"/>
  <c r="D97" i="246"/>
  <c r="D79" i="246"/>
  <c r="D158" i="246"/>
  <c r="D140" i="246"/>
  <c r="D194" i="246"/>
  <c r="D176" i="246"/>
  <c r="D255" i="246"/>
  <c r="D237" i="246"/>
  <c r="D291" i="246"/>
  <c r="D273" i="246"/>
  <c r="D334" i="246"/>
  <c r="D352" i="246"/>
  <c r="D388" i="246"/>
  <c r="D370" i="246"/>
  <c r="D451" i="246"/>
  <c r="D433" i="246"/>
  <c r="D487" i="246"/>
  <c r="D469" i="246"/>
  <c r="D550" i="246"/>
  <c r="D532" i="246"/>
  <c r="D586" i="246"/>
  <c r="D568" i="246"/>
  <c r="D649" i="246"/>
  <c r="D631" i="246"/>
  <c r="D685" i="246"/>
  <c r="D667" i="246"/>
  <c r="D61" i="282"/>
  <c r="D43" i="282"/>
  <c r="D97" i="282"/>
  <c r="D79" i="282"/>
  <c r="D158" i="282"/>
  <c r="D140" i="282"/>
  <c r="D194" i="282"/>
  <c r="D176" i="282"/>
  <c r="D255" i="282"/>
  <c r="D237" i="282"/>
  <c r="D291" i="282"/>
  <c r="D273" i="282"/>
  <c r="D354" i="282"/>
  <c r="D336" i="282"/>
  <c r="D390" i="282"/>
  <c r="D372" i="282"/>
  <c r="D453" i="282"/>
  <c r="D435" i="282"/>
  <c r="D489" i="282"/>
  <c r="D471" i="282"/>
  <c r="D552" i="282"/>
  <c r="D534" i="282"/>
  <c r="D588" i="282"/>
  <c r="D570" i="282"/>
  <c r="D633" i="282"/>
  <c r="D651" i="282"/>
  <c r="D687" i="282"/>
  <c r="D669" i="282"/>
  <c r="D750" i="282"/>
  <c r="D732" i="282"/>
  <c r="D786" i="282"/>
  <c r="D768" i="282"/>
  <c r="D61" i="281"/>
  <c r="D43" i="281"/>
  <c r="D97" i="281"/>
  <c r="D79" i="281"/>
  <c r="D158" i="281"/>
  <c r="D140" i="281"/>
  <c r="D194" i="281"/>
  <c r="D176" i="281"/>
  <c r="D273" i="281"/>
  <c r="D237" i="281"/>
  <c r="D255" i="281"/>
  <c r="D291" i="281"/>
  <c r="D354" i="281"/>
  <c r="D336" i="281"/>
  <c r="D390" i="281"/>
  <c r="D372" i="281"/>
  <c r="D453" i="281"/>
  <c r="D435" i="281"/>
  <c r="D489" i="281"/>
  <c r="D471" i="281"/>
  <c r="D552" i="281"/>
  <c r="D534" i="281"/>
  <c r="D588" i="281"/>
  <c r="D570" i="281"/>
  <c r="D63" i="307"/>
  <c r="D45" i="307"/>
  <c r="D99" i="307"/>
  <c r="D81" i="307"/>
  <c r="D144" i="307"/>
  <c r="D162" i="307"/>
  <c r="D198" i="307"/>
  <c r="D180" i="307"/>
  <c r="D261" i="307"/>
  <c r="D243" i="307"/>
  <c r="D297" i="307"/>
  <c r="D279" i="307"/>
  <c r="D360" i="307"/>
  <c r="D342" i="307"/>
  <c r="D396" i="307"/>
  <c r="D378" i="307"/>
  <c r="D372" i="280"/>
  <c r="D390" i="280"/>
  <c r="D336" i="280"/>
  <c r="D354" i="280"/>
  <c r="D273" i="280"/>
  <c r="D291" i="280"/>
  <c r="D255" i="280"/>
  <c r="D237" i="280"/>
  <c r="D194" i="280"/>
  <c r="D176" i="280"/>
  <c r="D140" i="280"/>
  <c r="D158" i="280"/>
  <c r="D79" i="280"/>
  <c r="D97" i="280"/>
  <c r="D43" i="280"/>
  <c r="D61" i="280"/>
  <c r="D369" i="279"/>
  <c r="D387" i="279"/>
  <c r="D333" i="279"/>
  <c r="D351" i="279"/>
  <c r="D270" i="279"/>
  <c r="D288" i="279"/>
  <c r="D234" i="279"/>
  <c r="D252" i="279"/>
  <c r="D171" i="279"/>
  <c r="D189" i="279"/>
  <c r="D135" i="279"/>
  <c r="D153" i="279"/>
  <c r="D74" i="279"/>
  <c r="D92" i="279"/>
  <c r="D38" i="279"/>
  <c r="D56" i="279"/>
  <c r="I68" i="337"/>
  <c r="I50" i="337"/>
  <c r="I86" i="337"/>
  <c r="I124" i="337"/>
  <c r="I147" i="337"/>
  <c r="I183" i="337"/>
  <c r="I165" i="337"/>
  <c r="I221" i="337"/>
  <c r="I262" i="337"/>
  <c r="I320" i="337"/>
  <c r="I244" i="337"/>
  <c r="I280" i="337"/>
  <c r="I361" i="337"/>
  <c r="I343" i="337"/>
  <c r="I419" i="337"/>
  <c r="I379" i="337"/>
  <c r="I478" i="337"/>
  <c r="I442" i="337"/>
  <c r="I460" i="337"/>
  <c r="I656" i="246"/>
  <c r="I674" i="246"/>
  <c r="I615" i="246"/>
  <c r="I638" i="246"/>
  <c r="I557" i="246"/>
  <c r="I575" i="246"/>
  <c r="I516" i="246"/>
  <c r="I539" i="246"/>
  <c r="I458" i="246"/>
  <c r="I476" i="246"/>
  <c r="I417" i="246"/>
  <c r="I440" i="246"/>
  <c r="I359" i="246"/>
  <c r="I377" i="246"/>
  <c r="I318" i="246"/>
  <c r="I341" i="246"/>
  <c r="I262" i="246"/>
  <c r="I280" i="246"/>
  <c r="I221" i="246"/>
  <c r="I244" i="246"/>
  <c r="I147" i="246"/>
  <c r="I183" i="246"/>
  <c r="I124" i="246"/>
  <c r="I165" i="246"/>
  <c r="I50" i="246"/>
  <c r="I86" i="246"/>
  <c r="I775" i="282"/>
  <c r="I27" i="246"/>
  <c r="I739" i="282"/>
  <c r="I757" i="282"/>
  <c r="I676" i="282"/>
  <c r="I716" i="282"/>
  <c r="I640" i="282"/>
  <c r="I658" i="282"/>
  <c r="I577" i="282"/>
  <c r="I617" i="282"/>
  <c r="I541" i="282"/>
  <c r="I559" i="282"/>
  <c r="I478" i="282"/>
  <c r="I518" i="282"/>
  <c r="I442" i="282"/>
  <c r="I460" i="282"/>
  <c r="I379" i="282"/>
  <c r="I419" i="282"/>
  <c r="I343" i="282"/>
  <c r="I361" i="282"/>
  <c r="I280" i="282"/>
  <c r="I320" i="282"/>
  <c r="I244" i="282"/>
  <c r="I262" i="282"/>
  <c r="I183" i="282"/>
  <c r="I221" i="282"/>
  <c r="I147" i="282"/>
  <c r="I165" i="282"/>
  <c r="I86" i="282"/>
  <c r="I124" i="282"/>
  <c r="I50" i="282"/>
  <c r="I68" i="282"/>
  <c r="I577" i="281"/>
  <c r="I27" i="282"/>
  <c r="I541" i="281"/>
  <c r="I559" i="281"/>
  <c r="I478" i="281"/>
  <c r="I518" i="281"/>
  <c r="I442" i="281"/>
  <c r="I460" i="281"/>
  <c r="I379" i="281"/>
  <c r="I419" i="281"/>
  <c r="I343" i="281"/>
  <c r="I361" i="281"/>
  <c r="I280" i="281"/>
  <c r="I320" i="281"/>
  <c r="I244" i="281"/>
  <c r="I262" i="281"/>
  <c r="I183" i="281"/>
  <c r="I221" i="281"/>
  <c r="I147" i="281"/>
  <c r="I165" i="281"/>
  <c r="I86" i="281"/>
  <c r="I124" i="281"/>
  <c r="I50" i="281"/>
  <c r="I68" i="281"/>
  <c r="I385" i="307"/>
  <c r="I27" i="281"/>
  <c r="I349" i="307"/>
  <c r="I367" i="307"/>
  <c r="I286" i="307"/>
  <c r="I326" i="307"/>
  <c r="I250" i="307"/>
  <c r="I268" i="307"/>
  <c r="I169" i="307"/>
  <c r="I227" i="307"/>
  <c r="I187" i="307"/>
  <c r="I128" i="307"/>
  <c r="I151" i="307"/>
  <c r="I70" i="307"/>
  <c r="I88" i="307"/>
  <c r="I29" i="307"/>
  <c r="I52" i="307"/>
  <c r="I50" i="280"/>
  <c r="I27" i="280"/>
  <c r="I86" i="280"/>
  <c r="I68" i="280"/>
  <c r="I147" i="280"/>
  <c r="I124" i="280"/>
  <c r="I183" i="280"/>
  <c r="I165" i="280"/>
  <c r="I244" i="280"/>
  <c r="I221" i="280"/>
  <c r="I280" i="280"/>
  <c r="I262" i="280"/>
  <c r="I343" i="280"/>
  <c r="I320" i="280"/>
  <c r="I379" i="280"/>
  <c r="I361" i="280"/>
  <c r="I358" i="279"/>
  <c r="I376" i="279"/>
  <c r="I317" i="279"/>
  <c r="I340" i="279"/>
  <c r="I241" i="279"/>
  <c r="I277" i="279"/>
  <c r="I178" i="279"/>
  <c r="I218" i="279"/>
  <c r="I142" i="279"/>
  <c r="I160" i="279"/>
  <c r="I27" i="279"/>
  <c r="I119" i="279"/>
  <c r="E379" i="337"/>
  <c r="E478" i="337"/>
  <c r="D379" i="337"/>
  <c r="D478" i="337"/>
  <c r="F379" i="337"/>
  <c r="F478" i="337"/>
  <c r="F183" i="337"/>
  <c r="F280" i="337"/>
  <c r="E183" i="337"/>
  <c r="E280" i="337"/>
  <c r="D183" i="337"/>
  <c r="D280" i="337"/>
  <c r="E86" i="246"/>
  <c r="E86" i="337"/>
  <c r="F86" i="246"/>
  <c r="F86" i="337"/>
  <c r="D86" i="246"/>
  <c r="D86" i="337"/>
  <c r="E280" i="246"/>
  <c r="E183" i="246"/>
  <c r="D280" i="246"/>
  <c r="D183" i="246"/>
  <c r="F280" i="246"/>
  <c r="F183" i="246"/>
  <c r="E557" i="246"/>
  <c r="E458" i="246"/>
  <c r="D557" i="246"/>
  <c r="D458" i="246"/>
  <c r="F557" i="246"/>
  <c r="F458" i="246"/>
  <c r="D476" i="246"/>
  <c r="D377" i="246"/>
  <c r="F476" i="246"/>
  <c r="F377" i="246"/>
  <c r="E476" i="246"/>
  <c r="E377" i="246"/>
  <c r="F674" i="246"/>
  <c r="F575" i="246"/>
  <c r="E674" i="246"/>
  <c r="E575" i="246"/>
  <c r="D674" i="246"/>
  <c r="D575" i="246"/>
  <c r="F183" i="282"/>
  <c r="F86" i="282"/>
  <c r="E183" i="282"/>
  <c r="E86" i="282"/>
  <c r="D183" i="282"/>
  <c r="D86" i="282"/>
  <c r="E379" i="282"/>
  <c r="E280" i="282"/>
  <c r="F379" i="282"/>
  <c r="F280" i="282"/>
  <c r="D379" i="282"/>
  <c r="D280" i="282"/>
  <c r="F577" i="282"/>
  <c r="F478" i="282"/>
  <c r="E577" i="282"/>
  <c r="E478" i="282"/>
  <c r="D577" i="282"/>
  <c r="D478" i="282"/>
  <c r="D775" i="282"/>
  <c r="D676" i="282"/>
  <c r="F775" i="282"/>
  <c r="F676" i="282"/>
  <c r="E775" i="282"/>
  <c r="E676" i="282"/>
  <c r="E183" i="281"/>
  <c r="E86" i="281"/>
  <c r="F183" i="281"/>
  <c r="F86" i="281"/>
  <c r="D183" i="281"/>
  <c r="D86" i="281"/>
  <c r="E379" i="281"/>
  <c r="E280" i="281"/>
  <c r="F379" i="281"/>
  <c r="F280" i="281"/>
  <c r="D379" i="281"/>
  <c r="D280" i="281"/>
  <c r="F577" i="281"/>
  <c r="F478" i="281"/>
  <c r="E577" i="281"/>
  <c r="E478" i="281"/>
  <c r="D577" i="281"/>
  <c r="D478" i="281"/>
  <c r="F187" i="307"/>
  <c r="F88" i="307"/>
  <c r="E187" i="307"/>
  <c r="E88" i="307"/>
  <c r="D187" i="307"/>
  <c r="D88" i="307"/>
  <c r="E385" i="307"/>
  <c r="E286" i="307"/>
  <c r="D385" i="307"/>
  <c r="D286" i="307"/>
  <c r="F385" i="307"/>
  <c r="F286" i="307"/>
  <c r="F183" i="280"/>
  <c r="F86" i="280"/>
  <c r="E183" i="280"/>
  <c r="E86" i="280"/>
  <c r="D183" i="280"/>
  <c r="D86" i="280"/>
  <c r="F379" i="280"/>
  <c r="F280" i="280"/>
  <c r="E379" i="280"/>
  <c r="E280" i="280"/>
  <c r="D379" i="280"/>
  <c r="D280" i="280"/>
  <c r="F277" i="279"/>
  <c r="F376" i="279"/>
  <c r="E277" i="279"/>
  <c r="E376" i="279"/>
  <c r="D277" i="279"/>
  <c r="D376" i="279"/>
  <c r="F81" i="279"/>
  <c r="F178" i="279"/>
  <c r="E81" i="279"/>
  <c r="E178" i="279"/>
  <c r="D81" i="279"/>
  <c r="D178" i="279"/>
  <c r="E165" i="337"/>
  <c r="E68" i="337"/>
  <c r="D165" i="337"/>
  <c r="D68" i="337"/>
  <c r="F165" i="337"/>
  <c r="F68" i="337"/>
  <c r="E361" i="337"/>
  <c r="E262" i="337"/>
  <c r="D361" i="337"/>
  <c r="D262" i="337"/>
  <c r="F361" i="337"/>
  <c r="F262" i="337"/>
  <c r="D656" i="246"/>
  <c r="D460" i="337"/>
  <c r="E656" i="246"/>
  <c r="E460" i="337"/>
  <c r="F656" i="246"/>
  <c r="F460" i="337"/>
  <c r="D262" i="246"/>
  <c r="D359" i="246"/>
  <c r="E262" i="246"/>
  <c r="E359" i="246"/>
  <c r="F262" i="246"/>
  <c r="F359" i="246"/>
  <c r="D68" i="246"/>
  <c r="D165" i="246"/>
  <c r="E68" i="246"/>
  <c r="E165" i="246"/>
  <c r="F68" i="246"/>
  <c r="F165" i="246"/>
  <c r="D658" i="282"/>
  <c r="D757" i="282"/>
  <c r="E658" i="282"/>
  <c r="E757" i="282"/>
  <c r="F658" i="282"/>
  <c r="F757" i="282"/>
  <c r="E460" i="282"/>
  <c r="E559" i="282"/>
  <c r="D460" i="282"/>
  <c r="D559" i="282"/>
  <c r="F460" i="282"/>
  <c r="F559" i="282"/>
  <c r="E262" i="282"/>
  <c r="E361" i="282"/>
  <c r="D262" i="282"/>
  <c r="D361" i="282"/>
  <c r="F262" i="282"/>
  <c r="F361" i="282"/>
  <c r="E68" i="282"/>
  <c r="E165" i="282"/>
  <c r="D68" i="282"/>
  <c r="D165" i="282"/>
  <c r="F68" i="282"/>
  <c r="F165" i="282"/>
  <c r="E460" i="281"/>
  <c r="E559" i="281"/>
  <c r="D460" i="281"/>
  <c r="D559" i="281"/>
  <c r="F460" i="281"/>
  <c r="F559" i="281"/>
  <c r="E262" i="281"/>
  <c r="E361" i="281"/>
  <c r="D262" i="281"/>
  <c r="D361" i="281"/>
  <c r="F262" i="281"/>
  <c r="F361" i="281"/>
  <c r="D68" i="281"/>
  <c r="D165" i="281"/>
  <c r="E68" i="281"/>
  <c r="E165" i="281"/>
  <c r="F68" i="281"/>
  <c r="F165" i="281"/>
  <c r="D268" i="307"/>
  <c r="D367" i="307"/>
  <c r="E367" i="307"/>
  <c r="E268" i="307"/>
  <c r="F367" i="307"/>
  <c r="F268" i="307"/>
  <c r="E70" i="307"/>
  <c r="E169" i="307"/>
  <c r="D70" i="307"/>
  <c r="D169" i="307"/>
  <c r="F70" i="307"/>
  <c r="F169" i="307"/>
  <c r="E262" i="280"/>
  <c r="E361" i="280"/>
  <c r="D262" i="280"/>
  <c r="D361" i="280"/>
  <c r="F262" i="280"/>
  <c r="F361" i="280"/>
  <c r="D68" i="280"/>
  <c r="D165" i="280"/>
  <c r="E68" i="280"/>
  <c r="E165" i="280"/>
  <c r="F68" i="280"/>
  <c r="F165" i="280"/>
  <c r="E259" i="279"/>
  <c r="E358" i="279"/>
  <c r="D259" i="279"/>
  <c r="D358" i="279"/>
  <c r="F259" i="279"/>
  <c r="F358" i="279"/>
  <c r="D63" i="279"/>
  <c r="D160" i="279"/>
  <c r="E63" i="279"/>
  <c r="E160" i="279"/>
  <c r="F63" i="279"/>
  <c r="F160" i="279"/>
  <c r="I81" i="279"/>
  <c r="I45" i="279"/>
  <c r="I63" i="279"/>
  <c r="D147" i="337"/>
  <c r="D244" i="337"/>
  <c r="D343" i="337"/>
  <c r="E147" i="337"/>
  <c r="E244" i="337"/>
  <c r="E343" i="337"/>
  <c r="F147" i="337"/>
  <c r="F343" i="337"/>
  <c r="F244" i="337"/>
  <c r="D50" i="246"/>
  <c r="D50" i="337"/>
  <c r="E50" i="246"/>
  <c r="E50" i="337"/>
  <c r="F50" i="246"/>
  <c r="F50" i="337"/>
  <c r="D244" i="246"/>
  <c r="D147" i="246"/>
  <c r="F244" i="246"/>
  <c r="F147" i="246"/>
  <c r="E244" i="246"/>
  <c r="E147" i="246"/>
  <c r="E440" i="246"/>
  <c r="E341" i="246"/>
  <c r="D440" i="246"/>
  <c r="D341" i="246"/>
  <c r="F440" i="246"/>
  <c r="F341" i="246"/>
  <c r="D638" i="246"/>
  <c r="D539" i="246"/>
  <c r="E638" i="246"/>
  <c r="E539" i="246"/>
  <c r="F638" i="246"/>
  <c r="F539" i="246"/>
  <c r="E147" i="282"/>
  <c r="E50" i="282"/>
  <c r="D147" i="282"/>
  <c r="D50" i="282"/>
  <c r="F147" i="282"/>
  <c r="F50" i="282"/>
  <c r="E343" i="282"/>
  <c r="E244" i="282"/>
  <c r="D343" i="282"/>
  <c r="D244" i="282"/>
  <c r="F343" i="282"/>
  <c r="F244" i="282"/>
  <c r="E541" i="282"/>
  <c r="E442" i="282"/>
  <c r="D541" i="282"/>
  <c r="D442" i="282"/>
  <c r="F541" i="282"/>
  <c r="F442" i="282"/>
  <c r="E739" i="282"/>
  <c r="E640" i="282"/>
  <c r="D739" i="282"/>
  <c r="D640" i="282"/>
  <c r="F739" i="282"/>
  <c r="F640" i="282"/>
  <c r="E147" i="281"/>
  <c r="E50" i="281"/>
  <c r="D147" i="281"/>
  <c r="D50" i="281"/>
  <c r="F147" i="281"/>
  <c r="F50" i="281"/>
  <c r="D343" i="281"/>
  <c r="D244" i="281"/>
  <c r="E343" i="281"/>
  <c r="E244" i="281"/>
  <c r="F343" i="281"/>
  <c r="F244" i="281"/>
  <c r="E541" i="281"/>
  <c r="E442" i="281"/>
  <c r="D541" i="281"/>
  <c r="D442" i="281"/>
  <c r="F541" i="281"/>
  <c r="F442" i="281"/>
  <c r="D151" i="307"/>
  <c r="D52" i="307"/>
  <c r="E151" i="307"/>
  <c r="E52" i="307"/>
  <c r="F151" i="307"/>
  <c r="F52" i="307"/>
  <c r="D349" i="307"/>
  <c r="D250" i="307"/>
  <c r="E349" i="307"/>
  <c r="E250" i="307"/>
  <c r="F349" i="307"/>
  <c r="F250" i="307"/>
  <c r="E147" i="280"/>
  <c r="E50" i="280"/>
  <c r="D147" i="280"/>
  <c r="D50" i="280"/>
  <c r="F147" i="280"/>
  <c r="F50" i="280"/>
  <c r="E343" i="280"/>
  <c r="E244" i="280"/>
  <c r="D343" i="280"/>
  <c r="D244" i="280"/>
  <c r="F343" i="280"/>
  <c r="F244" i="280"/>
  <c r="D241" i="279"/>
  <c r="D340" i="279"/>
  <c r="E241" i="279"/>
  <c r="E340" i="279"/>
  <c r="F241" i="279"/>
  <c r="F340" i="279"/>
  <c r="D45" i="279"/>
  <c r="D142" i="279"/>
  <c r="E45" i="279"/>
  <c r="E142" i="279"/>
  <c r="F45" i="279"/>
  <c r="F142" i="279"/>
  <c r="D221" i="337"/>
  <c r="D124" i="337"/>
  <c r="F221" i="337"/>
  <c r="F124" i="337"/>
  <c r="E221" i="337"/>
  <c r="E124" i="337"/>
  <c r="D419" i="337"/>
  <c r="D320" i="337"/>
  <c r="F419" i="337"/>
  <c r="F320" i="337"/>
  <c r="E419" i="337"/>
  <c r="E320" i="337"/>
  <c r="D516" i="246"/>
  <c r="D615" i="246"/>
  <c r="F516" i="246"/>
  <c r="F615" i="246"/>
  <c r="E516" i="246"/>
  <c r="E615" i="246"/>
  <c r="D318" i="246"/>
  <c r="D417" i="246"/>
  <c r="F318" i="246"/>
  <c r="F417" i="246"/>
  <c r="E318" i="246"/>
  <c r="E417" i="246"/>
  <c r="D124" i="246"/>
  <c r="D221" i="246"/>
  <c r="F124" i="246"/>
  <c r="F221" i="246"/>
  <c r="E124" i="246"/>
  <c r="E221" i="246"/>
  <c r="D716" i="282"/>
  <c r="D27" i="246"/>
  <c r="F716" i="282"/>
  <c r="F27" i="246"/>
  <c r="E716" i="282"/>
  <c r="E27" i="246"/>
  <c r="D518" i="282"/>
  <c r="D617" i="282"/>
  <c r="F518" i="282"/>
  <c r="F617" i="282"/>
  <c r="E518" i="282"/>
  <c r="E617" i="282"/>
  <c r="D320" i="282"/>
  <c r="D419" i="282"/>
  <c r="F320" i="282"/>
  <c r="F419" i="282"/>
  <c r="E320" i="282"/>
  <c r="E419" i="282"/>
  <c r="D124" i="282"/>
  <c r="D221" i="282"/>
  <c r="F124" i="282"/>
  <c r="F221" i="282"/>
  <c r="E124" i="282"/>
  <c r="E221" i="282"/>
  <c r="D518" i="281"/>
  <c r="D27" i="282"/>
  <c r="F518" i="281"/>
  <c r="F27" i="282"/>
  <c r="E518" i="281"/>
  <c r="E27" i="282"/>
  <c r="D320" i="281"/>
  <c r="D419" i="281"/>
  <c r="F320" i="281"/>
  <c r="F419" i="281"/>
  <c r="E320" i="281"/>
  <c r="E419" i="281"/>
  <c r="D124" i="281"/>
  <c r="D221" i="281"/>
  <c r="F124" i="281"/>
  <c r="F221" i="281"/>
  <c r="E124" i="281"/>
  <c r="E221" i="281"/>
  <c r="D326" i="307"/>
  <c r="D27" i="281"/>
  <c r="F326" i="307"/>
  <c r="F27" i="281"/>
  <c r="E326" i="307"/>
  <c r="E27" i="281"/>
  <c r="D128" i="307"/>
  <c r="D227" i="307"/>
  <c r="F128" i="307"/>
  <c r="F227" i="307"/>
  <c r="E128" i="307"/>
  <c r="E227" i="307"/>
  <c r="D320" i="280"/>
  <c r="D29" i="307"/>
  <c r="F320" i="280"/>
  <c r="F29" i="307"/>
  <c r="E320" i="280"/>
  <c r="E29" i="307"/>
  <c r="D124" i="280"/>
  <c r="D221" i="280"/>
  <c r="F124" i="280"/>
  <c r="F221" i="280"/>
  <c r="E124" i="280"/>
  <c r="E221" i="280"/>
  <c r="D27" i="280"/>
  <c r="F27" i="280"/>
  <c r="E27" i="280"/>
  <c r="F218" i="279"/>
  <c r="F317" i="279"/>
  <c r="D218" i="279"/>
  <c r="D317" i="279"/>
  <c r="E218" i="279"/>
  <c r="E317" i="279"/>
  <c r="D27" i="279"/>
  <c r="D119" i="279"/>
  <c r="F27" i="279"/>
  <c r="F119" i="279"/>
  <c r="E27" i="279"/>
  <c r="E119" i="279"/>
  <c r="D178" i="336"/>
  <c r="D216" i="337"/>
  <c r="D315" i="337"/>
  <c r="D22" i="337"/>
  <c r="D119" i="337"/>
  <c r="D119" i="246"/>
  <c r="D22" i="246"/>
  <c r="D313" i="246"/>
  <c r="D216" i="246"/>
  <c r="D511" i="246"/>
  <c r="D412" i="246"/>
  <c r="D22" i="282"/>
  <c r="D610" i="246"/>
  <c r="D216" i="282"/>
  <c r="D119" i="282"/>
  <c r="D414" i="282"/>
  <c r="D315" i="282"/>
  <c r="D612" i="282"/>
  <c r="D513" i="282"/>
  <c r="D22" i="281"/>
  <c r="D711" i="282"/>
  <c r="D216" i="281"/>
  <c r="D119" i="281"/>
  <c r="D414" i="281"/>
  <c r="D315" i="281"/>
  <c r="D24" i="307"/>
  <c r="D513" i="281"/>
  <c r="D222" i="307"/>
  <c r="D123" i="307"/>
  <c r="D119" i="280"/>
  <c r="D321" i="307"/>
  <c r="D315" i="280"/>
  <c r="D216" i="280"/>
  <c r="D213" i="279"/>
  <c r="D312" i="279"/>
  <c r="D114" i="279"/>
  <c r="D115" i="337"/>
  <c r="D18" i="337"/>
  <c r="D311" i="337"/>
  <c r="D212" i="337"/>
  <c r="D606" i="246"/>
  <c r="D410" i="337"/>
  <c r="D408" i="246"/>
  <c r="D507" i="246"/>
  <c r="D212" i="246"/>
  <c r="D309" i="246"/>
  <c r="D18" i="246"/>
  <c r="D115" i="246"/>
  <c r="D608" i="282"/>
  <c r="D707" i="282"/>
  <c r="D410" i="282"/>
  <c r="D509" i="282"/>
  <c r="D212" i="282"/>
  <c r="D311" i="282"/>
  <c r="D18" i="282"/>
  <c r="D115" i="282"/>
  <c r="D410" i="281"/>
  <c r="D509" i="281"/>
  <c r="D212" i="281"/>
  <c r="D311" i="281"/>
  <c r="D18" i="281"/>
  <c r="D115" i="281"/>
  <c r="D110" i="279"/>
  <c r="D317" i="307"/>
  <c r="D308" i="279"/>
  <c r="D209" i="279"/>
  <c r="D115" i="280"/>
  <c r="D18" i="280"/>
  <c r="D218" i="307"/>
  <c r="D20" i="307"/>
  <c r="D119" i="307"/>
  <c r="D212" i="280"/>
  <c r="D311" i="280"/>
  <c r="D18" i="279"/>
  <c r="D199" i="279"/>
  <c r="D102" i="279"/>
  <c r="D198" i="279"/>
  <c r="D101" i="279"/>
  <c r="D197" i="279"/>
  <c r="D100" i="279"/>
  <c r="D107" i="280"/>
  <c r="D298" i="279"/>
  <c r="D106" i="280"/>
  <c r="D297" i="279"/>
  <c r="D105" i="280"/>
  <c r="D296" i="279"/>
  <c r="D301" i="280"/>
  <c r="D204" i="280"/>
  <c r="D300" i="280"/>
  <c r="D203" i="280"/>
  <c r="D299" i="280"/>
  <c r="D202" i="280"/>
  <c r="D208" i="307"/>
  <c r="D109" i="307"/>
  <c r="D207" i="307"/>
  <c r="D108" i="307"/>
  <c r="D206" i="307"/>
  <c r="D107" i="307"/>
  <c r="D107" i="281"/>
  <c r="D307" i="307"/>
  <c r="D106" i="281"/>
  <c r="D306" i="307"/>
  <c r="D105" i="281"/>
  <c r="D305" i="307"/>
  <c r="D300" i="281"/>
  <c r="D203" i="281"/>
  <c r="D301" i="281"/>
  <c r="D204" i="281"/>
  <c r="D299" i="281"/>
  <c r="D202" i="281"/>
  <c r="D498" i="281"/>
  <c r="D399" i="281"/>
  <c r="D497" i="281"/>
  <c r="D398" i="281"/>
  <c r="D499" i="281"/>
  <c r="D400" i="281"/>
  <c r="D204" i="282"/>
  <c r="D107" i="282"/>
  <c r="D203" i="282"/>
  <c r="D106" i="282"/>
  <c r="D202" i="282"/>
  <c r="D105" i="282"/>
  <c r="D399" i="282"/>
  <c r="D300" i="282"/>
  <c r="D400" i="282"/>
  <c r="D301" i="282"/>
  <c r="D398" i="282"/>
  <c r="D299" i="282"/>
  <c r="D598" i="282"/>
  <c r="D499" i="282"/>
  <c r="D597" i="282"/>
  <c r="D498" i="282"/>
  <c r="D596" i="282"/>
  <c r="D497" i="282"/>
  <c r="D106" i="246"/>
  <c r="D696" i="282"/>
  <c r="D107" i="246"/>
  <c r="D697" i="282"/>
  <c r="D105" i="246"/>
  <c r="D695" i="282"/>
  <c r="D301" i="246"/>
  <c r="D204" i="246"/>
  <c r="D300" i="246"/>
  <c r="D203" i="246"/>
  <c r="D299" i="246"/>
  <c r="D202" i="246"/>
  <c r="D497" i="246"/>
  <c r="D398" i="246"/>
  <c r="D496" i="246"/>
  <c r="D397" i="246"/>
  <c r="D495" i="246"/>
  <c r="D396" i="246"/>
  <c r="D400" i="337"/>
  <c r="D596" i="246"/>
  <c r="D399" i="337"/>
  <c r="D595" i="246"/>
  <c r="D398" i="337"/>
  <c r="D594" i="246"/>
  <c r="D204" i="337"/>
  <c r="D301" i="337"/>
  <c r="D203" i="337"/>
  <c r="D300" i="337"/>
  <c r="D202" i="337"/>
  <c r="D299" i="337"/>
  <c r="D10" i="337"/>
  <c r="D107" i="337"/>
  <c r="D9" i="337"/>
  <c r="D106" i="337"/>
  <c r="D8" i="337"/>
  <c r="D105" i="337"/>
  <c r="D308" i="337"/>
  <c r="D407" i="337"/>
  <c r="D112" i="337"/>
  <c r="D209" i="337"/>
  <c r="D603" i="246"/>
  <c r="D15" i="337"/>
  <c r="D405" i="246"/>
  <c r="D504" i="246"/>
  <c r="D209" i="246"/>
  <c r="D306" i="246"/>
  <c r="D15" i="246"/>
  <c r="D112" i="246"/>
  <c r="D605" i="282"/>
  <c r="D704" i="282"/>
  <c r="D407" i="282"/>
  <c r="D506" i="282"/>
  <c r="D209" i="282"/>
  <c r="D308" i="282"/>
  <c r="D15" i="282"/>
  <c r="D112" i="282"/>
  <c r="D407" i="281"/>
  <c r="D506" i="281"/>
  <c r="D209" i="281"/>
  <c r="D308" i="281"/>
  <c r="D15" i="281"/>
  <c r="D112" i="281"/>
  <c r="D215" i="307"/>
  <c r="D314" i="307"/>
  <c r="D17" i="307"/>
  <c r="D116" i="307"/>
  <c r="D209" i="280"/>
  <c r="D308" i="280"/>
  <c r="D15" i="280"/>
  <c r="D112" i="280"/>
  <c r="D206" i="279"/>
  <c r="D305" i="279"/>
  <c r="D15" i="279"/>
  <c r="D107" i="279"/>
  <c r="D10" i="282"/>
  <c r="D10" i="246"/>
  <c r="D9" i="282"/>
  <c r="D9" i="246"/>
  <c r="D8" i="282"/>
  <c r="D8" i="246"/>
  <c r="D9" i="307"/>
  <c r="D9" i="281"/>
  <c r="D8" i="307"/>
  <c r="D8" i="281"/>
  <c r="D10" i="307"/>
  <c r="D10" i="281"/>
  <c r="D10" i="279"/>
  <c r="D10" i="280"/>
  <c r="D8" i="279"/>
  <c r="D8" i="280"/>
  <c r="D9" i="279"/>
  <c r="D9" i="280"/>
  <c r="D44" i="311"/>
  <c r="D28" i="311"/>
  <c r="D60" i="311"/>
  <c r="D75" i="311"/>
  <c r="D90" i="311"/>
  <c r="D105" i="311"/>
  <c r="D136" i="311"/>
  <c r="D121" i="311"/>
  <c r="D120" i="311"/>
  <c r="D166" i="311"/>
  <c r="D151" i="311"/>
  <c r="D198" i="311"/>
  <c r="D182" i="311"/>
  <c r="D229" i="311"/>
  <c r="D214" i="311"/>
  <c r="D259" i="311"/>
  <c r="D244" i="311"/>
  <c r="D291" i="311"/>
  <c r="D275" i="311"/>
  <c r="D323" i="311"/>
  <c r="D307" i="311"/>
  <c r="D354" i="311"/>
  <c r="D339" i="311"/>
  <c r="D384" i="311"/>
  <c r="D369" i="311"/>
  <c r="D431" i="311"/>
  <c r="D399" i="311"/>
  <c r="D415" i="311"/>
  <c r="D463" i="311"/>
  <c r="D447" i="311"/>
  <c r="D495" i="311"/>
  <c r="D479" i="311"/>
  <c r="D526" i="311"/>
  <c r="D511" i="311"/>
  <c r="D556" i="311"/>
  <c r="D541" i="311"/>
  <c r="D588" i="311"/>
  <c r="D572" i="311"/>
  <c r="D567" i="311"/>
  <c r="D583" i="311"/>
  <c r="D536" i="311"/>
  <c r="D551" i="311"/>
  <c r="D506" i="311"/>
  <c r="D521" i="311"/>
  <c r="D474" i="311"/>
  <c r="D490" i="311"/>
  <c r="D442" i="311"/>
  <c r="D458" i="311"/>
  <c r="D410" i="311"/>
  <c r="D426" i="311"/>
  <c r="D379" i="311"/>
  <c r="D394" i="311"/>
  <c r="D349" i="311"/>
  <c r="D364" i="311"/>
  <c r="D318" i="311"/>
  <c r="D334" i="311"/>
  <c r="D286" i="311"/>
  <c r="D302" i="311"/>
  <c r="D254" i="311"/>
  <c r="D270" i="311"/>
  <c r="D224" i="311"/>
  <c r="D239" i="311"/>
  <c r="D193" i="311"/>
  <c r="D209" i="311"/>
  <c r="D161" i="311"/>
  <c r="D177" i="311"/>
  <c r="D131" i="311"/>
  <c r="D146" i="311"/>
  <c r="D100" i="311"/>
  <c r="D116" i="311"/>
  <c r="D70" i="311"/>
  <c r="D85" i="311"/>
  <c r="D39" i="311"/>
  <c r="D55" i="311"/>
  <c r="D8" i="311"/>
  <c r="D23" i="311"/>
  <c r="D106" i="349"/>
  <c r="D121" i="349"/>
  <c r="D79" i="349"/>
  <c r="D92" i="349"/>
  <c r="D48" i="349"/>
  <c r="D62" i="349"/>
  <c r="D21" i="349"/>
  <c r="D34" i="349"/>
  <c r="D132" i="349"/>
  <c r="D73" i="349"/>
  <c r="D59" i="349"/>
  <c r="D117" i="349"/>
  <c r="C120" i="349"/>
  <c r="C61" i="349"/>
  <c r="C47" i="349"/>
  <c r="C105" i="349"/>
  <c r="E79" i="349"/>
  <c r="E92" i="349"/>
  <c r="E21" i="349"/>
  <c r="E34" i="349"/>
  <c r="E15" i="346"/>
  <c r="E17" i="349"/>
  <c r="E14" i="346"/>
  <c r="E16" i="349"/>
  <c r="E77" i="346"/>
  <c r="E90" i="346"/>
  <c r="E19" i="346"/>
  <c r="E32" i="346"/>
  <c r="D90" i="346"/>
  <c r="D104" i="346"/>
  <c r="D60" i="346"/>
  <c r="D77" i="346"/>
  <c r="D32" i="346"/>
  <c r="D46" i="346"/>
  <c r="B19" i="345"/>
  <c r="D19" i="346"/>
  <c r="C40" i="345"/>
  <c r="D41" i="348"/>
  <c r="C45" i="346"/>
  <c r="C103" i="346"/>
  <c r="C118" i="346"/>
  <c r="C59" i="346"/>
  <c r="D71" i="346"/>
  <c r="D130" i="346"/>
  <c r="D57" i="346"/>
  <c r="D115" i="346"/>
  <c r="C53" i="309"/>
  <c r="C70" i="309"/>
  <c r="C32" i="309"/>
  <c r="C49" i="309"/>
  <c r="C19" i="309"/>
  <c r="C36" i="309"/>
  <c r="D27" i="324"/>
  <c r="C15" i="309"/>
  <c r="M20" i="348"/>
  <c r="N20" i="348"/>
  <c r="K20" i="348"/>
  <c r="L20" i="348"/>
  <c r="N19" i="345"/>
  <c r="J20" i="348"/>
  <c r="I19" i="345"/>
  <c r="I20" i="348"/>
  <c r="F19" i="345"/>
  <c r="F20" i="348"/>
  <c r="B40" i="345"/>
  <c r="B41" i="348"/>
  <c r="B32" i="345"/>
  <c r="B33" i="348"/>
  <c r="L19" i="345"/>
  <c r="M19" i="345"/>
  <c r="J19" i="345"/>
  <c r="K19" i="345"/>
  <c r="C29" i="343"/>
  <c r="C44" i="343"/>
  <c r="D187" i="336"/>
  <c r="D147" i="336"/>
  <c r="D80" i="336"/>
  <c r="D115" i="336"/>
  <c r="D11" i="336"/>
  <c r="D45" i="336"/>
  <c r="D276" i="247"/>
  <c r="D233" i="247"/>
  <c r="D159" i="247"/>
  <c r="D202" i="247"/>
  <c r="D85" i="247"/>
  <c r="D122" i="247"/>
  <c r="D11" i="247"/>
  <c r="D48" i="247"/>
  <c r="D196" i="286"/>
  <c r="D153" i="286"/>
  <c r="D282" i="286"/>
  <c r="D239" i="286"/>
  <c r="D196" i="285"/>
  <c r="D325" i="286"/>
  <c r="D251" i="286"/>
  <c r="D294" i="286"/>
  <c r="D165" i="286"/>
  <c r="D208" i="286"/>
  <c r="D85" i="286"/>
  <c r="D122" i="286"/>
  <c r="D11" i="286"/>
  <c r="D48" i="286"/>
  <c r="D159" i="283"/>
  <c r="D239" i="285"/>
  <c r="D165" i="285"/>
  <c r="D208" i="285"/>
  <c r="D85" i="285"/>
  <c r="D122" i="285"/>
  <c r="D11" i="285"/>
  <c r="D48" i="285"/>
  <c r="D116" i="283"/>
  <c r="D154" i="284"/>
  <c r="D85" i="283"/>
  <c r="D128" i="283"/>
  <c r="D11" i="283"/>
  <c r="D48" i="283"/>
  <c r="D63" i="336"/>
  <c r="D29" i="336"/>
  <c r="D135" i="336"/>
  <c r="D98" i="336"/>
  <c r="D29" i="247"/>
  <c r="D176" i="336"/>
  <c r="D103" i="247"/>
  <c r="D66" i="247"/>
  <c r="D179" i="247"/>
  <c r="D140" i="247"/>
  <c r="D265" i="247"/>
  <c r="D222" i="247"/>
  <c r="D66" i="286"/>
  <c r="D29" i="286"/>
  <c r="D142" i="286"/>
  <c r="D103" i="286"/>
  <c r="D228" i="286"/>
  <c r="D185" i="286"/>
  <c r="D314" i="286"/>
  <c r="D271" i="286"/>
  <c r="D66" i="285"/>
  <c r="D29" i="285"/>
  <c r="D142" i="285"/>
  <c r="D103" i="285"/>
  <c r="D228" i="285"/>
  <c r="D185" i="285"/>
  <c r="D66" i="284"/>
  <c r="D29" i="284"/>
  <c r="D142" i="284"/>
  <c r="D103" i="284"/>
  <c r="D105" i="283"/>
  <c r="D148" i="283"/>
  <c r="D29" i="283"/>
  <c r="D66" i="283"/>
  <c r="D132" i="336"/>
  <c r="D173" i="336"/>
  <c r="D60" i="336"/>
  <c r="D95" i="336"/>
  <c r="D262" i="247"/>
  <c r="D26" i="336"/>
  <c r="D176" i="247"/>
  <c r="D219" i="247"/>
  <c r="D100" i="247"/>
  <c r="D137" i="247"/>
  <c r="D26" i="247"/>
  <c r="D63" i="247"/>
  <c r="D268" i="286"/>
  <c r="D311" i="286"/>
  <c r="D182" i="286"/>
  <c r="D225" i="286"/>
  <c r="D100" i="286"/>
  <c r="D139" i="286"/>
  <c r="D26" i="286"/>
  <c r="D63" i="286"/>
  <c r="D182" i="285"/>
  <c r="D225" i="285"/>
  <c r="D100" i="285"/>
  <c r="D139" i="285"/>
  <c r="D26" i="285"/>
  <c r="D63" i="285"/>
  <c r="D100" i="284"/>
  <c r="D139" i="284"/>
  <c r="D26" i="284"/>
  <c r="D63" i="284"/>
  <c r="D63" i="283"/>
  <c r="D26" i="283"/>
  <c r="D145" i="283"/>
  <c r="D102" i="283"/>
  <c r="D52" i="336"/>
  <c r="D18" i="336"/>
  <c r="D50" i="336"/>
  <c r="D16" i="336"/>
  <c r="D54" i="336"/>
  <c r="D20" i="336"/>
  <c r="D122" i="336"/>
  <c r="D85" i="336"/>
  <c r="D124" i="336"/>
  <c r="D87" i="336"/>
  <c r="D126" i="336"/>
  <c r="D89" i="336"/>
  <c r="D16" i="247"/>
  <c r="D163" i="336"/>
  <c r="D18" i="247"/>
  <c r="D165" i="336"/>
  <c r="D20" i="247"/>
  <c r="D167" i="336"/>
  <c r="D92" i="247"/>
  <c r="D55" i="247"/>
  <c r="D90" i="247"/>
  <c r="D53" i="247"/>
  <c r="D94" i="247"/>
  <c r="D57" i="247"/>
  <c r="D166" i="247"/>
  <c r="D127" i="247"/>
  <c r="D168" i="247"/>
  <c r="D129" i="247"/>
  <c r="D170" i="247"/>
  <c r="D131" i="247"/>
  <c r="D254" i="247"/>
  <c r="D211" i="247"/>
  <c r="D252" i="247"/>
  <c r="D209" i="247"/>
  <c r="D256" i="247"/>
  <c r="D213" i="247"/>
  <c r="D55" i="286"/>
  <c r="D18" i="286"/>
  <c r="D53" i="286"/>
  <c r="D16" i="286"/>
  <c r="D57" i="286"/>
  <c r="D20" i="286"/>
  <c r="D129" i="286"/>
  <c r="D90" i="286"/>
  <c r="D131" i="286"/>
  <c r="D92" i="286"/>
  <c r="D133" i="286"/>
  <c r="D94" i="286"/>
  <c r="D215" i="286"/>
  <c r="D172" i="286"/>
  <c r="D217" i="286"/>
  <c r="D174" i="286"/>
  <c r="D219" i="286"/>
  <c r="D176" i="286"/>
  <c r="D301" i="286"/>
  <c r="D258" i="286"/>
  <c r="D303" i="286"/>
  <c r="D260" i="286"/>
  <c r="D305" i="286"/>
  <c r="D262" i="286"/>
  <c r="D53" i="285"/>
  <c r="D16" i="285"/>
  <c r="D55" i="285"/>
  <c r="D18" i="285"/>
  <c r="D57" i="285"/>
  <c r="D20" i="285"/>
  <c r="D129" i="285"/>
  <c r="D90" i="285"/>
  <c r="D131" i="285"/>
  <c r="D92" i="285"/>
  <c r="D133" i="285"/>
  <c r="D94" i="285"/>
  <c r="D215" i="285"/>
  <c r="D172" i="285"/>
  <c r="D217" i="285"/>
  <c r="D174" i="285"/>
  <c r="D219" i="285"/>
  <c r="D176" i="285"/>
  <c r="D53" i="284"/>
  <c r="D16" i="284"/>
  <c r="D55" i="284"/>
  <c r="D18" i="284"/>
  <c r="D57" i="284"/>
  <c r="D20" i="284"/>
  <c r="D133" i="284"/>
  <c r="D94" i="284"/>
  <c r="D131" i="284"/>
  <c r="D92" i="284"/>
  <c r="D129" i="284"/>
  <c r="D90" i="284"/>
  <c r="D94" i="283"/>
  <c r="D137" i="283"/>
  <c r="D92" i="283"/>
  <c r="D135" i="283"/>
  <c r="D96" i="283"/>
  <c r="D139" i="283"/>
  <c r="D18" i="283"/>
  <c r="D55" i="283"/>
  <c r="D16" i="283"/>
  <c r="D53" i="283"/>
  <c r="D20" i="283"/>
  <c r="D57" i="283"/>
  <c r="D305" i="301"/>
  <c r="D330" i="301"/>
  <c r="D257" i="301"/>
  <c r="D281" i="301"/>
  <c r="D302" i="301"/>
  <c r="D327" i="301"/>
  <c r="D254" i="301"/>
  <c r="D278" i="301"/>
  <c r="D292" i="301"/>
  <c r="D317" i="301"/>
  <c r="D294" i="301"/>
  <c r="D319" i="301"/>
  <c r="D296" i="301"/>
  <c r="D321" i="301"/>
  <c r="D246" i="301"/>
  <c r="D270" i="301"/>
  <c r="D244" i="301"/>
  <c r="D268" i="301"/>
  <c r="D248" i="301"/>
  <c r="D272" i="301"/>
  <c r="D185" i="301"/>
  <c r="D224" i="301"/>
  <c r="F190" i="301"/>
  <c r="D206" i="301"/>
  <c r="D181" i="301"/>
  <c r="D202" i="301"/>
  <c r="D79" i="301"/>
  <c r="D167" i="301"/>
  <c r="D75" i="301"/>
  <c r="D128" i="301"/>
  <c r="C73" i="301"/>
  <c r="C126" i="301"/>
  <c r="D120" i="301"/>
  <c r="D155" i="301"/>
  <c r="D94" i="301"/>
  <c r="D145" i="301"/>
  <c r="D198" i="301"/>
  <c r="D141" i="301"/>
  <c r="D151" i="301"/>
  <c r="D88" i="301"/>
  <c r="D113" i="301"/>
  <c r="C59" i="301"/>
  <c r="C111" i="301"/>
  <c r="E46" i="301"/>
  <c r="E99" i="301"/>
  <c r="C33" i="301"/>
  <c r="C87" i="301"/>
  <c r="D41" i="301"/>
  <c r="D67" i="301"/>
  <c r="D35" i="301"/>
  <c r="D60" i="301"/>
  <c r="B9" i="301"/>
  <c r="C11" i="301"/>
  <c r="D118" i="324"/>
  <c r="D140" i="324"/>
  <c r="D19" i="324"/>
  <c r="D24" i="324"/>
  <c r="D18" i="324"/>
  <c r="D23" i="324"/>
  <c r="D17" i="324"/>
  <c r="D22" i="324"/>
  <c r="D146" i="321"/>
  <c r="D171" i="321"/>
  <c r="E201" i="321"/>
  <c r="E207" i="321"/>
  <c r="E234" i="321"/>
  <c r="E239" i="321"/>
  <c r="E211" i="321"/>
  <c r="E228" i="321"/>
  <c r="E200" i="321"/>
  <c r="E206" i="321"/>
  <c r="E210" i="321"/>
  <c r="E199" i="321"/>
  <c r="E205" i="321"/>
  <c r="E235" i="321"/>
  <c r="F159" i="321"/>
  <c r="F176" i="321"/>
  <c r="F151" i="321"/>
  <c r="F155" i="321"/>
  <c r="E233" i="321"/>
  <c r="F80" i="321"/>
  <c r="E229" i="321"/>
  <c r="F106" i="321"/>
  <c r="E227" i="321"/>
  <c r="F82" i="321"/>
  <c r="F108" i="321"/>
  <c r="F34" i="321"/>
  <c r="F57" i="321"/>
  <c r="F180" i="321"/>
  <c r="F184" i="321"/>
  <c r="F158" i="321"/>
  <c r="F175" i="321"/>
  <c r="F150" i="321"/>
  <c r="F154" i="321"/>
  <c r="F104" i="321"/>
  <c r="F109" i="321"/>
  <c r="F83" i="321"/>
  <c r="F101" i="321"/>
  <c r="F75" i="321"/>
  <c r="F78" i="321"/>
  <c r="F55" i="321"/>
  <c r="F58" i="321"/>
  <c r="F35" i="321"/>
  <c r="F52" i="321"/>
  <c r="F29" i="321"/>
  <c r="F32" i="321"/>
  <c r="D100" i="336"/>
  <c r="D137" i="336"/>
  <c r="D31" i="336"/>
  <c r="D65" i="336"/>
  <c r="D267" i="247"/>
  <c r="D279" i="247"/>
  <c r="D224" i="247"/>
  <c r="D236" i="247"/>
  <c r="D181" i="247"/>
  <c r="D193" i="247"/>
  <c r="D142" i="247"/>
  <c r="D151" i="247"/>
  <c r="D105" i="247"/>
  <c r="D114" i="247"/>
  <c r="D68" i="247"/>
  <c r="D77" i="247"/>
  <c r="D31" i="247"/>
  <c r="D40" i="247"/>
  <c r="D316" i="286"/>
  <c r="D328" i="286"/>
  <c r="D273" i="286"/>
  <c r="D285" i="286"/>
  <c r="D230" i="286"/>
  <c r="D242" i="286"/>
  <c r="D187" i="286"/>
  <c r="D199" i="286"/>
  <c r="D156" i="286"/>
  <c r="D144" i="286"/>
  <c r="D105" i="286"/>
  <c r="D114" i="286"/>
  <c r="D68" i="286"/>
  <c r="D77" i="286"/>
  <c r="D31" i="286"/>
  <c r="D40" i="286"/>
  <c r="D230" i="285"/>
  <c r="D242" i="285"/>
  <c r="D187" i="285"/>
  <c r="D199" i="285"/>
  <c r="D144" i="285"/>
  <c r="D156" i="285"/>
  <c r="D105" i="285"/>
  <c r="D114" i="285"/>
  <c r="D68" i="285"/>
  <c r="D77" i="285"/>
  <c r="D31" i="285"/>
  <c r="D40" i="285"/>
  <c r="D144" i="284"/>
  <c r="D157" i="284"/>
  <c r="D105" i="284"/>
  <c r="D114" i="284"/>
  <c r="D68" i="284"/>
  <c r="D77" i="284"/>
  <c r="D31" i="284"/>
  <c r="D40" i="284"/>
  <c r="D150" i="283"/>
  <c r="D162" i="283"/>
  <c r="D107" i="283"/>
  <c r="D119" i="283"/>
  <c r="D68" i="283"/>
  <c r="D77" i="283"/>
  <c r="D31" i="283"/>
  <c r="D40" i="283"/>
  <c r="D48" i="301"/>
  <c r="D101" i="301"/>
  <c r="C144" i="324"/>
  <c r="D18" i="301"/>
  <c r="D242" i="321"/>
  <c r="D95" i="324"/>
  <c r="D187" i="321"/>
  <c r="D215" i="321"/>
  <c r="D112" i="321"/>
  <c r="D161" i="321"/>
  <c r="D61" i="321"/>
  <c r="D87" i="321"/>
  <c r="D29" i="24"/>
  <c r="D38" i="321"/>
  <c r="C79" i="317"/>
  <c r="D81" i="317"/>
  <c r="D84" i="317" s="1"/>
  <c r="D109" i="317"/>
  <c r="D125" i="317"/>
  <c r="D54" i="317"/>
  <c r="D72" i="317"/>
  <c r="D27" i="317"/>
  <c r="D17" i="253"/>
  <c r="D16" i="317"/>
  <c r="D21" i="338"/>
  <c r="D19" i="338"/>
  <c r="D8" i="253"/>
  <c r="D18" i="338"/>
  <c r="D7" i="253"/>
  <c r="B6" i="323"/>
  <c r="B6" i="327"/>
  <c r="B6" i="346"/>
  <c r="B8" i="349"/>
  <c r="B4" i="322"/>
  <c r="B4" i="309"/>
  <c r="B6" i="345"/>
  <c r="B7" i="348"/>
  <c r="B4" i="247"/>
  <c r="B4" i="336"/>
  <c r="B4" i="285"/>
  <c r="B4" i="286"/>
  <c r="B4" i="283"/>
  <c r="B4" i="284"/>
  <c r="B4" i="324"/>
  <c r="B4" i="301"/>
  <c r="B4" i="317"/>
  <c r="B4" i="321"/>
  <c r="D43" i="24"/>
  <c r="D60" i="24"/>
  <c r="D11" i="24"/>
  <c r="B17" i="24"/>
  <c r="C19" i="24"/>
  <c r="B4" i="24"/>
  <c r="C6" i="24"/>
  <c r="E84" i="343"/>
  <c r="E90" i="343"/>
  <c r="F6" i="343"/>
  <c r="F9" i="343"/>
  <c r="E22" i="246"/>
  <c r="E189" i="329" l="1"/>
  <c r="D180" i="309"/>
  <c r="E168" i="309"/>
  <c r="E172" i="309"/>
  <c r="D138" i="309"/>
  <c r="E183" i="329"/>
  <c r="E144" i="309"/>
  <c r="E140" i="309"/>
  <c r="E185" i="329"/>
  <c r="D152" i="309"/>
  <c r="E182" i="309"/>
  <c r="E186" i="309"/>
  <c r="E158" i="309"/>
  <c r="E154" i="309"/>
  <c r="D166" i="309"/>
  <c r="E187" i="329"/>
  <c r="C35" i="317"/>
  <c r="C37" i="317"/>
  <c r="C38" i="317"/>
  <c r="D389" i="311"/>
  <c r="D544" i="311"/>
  <c r="D15" i="311"/>
  <c r="D257" i="282"/>
  <c r="D141" i="311"/>
  <c r="D18" i="311"/>
  <c r="D168" i="311"/>
  <c r="D248" i="311"/>
  <c r="D81" i="246"/>
  <c r="D357" i="311"/>
  <c r="D261" i="311"/>
  <c r="D196" i="337"/>
  <c r="D93" i="311"/>
  <c r="D560" i="311"/>
  <c r="D374" i="311"/>
  <c r="D45" i="246"/>
  <c r="D58" i="279"/>
  <c r="D142" i="281"/>
  <c r="D404" i="311"/>
  <c r="D196" i="281"/>
  <c r="D234" i="311"/>
  <c r="D99" i="282"/>
  <c r="D80" i="311"/>
  <c r="D401" i="311"/>
  <c r="D249" i="311"/>
  <c r="D359" i="311"/>
  <c r="D402" i="311"/>
  <c r="D63" i="280"/>
  <c r="D99" i="337"/>
  <c r="D178" i="337"/>
  <c r="D388" i="311"/>
  <c r="D95" i="311"/>
  <c r="D109" i="311"/>
  <c r="D530" i="311"/>
  <c r="D264" i="311"/>
  <c r="D232" i="311"/>
  <c r="D92" i="311"/>
  <c r="D154" i="311"/>
  <c r="D94" i="311"/>
  <c r="D263" i="311"/>
  <c r="D372" i="311"/>
  <c r="D178" i="246"/>
  <c r="D107" i="311"/>
  <c r="D110" i="311"/>
  <c r="D45" i="282"/>
  <c r="D403" i="311"/>
  <c r="D79" i="311"/>
  <c r="D546" i="311"/>
  <c r="D33" i="311"/>
  <c r="D155" i="311"/>
  <c r="D169" i="311"/>
  <c r="D108" i="311"/>
  <c r="D171" i="311"/>
  <c r="D17" i="311"/>
  <c r="D139" i="311"/>
  <c r="D387" i="311"/>
  <c r="D45" i="281"/>
  <c r="D140" i="311"/>
  <c r="D170" i="311"/>
  <c r="D559" i="311"/>
  <c r="D558" i="311"/>
  <c r="D81" i="282"/>
  <c r="D371" i="311"/>
  <c r="D386" i="311"/>
  <c r="D529" i="311"/>
  <c r="D247" i="311"/>
  <c r="D246" i="311"/>
  <c r="D528" i="311"/>
  <c r="D543" i="311"/>
  <c r="D45" i="280"/>
  <c r="D30" i="311"/>
  <c r="D782" i="251"/>
  <c r="D790" i="251"/>
  <c r="D22" i="250"/>
  <c r="D314" i="250"/>
  <c r="D650" i="250"/>
  <c r="D986" i="250"/>
  <c r="D1322" i="250"/>
  <c r="D1658" i="250"/>
  <c r="D1994" i="250"/>
  <c r="D106" i="250"/>
  <c r="D442" i="250"/>
  <c r="D778" i="250"/>
  <c r="D1114" i="250"/>
  <c r="D1450" i="250"/>
  <c r="D1786" i="250"/>
  <c r="D2122" i="250"/>
  <c r="D2290" i="250"/>
  <c r="D2458" i="250"/>
  <c r="D2626" i="250"/>
  <c r="D2794" i="250"/>
  <c r="D42" i="250"/>
  <c r="D210" i="250"/>
  <c r="D378" i="250"/>
  <c r="D546" i="250"/>
  <c r="D714" i="250"/>
  <c r="D882" i="250"/>
  <c r="D1050" i="250"/>
  <c r="D1218" i="250"/>
  <c r="D1386" i="250"/>
  <c r="D1554" i="250"/>
  <c r="D1722" i="250"/>
  <c r="D1890" i="250"/>
  <c r="D2058" i="250"/>
  <c r="D2226" i="250"/>
  <c r="D2394" i="250"/>
  <c r="D2562" i="250"/>
  <c r="D2730" i="250"/>
  <c r="D81" i="251"/>
  <c r="D870" i="251"/>
  <c r="D62" i="250"/>
  <c r="D398" i="250"/>
  <c r="D734" i="250"/>
  <c r="D1070" i="250"/>
  <c r="D1406" i="250"/>
  <c r="D1742" i="250"/>
  <c r="D2078" i="250"/>
  <c r="D190" i="250"/>
  <c r="D526" i="250"/>
  <c r="D862" i="250"/>
  <c r="D1198" i="250"/>
  <c r="D1534" i="250"/>
  <c r="D1870" i="250"/>
  <c r="D2206" i="250"/>
  <c r="D2330" i="250"/>
  <c r="D2498" i="250"/>
  <c r="D2666" i="250"/>
  <c r="D2834" i="250"/>
  <c r="D249" i="250"/>
  <c r="D417" i="250"/>
  <c r="D585" i="250"/>
  <c r="D753" i="250"/>
  <c r="D921" i="250"/>
  <c r="D1089" i="250"/>
  <c r="D1257" i="250"/>
  <c r="D1425" i="250"/>
  <c r="D1593" i="250"/>
  <c r="D1761" i="250"/>
  <c r="D1929" i="250"/>
  <c r="D2097" i="250"/>
  <c r="D2265" i="250"/>
  <c r="D2433" i="250"/>
  <c r="D2601" i="250"/>
  <c r="D2769" i="250"/>
  <c r="D557" i="251"/>
  <c r="D108" i="251"/>
  <c r="D146" i="250"/>
  <c r="D482" i="250"/>
  <c r="D818" i="250"/>
  <c r="D1154" i="250"/>
  <c r="D1490" i="250"/>
  <c r="D1826" i="250"/>
  <c r="D2162" i="250"/>
  <c r="D274" i="250"/>
  <c r="D610" i="250"/>
  <c r="D946" i="250"/>
  <c r="D1282" i="250"/>
  <c r="D1618" i="250"/>
  <c r="D1954" i="250"/>
  <c r="D2374" i="250"/>
  <c r="D2542" i="250"/>
  <c r="D2710" i="250"/>
  <c r="D126" i="250"/>
  <c r="D294" i="250"/>
  <c r="D462" i="250"/>
  <c r="D630" i="250"/>
  <c r="D798" i="250"/>
  <c r="D966" i="250"/>
  <c r="D1134" i="250"/>
  <c r="D1302" i="250"/>
  <c r="D1470" i="250"/>
  <c r="D1638" i="250"/>
  <c r="D1806" i="250"/>
  <c r="D1974" i="250"/>
  <c r="D2142" i="250"/>
  <c r="D2310" i="250"/>
  <c r="D2478" i="250"/>
  <c r="D2646" i="250"/>
  <c r="D2814" i="250"/>
  <c r="D90" i="251"/>
  <c r="D99" i="251"/>
  <c r="D798" i="251"/>
  <c r="D350" i="251"/>
  <c r="D739" i="251"/>
  <c r="D225" i="251"/>
  <c r="D358" i="251"/>
  <c r="D501" i="251"/>
  <c r="D637" i="251"/>
  <c r="D912" i="251"/>
  <c r="D1191" i="251"/>
  <c r="D1215" i="251"/>
  <c r="D233" i="251"/>
  <c r="D366" i="251"/>
  <c r="D509" i="251"/>
  <c r="D646" i="251"/>
  <c r="D921" i="251"/>
  <c r="D1199" i="251"/>
  <c r="D118" i="251"/>
  <c r="D525" i="251"/>
  <c r="D1183" i="251"/>
  <c r="D241" i="251"/>
  <c r="D374" i="251"/>
  <c r="D517" i="251"/>
  <c r="D655" i="251"/>
  <c r="D930" i="251"/>
  <c r="D1207" i="251"/>
  <c r="D47" i="251"/>
  <c r="D421" i="251"/>
  <c r="D838" i="251"/>
  <c r="D1151" i="251"/>
  <c r="D127" i="251"/>
  <c r="D260" i="251"/>
  <c r="D393" i="251"/>
  <c r="D533" i="251"/>
  <c r="D674" i="251"/>
  <c r="D814" i="251"/>
  <c r="D948" i="251"/>
  <c r="D1223" i="251"/>
  <c r="D185" i="251"/>
  <c r="D665" i="251"/>
  <c r="D23" i="251"/>
  <c r="D136" i="251"/>
  <c r="D269" i="251"/>
  <c r="D402" i="251"/>
  <c r="D541" i="251"/>
  <c r="D683" i="251"/>
  <c r="D822" i="251"/>
  <c r="D957" i="251"/>
  <c r="D1231" i="251"/>
  <c r="D217" i="251"/>
  <c r="D628" i="251"/>
  <c r="D976" i="251"/>
  <c r="D1286" i="251"/>
  <c r="D145" i="251"/>
  <c r="D278" i="251"/>
  <c r="D411" i="251"/>
  <c r="D549" i="251"/>
  <c r="D692" i="251"/>
  <c r="D830" i="251"/>
  <c r="D966" i="251"/>
  <c r="D1239" i="251"/>
  <c r="D153" i="251"/>
  <c r="D493" i="251"/>
  <c r="D939" i="251"/>
  <c r="D1249" i="251"/>
  <c r="D161" i="251"/>
  <c r="D294" i="251"/>
  <c r="D430" i="251"/>
  <c r="D565" i="251"/>
  <c r="D711" i="251"/>
  <c r="D846" i="251"/>
  <c r="D985" i="251"/>
  <c r="D1258" i="251"/>
  <c r="D318" i="251"/>
  <c r="D774" i="251"/>
  <c r="D31" i="251"/>
  <c r="D169" i="251"/>
  <c r="D302" i="251"/>
  <c r="D439" i="251"/>
  <c r="D573" i="251"/>
  <c r="D720" i="251"/>
  <c r="D854" i="251"/>
  <c r="D994" i="251"/>
  <c r="D1267" i="251"/>
  <c r="D286" i="251"/>
  <c r="D702" i="251"/>
  <c r="D177" i="251"/>
  <c r="D310" i="251"/>
  <c r="D448" i="251"/>
  <c r="D581" i="251"/>
  <c r="D729" i="251"/>
  <c r="D862" i="251"/>
  <c r="D1003" i="251"/>
  <c r="D1276" i="251"/>
  <c r="D251" i="251"/>
  <c r="D591" i="251"/>
  <c r="D55" i="251"/>
  <c r="D193" i="251"/>
  <c r="D326" i="251"/>
  <c r="D467" i="251"/>
  <c r="D600" i="251"/>
  <c r="D748" i="251"/>
  <c r="D878" i="251"/>
  <c r="D1159" i="251"/>
  <c r="D1295" i="251"/>
  <c r="D458" i="251"/>
  <c r="D903" i="251"/>
  <c r="D63" i="251"/>
  <c r="D201" i="251"/>
  <c r="D334" i="251"/>
  <c r="D476" i="251"/>
  <c r="D609" i="251"/>
  <c r="D757" i="251"/>
  <c r="D886" i="251"/>
  <c r="D1167" i="251"/>
  <c r="D1304" i="251"/>
  <c r="D384" i="251"/>
  <c r="D806" i="251"/>
  <c r="D71" i="251"/>
  <c r="D209" i="251"/>
  <c r="D342" i="251"/>
  <c r="D485" i="251"/>
  <c r="D618" i="251"/>
  <c r="D766" i="251"/>
  <c r="D894" i="251"/>
  <c r="D1175" i="251"/>
  <c r="D1313" i="251"/>
  <c r="B22" i="9"/>
  <c r="D15" i="251"/>
  <c r="D262" i="301"/>
  <c r="E123" i="307"/>
  <c r="D120" i="307"/>
  <c r="D121" i="307"/>
  <c r="D286" i="301"/>
  <c r="E222" i="307"/>
  <c r="D219" i="307"/>
  <c r="D220" i="307"/>
  <c r="D311" i="301"/>
  <c r="E321" i="307"/>
  <c r="D318" i="307"/>
  <c r="D319" i="307"/>
  <c r="D238" i="301"/>
  <c r="E24" i="307"/>
  <c r="D21" i="307"/>
  <c r="D22" i="307"/>
  <c r="E315" i="280"/>
  <c r="D312" i="280"/>
  <c r="D313" i="280"/>
  <c r="E119" i="280"/>
  <c r="E22" i="280"/>
  <c r="J28" i="279"/>
  <c r="J29" i="279"/>
  <c r="J30" i="279"/>
  <c r="J31" i="279"/>
  <c r="J32" i="279"/>
  <c r="J33" i="279"/>
  <c r="J34" i="279"/>
  <c r="J35" i="279"/>
  <c r="J36" i="279"/>
  <c r="J37" i="279"/>
  <c r="D8" i="250"/>
  <c r="D9" i="250"/>
  <c r="D10" i="250"/>
  <c r="D11" i="250"/>
  <c r="D12" i="250"/>
  <c r="D13" i="250"/>
  <c r="D14" i="250"/>
  <c r="D15" i="250"/>
  <c r="D16" i="250"/>
  <c r="D17" i="250"/>
  <c r="C69" i="307" l="1"/>
  <c r="B67" i="307" s="1"/>
  <c r="C51" i="307"/>
  <c r="B49" i="307" s="1"/>
  <c r="C28" i="307"/>
  <c r="B26" i="307" s="1"/>
  <c r="C15" i="307"/>
  <c r="B13" i="307" s="1"/>
  <c r="C6" i="307"/>
  <c r="B4" i="307" s="1"/>
  <c r="E247" i="301" s="1"/>
  <c r="C87" i="307"/>
  <c r="B85" i="307" s="1"/>
  <c r="C456" i="311"/>
  <c r="D256" i="301"/>
  <c r="B235" i="301"/>
  <c r="B386" i="309"/>
  <c r="D251" i="301"/>
  <c r="B454" i="311"/>
  <c r="D250" i="301"/>
  <c r="B240" i="301"/>
  <c r="D255" i="301"/>
  <c r="C366" i="307"/>
  <c r="B364" i="307" s="1"/>
  <c r="C348" i="307"/>
  <c r="B346" i="307" s="1"/>
  <c r="C312" i="307"/>
  <c r="B310" i="307" s="1"/>
  <c r="C303" i="307"/>
  <c r="B301" i="307" s="1"/>
  <c r="E320" i="301" s="1"/>
  <c r="C325" i="307"/>
  <c r="B323" i="307" s="1"/>
  <c r="B428" i="309"/>
  <c r="D329" i="301"/>
  <c r="D328" i="301"/>
  <c r="B502" i="311"/>
  <c r="B308" i="301"/>
  <c r="D323" i="301"/>
  <c r="C384" i="307"/>
  <c r="B382" i="307" s="1"/>
  <c r="C504" i="311"/>
  <c r="B313" i="301"/>
  <c r="D324" i="301"/>
  <c r="C285" i="307"/>
  <c r="B283" i="307" s="1"/>
  <c r="C267" i="307"/>
  <c r="B265" i="307" s="1"/>
  <c r="C213" i="307"/>
  <c r="B211" i="307" s="1"/>
  <c r="C488" i="311"/>
  <c r="D304" i="301"/>
  <c r="C226" i="307"/>
  <c r="B224" i="307" s="1"/>
  <c r="C204" i="307"/>
  <c r="B202" i="307" s="1"/>
  <c r="E295" i="301" s="1"/>
  <c r="B288" i="301"/>
  <c r="D298" i="301"/>
  <c r="B486" i="311"/>
  <c r="C249" i="307"/>
  <c r="B247" i="307" s="1"/>
  <c r="B283" i="301"/>
  <c r="D299" i="301"/>
  <c r="B414" i="309"/>
  <c r="D303" i="301"/>
  <c r="C186" i="307"/>
  <c r="B184" i="307" s="1"/>
  <c r="C168" i="307"/>
  <c r="B166" i="307" s="1"/>
  <c r="C150" i="307"/>
  <c r="B148" i="307" s="1"/>
  <c r="C127" i="307"/>
  <c r="B125" i="307" s="1"/>
  <c r="C105" i="307"/>
  <c r="B103" i="307" s="1"/>
  <c r="E271" i="301" s="1"/>
  <c r="B259" i="301"/>
  <c r="B264" i="301"/>
  <c r="D280" i="301"/>
  <c r="D279" i="301"/>
  <c r="C114" i="307"/>
  <c r="B112" i="307" s="1"/>
  <c r="B470" i="311"/>
  <c r="D274" i="301"/>
  <c r="C472" i="311"/>
  <c r="B400" i="309"/>
  <c r="D275" i="301"/>
  <c r="J38" i="279"/>
  <c r="J631" i="329"/>
  <c r="K631" i="329"/>
  <c r="L631" i="329"/>
  <c r="M631" i="329"/>
  <c r="N631" i="329"/>
  <c r="J632" i="329"/>
  <c r="K632" i="329"/>
  <c r="L632" i="329"/>
  <c r="M632" i="329"/>
  <c r="N632" i="329"/>
  <c r="J633" i="329"/>
  <c r="K633" i="329"/>
  <c r="L633" i="329"/>
  <c r="M633" i="329"/>
  <c r="N633" i="329"/>
  <c r="J634" i="329"/>
  <c r="K634" i="329"/>
  <c r="L634" i="329"/>
  <c r="M634" i="329"/>
  <c r="N634" i="329"/>
  <c r="J635" i="329"/>
  <c r="K635" i="329"/>
  <c r="L635" i="329"/>
  <c r="M635" i="329"/>
  <c r="N635" i="329"/>
  <c r="J636" i="329"/>
  <c r="K636" i="329"/>
  <c r="L636" i="329"/>
  <c r="M636" i="329"/>
  <c r="N636" i="329"/>
  <c r="J637" i="329"/>
  <c r="K637" i="329"/>
  <c r="L637" i="329"/>
  <c r="M637" i="329"/>
  <c r="N637" i="329"/>
  <c r="J638" i="329"/>
  <c r="K638" i="329"/>
  <c r="L638" i="329"/>
  <c r="M638" i="329"/>
  <c r="N638" i="329"/>
  <c r="J639" i="329"/>
  <c r="K639" i="329"/>
  <c r="L639" i="329"/>
  <c r="M639" i="329"/>
  <c r="N639" i="329"/>
  <c r="J640" i="329"/>
  <c r="K640" i="329"/>
  <c r="L640" i="329"/>
  <c r="M640" i="329"/>
  <c r="N640" i="329"/>
  <c r="E631" i="329"/>
  <c r="E632" i="329"/>
  <c r="E633" i="329"/>
  <c r="E634" i="329"/>
  <c r="E635" i="329"/>
  <c r="E636" i="329"/>
  <c r="E637" i="329"/>
  <c r="E638" i="329"/>
  <c r="E639" i="329"/>
  <c r="E640" i="329"/>
  <c r="D631" i="329"/>
  <c r="D770" i="329" s="1"/>
  <c r="D632" i="329"/>
  <c r="D771" i="329" s="1"/>
  <c r="D633" i="329"/>
  <c r="D718" i="329" s="1"/>
  <c r="D634" i="329"/>
  <c r="D719" i="329" s="1"/>
  <c r="D635" i="329"/>
  <c r="D737" i="329" s="1"/>
  <c r="D636" i="329"/>
  <c r="D738" i="329" s="1"/>
  <c r="D637" i="329"/>
  <c r="D757" i="329" s="1"/>
  <c r="D638" i="329"/>
  <c r="D758" i="329" s="1"/>
  <c r="D639" i="329"/>
  <c r="D778" i="329" s="1"/>
  <c r="D640" i="329"/>
  <c r="D779" i="329" s="1"/>
  <c r="B93" i="9" l="1"/>
  <c r="D2981" i="250"/>
  <c r="B96" i="9"/>
  <c r="D2961" i="250"/>
  <c r="B100" i="9"/>
  <c r="D3090" i="250"/>
  <c r="D2918" i="250"/>
  <c r="D2898" i="250"/>
  <c r="D2878" i="250"/>
  <c r="D2937" i="250"/>
  <c r="B94" i="9"/>
  <c r="D3001" i="250"/>
  <c r="B99" i="9"/>
  <c r="D3169" i="250"/>
  <c r="B103" i="9"/>
  <c r="D3188" i="250"/>
  <c r="B88" i="9"/>
  <c r="D2877" i="250"/>
  <c r="D3021" i="250"/>
  <c r="D3046" i="250"/>
  <c r="D2982" i="250"/>
  <c r="D3002" i="250"/>
  <c r="B19" i="9"/>
  <c r="D1059" i="251"/>
  <c r="D1068" i="251"/>
  <c r="D1050" i="251"/>
  <c r="D1077" i="251"/>
  <c r="D3170" i="250"/>
  <c r="D3131" i="250"/>
  <c r="D3066" i="250"/>
  <c r="D2962" i="250"/>
  <c r="B98" i="9"/>
  <c r="D3130" i="250"/>
  <c r="D3189" i="250"/>
  <c r="D3111" i="250"/>
  <c r="D3151" i="250"/>
  <c r="D3091" i="250"/>
  <c r="B102" i="9"/>
  <c r="D3150" i="250"/>
  <c r="B95" i="9"/>
  <c r="D3020" i="250"/>
  <c r="B20" i="9"/>
  <c r="D1109" i="251"/>
  <c r="D1085" i="251"/>
  <c r="D1101" i="251"/>
  <c r="D1093" i="251"/>
  <c r="B18" i="9"/>
  <c r="D1012" i="251"/>
  <c r="D1021" i="251"/>
  <c r="D1032" i="251"/>
  <c r="D1041" i="251"/>
  <c r="B91" i="9"/>
  <c r="D2936" i="250"/>
  <c r="B89" i="9"/>
  <c r="D2897" i="250"/>
  <c r="B92" i="9"/>
  <c r="D3045" i="250"/>
  <c r="B97" i="9"/>
  <c r="D3065" i="250"/>
  <c r="B21" i="9"/>
  <c r="D1125" i="251"/>
  <c r="D1134" i="251"/>
  <c r="D1143" i="251"/>
  <c r="D1117" i="251"/>
  <c r="B101" i="9"/>
  <c r="D3110" i="250"/>
  <c r="B90" i="9"/>
  <c r="D2917" i="250"/>
  <c r="L641" i="329"/>
  <c r="E641" i="329"/>
  <c r="J641" i="329"/>
  <c r="N641" i="329"/>
  <c r="M641" i="329"/>
  <c r="K641" i="329"/>
  <c r="D659" i="329"/>
  <c r="D651" i="329"/>
  <c r="D669" i="329"/>
  <c r="D688" i="329"/>
  <c r="D705" i="329"/>
  <c r="D725" i="329"/>
  <c r="D717" i="329"/>
  <c r="D736" i="329"/>
  <c r="D756" i="329"/>
  <c r="D777" i="329"/>
  <c r="D658" i="329"/>
  <c r="D650" i="329"/>
  <c r="D668" i="329"/>
  <c r="D687" i="329"/>
  <c r="D704" i="329"/>
  <c r="D724" i="329"/>
  <c r="D716" i="329"/>
  <c r="D735" i="329"/>
  <c r="D755" i="329"/>
  <c r="D776" i="329"/>
  <c r="D657" i="329"/>
  <c r="D675" i="329"/>
  <c r="D667" i="329"/>
  <c r="D686" i="329"/>
  <c r="D703" i="329"/>
  <c r="D723" i="329"/>
  <c r="D742" i="329"/>
  <c r="D734" i="329"/>
  <c r="D754" i="329"/>
  <c r="D775" i="329"/>
  <c r="D656" i="329"/>
  <c r="D674" i="329"/>
  <c r="D666" i="329"/>
  <c r="D685" i="329"/>
  <c r="D702" i="329"/>
  <c r="D722" i="329"/>
  <c r="D741" i="329"/>
  <c r="D733" i="329"/>
  <c r="D753" i="329"/>
  <c r="D774" i="329"/>
  <c r="D655" i="329"/>
  <c r="D673" i="329"/>
  <c r="D692" i="329"/>
  <c r="D684" i="329"/>
  <c r="D701" i="329"/>
  <c r="D721" i="329"/>
  <c r="D740" i="329"/>
  <c r="D760" i="329"/>
  <c r="D752" i="329"/>
  <c r="D773" i="329"/>
  <c r="D654" i="329"/>
  <c r="D672" i="329"/>
  <c r="D691" i="329"/>
  <c r="D683" i="329"/>
  <c r="D700" i="329"/>
  <c r="D720" i="329"/>
  <c r="D739" i="329"/>
  <c r="D759" i="329"/>
  <c r="D751" i="329"/>
  <c r="D772" i="329"/>
  <c r="D653" i="329"/>
  <c r="D671" i="329"/>
  <c r="D690" i="329"/>
  <c r="D707" i="329"/>
  <c r="D699" i="329"/>
  <c r="D652" i="329"/>
  <c r="D670" i="329"/>
  <c r="D689" i="329"/>
  <c r="D706" i="329"/>
  <c r="D698" i="329"/>
  <c r="I20" i="345" l="1"/>
  <c r="I631" i="329" s="1"/>
  <c r="I21" i="345"/>
  <c r="I632" i="329" s="1"/>
  <c r="I22" i="345"/>
  <c r="I633" i="329" s="1"/>
  <c r="I23" i="345"/>
  <c r="I634" i="329" s="1"/>
  <c r="I24" i="345"/>
  <c r="I635" i="329" s="1"/>
  <c r="I25" i="345"/>
  <c r="I636" i="329" s="1"/>
  <c r="I26" i="345"/>
  <c r="I637" i="329" s="1"/>
  <c r="I27" i="345"/>
  <c r="I638" i="329" s="1"/>
  <c r="I28" i="345"/>
  <c r="I639" i="329" s="1"/>
  <c r="I29" i="345"/>
  <c r="I640" i="329" s="1"/>
  <c r="E30" i="345"/>
  <c r="D30" i="345"/>
  <c r="D120" i="346"/>
  <c r="D121" i="346"/>
  <c r="D122" i="346"/>
  <c r="D123" i="346"/>
  <c r="D124" i="346"/>
  <c r="D125" i="346"/>
  <c r="D126" i="346"/>
  <c r="D127" i="346"/>
  <c r="D128" i="346"/>
  <c r="D129" i="346"/>
  <c r="D105" i="346"/>
  <c r="D106" i="346"/>
  <c r="D107" i="346"/>
  <c r="D108" i="346"/>
  <c r="D109" i="346"/>
  <c r="D110" i="346"/>
  <c r="D111" i="346"/>
  <c r="D112" i="346"/>
  <c r="D113" i="346"/>
  <c r="D114" i="346"/>
  <c r="D91" i="346"/>
  <c r="D92" i="346"/>
  <c r="D93" i="346"/>
  <c r="D94" i="346"/>
  <c r="D95" i="346"/>
  <c r="D96" i="346"/>
  <c r="D97" i="346"/>
  <c r="D98" i="346"/>
  <c r="D99" i="346"/>
  <c r="D100" i="346"/>
  <c r="D78" i="346"/>
  <c r="D79" i="346"/>
  <c r="D80" i="346"/>
  <c r="D81" i="346"/>
  <c r="D82" i="346"/>
  <c r="D83" i="346"/>
  <c r="D84" i="346"/>
  <c r="D85" i="346"/>
  <c r="D86" i="346"/>
  <c r="D87" i="346"/>
  <c r="D61" i="346"/>
  <c r="D62" i="346"/>
  <c r="D63" i="346"/>
  <c r="D64" i="346"/>
  <c r="D65" i="346"/>
  <c r="D66" i="346"/>
  <c r="D67" i="346"/>
  <c r="D68" i="346"/>
  <c r="D69" i="346"/>
  <c r="D70" i="346"/>
  <c r="D47" i="346"/>
  <c r="D48" i="346"/>
  <c r="D49" i="346"/>
  <c r="D50" i="346"/>
  <c r="D51" i="346"/>
  <c r="D52" i="346"/>
  <c r="D53" i="346"/>
  <c r="D54" i="346"/>
  <c r="D55" i="346"/>
  <c r="D56" i="346"/>
  <c r="D33" i="346"/>
  <c r="D34" i="346"/>
  <c r="D35" i="346"/>
  <c r="D36" i="346"/>
  <c r="D37" i="346"/>
  <c r="D38" i="346"/>
  <c r="D39" i="346"/>
  <c r="D40" i="346"/>
  <c r="D41" i="346"/>
  <c r="D42" i="346"/>
  <c r="D20" i="346"/>
  <c r="D21" i="346"/>
  <c r="D22" i="346"/>
  <c r="D23" i="346"/>
  <c r="D24" i="346"/>
  <c r="D25" i="346"/>
  <c r="D26" i="346"/>
  <c r="D27" i="346"/>
  <c r="D28" i="346"/>
  <c r="D29" i="346"/>
  <c r="H21" i="345" l="1"/>
  <c r="H632" i="329" s="1"/>
  <c r="H29" i="345"/>
  <c r="H640" i="329" s="1"/>
  <c r="H23" i="345"/>
  <c r="H634" i="329" s="1"/>
  <c r="H27" i="345"/>
  <c r="H638" i="329" s="1"/>
  <c r="H24" i="345"/>
  <c r="H635" i="329" s="1"/>
  <c r="H26" i="345"/>
  <c r="H637" i="329" s="1"/>
  <c r="H25" i="345"/>
  <c r="H636" i="329" s="1"/>
  <c r="I641" i="329"/>
  <c r="H22" i="345"/>
  <c r="H633" i="329" s="1"/>
  <c r="H28" i="345"/>
  <c r="H639" i="329" s="1"/>
  <c r="H20" i="345"/>
  <c r="I30" i="345"/>
  <c r="D946" i="329"/>
  <c r="D26" i="330" s="1"/>
  <c r="D14" i="343" s="1"/>
  <c r="D945" i="329"/>
  <c r="D25" i="330" s="1"/>
  <c r="D13" i="343" l="1"/>
  <c r="C138" i="301"/>
  <c r="D159" i="301" s="1"/>
  <c r="D169" i="301"/>
  <c r="D168" i="301"/>
  <c r="H30" i="345"/>
  <c r="H631" i="329"/>
  <c r="H641" i="329" s="1"/>
  <c r="D10" i="343"/>
  <c r="D11" i="343"/>
  <c r="D7" i="343"/>
  <c r="D8" i="343"/>
  <c r="H59" i="5"/>
  <c r="H58" i="5"/>
  <c r="H57" i="5"/>
  <c r="H56" i="5"/>
  <c r="H55" i="5"/>
  <c r="H54" i="5"/>
  <c r="H53" i="5"/>
  <c r="D52" i="5"/>
  <c r="H41" i="5"/>
  <c r="H40" i="5"/>
  <c r="H39" i="5"/>
  <c r="H38" i="5"/>
  <c r="H37" i="5"/>
  <c r="H36" i="5"/>
  <c r="H34" i="5"/>
  <c r="H33" i="5"/>
  <c r="H32" i="5"/>
  <c r="H29" i="5"/>
  <c r="H28" i="5"/>
  <c r="H27" i="5"/>
  <c r="D26" i="5"/>
  <c r="I23" i="5"/>
  <c r="I22" i="5"/>
  <c r="H10" i="5"/>
  <c r="H9" i="5"/>
  <c r="C37" i="343"/>
  <c r="J790" i="329"/>
  <c r="K790" i="329"/>
  <c r="L790" i="329"/>
  <c r="M790" i="329"/>
  <c r="N790" i="329"/>
  <c r="J791" i="329"/>
  <c r="K791" i="329"/>
  <c r="L791" i="329"/>
  <c r="M791" i="329"/>
  <c r="N791" i="329"/>
  <c r="J792" i="329"/>
  <c r="K792" i="329"/>
  <c r="L792" i="329"/>
  <c r="M792" i="329"/>
  <c r="N792" i="329"/>
  <c r="J793" i="329"/>
  <c r="K793" i="329"/>
  <c r="L793" i="329"/>
  <c r="M793" i="329"/>
  <c r="N793" i="329"/>
  <c r="J794" i="329"/>
  <c r="K794" i="329"/>
  <c r="L794" i="329"/>
  <c r="M794" i="329"/>
  <c r="N794" i="329"/>
  <c r="J795" i="329"/>
  <c r="K795" i="329"/>
  <c r="L795" i="329"/>
  <c r="M795" i="329"/>
  <c r="N795" i="329"/>
  <c r="J796" i="329"/>
  <c r="K796" i="329"/>
  <c r="L796" i="329"/>
  <c r="M796" i="329"/>
  <c r="N796" i="329"/>
  <c r="J797" i="329"/>
  <c r="K797" i="329"/>
  <c r="L797" i="329"/>
  <c r="M797" i="329"/>
  <c r="N797" i="329"/>
  <c r="J798" i="329"/>
  <c r="K798" i="329"/>
  <c r="L798" i="329"/>
  <c r="M798" i="329"/>
  <c r="N798" i="329"/>
  <c r="J799" i="329"/>
  <c r="K799" i="329"/>
  <c r="L799" i="329"/>
  <c r="M799" i="329"/>
  <c r="N799" i="329"/>
  <c r="D791" i="329"/>
  <c r="D792" i="329"/>
  <c r="D793" i="329"/>
  <c r="D794" i="329"/>
  <c r="D795" i="329"/>
  <c r="D796" i="329"/>
  <c r="D797" i="329"/>
  <c r="D798" i="329"/>
  <c r="D799" i="329"/>
  <c r="D790" i="329"/>
  <c r="D89" i="343"/>
  <c r="D94" i="343"/>
  <c r="H4" i="343"/>
  <c r="D83" i="343"/>
  <c r="I21" i="348" l="1"/>
  <c r="H21" i="348" s="1"/>
  <c r="I22" i="348"/>
  <c r="I791" i="329" s="1"/>
  <c r="I719" i="352" s="1"/>
  <c r="I23" i="348"/>
  <c r="I792" i="329" s="1"/>
  <c r="I720" i="352" s="1"/>
  <c r="I24" i="348"/>
  <c r="I793" i="329" s="1"/>
  <c r="I721" i="352" s="1"/>
  <c r="I25" i="348"/>
  <c r="I794" i="329" s="1"/>
  <c r="I722" i="352" s="1"/>
  <c r="I26" i="348"/>
  <c r="I27" i="348"/>
  <c r="I796" i="329" s="1"/>
  <c r="I724" i="352" s="1"/>
  <c r="I28" i="348"/>
  <c r="I797" i="329" s="1"/>
  <c r="I725" i="352" s="1"/>
  <c r="I29" i="348"/>
  <c r="I798" i="329" s="1"/>
  <c r="I726" i="352" s="1"/>
  <c r="I30" i="348"/>
  <c r="I799" i="329" s="1"/>
  <c r="I727" i="352" s="1"/>
  <c r="E35" i="349"/>
  <c r="E855" i="329" s="1"/>
  <c r="E36" i="349"/>
  <c r="E37" i="349"/>
  <c r="E38" i="349"/>
  <c r="E39" i="349"/>
  <c r="E40" i="349"/>
  <c r="E41" i="349"/>
  <c r="E861" i="329" s="1"/>
  <c r="E42" i="349"/>
  <c r="E43" i="349"/>
  <c r="E44" i="349"/>
  <c r="E49" i="349"/>
  <c r="E910" i="329" s="1"/>
  <c r="E50" i="349"/>
  <c r="E911" i="329" s="1"/>
  <c r="E51" i="349"/>
  <c r="E912" i="329" s="1"/>
  <c r="E52" i="349"/>
  <c r="E913" i="329" s="1"/>
  <c r="E53" i="349"/>
  <c r="E914" i="329" s="1"/>
  <c r="E54" i="349"/>
  <c r="E915" i="329" s="1"/>
  <c r="E55" i="349"/>
  <c r="E916" i="329" s="1"/>
  <c r="E56" i="349"/>
  <c r="E917" i="329" s="1"/>
  <c r="E57" i="349"/>
  <c r="E918" i="329" s="1"/>
  <c r="E58" i="349"/>
  <c r="E919" i="329" s="1"/>
  <c r="E22" i="349"/>
  <c r="E23" i="349"/>
  <c r="E24" i="349"/>
  <c r="E842" i="329" s="1"/>
  <c r="E25" i="349"/>
  <c r="E26" i="349"/>
  <c r="E844" i="329" s="1"/>
  <c r="E27" i="349"/>
  <c r="E28" i="349"/>
  <c r="E29" i="349"/>
  <c r="E30" i="349"/>
  <c r="E31" i="349"/>
  <c r="D122" i="349"/>
  <c r="D892" i="329" s="1"/>
  <c r="D123" i="349"/>
  <c r="D893" i="329" s="1"/>
  <c r="D124" i="349"/>
  <c r="D894" i="329" s="1"/>
  <c r="D125" i="349"/>
  <c r="D895" i="329" s="1"/>
  <c r="D126" i="349"/>
  <c r="D896" i="329" s="1"/>
  <c r="D127" i="349"/>
  <c r="D897" i="329" s="1"/>
  <c r="D128" i="349"/>
  <c r="D898" i="329" s="1"/>
  <c r="D129" i="349"/>
  <c r="D899" i="329" s="1"/>
  <c r="D130" i="349"/>
  <c r="D900" i="329" s="1"/>
  <c r="D131" i="349"/>
  <c r="D901" i="329" s="1"/>
  <c r="D107" i="349"/>
  <c r="D873" i="329" s="1"/>
  <c r="D108" i="349"/>
  <c r="D874" i="329" s="1"/>
  <c r="D109" i="349"/>
  <c r="D875" i="329" s="1"/>
  <c r="D110" i="349"/>
  <c r="D876" i="329" s="1"/>
  <c r="D111" i="349"/>
  <c r="D877" i="329" s="1"/>
  <c r="D112" i="349"/>
  <c r="D878" i="329" s="1"/>
  <c r="D113" i="349"/>
  <c r="D879" i="329" s="1"/>
  <c r="D114" i="349"/>
  <c r="D880" i="329" s="1"/>
  <c r="D115" i="349"/>
  <c r="D881" i="329" s="1"/>
  <c r="D116" i="349"/>
  <c r="D882" i="329" s="1"/>
  <c r="D93" i="349"/>
  <c r="D822" i="329" s="1"/>
  <c r="D94" i="349"/>
  <c r="D823" i="329" s="1"/>
  <c r="D95" i="349"/>
  <c r="D824" i="329" s="1"/>
  <c r="D96" i="349"/>
  <c r="D825" i="329" s="1"/>
  <c r="D97" i="349"/>
  <c r="D826" i="329" s="1"/>
  <c r="D98" i="349"/>
  <c r="D827" i="329" s="1"/>
  <c r="D99" i="349"/>
  <c r="D828" i="329" s="1"/>
  <c r="D100" i="349"/>
  <c r="D829" i="329" s="1"/>
  <c r="D101" i="349"/>
  <c r="D830" i="329" s="1"/>
  <c r="D102" i="349"/>
  <c r="D831" i="329" s="1"/>
  <c r="D80" i="349"/>
  <c r="D808" i="329" s="1"/>
  <c r="D81" i="349"/>
  <c r="D809" i="329" s="1"/>
  <c r="D82" i="349"/>
  <c r="D810" i="329" s="1"/>
  <c r="D83" i="349"/>
  <c r="D811" i="329" s="1"/>
  <c r="D84" i="349"/>
  <c r="D812" i="329" s="1"/>
  <c r="D85" i="349"/>
  <c r="D813" i="329" s="1"/>
  <c r="D86" i="349"/>
  <c r="D814" i="329" s="1"/>
  <c r="D87" i="349"/>
  <c r="D815" i="329" s="1"/>
  <c r="D88" i="349"/>
  <c r="D816" i="329" s="1"/>
  <c r="D89" i="349"/>
  <c r="D817" i="329" s="1"/>
  <c r="D63" i="349"/>
  <c r="D927" i="329" s="1"/>
  <c r="D64" i="349"/>
  <c r="D928" i="329" s="1"/>
  <c r="D65" i="349"/>
  <c r="D929" i="329" s="1"/>
  <c r="D66" i="349"/>
  <c r="D930" i="329" s="1"/>
  <c r="D67" i="349"/>
  <c r="D931" i="329" s="1"/>
  <c r="D68" i="349"/>
  <c r="D932" i="329" s="1"/>
  <c r="D69" i="349"/>
  <c r="D933" i="329" s="1"/>
  <c r="D70" i="349"/>
  <c r="D934" i="329" s="1"/>
  <c r="D71" i="349"/>
  <c r="D935" i="329" s="1"/>
  <c r="D72" i="349"/>
  <c r="D936" i="329" s="1"/>
  <c r="D49" i="349"/>
  <c r="D910" i="329" s="1"/>
  <c r="D50" i="349"/>
  <c r="D911" i="329" s="1"/>
  <c r="D51" i="349"/>
  <c r="D912" i="329" s="1"/>
  <c r="D52" i="349"/>
  <c r="D913" i="329" s="1"/>
  <c r="D53" i="349"/>
  <c r="D914" i="329" s="1"/>
  <c r="D54" i="349"/>
  <c r="D915" i="329" s="1"/>
  <c r="D55" i="349"/>
  <c r="D916" i="329" s="1"/>
  <c r="D56" i="349"/>
  <c r="D917" i="329" s="1"/>
  <c r="D57" i="349"/>
  <c r="D918" i="329" s="1"/>
  <c r="D58" i="349"/>
  <c r="D919" i="329" s="1"/>
  <c r="D35" i="349"/>
  <c r="D855" i="329" s="1"/>
  <c r="D36" i="349"/>
  <c r="D856" i="329" s="1"/>
  <c r="D37" i="349"/>
  <c r="D857" i="329" s="1"/>
  <c r="D38" i="349"/>
  <c r="D858" i="329" s="1"/>
  <c r="D39" i="349"/>
  <c r="D859" i="329" s="1"/>
  <c r="D40" i="349"/>
  <c r="D860" i="329" s="1"/>
  <c r="D41" i="349"/>
  <c r="D861" i="329" s="1"/>
  <c r="D42" i="349"/>
  <c r="D862" i="329" s="1"/>
  <c r="D43" i="349"/>
  <c r="D863" i="329" s="1"/>
  <c r="D44" i="349"/>
  <c r="D864" i="329" s="1"/>
  <c r="D22" i="349"/>
  <c r="D840" i="329" s="1"/>
  <c r="D23" i="349"/>
  <c r="D841" i="329" s="1"/>
  <c r="D24" i="349"/>
  <c r="D842" i="329" s="1"/>
  <c r="D25" i="349"/>
  <c r="D843" i="329" s="1"/>
  <c r="D26" i="349"/>
  <c r="D844" i="329" s="1"/>
  <c r="D27" i="349"/>
  <c r="D845" i="329" s="1"/>
  <c r="D28" i="349"/>
  <c r="D846" i="329" s="1"/>
  <c r="D29" i="349"/>
  <c r="D847" i="329" s="1"/>
  <c r="D30" i="349"/>
  <c r="D848" i="329" s="1"/>
  <c r="D31" i="349"/>
  <c r="D849" i="329" s="1"/>
  <c r="B42" i="348"/>
  <c r="D14" i="350" s="1"/>
  <c r="B43" i="348"/>
  <c r="D15" i="350" s="1"/>
  <c r="B76" i="349" s="1"/>
  <c r="B41" i="345"/>
  <c r="D12" i="347" s="1"/>
  <c r="B42" i="345"/>
  <c r="D13" i="347" s="1"/>
  <c r="F17" i="349"/>
  <c r="E67" i="349" s="1"/>
  <c r="E931" i="329" s="1"/>
  <c r="F16" i="349"/>
  <c r="J10" i="349"/>
  <c r="K10" i="349"/>
  <c r="L10" i="349"/>
  <c r="M10" i="349"/>
  <c r="N10" i="349"/>
  <c r="J9" i="348"/>
  <c r="K9" i="348"/>
  <c r="L9" i="348"/>
  <c r="M9" i="348"/>
  <c r="N9" i="348"/>
  <c r="H23" i="348" l="1"/>
  <c r="H29" i="348"/>
  <c r="H22" i="348"/>
  <c r="H30" i="348"/>
  <c r="H25" i="348"/>
  <c r="E19" i="345"/>
  <c r="D19" i="345"/>
  <c r="B18" i="349"/>
  <c r="D20" i="348"/>
  <c r="E20" i="348"/>
  <c r="H24" i="348"/>
  <c r="H27" i="348"/>
  <c r="L30" i="349"/>
  <c r="L848" i="329" s="1"/>
  <c r="E848" i="329"/>
  <c r="L22" i="349"/>
  <c r="L840" i="329" s="1"/>
  <c r="E840" i="329"/>
  <c r="M40" i="349"/>
  <c r="M860" i="329" s="1"/>
  <c r="E860" i="329"/>
  <c r="J29" i="349"/>
  <c r="J847" i="329" s="1"/>
  <c r="E847" i="329"/>
  <c r="J39" i="349"/>
  <c r="J859" i="329" s="1"/>
  <c r="E859" i="329"/>
  <c r="J38" i="349"/>
  <c r="J858" i="329" s="1"/>
  <c r="E858" i="329"/>
  <c r="N28" i="349"/>
  <c r="N846" i="329" s="1"/>
  <c r="E846" i="329"/>
  <c r="K27" i="349"/>
  <c r="K845" i="329" s="1"/>
  <c r="E845" i="329"/>
  <c r="L37" i="349"/>
  <c r="L857" i="329" s="1"/>
  <c r="E857" i="329"/>
  <c r="J44" i="349"/>
  <c r="J864" i="329" s="1"/>
  <c r="E864" i="329"/>
  <c r="J36" i="349"/>
  <c r="J856" i="329" s="1"/>
  <c r="E856" i="329"/>
  <c r="K25" i="349"/>
  <c r="K843" i="329" s="1"/>
  <c r="E843" i="329"/>
  <c r="L43" i="349"/>
  <c r="L863" i="329" s="1"/>
  <c r="E863" i="329"/>
  <c r="K42" i="349"/>
  <c r="K862" i="329" s="1"/>
  <c r="E862" i="329"/>
  <c r="J31" i="349"/>
  <c r="J849" i="329" s="1"/>
  <c r="E849" i="329"/>
  <c r="J23" i="349"/>
  <c r="J841" i="329" s="1"/>
  <c r="E841" i="329"/>
  <c r="H28" i="348"/>
  <c r="J57" i="349"/>
  <c r="J918" i="329" s="1"/>
  <c r="J49" i="349"/>
  <c r="J910" i="329" s="1"/>
  <c r="E80" i="349"/>
  <c r="E808" i="329" s="1"/>
  <c r="M56" i="349"/>
  <c r="M917" i="329" s="1"/>
  <c r="H26" i="348"/>
  <c r="I795" i="329"/>
  <c r="I723" i="352" s="1"/>
  <c r="E84" i="349"/>
  <c r="E812" i="329" s="1"/>
  <c r="J55" i="349"/>
  <c r="J916" i="329" s="1"/>
  <c r="M54" i="349"/>
  <c r="M915" i="329" s="1"/>
  <c r="E82" i="349"/>
  <c r="E810" i="329" s="1"/>
  <c r="L53" i="349"/>
  <c r="L914" i="329" s="1"/>
  <c r="E65" i="349"/>
  <c r="E124" i="349" s="1"/>
  <c r="E894" i="329" s="1"/>
  <c r="E110" i="349"/>
  <c r="E876" i="329" s="1"/>
  <c r="E99" i="349"/>
  <c r="E828" i="329" s="1"/>
  <c r="E109" i="349"/>
  <c r="E875" i="329" s="1"/>
  <c r="I790" i="329"/>
  <c r="I718" i="352" s="1"/>
  <c r="L67" i="349"/>
  <c r="L931" i="329" s="1"/>
  <c r="K58" i="349"/>
  <c r="K919" i="329" s="1"/>
  <c r="K50" i="349"/>
  <c r="K911" i="329" s="1"/>
  <c r="M26" i="349"/>
  <c r="K40" i="349"/>
  <c r="M38" i="349"/>
  <c r="J53" i="349"/>
  <c r="J914" i="329" s="1"/>
  <c r="M23" i="349"/>
  <c r="L38" i="349"/>
  <c r="L51" i="349"/>
  <c r="L912" i="329" s="1"/>
  <c r="M31" i="349"/>
  <c r="J22" i="349"/>
  <c r="J37" i="349"/>
  <c r="N49" i="349"/>
  <c r="J30" i="349"/>
  <c r="N44" i="349"/>
  <c r="N36" i="349"/>
  <c r="E88" i="349"/>
  <c r="E816" i="329" s="1"/>
  <c r="N29" i="349"/>
  <c r="N41" i="349"/>
  <c r="N57" i="349"/>
  <c r="N918" i="329" s="1"/>
  <c r="L28" i="349"/>
  <c r="M41" i="349"/>
  <c r="M57" i="349"/>
  <c r="M918" i="329" s="1"/>
  <c r="E97" i="349"/>
  <c r="E826" i="329" s="1"/>
  <c r="K28" i="349"/>
  <c r="K56" i="349"/>
  <c r="K917" i="329" s="1"/>
  <c r="E115" i="349"/>
  <c r="E881" i="329" s="1"/>
  <c r="N26" i="349"/>
  <c r="J40" i="349"/>
  <c r="J56" i="349"/>
  <c r="J917" i="329" s="1"/>
  <c r="E107" i="349"/>
  <c r="E873" i="329" s="1"/>
  <c r="N67" i="349"/>
  <c r="N931" i="329" s="1"/>
  <c r="E126" i="349"/>
  <c r="E896" i="329" s="1"/>
  <c r="J67" i="349"/>
  <c r="J931" i="329" s="1"/>
  <c r="K67" i="349"/>
  <c r="K931" i="329" s="1"/>
  <c r="M67" i="349"/>
  <c r="M931" i="329" s="1"/>
  <c r="M25" i="349"/>
  <c r="E83" i="349"/>
  <c r="E811" i="329" s="1"/>
  <c r="N25" i="349"/>
  <c r="J25" i="349"/>
  <c r="J843" i="329" s="1"/>
  <c r="L25" i="349"/>
  <c r="E112" i="349"/>
  <c r="E878" i="329" s="1"/>
  <c r="J54" i="349"/>
  <c r="J915" i="329" s="1"/>
  <c r="K54" i="349"/>
  <c r="K915" i="329" s="1"/>
  <c r="L54" i="349"/>
  <c r="L915" i="329" s="1"/>
  <c r="N54" i="349"/>
  <c r="N915" i="329" s="1"/>
  <c r="N43" i="349"/>
  <c r="E101" i="349"/>
  <c r="E830" i="329" s="1"/>
  <c r="J43" i="349"/>
  <c r="J863" i="329" s="1"/>
  <c r="K43" i="349"/>
  <c r="M43" i="349"/>
  <c r="N35" i="349"/>
  <c r="N855" i="329" s="1"/>
  <c r="E93" i="349"/>
  <c r="E822" i="329" s="1"/>
  <c r="J35" i="349"/>
  <c r="J855" i="329" s="1"/>
  <c r="K35" i="349"/>
  <c r="K855" i="329" s="1"/>
  <c r="M35" i="349"/>
  <c r="M855" i="329" s="1"/>
  <c r="L35" i="349"/>
  <c r="L855" i="329" s="1"/>
  <c r="E66" i="349"/>
  <c r="E930" i="329" s="1"/>
  <c r="N31" i="349"/>
  <c r="K30" i="349"/>
  <c r="M28" i="349"/>
  <c r="J27" i="349"/>
  <c r="J845" i="329" s="1"/>
  <c r="N23" i="349"/>
  <c r="K22" i="349"/>
  <c r="K840" i="329" s="1"/>
  <c r="J42" i="349"/>
  <c r="J862" i="329" s="1"/>
  <c r="L40" i="349"/>
  <c r="N38" i="349"/>
  <c r="K37" i="349"/>
  <c r="J58" i="349"/>
  <c r="J919" i="329" s="1"/>
  <c r="L56" i="349"/>
  <c r="L917" i="329" s="1"/>
  <c r="K53" i="349"/>
  <c r="K914" i="329" s="1"/>
  <c r="M51" i="349"/>
  <c r="M912" i="329" s="1"/>
  <c r="J50" i="349"/>
  <c r="J911" i="329" s="1"/>
  <c r="E89" i="349"/>
  <c r="E817" i="329" s="1"/>
  <c r="E81" i="349"/>
  <c r="E809" i="329" s="1"/>
  <c r="E98" i="349"/>
  <c r="E827" i="329" s="1"/>
  <c r="E116" i="349"/>
  <c r="E882" i="329" s="1"/>
  <c r="E108" i="349"/>
  <c r="E874" i="329" s="1"/>
  <c r="E72" i="349"/>
  <c r="E936" i="329" s="1"/>
  <c r="E64" i="349"/>
  <c r="E928" i="329" s="1"/>
  <c r="L31" i="349"/>
  <c r="L23" i="349"/>
  <c r="N52" i="349"/>
  <c r="N913" i="329" s="1"/>
  <c r="K51" i="349"/>
  <c r="K912" i="329" s="1"/>
  <c r="M49" i="349"/>
  <c r="M910" i="329" s="1"/>
  <c r="E87" i="349"/>
  <c r="E815" i="329" s="1"/>
  <c r="E96" i="349"/>
  <c r="E825" i="329" s="1"/>
  <c r="E114" i="349"/>
  <c r="E880" i="329" s="1"/>
  <c r="E71" i="349"/>
  <c r="E935" i="329" s="1"/>
  <c r="E63" i="349"/>
  <c r="E927" i="329" s="1"/>
  <c r="K31" i="349"/>
  <c r="M29" i="349"/>
  <c r="J28" i="349"/>
  <c r="J846" i="329" s="1"/>
  <c r="L26" i="349"/>
  <c r="N24" i="349"/>
  <c r="K23" i="349"/>
  <c r="M44" i="349"/>
  <c r="L41" i="349"/>
  <c r="N39" i="349"/>
  <c r="K38" i="349"/>
  <c r="M36" i="349"/>
  <c r="L57" i="349"/>
  <c r="L918" i="329" s="1"/>
  <c r="N55" i="349"/>
  <c r="N916" i="329" s="1"/>
  <c r="M52" i="349"/>
  <c r="M913" i="329" s="1"/>
  <c r="J51" i="349"/>
  <c r="J912" i="329" s="1"/>
  <c r="L49" i="349"/>
  <c r="L910" i="329" s="1"/>
  <c r="E86" i="349"/>
  <c r="E814" i="329" s="1"/>
  <c r="E95" i="349"/>
  <c r="E824" i="329" s="1"/>
  <c r="E113" i="349"/>
  <c r="E879" i="329" s="1"/>
  <c r="E70" i="349"/>
  <c r="E934" i="329" s="1"/>
  <c r="L29" i="349"/>
  <c r="N27" i="349"/>
  <c r="K26" i="349"/>
  <c r="M24" i="349"/>
  <c r="L44" i="349"/>
  <c r="N42" i="349"/>
  <c r="K41" i="349"/>
  <c r="M39" i="349"/>
  <c r="L36" i="349"/>
  <c r="N58" i="349"/>
  <c r="N919" i="329" s="1"/>
  <c r="K57" i="349"/>
  <c r="K918" i="329" s="1"/>
  <c r="M55" i="349"/>
  <c r="M916" i="329" s="1"/>
  <c r="L52" i="349"/>
  <c r="L913" i="329" s="1"/>
  <c r="N50" i="349"/>
  <c r="N911" i="329" s="1"/>
  <c r="K49" i="349"/>
  <c r="K910" i="329" s="1"/>
  <c r="E85" i="349"/>
  <c r="E813" i="329" s="1"/>
  <c r="E102" i="349"/>
  <c r="E831" i="329" s="1"/>
  <c r="E94" i="349"/>
  <c r="E823" i="329" s="1"/>
  <c r="E69" i="349"/>
  <c r="E933" i="329" s="1"/>
  <c r="N30" i="349"/>
  <c r="K29" i="349"/>
  <c r="M27" i="349"/>
  <c r="J26" i="349"/>
  <c r="J844" i="329" s="1"/>
  <c r="L24" i="349"/>
  <c r="N22" i="349"/>
  <c r="N840" i="329" s="1"/>
  <c r="K44" i="349"/>
  <c r="M42" i="349"/>
  <c r="J41" i="349"/>
  <c r="J861" i="329" s="1"/>
  <c r="L39" i="349"/>
  <c r="N37" i="349"/>
  <c r="K36" i="349"/>
  <c r="M58" i="349"/>
  <c r="M919" i="329" s="1"/>
  <c r="L55" i="349"/>
  <c r="L916" i="329" s="1"/>
  <c r="N53" i="349"/>
  <c r="N914" i="329" s="1"/>
  <c r="K52" i="349"/>
  <c r="K913" i="329" s="1"/>
  <c r="M50" i="349"/>
  <c r="M911" i="329" s="1"/>
  <c r="E111" i="349"/>
  <c r="E877" i="329" s="1"/>
  <c r="E68" i="349"/>
  <c r="E932" i="329" s="1"/>
  <c r="M30" i="349"/>
  <c r="L27" i="349"/>
  <c r="K24" i="349"/>
  <c r="M22" i="349"/>
  <c r="M840" i="329" s="1"/>
  <c r="L42" i="349"/>
  <c r="N40" i="349"/>
  <c r="K39" i="349"/>
  <c r="M37" i="349"/>
  <c r="L58" i="349"/>
  <c r="L919" i="329" s="1"/>
  <c r="N56" i="349"/>
  <c r="N917" i="329" s="1"/>
  <c r="K55" i="349"/>
  <c r="K916" i="329" s="1"/>
  <c r="M53" i="349"/>
  <c r="M914" i="329" s="1"/>
  <c r="J52" i="349"/>
  <c r="J913" i="329" s="1"/>
  <c r="L50" i="349"/>
  <c r="L911" i="329" s="1"/>
  <c r="E100" i="349"/>
  <c r="E829" i="329" s="1"/>
  <c r="J24" i="349"/>
  <c r="J842" i="329" s="1"/>
  <c r="N51" i="349"/>
  <c r="N912" i="329" s="1"/>
  <c r="J107" i="349" l="1"/>
  <c r="J873" i="329" s="1"/>
  <c r="J96" i="349"/>
  <c r="J825" i="329" s="1"/>
  <c r="J89" i="349"/>
  <c r="J817" i="329" s="1"/>
  <c r="L88" i="349"/>
  <c r="L816" i="329" s="1"/>
  <c r="K100" i="349"/>
  <c r="K829" i="329" s="1"/>
  <c r="J94" i="349"/>
  <c r="J823" i="329" s="1"/>
  <c r="J114" i="349"/>
  <c r="J880" i="329" s="1"/>
  <c r="J113" i="349"/>
  <c r="J879" i="329" s="1"/>
  <c r="J97" i="349"/>
  <c r="J826" i="329" s="1"/>
  <c r="L101" i="349"/>
  <c r="L830" i="329" s="1"/>
  <c r="K85" i="349"/>
  <c r="K813" i="329" s="1"/>
  <c r="N86" i="349"/>
  <c r="N814" i="329" s="1"/>
  <c r="J87" i="349"/>
  <c r="J815" i="329" s="1"/>
  <c r="K82" i="349"/>
  <c r="K810" i="329" s="1"/>
  <c r="K842" i="329"/>
  <c r="L94" i="349"/>
  <c r="L823" i="329" s="1"/>
  <c r="L856" i="329"/>
  <c r="L87" i="349"/>
  <c r="L815" i="329" s="1"/>
  <c r="L847" i="329"/>
  <c r="N82" i="349"/>
  <c r="N810" i="329" s="1"/>
  <c r="N842" i="329"/>
  <c r="K101" i="349"/>
  <c r="K830" i="329" s="1"/>
  <c r="K863" i="329"/>
  <c r="J115" i="349"/>
  <c r="J881" i="329" s="1"/>
  <c r="J98" i="349"/>
  <c r="J827" i="329" s="1"/>
  <c r="J860" i="329"/>
  <c r="L86" i="349"/>
  <c r="L814" i="329" s="1"/>
  <c r="L846" i="329"/>
  <c r="N107" i="349"/>
  <c r="N873" i="329" s="1"/>
  <c r="N910" i="329"/>
  <c r="M96" i="349"/>
  <c r="M825" i="329" s="1"/>
  <c r="M858" i="329"/>
  <c r="M98" i="349"/>
  <c r="M827" i="329" s="1"/>
  <c r="L95" i="349"/>
  <c r="L824" i="329" s="1"/>
  <c r="N98" i="349"/>
  <c r="N827" i="329" s="1"/>
  <c r="N860" i="329"/>
  <c r="N88" i="349"/>
  <c r="N816" i="329" s="1"/>
  <c r="N848" i="329"/>
  <c r="L83" i="349"/>
  <c r="L811" i="329" s="1"/>
  <c r="L843" i="329"/>
  <c r="N84" i="349"/>
  <c r="N812" i="329" s="1"/>
  <c r="N844" i="329"/>
  <c r="J95" i="349"/>
  <c r="J824" i="329" s="1"/>
  <c r="J857" i="329"/>
  <c r="K98" i="349"/>
  <c r="K827" i="329" s="1"/>
  <c r="K860" i="329"/>
  <c r="L84" i="349"/>
  <c r="L812" i="329" s="1"/>
  <c r="L844" i="329"/>
  <c r="K99" i="349"/>
  <c r="K828" i="329" s="1"/>
  <c r="K861" i="329"/>
  <c r="L85" i="349"/>
  <c r="L813" i="329" s="1"/>
  <c r="L845" i="329"/>
  <c r="L82" i="349"/>
  <c r="L810" i="329" s="1"/>
  <c r="L842" i="329"/>
  <c r="M97" i="349"/>
  <c r="M826" i="329" s="1"/>
  <c r="M859" i="329"/>
  <c r="M88" i="349"/>
  <c r="M816" i="329" s="1"/>
  <c r="M848" i="329"/>
  <c r="N99" i="349"/>
  <c r="N828" i="329" s="1"/>
  <c r="N861" i="329"/>
  <c r="M84" i="349"/>
  <c r="M812" i="329" s="1"/>
  <c r="M844" i="329"/>
  <c r="N100" i="349"/>
  <c r="N829" i="329" s="1"/>
  <c r="N862" i="329"/>
  <c r="K96" i="349"/>
  <c r="K825" i="329" s="1"/>
  <c r="K858" i="329"/>
  <c r="M87" i="349"/>
  <c r="M815" i="329" s="1"/>
  <c r="M847" i="329"/>
  <c r="M86" i="349"/>
  <c r="M814" i="329" s="1"/>
  <c r="M846" i="329"/>
  <c r="N101" i="349"/>
  <c r="N830" i="329" s="1"/>
  <c r="N863" i="329"/>
  <c r="N83" i="349"/>
  <c r="N811" i="329" s="1"/>
  <c r="N843" i="329"/>
  <c r="L80" i="349"/>
  <c r="L808" i="329" s="1"/>
  <c r="N87" i="349"/>
  <c r="N815" i="329" s="1"/>
  <c r="N847" i="329"/>
  <c r="M89" i="349"/>
  <c r="M817" i="329" s="1"/>
  <c r="M849" i="329"/>
  <c r="K83" i="349"/>
  <c r="K811" i="329" s="1"/>
  <c r="N81" i="349"/>
  <c r="N809" i="329" s="1"/>
  <c r="N841" i="329"/>
  <c r="K94" i="349"/>
  <c r="K823" i="329" s="1"/>
  <c r="K856" i="329"/>
  <c r="M94" i="349"/>
  <c r="M823" i="329" s="1"/>
  <c r="M856" i="329"/>
  <c r="J80" i="349"/>
  <c r="J808" i="329" s="1"/>
  <c r="J840" i="329"/>
  <c r="M95" i="349"/>
  <c r="M824" i="329" s="1"/>
  <c r="M857" i="329"/>
  <c r="N95" i="349"/>
  <c r="N824" i="329" s="1"/>
  <c r="N857" i="329"/>
  <c r="M85" i="349"/>
  <c r="M813" i="329" s="1"/>
  <c r="M845" i="329"/>
  <c r="K97" i="349"/>
  <c r="K826" i="329" s="1"/>
  <c r="K859" i="329"/>
  <c r="L97" i="349"/>
  <c r="L826" i="329" s="1"/>
  <c r="L859" i="329"/>
  <c r="K87" i="349"/>
  <c r="K815" i="329" s="1"/>
  <c r="K847" i="329"/>
  <c r="L102" i="349"/>
  <c r="L831" i="329" s="1"/>
  <c r="L864" i="329"/>
  <c r="N97" i="349"/>
  <c r="N826" i="329" s="1"/>
  <c r="N859" i="329"/>
  <c r="K89" i="349"/>
  <c r="K817" i="329" s="1"/>
  <c r="K849" i="329"/>
  <c r="K95" i="349"/>
  <c r="K824" i="329" s="1"/>
  <c r="K857" i="329"/>
  <c r="K88" i="349"/>
  <c r="K816" i="329" s="1"/>
  <c r="K848" i="329"/>
  <c r="J81" i="349"/>
  <c r="J809" i="329" s="1"/>
  <c r="K86" i="349"/>
  <c r="K814" i="329" s="1"/>
  <c r="K846" i="329"/>
  <c r="L99" i="349"/>
  <c r="L828" i="329" s="1"/>
  <c r="L861" i="329"/>
  <c r="L81" i="349"/>
  <c r="L809" i="329" s="1"/>
  <c r="L841" i="329"/>
  <c r="N96" i="349"/>
  <c r="N825" i="329" s="1"/>
  <c r="N858" i="329"/>
  <c r="N89" i="349"/>
  <c r="N817" i="329" s="1"/>
  <c r="N849" i="329"/>
  <c r="M83" i="349"/>
  <c r="M811" i="329" s="1"/>
  <c r="M843" i="329"/>
  <c r="N94" i="349"/>
  <c r="N823" i="329" s="1"/>
  <c r="N856" i="329"/>
  <c r="L96" i="349"/>
  <c r="L825" i="329" s="1"/>
  <c r="L858" i="329"/>
  <c r="J65" i="349"/>
  <c r="J929" i="329" s="1"/>
  <c r="E929" i="329"/>
  <c r="M82" i="349"/>
  <c r="M810" i="329" s="1"/>
  <c r="M842" i="329"/>
  <c r="L100" i="349"/>
  <c r="L829" i="329" s="1"/>
  <c r="L862" i="329"/>
  <c r="L89" i="349"/>
  <c r="L817" i="329" s="1"/>
  <c r="L849" i="329"/>
  <c r="L98" i="349"/>
  <c r="L827" i="329" s="1"/>
  <c r="L860" i="329"/>
  <c r="M100" i="349"/>
  <c r="M829" i="329" s="1"/>
  <c r="M862" i="329"/>
  <c r="K84" i="349"/>
  <c r="K812" i="329" s="1"/>
  <c r="K844" i="329"/>
  <c r="M102" i="349"/>
  <c r="M831" i="329" s="1"/>
  <c r="M864" i="329"/>
  <c r="N102" i="349"/>
  <c r="N831" i="329" s="1"/>
  <c r="N864" i="329"/>
  <c r="M81" i="349"/>
  <c r="M809" i="329" s="1"/>
  <c r="M841" i="329"/>
  <c r="K102" i="349"/>
  <c r="K831" i="329" s="1"/>
  <c r="K864" i="329"/>
  <c r="N85" i="349"/>
  <c r="N813" i="329" s="1"/>
  <c r="N845" i="329"/>
  <c r="K81" i="349"/>
  <c r="K809" i="329" s="1"/>
  <c r="K841" i="329"/>
  <c r="L65" i="349"/>
  <c r="L929" i="329" s="1"/>
  <c r="M101" i="349"/>
  <c r="M830" i="329" s="1"/>
  <c r="M863" i="329"/>
  <c r="J102" i="349"/>
  <c r="J831" i="329" s="1"/>
  <c r="M99" i="349"/>
  <c r="M828" i="329" s="1"/>
  <c r="M861" i="329"/>
  <c r="J88" i="349"/>
  <c r="J816" i="329" s="1"/>
  <c r="J848" i="329"/>
  <c r="M111" i="349"/>
  <c r="M877" i="329" s="1"/>
  <c r="N111" i="349"/>
  <c r="N877" i="329" s="1"/>
  <c r="N116" i="349"/>
  <c r="N882" i="329" s="1"/>
  <c r="M110" i="349"/>
  <c r="M876" i="329" s="1"/>
  <c r="M65" i="349"/>
  <c r="M929" i="329" s="1"/>
  <c r="K116" i="349"/>
  <c r="K882" i="329" s="1"/>
  <c r="K113" i="349"/>
  <c r="K879" i="329" s="1"/>
  <c r="L113" i="349"/>
  <c r="L879" i="329" s="1"/>
  <c r="N113" i="349"/>
  <c r="N879" i="329" s="1"/>
  <c r="M109" i="349"/>
  <c r="M875" i="329" s="1"/>
  <c r="N112" i="349"/>
  <c r="N878" i="329" s="1"/>
  <c r="K114" i="349"/>
  <c r="K880" i="329" s="1"/>
  <c r="L108" i="349"/>
  <c r="L874" i="329" s="1"/>
  <c r="N114" i="349"/>
  <c r="N880" i="329" s="1"/>
  <c r="K111" i="349"/>
  <c r="K877" i="329" s="1"/>
  <c r="L112" i="349"/>
  <c r="L878" i="329" s="1"/>
  <c r="N126" i="349"/>
  <c r="N896" i="329" s="1"/>
  <c r="L109" i="349"/>
  <c r="L875" i="329" s="1"/>
  <c r="L126" i="349"/>
  <c r="L896" i="329" s="1"/>
  <c r="L111" i="349"/>
  <c r="L877" i="329" s="1"/>
  <c r="M112" i="349"/>
  <c r="M878" i="329" s="1"/>
  <c r="M114" i="349"/>
  <c r="M880" i="329" s="1"/>
  <c r="M116" i="349"/>
  <c r="M882" i="329" s="1"/>
  <c r="L115" i="349"/>
  <c r="L881" i="329" s="1"/>
  <c r="N109" i="349"/>
  <c r="N875" i="329" s="1"/>
  <c r="L116" i="349"/>
  <c r="L882" i="329" s="1"/>
  <c r="L114" i="349"/>
  <c r="L880" i="329" s="1"/>
  <c r="K65" i="349"/>
  <c r="K929" i="329" s="1"/>
  <c r="K112" i="349"/>
  <c r="K878" i="329" s="1"/>
  <c r="N108" i="349"/>
  <c r="N874" i="329" s="1"/>
  <c r="K109" i="349"/>
  <c r="K875" i="329" s="1"/>
  <c r="M115" i="349"/>
  <c r="M881" i="329" s="1"/>
  <c r="L110" i="349"/>
  <c r="L876" i="329" s="1"/>
  <c r="N110" i="349"/>
  <c r="N876" i="329" s="1"/>
  <c r="J111" i="349"/>
  <c r="J877" i="329" s="1"/>
  <c r="K108" i="349"/>
  <c r="K874" i="329" s="1"/>
  <c r="M126" i="349"/>
  <c r="M896" i="329" s="1"/>
  <c r="N65" i="349"/>
  <c r="N929" i="329" s="1"/>
  <c r="M108" i="349"/>
  <c r="M874" i="329" s="1"/>
  <c r="M113" i="349"/>
  <c r="M879" i="329" s="1"/>
  <c r="K110" i="349"/>
  <c r="K876" i="329" s="1"/>
  <c r="K115" i="349"/>
  <c r="K881" i="329" s="1"/>
  <c r="K126" i="349"/>
  <c r="K896" i="329" s="1"/>
  <c r="N115" i="349"/>
  <c r="I49" i="349"/>
  <c r="I910" i="329" s="1"/>
  <c r="J116" i="349"/>
  <c r="J882" i="329" s="1"/>
  <c r="I58" i="349"/>
  <c r="I919" i="329" s="1"/>
  <c r="N45" i="349"/>
  <c r="N93" i="349"/>
  <c r="I37" i="349"/>
  <c r="I857" i="329" s="1"/>
  <c r="I57" i="349"/>
  <c r="I918" i="329" s="1"/>
  <c r="J99" i="349"/>
  <c r="I41" i="349"/>
  <c r="I861" i="329" s="1"/>
  <c r="L59" i="349"/>
  <c r="L107" i="349"/>
  <c r="L873" i="329" s="1"/>
  <c r="J63" i="349"/>
  <c r="J927" i="329" s="1"/>
  <c r="K63" i="349"/>
  <c r="K927" i="329" s="1"/>
  <c r="E122" i="349"/>
  <c r="E892" i="329" s="1"/>
  <c r="L63" i="349"/>
  <c r="L927" i="329" s="1"/>
  <c r="M63" i="349"/>
  <c r="M927" i="329" s="1"/>
  <c r="N63" i="349"/>
  <c r="N927" i="329" s="1"/>
  <c r="N59" i="349"/>
  <c r="I54" i="349"/>
  <c r="I915" i="329" s="1"/>
  <c r="J112" i="349"/>
  <c r="I36" i="349"/>
  <c r="I856" i="329" s="1"/>
  <c r="I30" i="349"/>
  <c r="I848" i="329" s="1"/>
  <c r="L32" i="349"/>
  <c r="E128" i="349"/>
  <c r="E898" i="329" s="1"/>
  <c r="L69" i="349"/>
  <c r="L933" i="329" s="1"/>
  <c r="M69" i="349"/>
  <c r="M933" i="329" s="1"/>
  <c r="N69" i="349"/>
  <c r="N933" i="329" s="1"/>
  <c r="K69" i="349"/>
  <c r="K933" i="329" s="1"/>
  <c r="J69" i="349"/>
  <c r="J933" i="329" s="1"/>
  <c r="J109" i="349"/>
  <c r="J875" i="329" s="1"/>
  <c r="I51" i="349"/>
  <c r="I912" i="329" s="1"/>
  <c r="J71" i="349"/>
  <c r="J935" i="329" s="1"/>
  <c r="K71" i="349"/>
  <c r="K935" i="329" s="1"/>
  <c r="E130" i="349"/>
  <c r="E900" i="329" s="1"/>
  <c r="L71" i="349"/>
  <c r="L935" i="329" s="1"/>
  <c r="M71" i="349"/>
  <c r="M935" i="329" s="1"/>
  <c r="N71" i="349"/>
  <c r="N935" i="329" s="1"/>
  <c r="I56" i="349"/>
  <c r="I917" i="329" s="1"/>
  <c r="J110" i="349"/>
  <c r="I52" i="349"/>
  <c r="I913" i="329" s="1"/>
  <c r="K66" i="349"/>
  <c r="K930" i="329" s="1"/>
  <c r="L66" i="349"/>
  <c r="L930" i="329" s="1"/>
  <c r="M66" i="349"/>
  <c r="M930" i="329" s="1"/>
  <c r="N66" i="349"/>
  <c r="N930" i="329" s="1"/>
  <c r="E125" i="349"/>
  <c r="E895" i="329" s="1"/>
  <c r="J66" i="349"/>
  <c r="J930" i="329" s="1"/>
  <c r="L93" i="349"/>
  <c r="L45" i="349"/>
  <c r="J101" i="349"/>
  <c r="I43" i="349"/>
  <c r="I863" i="329" s="1"/>
  <c r="I44" i="349"/>
  <c r="I864" i="329" s="1"/>
  <c r="I39" i="349"/>
  <c r="I859" i="329" s="1"/>
  <c r="I23" i="349"/>
  <c r="I841" i="329" s="1"/>
  <c r="N80" i="349"/>
  <c r="N808" i="329" s="1"/>
  <c r="N32" i="349"/>
  <c r="I40" i="349"/>
  <c r="I860" i="329" s="1"/>
  <c r="M64" i="349"/>
  <c r="M928" i="329" s="1"/>
  <c r="N64" i="349"/>
  <c r="N928" i="329" s="1"/>
  <c r="E123" i="349"/>
  <c r="E893" i="329" s="1"/>
  <c r="J64" i="349"/>
  <c r="J928" i="329" s="1"/>
  <c r="L64" i="349"/>
  <c r="L928" i="329" s="1"/>
  <c r="K64" i="349"/>
  <c r="K928" i="329" s="1"/>
  <c r="J108" i="349"/>
  <c r="I50" i="349"/>
  <c r="I911" i="329" s="1"/>
  <c r="J100" i="349"/>
  <c r="I42" i="349"/>
  <c r="I862" i="329" s="1"/>
  <c r="M93" i="349"/>
  <c r="M45" i="349"/>
  <c r="J83" i="349"/>
  <c r="J811" i="329" s="1"/>
  <c r="I25" i="349"/>
  <c r="I843" i="329" s="1"/>
  <c r="I55" i="349"/>
  <c r="I916" i="329" s="1"/>
  <c r="J126" i="349"/>
  <c r="J896" i="329" s="1"/>
  <c r="I67" i="349"/>
  <c r="I931" i="329" s="1"/>
  <c r="I38" i="349"/>
  <c r="I858" i="329" s="1"/>
  <c r="M32" i="349"/>
  <c r="M80" i="349"/>
  <c r="M808" i="329" s="1"/>
  <c r="E129" i="349"/>
  <c r="E899" i="329" s="1"/>
  <c r="J70" i="349"/>
  <c r="J934" i="329" s="1"/>
  <c r="K70" i="349"/>
  <c r="K934" i="329" s="1"/>
  <c r="L70" i="349"/>
  <c r="L934" i="329" s="1"/>
  <c r="N70" i="349"/>
  <c r="N934" i="329" s="1"/>
  <c r="M70" i="349"/>
  <c r="M934" i="329" s="1"/>
  <c r="M72" i="349"/>
  <c r="M936" i="329" s="1"/>
  <c r="N72" i="349"/>
  <c r="N936" i="329" s="1"/>
  <c r="E131" i="349"/>
  <c r="E901" i="329" s="1"/>
  <c r="J72" i="349"/>
  <c r="J936" i="329" s="1"/>
  <c r="L72" i="349"/>
  <c r="L936" i="329" s="1"/>
  <c r="K72" i="349"/>
  <c r="K936" i="329" s="1"/>
  <c r="K80" i="349"/>
  <c r="K808" i="329" s="1"/>
  <c r="K32" i="349"/>
  <c r="K93" i="349"/>
  <c r="K45" i="349"/>
  <c r="I31" i="349"/>
  <c r="I849" i="329" s="1"/>
  <c r="J84" i="349"/>
  <c r="J812" i="329" s="1"/>
  <c r="I26" i="349"/>
  <c r="I844" i="329" s="1"/>
  <c r="K107" i="349"/>
  <c r="K873" i="329" s="1"/>
  <c r="K59" i="349"/>
  <c r="J86" i="349"/>
  <c r="J814" i="329" s="1"/>
  <c r="I28" i="349"/>
  <c r="I846" i="329" s="1"/>
  <c r="J93" i="349"/>
  <c r="J822" i="329" s="1"/>
  <c r="I35" i="349"/>
  <c r="I855" i="329" s="1"/>
  <c r="J45" i="349"/>
  <c r="I53" i="349"/>
  <c r="I914" i="329" s="1"/>
  <c r="I29" i="349"/>
  <c r="I847" i="329" s="1"/>
  <c r="I24" i="349"/>
  <c r="I842" i="329" s="1"/>
  <c r="J82" i="349"/>
  <c r="J810" i="329" s="1"/>
  <c r="J68" i="349"/>
  <c r="J932" i="329" s="1"/>
  <c r="K68" i="349"/>
  <c r="K932" i="329" s="1"/>
  <c r="L68" i="349"/>
  <c r="L932" i="329" s="1"/>
  <c r="M68" i="349"/>
  <c r="M932" i="329" s="1"/>
  <c r="N68" i="349"/>
  <c r="N932" i="329" s="1"/>
  <c r="E127" i="349"/>
  <c r="E897" i="329" s="1"/>
  <c r="M59" i="349"/>
  <c r="M107" i="349"/>
  <c r="M873" i="329" s="1"/>
  <c r="I27" i="349"/>
  <c r="I845" i="329" s="1"/>
  <c r="J85" i="349"/>
  <c r="J813" i="329" s="1"/>
  <c r="I22" i="349"/>
  <c r="I840" i="329" s="1"/>
  <c r="J59" i="349"/>
  <c r="J32" i="349"/>
  <c r="F15" i="346"/>
  <c r="L865" i="329" l="1"/>
  <c r="I386" i="352" s="1"/>
  <c r="L818" i="329"/>
  <c r="I482" i="352" s="1"/>
  <c r="I94" i="349"/>
  <c r="I823" i="329" s="1"/>
  <c r="N865" i="329"/>
  <c r="I388" i="352" s="1"/>
  <c r="K850" i="329"/>
  <c r="I289" i="352" s="1"/>
  <c r="I88" i="349"/>
  <c r="I816" i="329" s="1"/>
  <c r="I81" i="349"/>
  <c r="I809" i="329" s="1"/>
  <c r="I96" i="349"/>
  <c r="I825" i="329" s="1"/>
  <c r="K865" i="329"/>
  <c r="I385" i="352" s="1"/>
  <c r="L90" i="349"/>
  <c r="I865" i="329"/>
  <c r="I95" i="349"/>
  <c r="I824" i="329" s="1"/>
  <c r="I111" i="349"/>
  <c r="I877" i="329" s="1"/>
  <c r="M865" i="329"/>
  <c r="I387" i="352" s="1"/>
  <c r="I102" i="349"/>
  <c r="I831" i="329" s="1"/>
  <c r="I114" i="349"/>
  <c r="I880" i="329" s="1"/>
  <c r="I87" i="349"/>
  <c r="I815" i="329" s="1"/>
  <c r="L850" i="329"/>
  <c r="I290" i="352" s="1"/>
  <c r="I113" i="349"/>
  <c r="I879" i="329" s="1"/>
  <c r="M850" i="329"/>
  <c r="I291" i="352" s="1"/>
  <c r="I97" i="349"/>
  <c r="I826" i="329" s="1"/>
  <c r="I89" i="349"/>
  <c r="I817" i="329" s="1"/>
  <c r="J865" i="329"/>
  <c r="I384" i="352" s="1"/>
  <c r="J124" i="349"/>
  <c r="J894" i="329" s="1"/>
  <c r="N850" i="329"/>
  <c r="I292" i="352" s="1"/>
  <c r="I850" i="329"/>
  <c r="I99" i="349"/>
  <c r="I828" i="329" s="1"/>
  <c r="J828" i="329"/>
  <c r="J850" i="329"/>
  <c r="I288" i="352" s="1"/>
  <c r="M103" i="349"/>
  <c r="M822" i="329"/>
  <c r="M832" i="329" s="1"/>
  <c r="I579" i="352" s="1"/>
  <c r="I100" i="349"/>
  <c r="I829" i="329" s="1"/>
  <c r="J829" i="329"/>
  <c r="I98" i="349"/>
  <c r="I827" i="329" s="1"/>
  <c r="I101" i="349"/>
  <c r="I830" i="329" s="1"/>
  <c r="J830" i="329"/>
  <c r="I112" i="349"/>
  <c r="I878" i="329" s="1"/>
  <c r="J878" i="329"/>
  <c r="I108" i="349"/>
  <c r="I874" i="329" s="1"/>
  <c r="J874" i="329"/>
  <c r="N103" i="349"/>
  <c r="N822" i="329"/>
  <c r="N832" i="329" s="1"/>
  <c r="I580" i="352" s="1"/>
  <c r="I115" i="349"/>
  <c r="I881" i="329" s="1"/>
  <c r="N881" i="329"/>
  <c r="N883" i="329" s="1"/>
  <c r="I490" i="352" s="1"/>
  <c r="L103" i="349"/>
  <c r="L822" i="329"/>
  <c r="L832" i="329" s="1"/>
  <c r="I578" i="352" s="1"/>
  <c r="I110" i="349"/>
  <c r="I876" i="329" s="1"/>
  <c r="J876" i="329"/>
  <c r="K103" i="349"/>
  <c r="K822" i="329"/>
  <c r="K832" i="329" s="1"/>
  <c r="I577" i="352" s="1"/>
  <c r="I65" i="349"/>
  <c r="I929" i="329" s="1"/>
  <c r="L124" i="349"/>
  <c r="L894" i="329" s="1"/>
  <c r="L883" i="329"/>
  <c r="I488" i="352" s="1"/>
  <c r="M920" i="329"/>
  <c r="I297" i="352" s="1"/>
  <c r="L130" i="349"/>
  <c r="L900" i="329" s="1"/>
  <c r="M90" i="349"/>
  <c r="M818" i="329"/>
  <c r="I483" i="352" s="1"/>
  <c r="N127" i="349"/>
  <c r="N897" i="329" s="1"/>
  <c r="M127" i="349"/>
  <c r="M897" i="329" s="1"/>
  <c r="K117" i="349"/>
  <c r="M129" i="349"/>
  <c r="M899" i="329" s="1"/>
  <c r="J920" i="329"/>
  <c r="I294" i="352" s="1"/>
  <c r="N129" i="349"/>
  <c r="N899" i="329" s="1"/>
  <c r="N125" i="349"/>
  <c r="N895" i="329" s="1"/>
  <c r="K127" i="349"/>
  <c r="K897" i="329" s="1"/>
  <c r="K131" i="349"/>
  <c r="K901" i="329" s="1"/>
  <c r="M125" i="349"/>
  <c r="M895" i="329" s="1"/>
  <c r="N117" i="349"/>
  <c r="I109" i="349"/>
  <c r="I875" i="329" s="1"/>
  <c r="K883" i="329"/>
  <c r="I487" i="352" s="1"/>
  <c r="I85" i="349"/>
  <c r="I813" i="329" s="1"/>
  <c r="I84" i="349"/>
  <c r="I812" i="329" s="1"/>
  <c r="L131" i="349"/>
  <c r="L901" i="329" s="1"/>
  <c r="M123" i="349"/>
  <c r="M893" i="329" s="1"/>
  <c r="L125" i="349"/>
  <c r="L895" i="329" s="1"/>
  <c r="N130" i="349"/>
  <c r="N900" i="329" s="1"/>
  <c r="K90" i="349"/>
  <c r="K818" i="329"/>
  <c r="I481" i="352" s="1"/>
  <c r="L129" i="349"/>
  <c r="L899" i="329" s="1"/>
  <c r="N123" i="349"/>
  <c r="N893" i="329" s="1"/>
  <c r="K129" i="349"/>
  <c r="K899" i="329" s="1"/>
  <c r="M117" i="349"/>
  <c r="I82" i="349"/>
  <c r="I810" i="329" s="1"/>
  <c r="I126" i="349"/>
  <c r="I896" i="329" s="1"/>
  <c r="K125" i="349"/>
  <c r="K895" i="329" s="1"/>
  <c r="M130" i="349"/>
  <c r="M900" i="329" s="1"/>
  <c r="K128" i="349"/>
  <c r="K898" i="329" s="1"/>
  <c r="I116" i="349"/>
  <c r="I882" i="329" s="1"/>
  <c r="K124" i="349"/>
  <c r="K894" i="329" s="1"/>
  <c r="L127" i="349"/>
  <c r="L897" i="329" s="1"/>
  <c r="N128" i="349"/>
  <c r="N898" i="329" s="1"/>
  <c r="N131" i="349"/>
  <c r="N901" i="329" s="1"/>
  <c r="K123" i="349"/>
  <c r="K893" i="329" s="1"/>
  <c r="N90" i="349"/>
  <c r="N818" i="329"/>
  <c r="I484" i="352" s="1"/>
  <c r="M128" i="349"/>
  <c r="M898" i="329" s="1"/>
  <c r="J937" i="329"/>
  <c r="I390" i="352" s="1"/>
  <c r="M883" i="329"/>
  <c r="I489" i="352" s="1"/>
  <c r="I86" i="349"/>
  <c r="I814" i="329" s="1"/>
  <c r="M131" i="349"/>
  <c r="M901" i="329" s="1"/>
  <c r="I83" i="349"/>
  <c r="I811" i="329" s="1"/>
  <c r="L123" i="349"/>
  <c r="L893" i="329" s="1"/>
  <c r="K130" i="349"/>
  <c r="K900" i="329" s="1"/>
  <c r="L128" i="349"/>
  <c r="L898" i="329" s="1"/>
  <c r="L117" i="349"/>
  <c r="N124" i="349"/>
  <c r="N894" i="329" s="1"/>
  <c r="K920" i="329"/>
  <c r="I295" i="352" s="1"/>
  <c r="N920" i="329"/>
  <c r="I298" i="352" s="1"/>
  <c r="M124" i="349"/>
  <c r="M894" i="329" s="1"/>
  <c r="L920" i="329"/>
  <c r="I296" i="352" s="1"/>
  <c r="J117" i="349"/>
  <c r="I59" i="349"/>
  <c r="I64" i="349"/>
  <c r="I928" i="329" s="1"/>
  <c r="J123" i="349"/>
  <c r="J893" i="329" s="1"/>
  <c r="J130" i="349"/>
  <c r="J900" i="329" s="1"/>
  <c r="I71" i="349"/>
  <c r="I935" i="329" s="1"/>
  <c r="I45" i="349"/>
  <c r="M122" i="349"/>
  <c r="M892" i="329" s="1"/>
  <c r="M73" i="349"/>
  <c r="J103" i="349"/>
  <c r="I93" i="349"/>
  <c r="J128" i="349"/>
  <c r="J898" i="329" s="1"/>
  <c r="I69" i="349"/>
  <c r="I933" i="329" s="1"/>
  <c r="L122" i="349"/>
  <c r="L892" i="329" s="1"/>
  <c r="L73" i="349"/>
  <c r="N73" i="349"/>
  <c r="N122" i="349"/>
  <c r="N892" i="329" s="1"/>
  <c r="I72" i="349"/>
  <c r="I936" i="329" s="1"/>
  <c r="J131" i="349"/>
  <c r="J901" i="329" s="1"/>
  <c r="J129" i="349"/>
  <c r="J899" i="329" s="1"/>
  <c r="I70" i="349"/>
  <c r="I934" i="329" s="1"/>
  <c r="J127" i="349"/>
  <c r="J897" i="329" s="1"/>
  <c r="I68" i="349"/>
  <c r="I932" i="329" s="1"/>
  <c r="K122" i="349"/>
  <c r="K892" i="329" s="1"/>
  <c r="K73" i="349"/>
  <c r="I80" i="349"/>
  <c r="I808" i="329" s="1"/>
  <c r="J122" i="349"/>
  <c r="J892" i="329" s="1"/>
  <c r="I63" i="349"/>
  <c r="I927" i="329" s="1"/>
  <c r="J73" i="349"/>
  <c r="J90" i="349"/>
  <c r="I32" i="349"/>
  <c r="I107" i="349"/>
  <c r="I873" i="329" s="1"/>
  <c r="I66" i="349"/>
  <c r="I930" i="329" s="1"/>
  <c r="J125" i="349"/>
  <c r="J895" i="329" s="1"/>
  <c r="K902" i="329" l="1"/>
  <c r="I583" i="352" s="1"/>
  <c r="J52" i="343"/>
  <c r="M52" i="343" s="1"/>
  <c r="I383" i="352"/>
  <c r="J37" i="343"/>
  <c r="M37" i="343" s="1"/>
  <c r="I287" i="352"/>
  <c r="J832" i="329"/>
  <c r="I576" i="352" s="1"/>
  <c r="J883" i="329"/>
  <c r="I486" i="352" s="1"/>
  <c r="I124" i="349"/>
  <c r="I894" i="329" s="1"/>
  <c r="I103" i="349"/>
  <c r="I822" i="329"/>
  <c r="I832" i="329" s="1"/>
  <c r="N937" i="329"/>
  <c r="I394" i="352" s="1"/>
  <c r="L937" i="329"/>
  <c r="I392" i="352" s="1"/>
  <c r="K937" i="329"/>
  <c r="I391" i="352" s="1"/>
  <c r="M937" i="329"/>
  <c r="I393" i="352" s="1"/>
  <c r="J818" i="329"/>
  <c r="I480" i="352" s="1"/>
  <c r="M132" i="349"/>
  <c r="M902" i="329"/>
  <c r="I585" i="352" s="1"/>
  <c r="L132" i="349"/>
  <c r="L902" i="329"/>
  <c r="I584" i="352" s="1"/>
  <c r="I129" i="349"/>
  <c r="I899" i="329" s="1"/>
  <c r="I128" i="349"/>
  <c r="I898" i="329" s="1"/>
  <c r="I123" i="349"/>
  <c r="I893" i="329" s="1"/>
  <c r="I920" i="329"/>
  <c r="I293" i="352" s="1"/>
  <c r="I90" i="349"/>
  <c r="I818" i="329"/>
  <c r="I127" i="349"/>
  <c r="I897" i="329" s="1"/>
  <c r="I130" i="349"/>
  <c r="I900" i="329" s="1"/>
  <c r="I883" i="329"/>
  <c r="I485" i="352" s="1"/>
  <c r="I937" i="329"/>
  <c r="I389" i="352" s="1"/>
  <c r="I131" i="349"/>
  <c r="I901" i="329" s="1"/>
  <c r="I125" i="349"/>
  <c r="I895" i="329" s="1"/>
  <c r="N132" i="349"/>
  <c r="N902" i="329"/>
  <c r="I586" i="352" s="1"/>
  <c r="I117" i="349"/>
  <c r="K132" i="349"/>
  <c r="I73" i="349"/>
  <c r="J132" i="349"/>
  <c r="I122" i="349"/>
  <c r="I892" i="329" s="1"/>
  <c r="E37" i="343" l="1"/>
  <c r="H37" i="343" s="1"/>
  <c r="I479" i="352"/>
  <c r="E52" i="343"/>
  <c r="H52" i="343" s="1"/>
  <c r="I575" i="352"/>
  <c r="I132" i="349"/>
  <c r="I902" i="329"/>
  <c r="I581" i="352" s="1"/>
  <c r="K52" i="343"/>
  <c r="F37" i="343"/>
  <c r="K37" i="343"/>
  <c r="J902" i="329"/>
  <c r="I582" i="352" s="1"/>
  <c r="F52" i="343" l="1"/>
  <c r="F14" i="346"/>
  <c r="B74" i="346"/>
  <c r="B16" i="346"/>
  <c r="J8" i="346"/>
  <c r="K8" i="346"/>
  <c r="L8" i="346"/>
  <c r="M8" i="346"/>
  <c r="N8" i="346"/>
  <c r="J8" i="345"/>
  <c r="K8" i="345"/>
  <c r="L8" i="345"/>
  <c r="M8" i="345"/>
  <c r="N8" i="345"/>
  <c r="E35" i="346" l="1"/>
  <c r="E700" i="329" s="1"/>
  <c r="E758" i="329"/>
  <c r="E25" i="346"/>
  <c r="E688" i="329" s="1"/>
  <c r="E36" i="346"/>
  <c r="E701" i="329" s="1"/>
  <c r="E751" i="329"/>
  <c r="E759" i="329"/>
  <c r="E26" i="346"/>
  <c r="E689" i="329" s="1"/>
  <c r="E37" i="346"/>
  <c r="E702" i="329" s="1"/>
  <c r="E752" i="329"/>
  <c r="E760" i="329"/>
  <c r="E27" i="346"/>
  <c r="E690" i="329" s="1"/>
  <c r="E39" i="346"/>
  <c r="E704" i="329" s="1"/>
  <c r="E754" i="329"/>
  <c r="E21" i="346"/>
  <c r="E684" i="329" s="1"/>
  <c r="E29" i="346"/>
  <c r="E692" i="329" s="1"/>
  <c r="E34" i="346"/>
  <c r="E699" i="329" s="1"/>
  <c r="E42" i="346"/>
  <c r="E707" i="329" s="1"/>
  <c r="E757" i="329"/>
  <c r="E24" i="346"/>
  <c r="E687" i="329" s="1"/>
  <c r="E41" i="346"/>
  <c r="E706" i="329" s="1"/>
  <c r="E28" i="346"/>
  <c r="E691" i="329" s="1"/>
  <c r="E38" i="346"/>
  <c r="E703" i="329" s="1"/>
  <c r="E753" i="329"/>
  <c r="E20" i="346"/>
  <c r="E683" i="329" s="1"/>
  <c r="E22" i="346"/>
  <c r="E685" i="329" s="1"/>
  <c r="E755" i="329"/>
  <c r="E756" i="329"/>
  <c r="E33" i="346"/>
  <c r="E698" i="329" s="1"/>
  <c r="E40" i="346"/>
  <c r="E705" i="329" s="1"/>
  <c r="E23" i="346"/>
  <c r="E686" i="329" s="1"/>
  <c r="E65" i="346"/>
  <c r="E774" i="329" s="1"/>
  <c r="E68" i="346"/>
  <c r="E777" i="329" s="1"/>
  <c r="E66" i="346"/>
  <c r="E775" i="329" s="1"/>
  <c r="E70" i="346"/>
  <c r="E779" i="329" s="1"/>
  <c r="E67" i="346"/>
  <c r="E776" i="329" s="1"/>
  <c r="E61" i="346"/>
  <c r="E770" i="329" s="1"/>
  <c r="E69" i="346"/>
  <c r="E778" i="329" s="1"/>
  <c r="E64" i="346"/>
  <c r="E773" i="329" s="1"/>
  <c r="E62" i="346"/>
  <c r="E771" i="329" s="1"/>
  <c r="E63" i="346"/>
  <c r="E772" i="329" s="1"/>
  <c r="J34" i="346" l="1"/>
  <c r="J699" i="329" s="1"/>
  <c r="K34" i="346"/>
  <c r="E92" i="346"/>
  <c r="E667" i="329" s="1"/>
  <c r="M34" i="346"/>
  <c r="L34" i="346"/>
  <c r="N34" i="346"/>
  <c r="N65" i="346"/>
  <c r="J65" i="346"/>
  <c r="J774" i="329" s="1"/>
  <c r="K65" i="346"/>
  <c r="E124" i="346"/>
  <c r="E737" i="329" s="1"/>
  <c r="M65" i="346"/>
  <c r="L65" i="346"/>
  <c r="E107" i="346"/>
  <c r="E718" i="329" s="1"/>
  <c r="N49" i="346"/>
  <c r="J49" i="346"/>
  <c r="J753" i="329" s="1"/>
  <c r="K49" i="346"/>
  <c r="M49" i="346"/>
  <c r="L49" i="346"/>
  <c r="K29" i="346"/>
  <c r="K692" i="329" s="1"/>
  <c r="E87" i="346"/>
  <c r="E659" i="329" s="1"/>
  <c r="N29" i="346"/>
  <c r="N692" i="329" s="1"/>
  <c r="J29" i="346"/>
  <c r="J692" i="329" s="1"/>
  <c r="L29" i="346"/>
  <c r="L692" i="329" s="1"/>
  <c r="M29" i="346"/>
  <c r="M692" i="329" s="1"/>
  <c r="N26" i="346"/>
  <c r="E84" i="346"/>
  <c r="E656" i="329" s="1"/>
  <c r="J26" i="346"/>
  <c r="J689" i="329" s="1"/>
  <c r="M26" i="346"/>
  <c r="K26" i="346"/>
  <c r="L26" i="346"/>
  <c r="L20" i="346"/>
  <c r="L683" i="329" s="1"/>
  <c r="M20" i="346"/>
  <c r="M683" i="329" s="1"/>
  <c r="N20" i="346"/>
  <c r="N683" i="329" s="1"/>
  <c r="K20" i="346"/>
  <c r="K683" i="329" s="1"/>
  <c r="E78" i="346"/>
  <c r="E650" i="329" s="1"/>
  <c r="J20" i="346"/>
  <c r="J683" i="329" s="1"/>
  <c r="K64" i="346"/>
  <c r="L64" i="346"/>
  <c r="M64" i="346"/>
  <c r="E123" i="346"/>
  <c r="E736" i="329" s="1"/>
  <c r="J64" i="346"/>
  <c r="J773" i="329" s="1"/>
  <c r="N64" i="346"/>
  <c r="M23" i="346"/>
  <c r="E81" i="346"/>
  <c r="E653" i="329" s="1"/>
  <c r="N23" i="346"/>
  <c r="L23" i="346"/>
  <c r="K23" i="346"/>
  <c r="J23" i="346"/>
  <c r="J686" i="329" s="1"/>
  <c r="M38" i="346"/>
  <c r="N38" i="346"/>
  <c r="E96" i="346"/>
  <c r="E671" i="329" s="1"/>
  <c r="L38" i="346"/>
  <c r="J38" i="346"/>
  <c r="J703" i="329" s="1"/>
  <c r="K38" i="346"/>
  <c r="K21" i="346"/>
  <c r="E79" i="346"/>
  <c r="E651" i="329" s="1"/>
  <c r="N21" i="346"/>
  <c r="J21" i="346"/>
  <c r="J684" i="329" s="1"/>
  <c r="L21" i="346"/>
  <c r="M21" i="346"/>
  <c r="J55" i="346"/>
  <c r="J759" i="329" s="1"/>
  <c r="L55" i="346"/>
  <c r="M55" i="346"/>
  <c r="E113" i="346"/>
  <c r="E724" i="329" s="1"/>
  <c r="K55" i="346"/>
  <c r="N55" i="346"/>
  <c r="K36" i="346"/>
  <c r="E94" i="346"/>
  <c r="E669" i="329" s="1"/>
  <c r="N36" i="346"/>
  <c r="M36" i="346"/>
  <c r="J36" i="346"/>
  <c r="J701" i="329" s="1"/>
  <c r="L36" i="346"/>
  <c r="M62" i="346"/>
  <c r="N62" i="346"/>
  <c r="E121" i="346"/>
  <c r="E734" i="329" s="1"/>
  <c r="J62" i="346"/>
  <c r="J771" i="329" s="1"/>
  <c r="L62" i="346"/>
  <c r="K62" i="346"/>
  <c r="L28" i="346"/>
  <c r="M28" i="346"/>
  <c r="N28" i="346"/>
  <c r="K28" i="346"/>
  <c r="J28" i="346"/>
  <c r="J691" i="329" s="1"/>
  <c r="E86" i="346"/>
  <c r="E658" i="329" s="1"/>
  <c r="E108" i="346"/>
  <c r="E719" i="329" s="1"/>
  <c r="J50" i="346"/>
  <c r="J754" i="329" s="1"/>
  <c r="K50" i="346"/>
  <c r="M50" i="346"/>
  <c r="N50" i="346"/>
  <c r="L50" i="346"/>
  <c r="E97" i="346"/>
  <c r="E672" i="329" s="1"/>
  <c r="J39" i="346"/>
  <c r="J704" i="329" s="1"/>
  <c r="L39" i="346"/>
  <c r="K39" i="346"/>
  <c r="M39" i="346"/>
  <c r="N39" i="346"/>
  <c r="E126" i="346"/>
  <c r="E739" i="329" s="1"/>
  <c r="L67" i="346"/>
  <c r="M67" i="346"/>
  <c r="N67" i="346"/>
  <c r="K67" i="346"/>
  <c r="J67" i="346"/>
  <c r="J776" i="329" s="1"/>
  <c r="E110" i="346"/>
  <c r="E721" i="329" s="1"/>
  <c r="K52" i="346"/>
  <c r="L52" i="346"/>
  <c r="N52" i="346"/>
  <c r="J52" i="346"/>
  <c r="J756" i="329" s="1"/>
  <c r="M52" i="346"/>
  <c r="E82" i="346"/>
  <c r="E654" i="329" s="1"/>
  <c r="J24" i="346"/>
  <c r="J687" i="329" s="1"/>
  <c r="L24" i="346"/>
  <c r="K24" i="346"/>
  <c r="M24" i="346"/>
  <c r="N24" i="346"/>
  <c r="J27" i="346"/>
  <c r="J690" i="329" s="1"/>
  <c r="K27" i="346"/>
  <c r="M27" i="346"/>
  <c r="E85" i="346"/>
  <c r="E657" i="329" s="1"/>
  <c r="N27" i="346"/>
  <c r="L27" i="346"/>
  <c r="K25" i="346"/>
  <c r="L25" i="346"/>
  <c r="M25" i="346"/>
  <c r="E83" i="346"/>
  <c r="E655" i="329" s="1"/>
  <c r="J25" i="346"/>
  <c r="J688" i="329" s="1"/>
  <c r="N25" i="346"/>
  <c r="E127" i="346"/>
  <c r="E740" i="329" s="1"/>
  <c r="K68" i="346"/>
  <c r="L68" i="346"/>
  <c r="N68" i="346"/>
  <c r="M68" i="346"/>
  <c r="J68" i="346"/>
  <c r="J777" i="329" s="1"/>
  <c r="J37" i="346"/>
  <c r="J702" i="329" s="1"/>
  <c r="K37" i="346"/>
  <c r="L37" i="346"/>
  <c r="N37" i="346"/>
  <c r="E95" i="346"/>
  <c r="E670" i="329" s="1"/>
  <c r="M37" i="346"/>
  <c r="K40" i="346"/>
  <c r="E98" i="346"/>
  <c r="E673" i="329" s="1"/>
  <c r="L40" i="346"/>
  <c r="M40" i="346"/>
  <c r="J40" i="346"/>
  <c r="J705" i="329" s="1"/>
  <c r="N40" i="346"/>
  <c r="J47" i="346"/>
  <c r="J751" i="329" s="1"/>
  <c r="L47" i="346"/>
  <c r="L751" i="329" s="1"/>
  <c r="M47" i="346"/>
  <c r="M751" i="329" s="1"/>
  <c r="E105" i="346"/>
  <c r="E716" i="329" s="1"/>
  <c r="K47" i="346"/>
  <c r="K751" i="329" s="1"/>
  <c r="N47" i="346"/>
  <c r="N751" i="329" s="1"/>
  <c r="N41" i="346"/>
  <c r="E99" i="346"/>
  <c r="E674" i="329" s="1"/>
  <c r="J41" i="346"/>
  <c r="J706" i="329" s="1"/>
  <c r="M41" i="346"/>
  <c r="K41" i="346"/>
  <c r="L41" i="346"/>
  <c r="M70" i="346"/>
  <c r="M779" i="329" s="1"/>
  <c r="N70" i="346"/>
  <c r="N779" i="329" s="1"/>
  <c r="E129" i="346"/>
  <c r="E742" i="329" s="1"/>
  <c r="J70" i="346"/>
  <c r="J779" i="329" s="1"/>
  <c r="L70" i="346"/>
  <c r="L779" i="329" s="1"/>
  <c r="K70" i="346"/>
  <c r="K779" i="329" s="1"/>
  <c r="L51" i="346"/>
  <c r="M51" i="346"/>
  <c r="E109" i="346"/>
  <c r="E720" i="329" s="1"/>
  <c r="N51" i="346"/>
  <c r="K51" i="346"/>
  <c r="J51" i="346"/>
  <c r="J755" i="329" s="1"/>
  <c r="J53" i="346"/>
  <c r="J757" i="329" s="1"/>
  <c r="K53" i="346"/>
  <c r="L53" i="346"/>
  <c r="E111" i="346"/>
  <c r="E722" i="329" s="1"/>
  <c r="N53" i="346"/>
  <c r="M53" i="346"/>
  <c r="K56" i="346"/>
  <c r="K760" i="329" s="1"/>
  <c r="L56" i="346"/>
  <c r="L760" i="329" s="1"/>
  <c r="M56" i="346"/>
  <c r="M760" i="329" s="1"/>
  <c r="E114" i="346"/>
  <c r="E725" i="329" s="1"/>
  <c r="J56" i="346"/>
  <c r="J760" i="329" s="1"/>
  <c r="N56" i="346"/>
  <c r="N760" i="329" s="1"/>
  <c r="M54" i="346"/>
  <c r="N54" i="346"/>
  <c r="E112" i="346"/>
  <c r="E723" i="329" s="1"/>
  <c r="J54" i="346"/>
  <c r="J758" i="329" s="1"/>
  <c r="L54" i="346"/>
  <c r="K54" i="346"/>
  <c r="J63" i="346"/>
  <c r="J772" i="329" s="1"/>
  <c r="E122" i="346"/>
  <c r="E735" i="329" s="1"/>
  <c r="L63" i="346"/>
  <c r="M63" i="346"/>
  <c r="K63" i="346"/>
  <c r="N63" i="346"/>
  <c r="J69" i="346"/>
  <c r="J778" i="329" s="1"/>
  <c r="K69" i="346"/>
  <c r="E128" i="346"/>
  <c r="E741" i="329" s="1"/>
  <c r="L69" i="346"/>
  <c r="N69" i="346"/>
  <c r="M69" i="346"/>
  <c r="J61" i="346"/>
  <c r="J770" i="329" s="1"/>
  <c r="K61" i="346"/>
  <c r="K770" i="329" s="1"/>
  <c r="E120" i="346"/>
  <c r="E733" i="329" s="1"/>
  <c r="L61" i="346"/>
  <c r="L770" i="329" s="1"/>
  <c r="M61" i="346"/>
  <c r="M770" i="329" s="1"/>
  <c r="N61" i="346"/>
  <c r="N770" i="329" s="1"/>
  <c r="N33" i="346"/>
  <c r="N698" i="329" s="1"/>
  <c r="E91" i="346"/>
  <c r="E666" i="329" s="1"/>
  <c r="J33" i="346"/>
  <c r="J698" i="329" s="1"/>
  <c r="K33" i="346"/>
  <c r="K698" i="329" s="1"/>
  <c r="M33" i="346"/>
  <c r="M698" i="329" s="1"/>
  <c r="L33" i="346"/>
  <c r="L698" i="329" s="1"/>
  <c r="J66" i="346"/>
  <c r="J775" i="329" s="1"/>
  <c r="K66" i="346"/>
  <c r="M66" i="346"/>
  <c r="N66" i="346"/>
  <c r="E125" i="346"/>
  <c r="E738" i="329" s="1"/>
  <c r="L66" i="346"/>
  <c r="E80" i="346"/>
  <c r="E652" i="329" s="1"/>
  <c r="J22" i="346"/>
  <c r="J685" i="329" s="1"/>
  <c r="K22" i="346"/>
  <c r="L22" i="346"/>
  <c r="N22" i="346"/>
  <c r="M22" i="346"/>
  <c r="J42" i="346"/>
  <c r="J707" i="329" s="1"/>
  <c r="K42" i="346"/>
  <c r="K707" i="329" s="1"/>
  <c r="E100" i="346"/>
  <c r="E675" i="329" s="1"/>
  <c r="M42" i="346"/>
  <c r="M707" i="329" s="1"/>
  <c r="L42" i="346"/>
  <c r="L707" i="329" s="1"/>
  <c r="N42" i="346"/>
  <c r="N707" i="329" s="1"/>
  <c r="K48" i="346"/>
  <c r="L48" i="346"/>
  <c r="M48" i="346"/>
  <c r="E106" i="346"/>
  <c r="E717" i="329" s="1"/>
  <c r="J48" i="346"/>
  <c r="J752" i="329" s="1"/>
  <c r="N48" i="346"/>
  <c r="L35" i="346"/>
  <c r="M35" i="346"/>
  <c r="N35" i="346"/>
  <c r="E93" i="346"/>
  <c r="E668" i="329" s="1"/>
  <c r="K35" i="346"/>
  <c r="J35" i="346"/>
  <c r="J700" i="329" s="1"/>
  <c r="C4" i="343"/>
  <c r="G74" i="343"/>
  <c r="J41" i="343"/>
  <c r="J26" i="343"/>
  <c r="E41" i="343"/>
  <c r="E26" i="343"/>
  <c r="G59" i="343"/>
  <c r="E59" i="343"/>
  <c r="C68" i="343"/>
  <c r="C67" i="343"/>
  <c r="C66" i="343"/>
  <c r="C65" i="343"/>
  <c r="C64" i="343"/>
  <c r="C63" i="343"/>
  <c r="C61" i="343"/>
  <c r="C50" i="343"/>
  <c r="C49" i="343"/>
  <c r="C48" i="343"/>
  <c r="C47" i="343"/>
  <c r="C46" i="343"/>
  <c r="C45" i="343"/>
  <c r="C43" i="343"/>
  <c r="C35" i="343"/>
  <c r="C34" i="343"/>
  <c r="C33" i="343"/>
  <c r="C32" i="343"/>
  <c r="C31" i="343"/>
  <c r="C30" i="343"/>
  <c r="C28" i="343"/>
  <c r="J780" i="329" l="1"/>
  <c r="I378" i="352" s="1"/>
  <c r="J693" i="329"/>
  <c r="I276" i="352" s="1"/>
  <c r="O25" i="310"/>
  <c r="O31" i="310"/>
  <c r="O32" i="310"/>
  <c r="O26" i="310"/>
  <c r="Q29" i="8"/>
  <c r="Q23" i="8"/>
  <c r="Q30" i="8"/>
  <c r="Q24" i="8"/>
  <c r="O28" i="249"/>
  <c r="O22" i="249"/>
  <c r="O29" i="249"/>
  <c r="O23" i="249"/>
  <c r="O26" i="87"/>
  <c r="O20" i="87"/>
  <c r="O27" i="87"/>
  <c r="O21" i="87"/>
  <c r="C76" i="343"/>
  <c r="C77" i="343"/>
  <c r="C19" i="343"/>
  <c r="C20" i="343"/>
  <c r="O20" i="4"/>
  <c r="O13" i="4"/>
  <c r="O14" i="4"/>
  <c r="O19" i="4"/>
  <c r="L125" i="346"/>
  <c r="L738" i="329" s="1"/>
  <c r="L775" i="329"/>
  <c r="N122" i="346"/>
  <c r="N735" i="329" s="1"/>
  <c r="N772" i="329"/>
  <c r="N98" i="346"/>
  <c r="N673" i="329" s="1"/>
  <c r="N705" i="329"/>
  <c r="N95" i="346"/>
  <c r="N670" i="329" s="1"/>
  <c r="N702" i="329"/>
  <c r="K127" i="346"/>
  <c r="K740" i="329" s="1"/>
  <c r="K777" i="329"/>
  <c r="L85" i="346"/>
  <c r="L657" i="329" s="1"/>
  <c r="L690" i="329"/>
  <c r="K82" i="346"/>
  <c r="K654" i="329" s="1"/>
  <c r="K687" i="329"/>
  <c r="K110" i="346"/>
  <c r="K721" i="329" s="1"/>
  <c r="K756" i="329"/>
  <c r="N97" i="346"/>
  <c r="N672" i="329" s="1"/>
  <c r="N704" i="329"/>
  <c r="M108" i="346"/>
  <c r="M719" i="329" s="1"/>
  <c r="M754" i="329"/>
  <c r="M86" i="346"/>
  <c r="M658" i="329" s="1"/>
  <c r="M691" i="329"/>
  <c r="L94" i="346"/>
  <c r="L669" i="329" s="1"/>
  <c r="L701" i="329"/>
  <c r="K107" i="346"/>
  <c r="K718" i="329" s="1"/>
  <c r="K753" i="329"/>
  <c r="K93" i="346"/>
  <c r="K668" i="329" s="1"/>
  <c r="K700" i="329"/>
  <c r="M106" i="346"/>
  <c r="M717" i="329" s="1"/>
  <c r="M752" i="329"/>
  <c r="J708" i="329"/>
  <c r="I372" i="352" s="1"/>
  <c r="K122" i="346"/>
  <c r="K735" i="329" s="1"/>
  <c r="K772" i="329"/>
  <c r="K109" i="346"/>
  <c r="K720" i="329" s="1"/>
  <c r="K755" i="329"/>
  <c r="N99" i="346"/>
  <c r="N674" i="329" s="1"/>
  <c r="N706" i="329"/>
  <c r="L95" i="346"/>
  <c r="L670" i="329" s="1"/>
  <c r="L702" i="329"/>
  <c r="N85" i="346"/>
  <c r="N657" i="329" s="1"/>
  <c r="N690" i="329"/>
  <c r="L82" i="346"/>
  <c r="L654" i="329" s="1"/>
  <c r="L687" i="329"/>
  <c r="M97" i="346"/>
  <c r="M672" i="329" s="1"/>
  <c r="M704" i="329"/>
  <c r="K108" i="346"/>
  <c r="K719" i="329" s="1"/>
  <c r="K754" i="329"/>
  <c r="L86" i="346"/>
  <c r="L658" i="329" s="1"/>
  <c r="L691" i="329"/>
  <c r="M113" i="346"/>
  <c r="M724" i="329" s="1"/>
  <c r="M759" i="329"/>
  <c r="K79" i="346"/>
  <c r="K651" i="329" s="1"/>
  <c r="K684" i="329"/>
  <c r="K81" i="346"/>
  <c r="K653" i="329" s="1"/>
  <c r="K686" i="329"/>
  <c r="M123" i="346"/>
  <c r="M736" i="329" s="1"/>
  <c r="M773" i="329"/>
  <c r="N124" i="346"/>
  <c r="N737" i="329" s="1"/>
  <c r="N774" i="329"/>
  <c r="L106" i="346"/>
  <c r="L717" i="329" s="1"/>
  <c r="L752" i="329"/>
  <c r="M80" i="346"/>
  <c r="M652" i="329" s="1"/>
  <c r="M685" i="329"/>
  <c r="N125" i="346"/>
  <c r="N738" i="329" s="1"/>
  <c r="N775" i="329"/>
  <c r="M128" i="346"/>
  <c r="M741" i="329" s="1"/>
  <c r="M778" i="329"/>
  <c r="M122" i="346"/>
  <c r="M735" i="329" s="1"/>
  <c r="M772" i="329"/>
  <c r="N112" i="346"/>
  <c r="N723" i="329" s="1"/>
  <c r="N758" i="329"/>
  <c r="M111" i="346"/>
  <c r="M722" i="329" s="1"/>
  <c r="M757" i="329"/>
  <c r="N109" i="346"/>
  <c r="N720" i="329" s="1"/>
  <c r="N755" i="329"/>
  <c r="M98" i="346"/>
  <c r="M673" i="329" s="1"/>
  <c r="M705" i="329"/>
  <c r="K95" i="346"/>
  <c r="K670" i="329" s="1"/>
  <c r="K702" i="329"/>
  <c r="N83" i="346"/>
  <c r="N655" i="329" s="1"/>
  <c r="N688" i="329"/>
  <c r="K97" i="346"/>
  <c r="K672" i="329" s="1"/>
  <c r="K704" i="329"/>
  <c r="K121" i="346"/>
  <c r="K734" i="329" s="1"/>
  <c r="K771" i="329"/>
  <c r="M94" i="346"/>
  <c r="M669" i="329" s="1"/>
  <c r="M701" i="329"/>
  <c r="L113" i="346"/>
  <c r="L724" i="329" s="1"/>
  <c r="L759" i="329"/>
  <c r="K96" i="346"/>
  <c r="K671" i="329" s="1"/>
  <c r="K703" i="329"/>
  <c r="L81" i="346"/>
  <c r="L653" i="329" s="1"/>
  <c r="L686" i="329"/>
  <c r="L123" i="346"/>
  <c r="L736" i="329" s="1"/>
  <c r="L773" i="329"/>
  <c r="L84" i="346"/>
  <c r="L656" i="329" s="1"/>
  <c r="L689" i="329"/>
  <c r="N107" i="346"/>
  <c r="N718" i="329" s="1"/>
  <c r="N753" i="329"/>
  <c r="N92" i="346"/>
  <c r="N667" i="329" s="1"/>
  <c r="N699" i="329"/>
  <c r="N93" i="346"/>
  <c r="N668" i="329" s="1"/>
  <c r="N700" i="329"/>
  <c r="K106" i="346"/>
  <c r="K717" i="329" s="1"/>
  <c r="K752" i="329"/>
  <c r="N80" i="346"/>
  <c r="N652" i="329" s="1"/>
  <c r="N685" i="329"/>
  <c r="M125" i="346"/>
  <c r="M738" i="329" s="1"/>
  <c r="M775" i="329"/>
  <c r="N128" i="346"/>
  <c r="N741" i="329" s="1"/>
  <c r="N778" i="329"/>
  <c r="L122" i="346"/>
  <c r="L735" i="329" s="1"/>
  <c r="L772" i="329"/>
  <c r="M112" i="346"/>
  <c r="M723" i="329" s="1"/>
  <c r="M758" i="329"/>
  <c r="N111" i="346"/>
  <c r="N722" i="329" s="1"/>
  <c r="N757" i="329"/>
  <c r="L98" i="346"/>
  <c r="L673" i="329" s="1"/>
  <c r="L705" i="329"/>
  <c r="M85" i="346"/>
  <c r="M657" i="329" s="1"/>
  <c r="M690" i="329"/>
  <c r="K126" i="346"/>
  <c r="K739" i="329" s="1"/>
  <c r="K776" i="329"/>
  <c r="L97" i="346"/>
  <c r="L672" i="329" s="1"/>
  <c r="L704" i="329"/>
  <c r="L121" i="346"/>
  <c r="L734" i="329" s="1"/>
  <c r="L771" i="329"/>
  <c r="N94" i="346"/>
  <c r="N669" i="329" s="1"/>
  <c r="N701" i="329"/>
  <c r="N81" i="346"/>
  <c r="N653" i="329" s="1"/>
  <c r="N686" i="329"/>
  <c r="K123" i="346"/>
  <c r="K736" i="329" s="1"/>
  <c r="K773" i="329"/>
  <c r="K84" i="346"/>
  <c r="K656" i="329" s="1"/>
  <c r="K689" i="329"/>
  <c r="L92" i="346"/>
  <c r="L667" i="329" s="1"/>
  <c r="L699" i="329"/>
  <c r="M93" i="346"/>
  <c r="M668" i="329" s="1"/>
  <c r="M700" i="329"/>
  <c r="L80" i="346"/>
  <c r="L652" i="329" s="1"/>
  <c r="L685" i="329"/>
  <c r="K125" i="346"/>
  <c r="K738" i="329" s="1"/>
  <c r="K775" i="329"/>
  <c r="L128" i="346"/>
  <c r="L741" i="329" s="1"/>
  <c r="L778" i="329"/>
  <c r="M109" i="346"/>
  <c r="M720" i="329" s="1"/>
  <c r="M755" i="329"/>
  <c r="L99" i="346"/>
  <c r="L674" i="329" s="1"/>
  <c r="L706" i="329"/>
  <c r="K85" i="346"/>
  <c r="K657" i="329" s="1"/>
  <c r="K690" i="329"/>
  <c r="M110" i="346"/>
  <c r="M721" i="329" s="1"/>
  <c r="M756" i="329"/>
  <c r="N126" i="346"/>
  <c r="N739" i="329" s="1"/>
  <c r="N776" i="329"/>
  <c r="M79" i="346"/>
  <c r="M651" i="329" s="1"/>
  <c r="M684" i="329"/>
  <c r="L96" i="346"/>
  <c r="L671" i="329" s="1"/>
  <c r="L703" i="329"/>
  <c r="M84" i="346"/>
  <c r="M656" i="329" s="1"/>
  <c r="M689" i="329"/>
  <c r="L124" i="346"/>
  <c r="L737" i="329" s="1"/>
  <c r="L774" i="329"/>
  <c r="M92" i="346"/>
  <c r="M667" i="329" s="1"/>
  <c r="M699" i="329"/>
  <c r="L93" i="346"/>
  <c r="L668" i="329" s="1"/>
  <c r="L700" i="329"/>
  <c r="K80" i="346"/>
  <c r="K652" i="329" s="1"/>
  <c r="K685" i="329"/>
  <c r="L111" i="346"/>
  <c r="L722" i="329" s="1"/>
  <c r="L757" i="329"/>
  <c r="L109" i="346"/>
  <c r="L720" i="329" s="1"/>
  <c r="L755" i="329"/>
  <c r="K99" i="346"/>
  <c r="K674" i="329" s="1"/>
  <c r="K706" i="329"/>
  <c r="K98" i="346"/>
  <c r="K673" i="329" s="1"/>
  <c r="K705" i="329"/>
  <c r="M127" i="346"/>
  <c r="M740" i="329" s="1"/>
  <c r="M777" i="329"/>
  <c r="M83" i="346"/>
  <c r="M655" i="329" s="1"/>
  <c r="M688" i="329"/>
  <c r="M126" i="346"/>
  <c r="M739" i="329" s="1"/>
  <c r="M776" i="329"/>
  <c r="K94" i="346"/>
  <c r="K669" i="329" s="1"/>
  <c r="K701" i="329"/>
  <c r="L79" i="346"/>
  <c r="L651" i="329" s="1"/>
  <c r="L684" i="329"/>
  <c r="M81" i="346"/>
  <c r="M653" i="329" s="1"/>
  <c r="M686" i="329"/>
  <c r="M124" i="346"/>
  <c r="M737" i="329" s="1"/>
  <c r="M774" i="329"/>
  <c r="N106" i="346"/>
  <c r="N717" i="329" s="1"/>
  <c r="N752" i="329"/>
  <c r="K128" i="346"/>
  <c r="K741" i="329" s="1"/>
  <c r="K778" i="329"/>
  <c r="K112" i="346"/>
  <c r="K723" i="329" s="1"/>
  <c r="K758" i="329"/>
  <c r="K111" i="346"/>
  <c r="K722" i="329" s="1"/>
  <c r="K757" i="329"/>
  <c r="M99" i="346"/>
  <c r="M674" i="329" s="1"/>
  <c r="M706" i="329"/>
  <c r="M95" i="346"/>
  <c r="M670" i="329" s="1"/>
  <c r="M702" i="329"/>
  <c r="N127" i="346"/>
  <c r="N740" i="329" s="1"/>
  <c r="N777" i="329"/>
  <c r="L83" i="346"/>
  <c r="L655" i="329" s="1"/>
  <c r="L688" i="329"/>
  <c r="N82" i="346"/>
  <c r="N654" i="329" s="1"/>
  <c r="N687" i="329"/>
  <c r="N110" i="346"/>
  <c r="N721" i="329" s="1"/>
  <c r="N756" i="329"/>
  <c r="L126" i="346"/>
  <c r="L739" i="329" s="1"/>
  <c r="L776" i="329"/>
  <c r="L108" i="346"/>
  <c r="L719" i="329" s="1"/>
  <c r="L754" i="329"/>
  <c r="K86" i="346"/>
  <c r="K658" i="329" s="1"/>
  <c r="K691" i="329"/>
  <c r="N121" i="346"/>
  <c r="N734" i="329" s="1"/>
  <c r="N771" i="329"/>
  <c r="N113" i="346"/>
  <c r="N724" i="329" s="1"/>
  <c r="N759" i="329"/>
  <c r="N96" i="346"/>
  <c r="N671" i="329" s="1"/>
  <c r="N703" i="329"/>
  <c r="N123" i="346"/>
  <c r="N736" i="329" s="1"/>
  <c r="N773" i="329"/>
  <c r="L107" i="346"/>
  <c r="L718" i="329" s="1"/>
  <c r="L753" i="329"/>
  <c r="K92" i="346"/>
  <c r="K667" i="329" s="1"/>
  <c r="K699" i="329"/>
  <c r="L112" i="346"/>
  <c r="L723" i="329" s="1"/>
  <c r="L758" i="329"/>
  <c r="J761" i="329"/>
  <c r="I282" i="352" s="1"/>
  <c r="L127" i="346"/>
  <c r="L740" i="329" s="1"/>
  <c r="L777" i="329"/>
  <c r="K83" i="346"/>
  <c r="K655" i="329" s="1"/>
  <c r="K688" i="329"/>
  <c r="M82" i="346"/>
  <c r="M654" i="329" s="1"/>
  <c r="M687" i="329"/>
  <c r="L110" i="346"/>
  <c r="L721" i="329" s="1"/>
  <c r="L756" i="329"/>
  <c r="N108" i="346"/>
  <c r="N719" i="329" s="1"/>
  <c r="N754" i="329"/>
  <c r="N86" i="346"/>
  <c r="N658" i="329" s="1"/>
  <c r="N691" i="329"/>
  <c r="M121" i="346"/>
  <c r="M734" i="329" s="1"/>
  <c r="M771" i="329"/>
  <c r="K113" i="346"/>
  <c r="K724" i="329" s="1"/>
  <c r="K759" i="329"/>
  <c r="N79" i="346"/>
  <c r="N651" i="329" s="1"/>
  <c r="N684" i="329"/>
  <c r="M96" i="346"/>
  <c r="M671" i="329" s="1"/>
  <c r="M703" i="329"/>
  <c r="N84" i="346"/>
  <c r="N656" i="329" s="1"/>
  <c r="N689" i="329"/>
  <c r="M107" i="346"/>
  <c r="M718" i="329" s="1"/>
  <c r="M753" i="329"/>
  <c r="K124" i="346"/>
  <c r="K737" i="329" s="1"/>
  <c r="K774" i="329"/>
  <c r="J108" i="346"/>
  <c r="I50" i="346"/>
  <c r="I754" i="329" s="1"/>
  <c r="L30" i="346"/>
  <c r="L78" i="346"/>
  <c r="L650" i="329" s="1"/>
  <c r="K100" i="346"/>
  <c r="K675" i="329" s="1"/>
  <c r="M91" i="346"/>
  <c r="M666" i="329" s="1"/>
  <c r="M43" i="346"/>
  <c r="L120" i="346"/>
  <c r="L733" i="329" s="1"/>
  <c r="L71" i="346"/>
  <c r="J114" i="346"/>
  <c r="J725" i="329" s="1"/>
  <c r="I56" i="346"/>
  <c r="I760" i="329" s="1"/>
  <c r="J95" i="346"/>
  <c r="I37" i="346"/>
  <c r="I702" i="329" s="1"/>
  <c r="I25" i="346"/>
  <c r="I688" i="329" s="1"/>
  <c r="J83" i="346"/>
  <c r="J113" i="346"/>
  <c r="I55" i="346"/>
  <c r="I759" i="329" s="1"/>
  <c r="J96" i="346"/>
  <c r="I38" i="346"/>
  <c r="I703" i="329" s="1"/>
  <c r="J87" i="346"/>
  <c r="J659" i="329" s="1"/>
  <c r="I29" i="346"/>
  <c r="I692" i="329" s="1"/>
  <c r="J107" i="346"/>
  <c r="I49" i="346"/>
  <c r="I753" i="329" s="1"/>
  <c r="J124" i="346"/>
  <c r="I65" i="346"/>
  <c r="I774" i="329" s="1"/>
  <c r="I42" i="346"/>
  <c r="I707" i="329" s="1"/>
  <c r="J100" i="346"/>
  <c r="J675" i="329" s="1"/>
  <c r="K91" i="346"/>
  <c r="K666" i="329" s="1"/>
  <c r="K43" i="346"/>
  <c r="J128" i="346"/>
  <c r="I69" i="346"/>
  <c r="I778" i="329" s="1"/>
  <c r="K129" i="346"/>
  <c r="K742" i="329" s="1"/>
  <c r="M57" i="346"/>
  <c r="M105" i="346"/>
  <c r="M716" i="329" s="1"/>
  <c r="J127" i="346"/>
  <c r="I68" i="346"/>
  <c r="I777" i="329" s="1"/>
  <c r="J97" i="346"/>
  <c r="I39" i="346"/>
  <c r="I704" i="329" s="1"/>
  <c r="I62" i="346"/>
  <c r="I771" i="329" s="1"/>
  <c r="J121" i="346"/>
  <c r="J93" i="346"/>
  <c r="I35" i="346"/>
  <c r="I700" i="329" s="1"/>
  <c r="M120" i="346"/>
  <c r="M733" i="329" s="1"/>
  <c r="M71" i="346"/>
  <c r="M129" i="346"/>
  <c r="M742" i="329" s="1"/>
  <c r="L87" i="346"/>
  <c r="L659" i="329" s="1"/>
  <c r="J91" i="346"/>
  <c r="J666" i="329" s="1"/>
  <c r="I33" i="346"/>
  <c r="I698" i="329" s="1"/>
  <c r="J43" i="346"/>
  <c r="K120" i="346"/>
  <c r="K733" i="329" s="1"/>
  <c r="K71" i="346"/>
  <c r="I54" i="346"/>
  <c r="I758" i="329" s="1"/>
  <c r="J112" i="346"/>
  <c r="M114" i="346"/>
  <c r="M725" i="329" s="1"/>
  <c r="J111" i="346"/>
  <c r="I53" i="346"/>
  <c r="I757" i="329" s="1"/>
  <c r="I27" i="346"/>
  <c r="I690" i="329" s="1"/>
  <c r="J85" i="346"/>
  <c r="I52" i="346"/>
  <c r="I756" i="329" s="1"/>
  <c r="J110" i="346"/>
  <c r="J86" i="346"/>
  <c r="I28" i="346"/>
  <c r="I691" i="329" s="1"/>
  <c r="J78" i="346"/>
  <c r="J650" i="329" s="1"/>
  <c r="I20" i="346"/>
  <c r="I683" i="329" s="1"/>
  <c r="J30" i="346"/>
  <c r="N87" i="346"/>
  <c r="N659" i="329" s="1"/>
  <c r="J120" i="346"/>
  <c r="J733" i="329" s="1"/>
  <c r="I61" i="346"/>
  <c r="I770" i="329" s="1"/>
  <c r="J71" i="346"/>
  <c r="L114" i="346"/>
  <c r="L725" i="329" s="1"/>
  <c r="J109" i="346"/>
  <c r="I51" i="346"/>
  <c r="I755" i="329" s="1"/>
  <c r="L129" i="346"/>
  <c r="L742" i="329" s="1"/>
  <c r="J99" i="346"/>
  <c r="I41" i="346"/>
  <c r="I706" i="329" s="1"/>
  <c r="L57" i="346"/>
  <c r="L105" i="346"/>
  <c r="L716" i="329" s="1"/>
  <c r="J79" i="346"/>
  <c r="I21" i="346"/>
  <c r="I684" i="329" s="1"/>
  <c r="J84" i="346"/>
  <c r="I26" i="346"/>
  <c r="I689" i="329" s="1"/>
  <c r="K114" i="346"/>
  <c r="K725" i="329" s="1"/>
  <c r="I70" i="346"/>
  <c r="I779" i="329" s="1"/>
  <c r="J129" i="346"/>
  <c r="J742" i="329" s="1"/>
  <c r="J105" i="346"/>
  <c r="J716" i="329" s="1"/>
  <c r="I47" i="346"/>
  <c r="I751" i="329" s="1"/>
  <c r="J57" i="346"/>
  <c r="I64" i="346"/>
  <c r="I773" i="329" s="1"/>
  <c r="J123" i="346"/>
  <c r="K78" i="346"/>
  <c r="K650" i="329" s="1"/>
  <c r="K30" i="346"/>
  <c r="K87" i="346"/>
  <c r="K659" i="329" s="1"/>
  <c r="J122" i="346"/>
  <c r="I63" i="346"/>
  <c r="I772" i="329" s="1"/>
  <c r="J126" i="346"/>
  <c r="I67" i="346"/>
  <c r="I776" i="329" s="1"/>
  <c r="N100" i="346"/>
  <c r="N675" i="329" s="1"/>
  <c r="N91" i="346"/>
  <c r="N666" i="329" s="1"/>
  <c r="N43" i="346"/>
  <c r="L100" i="346"/>
  <c r="L675" i="329" s="1"/>
  <c r="J125" i="346"/>
  <c r="I66" i="346"/>
  <c r="I775" i="329" s="1"/>
  <c r="J81" i="346"/>
  <c r="I23" i="346"/>
  <c r="I686" i="329" s="1"/>
  <c r="N78" i="346"/>
  <c r="N650" i="329" s="1"/>
  <c r="N30" i="346"/>
  <c r="L91" i="346"/>
  <c r="L666" i="329" s="1"/>
  <c r="L43" i="346"/>
  <c r="K105" i="346"/>
  <c r="K716" i="329" s="1"/>
  <c r="K57" i="346"/>
  <c r="J82" i="346"/>
  <c r="I24" i="346"/>
  <c r="I687" i="329" s="1"/>
  <c r="J106" i="346"/>
  <c r="I48" i="346"/>
  <c r="I752" i="329" s="1"/>
  <c r="M100" i="346"/>
  <c r="M675" i="329" s="1"/>
  <c r="I22" i="346"/>
  <c r="I685" i="329" s="1"/>
  <c r="J80" i="346"/>
  <c r="N120" i="346"/>
  <c r="N733" i="329" s="1"/>
  <c r="N71" i="346"/>
  <c r="N114" i="346"/>
  <c r="N725" i="329" s="1"/>
  <c r="N129" i="346"/>
  <c r="N742" i="329" s="1"/>
  <c r="N105" i="346"/>
  <c r="N716" i="329" s="1"/>
  <c r="N57" i="346"/>
  <c r="J98" i="346"/>
  <c r="I40" i="346"/>
  <c r="I705" i="329" s="1"/>
  <c r="I36" i="346"/>
  <c r="I701" i="329" s="1"/>
  <c r="J94" i="346"/>
  <c r="M30" i="346"/>
  <c r="M78" i="346"/>
  <c r="M650" i="329" s="1"/>
  <c r="M87" i="346"/>
  <c r="M659" i="329" s="1"/>
  <c r="I34" i="346"/>
  <c r="I699" i="329" s="1"/>
  <c r="J92" i="346"/>
  <c r="M761" i="329" l="1"/>
  <c r="I285" i="352" s="1"/>
  <c r="L693" i="329"/>
  <c r="I278" i="352" s="1"/>
  <c r="N708" i="329"/>
  <c r="I376" i="352" s="1"/>
  <c r="M780" i="329"/>
  <c r="I381" i="352" s="1"/>
  <c r="K708" i="329"/>
  <c r="I373" i="352" s="1"/>
  <c r="M708" i="329"/>
  <c r="I375" i="352" s="1"/>
  <c r="N693" i="329"/>
  <c r="I280" i="352" s="1"/>
  <c r="N726" i="329"/>
  <c r="I478" i="352" s="1"/>
  <c r="N676" i="329"/>
  <c r="I568" i="352" s="1"/>
  <c r="K660" i="329"/>
  <c r="I469" i="352" s="1"/>
  <c r="K743" i="329"/>
  <c r="I571" i="352" s="1"/>
  <c r="M693" i="329"/>
  <c r="I279" i="352" s="1"/>
  <c r="N761" i="329"/>
  <c r="I286" i="352" s="1"/>
  <c r="K676" i="329"/>
  <c r="I565" i="352" s="1"/>
  <c r="K761" i="329"/>
  <c r="I283" i="352" s="1"/>
  <c r="K780" i="329"/>
  <c r="I379" i="352" s="1"/>
  <c r="N780" i="329"/>
  <c r="I382" i="352" s="1"/>
  <c r="N743" i="329"/>
  <c r="I574" i="352" s="1"/>
  <c r="I84" i="346"/>
  <c r="I656" i="329" s="1"/>
  <c r="J656" i="329"/>
  <c r="I693" i="329"/>
  <c r="I275" i="352" s="1"/>
  <c r="I708" i="329"/>
  <c r="I121" i="346"/>
  <c r="I734" i="329" s="1"/>
  <c r="J734" i="329"/>
  <c r="I124" i="346"/>
  <c r="I737" i="329" s="1"/>
  <c r="J737" i="329"/>
  <c r="I113" i="346"/>
  <c r="I724" i="329" s="1"/>
  <c r="J724" i="329"/>
  <c r="L780" i="329"/>
  <c r="I380" i="352" s="1"/>
  <c r="I94" i="346"/>
  <c r="I669" i="329" s="1"/>
  <c r="J669" i="329"/>
  <c r="I82" i="346"/>
  <c r="I654" i="329" s="1"/>
  <c r="J654" i="329"/>
  <c r="I81" i="346"/>
  <c r="I653" i="329" s="1"/>
  <c r="J653" i="329"/>
  <c r="I126" i="346"/>
  <c r="I739" i="329" s="1"/>
  <c r="J739" i="329"/>
  <c r="I109" i="346"/>
  <c r="I720" i="329" s="1"/>
  <c r="J720" i="329"/>
  <c r="I111" i="346"/>
  <c r="I722" i="329" s="1"/>
  <c r="J722" i="329"/>
  <c r="I780" i="329"/>
  <c r="I377" i="352" s="1"/>
  <c r="I83" i="346"/>
  <c r="I655" i="329" s="1"/>
  <c r="J655" i="329"/>
  <c r="L761" i="329"/>
  <c r="I284" i="352" s="1"/>
  <c r="L743" i="329"/>
  <c r="I572" i="352" s="1"/>
  <c r="I761" i="329"/>
  <c r="I281" i="352" s="1"/>
  <c r="I79" i="346"/>
  <c r="I651" i="329" s="1"/>
  <c r="J651" i="329"/>
  <c r="I128" i="346"/>
  <c r="I741" i="329" s="1"/>
  <c r="J741" i="329"/>
  <c r="I107" i="346"/>
  <c r="I718" i="329" s="1"/>
  <c r="J718" i="329"/>
  <c r="M676" i="329"/>
  <c r="I567" i="352" s="1"/>
  <c r="L726" i="329"/>
  <c r="I476" i="352" s="1"/>
  <c r="I80" i="346"/>
  <c r="I652" i="329" s="1"/>
  <c r="J652" i="329"/>
  <c r="I125" i="346"/>
  <c r="I738" i="329" s="1"/>
  <c r="J738" i="329"/>
  <c r="I122" i="346"/>
  <c r="I735" i="329" s="1"/>
  <c r="J735" i="329"/>
  <c r="I86" i="346"/>
  <c r="I658" i="329" s="1"/>
  <c r="J658" i="329"/>
  <c r="I112" i="346"/>
  <c r="I723" i="329" s="1"/>
  <c r="J723" i="329"/>
  <c r="I97" i="346"/>
  <c r="I672" i="329" s="1"/>
  <c r="J672" i="329"/>
  <c r="I92" i="346"/>
  <c r="I667" i="329" s="1"/>
  <c r="J667" i="329"/>
  <c r="I98" i="346"/>
  <c r="I673" i="329" s="1"/>
  <c r="J673" i="329"/>
  <c r="I110" i="346"/>
  <c r="I721" i="329" s="1"/>
  <c r="J721" i="329"/>
  <c r="I95" i="346"/>
  <c r="I670" i="329" s="1"/>
  <c r="J670" i="329"/>
  <c r="L660" i="329"/>
  <c r="I470" i="352" s="1"/>
  <c r="L676" i="329"/>
  <c r="I566" i="352" s="1"/>
  <c r="M743" i="329"/>
  <c r="I573" i="352" s="1"/>
  <c r="I127" i="346"/>
  <c r="I740" i="329" s="1"/>
  <c r="J740" i="329"/>
  <c r="K693" i="329"/>
  <c r="I277" i="352" s="1"/>
  <c r="I99" i="346"/>
  <c r="I674" i="329" s="1"/>
  <c r="J674" i="329"/>
  <c r="I85" i="346"/>
  <c r="I657" i="329" s="1"/>
  <c r="J657" i="329"/>
  <c r="M726" i="329"/>
  <c r="I477" i="352" s="1"/>
  <c r="I96" i="346"/>
  <c r="I671" i="329" s="1"/>
  <c r="J671" i="329"/>
  <c r="K726" i="329"/>
  <c r="I475" i="352" s="1"/>
  <c r="M660" i="329"/>
  <c r="I471" i="352" s="1"/>
  <c r="I106" i="346"/>
  <c r="I717" i="329" s="1"/>
  <c r="J717" i="329"/>
  <c r="N660" i="329"/>
  <c r="I472" i="352" s="1"/>
  <c r="I123" i="346"/>
  <c r="I736" i="329" s="1"/>
  <c r="J736" i="329"/>
  <c r="I93" i="346"/>
  <c r="I668" i="329" s="1"/>
  <c r="J668" i="329"/>
  <c r="I108" i="346"/>
  <c r="I719" i="329" s="1"/>
  <c r="J719" i="329"/>
  <c r="L708" i="329"/>
  <c r="I374" i="352" s="1"/>
  <c r="N130" i="346"/>
  <c r="M101" i="346"/>
  <c r="M88" i="346"/>
  <c r="K115" i="346"/>
  <c r="N101" i="346"/>
  <c r="I57" i="346"/>
  <c r="I71" i="346"/>
  <c r="I114" i="346"/>
  <c r="I725" i="329" s="1"/>
  <c r="I30" i="346"/>
  <c r="K130" i="346"/>
  <c r="N115" i="346"/>
  <c r="N88" i="346"/>
  <c r="J115" i="346"/>
  <c r="I105" i="346"/>
  <c r="I716" i="329" s="1"/>
  <c r="J130" i="346"/>
  <c r="I120" i="346"/>
  <c r="I733" i="329" s="1"/>
  <c r="I43" i="346"/>
  <c r="M130" i="346"/>
  <c r="L88" i="346"/>
  <c r="I129" i="346"/>
  <c r="I742" i="329" s="1"/>
  <c r="J101" i="346"/>
  <c r="I91" i="346"/>
  <c r="I666" i="329" s="1"/>
  <c r="J88" i="346"/>
  <c r="I78" i="346"/>
  <c r="I650" i="329" s="1"/>
  <c r="K88" i="346"/>
  <c r="M115" i="346"/>
  <c r="K101" i="346"/>
  <c r="L130" i="346"/>
  <c r="L101" i="346"/>
  <c r="L115" i="346"/>
  <c r="I100" i="346"/>
  <c r="I675" i="329" s="1"/>
  <c r="I87" i="346"/>
  <c r="I659" i="329" s="1"/>
  <c r="K78" i="343"/>
  <c r="K77" i="343"/>
  <c r="K76" i="343"/>
  <c r="K75" i="343"/>
  <c r="K74" i="343"/>
  <c r="J29" i="343" l="1"/>
  <c r="M29" i="343" s="1"/>
  <c r="K29" i="343"/>
  <c r="K44" i="343"/>
  <c r="J44" i="343"/>
  <c r="M44" i="343" s="1"/>
  <c r="I371" i="352"/>
  <c r="J743" i="329"/>
  <c r="I570" i="352" s="1"/>
  <c r="K73" i="343"/>
  <c r="J726" i="329"/>
  <c r="I474" i="352" s="1"/>
  <c r="J676" i="329"/>
  <c r="I564" i="352" s="1"/>
  <c r="J660" i="329"/>
  <c r="I468" i="352" s="1"/>
  <c r="I726" i="329"/>
  <c r="I743" i="329"/>
  <c r="I660" i="329"/>
  <c r="I676" i="329"/>
  <c r="I88" i="346"/>
  <c r="I130" i="346"/>
  <c r="I115" i="346"/>
  <c r="I101" i="346"/>
  <c r="F29" i="343" l="1"/>
  <c r="I473" i="352"/>
  <c r="E44" i="343"/>
  <c r="H44" i="343" s="1"/>
  <c r="I563" i="352"/>
  <c r="E29" i="343"/>
  <c r="H29" i="343" s="1"/>
  <c r="I467" i="352"/>
  <c r="F44" i="343"/>
  <c r="I569" i="352"/>
  <c r="C59" i="343"/>
  <c r="H5" i="343"/>
  <c r="C42" i="343"/>
  <c r="C5" i="343"/>
  <c r="C27" i="343"/>
  <c r="D165" i="301"/>
  <c r="D404" i="309" s="1"/>
  <c r="D164" i="301"/>
  <c r="D390" i="309" s="1"/>
  <c r="D134" i="301"/>
  <c r="D133" i="301"/>
  <c r="D130" i="301"/>
  <c r="D129" i="301"/>
  <c r="D77" i="301"/>
  <c r="D76" i="301"/>
  <c r="D81" i="301"/>
  <c r="D80" i="301"/>
  <c r="J173" i="321" l="1"/>
  <c r="K173" i="321"/>
  <c r="L173" i="321"/>
  <c r="M173" i="321"/>
  <c r="N173" i="321"/>
  <c r="J148" i="321"/>
  <c r="K148" i="321"/>
  <c r="L148" i="321"/>
  <c r="M148" i="321"/>
  <c r="N148" i="321"/>
  <c r="D157" i="301"/>
  <c r="D156" i="301"/>
  <c r="J98" i="301"/>
  <c r="J99" i="301" s="1"/>
  <c r="K98" i="301"/>
  <c r="K99" i="301" s="1"/>
  <c r="L98" i="301"/>
  <c r="L99" i="301" s="1"/>
  <c r="M98" i="301"/>
  <c r="M99" i="301" s="1"/>
  <c r="N98" i="301"/>
  <c r="N99" i="301" s="1"/>
  <c r="J45" i="301"/>
  <c r="J46" i="301" s="1"/>
  <c r="K45" i="301"/>
  <c r="K46" i="301" s="1"/>
  <c r="L45" i="301"/>
  <c r="L46" i="301" s="1"/>
  <c r="M45" i="301"/>
  <c r="M46" i="301" s="1"/>
  <c r="N45" i="301"/>
  <c r="N46" i="301" s="1"/>
  <c r="D26" i="244"/>
  <c r="D27" i="244"/>
  <c r="C215" i="301"/>
  <c r="C195" i="301"/>
  <c r="C174" i="301"/>
  <c r="C85" i="301"/>
  <c r="C31" i="301"/>
  <c r="J263" i="321"/>
  <c r="K263" i="321"/>
  <c r="L263" i="321"/>
  <c r="M263" i="321"/>
  <c r="N263" i="321"/>
  <c r="J262" i="321"/>
  <c r="K262" i="321"/>
  <c r="L262" i="321"/>
  <c r="M262" i="321"/>
  <c r="N262" i="321"/>
  <c r="J259" i="321"/>
  <c r="K259" i="321"/>
  <c r="L259" i="321"/>
  <c r="M259" i="321"/>
  <c r="N259" i="321"/>
  <c r="J258" i="321"/>
  <c r="K258" i="321"/>
  <c r="L258" i="321"/>
  <c r="M258" i="321"/>
  <c r="N258" i="321"/>
  <c r="J255" i="321"/>
  <c r="K255" i="321"/>
  <c r="L255" i="321"/>
  <c r="M255" i="321"/>
  <c r="N255" i="321"/>
  <c r="J254" i="321"/>
  <c r="K254" i="321"/>
  <c r="L254" i="321"/>
  <c r="M254" i="321"/>
  <c r="N254" i="321"/>
  <c r="J229" i="321"/>
  <c r="K229" i="321"/>
  <c r="L229" i="321"/>
  <c r="M229" i="321"/>
  <c r="N229" i="321"/>
  <c r="J234" i="321"/>
  <c r="K234" i="321"/>
  <c r="L234" i="321"/>
  <c r="M234" i="321"/>
  <c r="N234" i="321"/>
  <c r="J233" i="321"/>
  <c r="K233" i="321"/>
  <c r="L233" i="321"/>
  <c r="M233" i="321"/>
  <c r="N233" i="321"/>
  <c r="J228" i="321"/>
  <c r="K228" i="321"/>
  <c r="L228" i="321"/>
  <c r="M228" i="321"/>
  <c r="N228" i="321"/>
  <c r="J227" i="321"/>
  <c r="K227" i="321"/>
  <c r="L227" i="321"/>
  <c r="M227" i="321"/>
  <c r="N227" i="321"/>
  <c r="J231" i="321"/>
  <c r="K231" i="321"/>
  <c r="L231" i="321"/>
  <c r="M231" i="321"/>
  <c r="N231" i="321"/>
  <c r="J225" i="321"/>
  <c r="K225" i="321"/>
  <c r="L225" i="321"/>
  <c r="M225" i="321"/>
  <c r="N225" i="321"/>
  <c r="J237" i="321"/>
  <c r="K237" i="321"/>
  <c r="L237" i="321"/>
  <c r="M237" i="321"/>
  <c r="N237" i="321"/>
  <c r="D207" i="301" l="1"/>
  <c r="D208" i="301"/>
  <c r="D212" i="301"/>
  <c r="D189" i="301"/>
  <c r="D186" i="301"/>
  <c r="D187" i="301"/>
  <c r="C57" i="301"/>
  <c r="D71" i="301"/>
  <c r="D45" i="301"/>
  <c r="D226" i="301"/>
  <c r="D432" i="309" s="1"/>
  <c r="D423" i="329" s="1"/>
  <c r="D225" i="301"/>
  <c r="D418" i="309" s="1"/>
  <c r="D422" i="329" s="1"/>
  <c r="D230" i="301"/>
  <c r="D98" i="301"/>
  <c r="C109" i="301"/>
  <c r="D124" i="301"/>
  <c r="J238" i="321"/>
  <c r="J144" i="323"/>
  <c r="N238" i="321"/>
  <c r="N144" i="323"/>
  <c r="M238" i="321"/>
  <c r="M144" i="323"/>
  <c r="L238" i="321"/>
  <c r="L144" i="323"/>
  <c r="K238" i="321"/>
  <c r="K144" i="323"/>
  <c r="D69" i="301"/>
  <c r="D122" i="301" s="1"/>
  <c r="D147" i="301" s="1"/>
  <c r="D68" i="301"/>
  <c r="D95" i="301" s="1"/>
  <c r="D62" i="301"/>
  <c r="D153" i="301" s="1"/>
  <c r="D421" i="329" s="1"/>
  <c r="D142" i="301"/>
  <c r="D61" i="301"/>
  <c r="D152" i="301" s="1"/>
  <c r="D420" i="329" s="1"/>
  <c r="D89" i="301"/>
  <c r="D114" i="301" s="1"/>
  <c r="D143" i="301"/>
  <c r="D90" i="301"/>
  <c r="D115" i="301" s="1"/>
  <c r="G99" i="301"/>
  <c r="G46" i="301"/>
  <c r="K17" i="9" s="1"/>
  <c r="M17" i="9" s="1"/>
  <c r="J209" i="321"/>
  <c r="J133" i="323" s="1"/>
  <c r="K209" i="321"/>
  <c r="K133" i="323" s="1"/>
  <c r="L209" i="321"/>
  <c r="L133" i="323" s="1"/>
  <c r="M209" i="321"/>
  <c r="M133" i="323" s="1"/>
  <c r="N209" i="321"/>
  <c r="N133" i="323" s="1"/>
  <c r="J206" i="321"/>
  <c r="K206" i="321"/>
  <c r="L206" i="321"/>
  <c r="M206" i="321"/>
  <c r="N206" i="321"/>
  <c r="J205" i="321"/>
  <c r="K205" i="321"/>
  <c r="L205" i="321"/>
  <c r="M205" i="321"/>
  <c r="N205" i="321"/>
  <c r="J203" i="321"/>
  <c r="K203" i="321"/>
  <c r="L203" i="321"/>
  <c r="M203" i="321"/>
  <c r="N203" i="321"/>
  <c r="J197" i="321"/>
  <c r="K197" i="321"/>
  <c r="L197" i="321"/>
  <c r="M197" i="321"/>
  <c r="N197" i="321"/>
  <c r="D96" i="301" l="1"/>
  <c r="D121" i="301"/>
  <c r="D146" i="301" s="1"/>
  <c r="N210" i="321"/>
  <c r="N257" i="321"/>
  <c r="N196" i="301" s="1"/>
  <c r="M210" i="321"/>
  <c r="M257" i="321"/>
  <c r="M196" i="301" s="1"/>
  <c r="L210" i="321"/>
  <c r="L257" i="321"/>
  <c r="L196" i="301" s="1"/>
  <c r="K210" i="321"/>
  <c r="K257" i="321"/>
  <c r="K196" i="301" s="1"/>
  <c r="J210" i="321"/>
  <c r="J257" i="321"/>
  <c r="J196" i="301" s="1"/>
  <c r="J200" i="321"/>
  <c r="K200" i="321"/>
  <c r="L200" i="321"/>
  <c r="M200" i="321"/>
  <c r="N200" i="321"/>
  <c r="J201" i="321"/>
  <c r="K201" i="321"/>
  <c r="L201" i="321"/>
  <c r="M201" i="321"/>
  <c r="N201" i="321"/>
  <c r="J199" i="321"/>
  <c r="K199" i="321"/>
  <c r="L199" i="321"/>
  <c r="M199" i="321"/>
  <c r="N199" i="321"/>
  <c r="I196" i="352" l="1"/>
  <c r="I191" i="352"/>
  <c r="I197" i="352"/>
  <c r="I192" i="352"/>
  <c r="I189" i="352"/>
  <c r="I194" i="352"/>
  <c r="I198" i="352"/>
  <c r="I193" i="352"/>
  <c r="I195" i="352"/>
  <c r="I190" i="352"/>
  <c r="H200" i="321"/>
  <c r="K15" i="9" s="1"/>
  <c r="M15" i="9" s="1"/>
  <c r="J175" i="321"/>
  <c r="J176" i="321" s="1"/>
  <c r="K175" i="321"/>
  <c r="K176" i="321" s="1"/>
  <c r="L175" i="321"/>
  <c r="L176" i="321" s="1"/>
  <c r="M175" i="321"/>
  <c r="M176" i="321" s="1"/>
  <c r="N175" i="321"/>
  <c r="N176" i="321" s="1"/>
  <c r="J183" i="321"/>
  <c r="K183" i="321"/>
  <c r="L183" i="321"/>
  <c r="M183" i="321"/>
  <c r="N183" i="321"/>
  <c r="J157" i="321"/>
  <c r="J111" i="323" s="1"/>
  <c r="K157" i="321"/>
  <c r="K111" i="323" s="1"/>
  <c r="L157" i="321"/>
  <c r="L111" i="323" s="1"/>
  <c r="M157" i="321"/>
  <c r="M111" i="323" s="1"/>
  <c r="N157" i="321"/>
  <c r="N111" i="323" s="1"/>
  <c r="J158" i="321"/>
  <c r="K158" i="321"/>
  <c r="L158" i="321"/>
  <c r="M158" i="321"/>
  <c r="N158" i="321"/>
  <c r="J150" i="321"/>
  <c r="J151" i="321" s="1"/>
  <c r="K150" i="321"/>
  <c r="K151" i="321" s="1"/>
  <c r="L150" i="321"/>
  <c r="L151" i="321" s="1"/>
  <c r="M150" i="321"/>
  <c r="M151" i="321" s="1"/>
  <c r="N150" i="321"/>
  <c r="N151" i="321" s="1"/>
  <c r="I203" i="352" l="1"/>
  <c r="I202" i="352"/>
  <c r="I208" i="352"/>
  <c r="I207" i="352"/>
  <c r="I205" i="352"/>
  <c r="I206" i="352"/>
  <c r="I204" i="352"/>
  <c r="I200" i="352"/>
  <c r="I201" i="352"/>
  <c r="I199" i="352"/>
  <c r="N212" i="301"/>
  <c r="N213" i="301" s="1"/>
  <c r="K212" i="301"/>
  <c r="K213" i="301" s="1"/>
  <c r="J212" i="301"/>
  <c r="J213" i="301" s="1"/>
  <c r="L212" i="301"/>
  <c r="L213" i="301" s="1"/>
  <c r="M212" i="301"/>
  <c r="M213" i="301" s="1"/>
  <c r="J184" i="321"/>
  <c r="J239" i="321" s="1"/>
  <c r="J122" i="323"/>
  <c r="N184" i="321"/>
  <c r="N239" i="321" s="1"/>
  <c r="N122" i="323"/>
  <c r="M184" i="321"/>
  <c r="M239" i="321" s="1"/>
  <c r="M122" i="323"/>
  <c r="L184" i="321"/>
  <c r="L239" i="321" s="1"/>
  <c r="L122" i="323"/>
  <c r="K184" i="321"/>
  <c r="K239" i="321" s="1"/>
  <c r="K122" i="323"/>
  <c r="J261" i="321"/>
  <c r="J253" i="321"/>
  <c r="J175" i="301" s="1"/>
  <c r="M253" i="321"/>
  <c r="M175" i="301" s="1"/>
  <c r="M261" i="321"/>
  <c r="N253" i="321"/>
  <c r="N175" i="301" s="1"/>
  <c r="N261" i="321"/>
  <c r="L261" i="321"/>
  <c r="L253" i="321"/>
  <c r="L175" i="301" s="1"/>
  <c r="K261" i="321"/>
  <c r="K253" i="321"/>
  <c r="K175" i="301" s="1"/>
  <c r="K159" i="321"/>
  <c r="K211" i="321"/>
  <c r="J159" i="321"/>
  <c r="J211" i="321"/>
  <c r="N159" i="321"/>
  <c r="N211" i="321"/>
  <c r="M159" i="321"/>
  <c r="M211" i="321"/>
  <c r="L159" i="321"/>
  <c r="L211" i="321"/>
  <c r="H176" i="321"/>
  <c r="K13" i="9" s="1"/>
  <c r="M13" i="9" s="1"/>
  <c r="H151" i="321"/>
  <c r="K10" i="9" s="1"/>
  <c r="M10" i="9" s="1"/>
  <c r="I185" i="352" l="1"/>
  <c r="I180" i="352"/>
  <c r="I170" i="352"/>
  <c r="I184" i="352"/>
  <c r="I179" i="352"/>
  <c r="I169" i="352"/>
  <c r="I186" i="352"/>
  <c r="I181" i="352"/>
  <c r="I171" i="352"/>
  <c r="G213" i="301"/>
  <c r="I173" i="352"/>
  <c r="I188" i="352"/>
  <c r="I183" i="352"/>
  <c r="I182" i="352"/>
  <c r="I172" i="352"/>
  <c r="I187" i="352"/>
  <c r="H239" i="321"/>
  <c r="K16" i="9" s="1"/>
  <c r="M16" i="9" s="1"/>
  <c r="H211" i="321"/>
  <c r="H159" i="321"/>
  <c r="K12" i="9" s="1"/>
  <c r="M12" i="9" s="1"/>
  <c r="J218" i="301" l="1"/>
  <c r="I174" i="352"/>
  <c r="M218" i="301"/>
  <c r="I177" i="352"/>
  <c r="L218" i="301"/>
  <c r="I176" i="352"/>
  <c r="K218" i="301"/>
  <c r="I175" i="352"/>
  <c r="N218" i="301"/>
  <c r="I178" i="352"/>
  <c r="J221" i="301"/>
  <c r="J225" i="301"/>
  <c r="L225" i="301"/>
  <c r="L221" i="301"/>
  <c r="K189" i="301"/>
  <c r="K190" i="301" s="1"/>
  <c r="K217" i="301"/>
  <c r="M221" i="301"/>
  <c r="M225" i="301"/>
  <c r="L189" i="301"/>
  <c r="L190" i="301" s="1"/>
  <c r="L217" i="301"/>
  <c r="J226" i="301"/>
  <c r="J222" i="301"/>
  <c r="N221" i="301"/>
  <c r="N225" i="301"/>
  <c r="L226" i="301"/>
  <c r="L222" i="301"/>
  <c r="M222" i="301"/>
  <c r="M226" i="301"/>
  <c r="N189" i="301"/>
  <c r="N190" i="301" s="1"/>
  <c r="N217" i="301"/>
  <c r="J189" i="301"/>
  <c r="J190" i="301" s="1"/>
  <c r="J217" i="301"/>
  <c r="K222" i="301"/>
  <c r="K226" i="301"/>
  <c r="N226" i="301"/>
  <c r="N222" i="301"/>
  <c r="K225" i="301"/>
  <c r="K221" i="301"/>
  <c r="M189" i="301"/>
  <c r="M190" i="301" s="1"/>
  <c r="M217" i="301"/>
  <c r="D75" i="309"/>
  <c r="D101" i="329" s="1"/>
  <c r="D58" i="309"/>
  <c r="D92" i="329" s="1"/>
  <c r="D41" i="309"/>
  <c r="D80" i="329" s="1"/>
  <c r="D24" i="309"/>
  <c r="D71" i="329" s="1"/>
  <c r="D71" i="309"/>
  <c r="D100" i="329" s="1"/>
  <c r="D54" i="309"/>
  <c r="D91" i="329" s="1"/>
  <c r="D37" i="309"/>
  <c r="D79" i="329" s="1"/>
  <c r="D20" i="309"/>
  <c r="D70" i="329" s="1"/>
  <c r="D67" i="309"/>
  <c r="D99" i="329" s="1"/>
  <c r="D50" i="309"/>
  <c r="D90" i="329" s="1"/>
  <c r="D33" i="309"/>
  <c r="D78" i="329" s="1"/>
  <c r="D16" i="309"/>
  <c r="D69" i="329" s="1"/>
  <c r="D29" i="327"/>
  <c r="D22" i="327"/>
  <c r="D15" i="327"/>
  <c r="D9" i="244"/>
  <c r="J145" i="323"/>
  <c r="K145" i="323"/>
  <c r="L145" i="323"/>
  <c r="N145" i="323"/>
  <c r="M123" i="323"/>
  <c r="N123" i="323"/>
  <c r="J112" i="323"/>
  <c r="K112" i="323"/>
  <c r="D42" i="338"/>
  <c r="D12" i="340" s="1"/>
  <c r="J143" i="317"/>
  <c r="K143" i="317"/>
  <c r="L143" i="317"/>
  <c r="M143" i="317"/>
  <c r="N143" i="317"/>
  <c r="J137" i="317"/>
  <c r="K137" i="317"/>
  <c r="L137" i="317"/>
  <c r="M137" i="317"/>
  <c r="N137" i="317"/>
  <c r="J123" i="317"/>
  <c r="J178" i="321" s="1"/>
  <c r="K123" i="317"/>
  <c r="K178" i="321" s="1"/>
  <c r="L123" i="317"/>
  <c r="L178" i="321" s="1"/>
  <c r="M123" i="317"/>
  <c r="N123" i="317"/>
  <c r="N178" i="321" s="1"/>
  <c r="J142" i="317"/>
  <c r="K142" i="317"/>
  <c r="L142" i="317"/>
  <c r="M142" i="317"/>
  <c r="N142" i="317"/>
  <c r="J136" i="317"/>
  <c r="K136" i="317"/>
  <c r="L136" i="317"/>
  <c r="M136" i="317"/>
  <c r="N136" i="317"/>
  <c r="J107" i="317"/>
  <c r="J152" i="321" s="1"/>
  <c r="K107" i="317"/>
  <c r="K152" i="321" s="1"/>
  <c r="L107" i="317"/>
  <c r="L152" i="321" s="1"/>
  <c r="M107" i="317"/>
  <c r="M152" i="321" s="1"/>
  <c r="N107" i="317"/>
  <c r="N152" i="321" s="1"/>
  <c r="J230" i="301" l="1"/>
  <c r="M230" i="301"/>
  <c r="K230" i="301"/>
  <c r="G190" i="301"/>
  <c r="K217" i="9" s="1"/>
  <c r="M217" i="9" s="1"/>
  <c r="N230" i="301"/>
  <c r="L230" i="301"/>
  <c r="M149" i="317"/>
  <c r="M178" i="321"/>
  <c r="L138" i="317"/>
  <c r="K144" i="317"/>
  <c r="M138" i="317"/>
  <c r="J144" i="317"/>
  <c r="N144" i="317"/>
  <c r="J138" i="317"/>
  <c r="M144" i="317"/>
  <c r="N138" i="317"/>
  <c r="K138" i="317"/>
  <c r="L144" i="317"/>
  <c r="L148" i="317"/>
  <c r="L207" i="321"/>
  <c r="L154" i="321"/>
  <c r="L155" i="321" s="1"/>
  <c r="J148" i="317"/>
  <c r="J207" i="321"/>
  <c r="J154" i="321"/>
  <c r="J155" i="321" s="1"/>
  <c r="J149" i="317"/>
  <c r="J235" i="321"/>
  <c r="J180" i="321"/>
  <c r="J181" i="321" s="1"/>
  <c r="L149" i="317"/>
  <c r="L235" i="321"/>
  <c r="L180" i="321"/>
  <c r="L181" i="321" s="1"/>
  <c r="K207" i="321"/>
  <c r="K154" i="321"/>
  <c r="K155" i="321" s="1"/>
  <c r="K149" i="317"/>
  <c r="K235" i="321"/>
  <c r="K180" i="321"/>
  <c r="K181" i="321" s="1"/>
  <c r="K148" i="317"/>
  <c r="N148" i="317"/>
  <c r="N207" i="321"/>
  <c r="N154" i="321"/>
  <c r="N155" i="321" s="1"/>
  <c r="N235" i="321"/>
  <c r="N180" i="321"/>
  <c r="N181" i="321" s="1"/>
  <c r="M148" i="317"/>
  <c r="M207" i="321"/>
  <c r="M154" i="321"/>
  <c r="M155" i="321" s="1"/>
  <c r="M235" i="321"/>
  <c r="M180" i="321"/>
  <c r="M181" i="321" s="1"/>
  <c r="K166" i="323"/>
  <c r="K167" i="323" s="1"/>
  <c r="L166" i="323"/>
  <c r="L167" i="323" s="1"/>
  <c r="J166" i="323"/>
  <c r="J167" i="323" s="1"/>
  <c r="N155" i="323"/>
  <c r="L123" i="323"/>
  <c r="M145" i="323"/>
  <c r="N149" i="317"/>
  <c r="N150" i="317" s="1"/>
  <c r="M155" i="323"/>
  <c r="K123" i="323"/>
  <c r="N134" i="323"/>
  <c r="L155" i="323"/>
  <c r="J123" i="323"/>
  <c r="M134" i="323"/>
  <c r="N112" i="323"/>
  <c r="K155" i="323"/>
  <c r="N166" i="323"/>
  <c r="N167" i="323" s="1"/>
  <c r="L134" i="323"/>
  <c r="M112" i="323"/>
  <c r="J155" i="323"/>
  <c r="M166" i="323"/>
  <c r="M167" i="323" s="1"/>
  <c r="K134" i="323"/>
  <c r="L112" i="323"/>
  <c r="J134" i="323"/>
  <c r="B416" i="309"/>
  <c r="B1104" i="251"/>
  <c r="B1103" i="251" s="1"/>
  <c r="B1096" i="251"/>
  <c r="B1095" i="251" s="1"/>
  <c r="B1088" i="251"/>
  <c r="B1087" i="251" s="1"/>
  <c r="B1080" i="251"/>
  <c r="B1079" i="251" s="1"/>
  <c r="C3155" i="250"/>
  <c r="B3153" i="250" s="1"/>
  <c r="C3115" i="250"/>
  <c r="B3113" i="250" s="1"/>
  <c r="C3050" i="250"/>
  <c r="B3048" i="250" s="1"/>
  <c r="C2941" i="250"/>
  <c r="B2939" i="250" s="1"/>
  <c r="D290" i="301"/>
  <c r="D1107" i="251"/>
  <c r="D1099" i="251"/>
  <c r="B402" i="309"/>
  <c r="D1075" i="251"/>
  <c r="D1074" i="251"/>
  <c r="B1071" i="251"/>
  <c r="B1070" i="251" s="1"/>
  <c r="D1066" i="251"/>
  <c r="D1065" i="251"/>
  <c r="B1062" i="251"/>
  <c r="B1061" i="251" s="1"/>
  <c r="D1057" i="251"/>
  <c r="D1056" i="251"/>
  <c r="B1053" i="251"/>
  <c r="B1052" i="251" s="1"/>
  <c r="D1048" i="251"/>
  <c r="D1047" i="251"/>
  <c r="B1044" i="251"/>
  <c r="B1043" i="251" s="1"/>
  <c r="C3006" i="250"/>
  <c r="B3004" i="250" s="1"/>
  <c r="C2986" i="250"/>
  <c r="B2984" i="250" s="1"/>
  <c r="C2966" i="250"/>
  <c r="B2964" i="250" s="1"/>
  <c r="C3025" i="250"/>
  <c r="B3023" i="250" s="1"/>
  <c r="D266" i="301"/>
  <c r="D483" i="311" l="1"/>
  <c r="D182" i="307"/>
  <c r="D499" i="311"/>
  <c r="D281" i="307"/>
  <c r="D484" i="311"/>
  <c r="D200" i="307"/>
  <c r="D299" i="307"/>
  <c r="D500" i="311"/>
  <c r="D146" i="307"/>
  <c r="D481" i="311"/>
  <c r="D245" i="307"/>
  <c r="D497" i="311"/>
  <c r="D482" i="311"/>
  <c r="D164" i="307"/>
  <c r="D263" i="307"/>
  <c r="D498" i="311"/>
  <c r="M150" i="317"/>
  <c r="K150" i="317"/>
  <c r="J150" i="317"/>
  <c r="H181" i="321"/>
  <c r="K14" i="9" s="1"/>
  <c r="M14" i="9" s="1"/>
  <c r="L150" i="317"/>
  <c r="H155" i="321"/>
  <c r="K11" i="9" s="1"/>
  <c r="M11" i="9" s="1"/>
  <c r="K177" i="323"/>
  <c r="K178" i="323" s="1"/>
  <c r="K156" i="323"/>
  <c r="J177" i="323"/>
  <c r="J178" i="323" s="1"/>
  <c r="J156" i="323"/>
  <c r="M156" i="323"/>
  <c r="M177" i="323"/>
  <c r="M178" i="323" s="1"/>
  <c r="N156" i="323"/>
  <c r="N177" i="323"/>
  <c r="N178" i="323" s="1"/>
  <c r="L156" i="323"/>
  <c r="L177" i="323"/>
  <c r="L178" i="323" s="1"/>
  <c r="D455" i="251" l="1"/>
  <c r="D454" i="251"/>
  <c r="D391" i="251"/>
  <c r="D390" i="251"/>
  <c r="D616" i="251"/>
  <c r="D615" i="251"/>
  <c r="E438" i="309" l="1"/>
  <c r="E434" i="309"/>
  <c r="E1138" i="251"/>
  <c r="E1129" i="251"/>
  <c r="E1121" i="251"/>
  <c r="E1113" i="251"/>
  <c r="D315" i="301"/>
  <c r="J330" i="301"/>
  <c r="K330" i="301"/>
  <c r="L330" i="301"/>
  <c r="M330" i="301"/>
  <c r="N330" i="301"/>
  <c r="D117" i="314"/>
  <c r="D118" i="314"/>
  <c r="B430" i="309"/>
  <c r="D510" i="311"/>
  <c r="D509" i="311"/>
  <c r="D508" i="311"/>
  <c r="D507" i="311"/>
  <c r="B1137" i="251"/>
  <c r="B1136" i="251" s="1"/>
  <c r="B1128" i="251"/>
  <c r="B1127" i="251" s="1"/>
  <c r="B1120" i="251"/>
  <c r="B1119" i="251" s="1"/>
  <c r="B1112" i="251"/>
  <c r="B1111" i="251" s="1"/>
  <c r="C3174" i="250"/>
  <c r="B3172" i="250" s="1"/>
  <c r="C3135" i="250"/>
  <c r="B3133" i="250" s="1"/>
  <c r="C3095" i="250"/>
  <c r="B3093" i="250" s="1"/>
  <c r="C3070" i="250"/>
  <c r="B3068" i="250" s="1"/>
  <c r="F3176" i="250"/>
  <c r="F3177" i="250"/>
  <c r="H3177" i="250" s="1"/>
  <c r="F3178" i="250"/>
  <c r="H3178" i="250" s="1"/>
  <c r="F3179" i="250"/>
  <c r="H3179" i="250" s="1"/>
  <c r="F3180" i="250"/>
  <c r="H3180" i="250" s="1"/>
  <c r="F3181" i="250"/>
  <c r="H3181" i="250" s="1"/>
  <c r="F3182" i="250"/>
  <c r="H3182" i="250" s="1"/>
  <c r="F3183" i="250"/>
  <c r="H3183" i="250" s="1"/>
  <c r="F3184" i="250"/>
  <c r="H3184" i="250" s="1"/>
  <c r="F3185" i="250"/>
  <c r="H3185" i="250" s="1"/>
  <c r="E3176" i="250"/>
  <c r="G3176" i="250" s="1"/>
  <c r="E3177" i="250"/>
  <c r="G3177" i="250" s="1"/>
  <c r="E3178" i="250"/>
  <c r="G3178" i="250" s="1"/>
  <c r="E3179" i="250"/>
  <c r="G3179" i="250" s="1"/>
  <c r="E3180" i="250"/>
  <c r="G3180" i="250" s="1"/>
  <c r="E3181" i="250"/>
  <c r="G3181" i="250" s="1"/>
  <c r="E3182" i="250"/>
  <c r="G3182" i="250" s="1"/>
  <c r="E3183" i="250"/>
  <c r="G3183" i="250" s="1"/>
  <c r="E3184" i="250"/>
  <c r="G3184" i="250" s="1"/>
  <c r="E3185" i="250"/>
  <c r="G3185" i="250" s="1"/>
  <c r="D3176" i="250"/>
  <c r="D3177" i="250"/>
  <c r="D3178" i="250"/>
  <c r="D3179" i="250"/>
  <c r="D3180" i="250"/>
  <c r="D3181" i="250"/>
  <c r="D3182" i="250"/>
  <c r="D3183" i="250"/>
  <c r="D3184" i="250"/>
  <c r="D3185" i="250"/>
  <c r="F3137" i="250"/>
  <c r="H3137" i="250" s="1"/>
  <c r="F3138" i="250"/>
  <c r="H3138" i="250" s="1"/>
  <c r="F3139" i="250"/>
  <c r="H3139" i="250" s="1"/>
  <c r="F3140" i="250"/>
  <c r="H3140" i="250" s="1"/>
  <c r="F3141" i="250"/>
  <c r="H3141" i="250" s="1"/>
  <c r="F3142" i="250"/>
  <c r="H3142" i="250" s="1"/>
  <c r="F3143" i="250"/>
  <c r="H3143" i="250" s="1"/>
  <c r="F3144" i="250"/>
  <c r="H3144" i="250" s="1"/>
  <c r="F3145" i="250"/>
  <c r="H3145" i="250" s="1"/>
  <c r="F3146" i="250"/>
  <c r="H3146" i="250" s="1"/>
  <c r="E3137" i="250"/>
  <c r="E3138" i="250"/>
  <c r="G3138" i="250" s="1"/>
  <c r="E3139" i="250"/>
  <c r="G3139" i="250" s="1"/>
  <c r="E3140" i="250"/>
  <c r="G3140" i="250" s="1"/>
  <c r="E3141" i="250"/>
  <c r="G3141" i="250" s="1"/>
  <c r="E3142" i="250"/>
  <c r="G3142" i="250" s="1"/>
  <c r="E3143" i="250"/>
  <c r="G3143" i="250" s="1"/>
  <c r="E3144" i="250"/>
  <c r="G3144" i="250" s="1"/>
  <c r="E3145" i="250"/>
  <c r="G3145" i="250" s="1"/>
  <c r="E3146" i="250"/>
  <c r="G3146" i="250" s="1"/>
  <c r="D3137" i="250"/>
  <c r="D3138" i="250"/>
  <c r="D3139" i="250"/>
  <c r="D3140" i="250"/>
  <c r="D3141" i="250"/>
  <c r="D3142" i="250"/>
  <c r="D3143" i="250"/>
  <c r="D3144" i="250"/>
  <c r="D3145" i="250"/>
  <c r="D3146" i="250"/>
  <c r="F3097" i="250"/>
  <c r="F3098" i="250"/>
  <c r="H3098" i="250" s="1"/>
  <c r="F3099" i="250"/>
  <c r="H3099" i="250" s="1"/>
  <c r="F3100" i="250"/>
  <c r="H3100" i="250" s="1"/>
  <c r="F3101" i="250"/>
  <c r="H3101" i="250" s="1"/>
  <c r="F3102" i="250"/>
  <c r="H3102" i="250" s="1"/>
  <c r="F3103" i="250"/>
  <c r="H3103" i="250" s="1"/>
  <c r="F3104" i="250"/>
  <c r="H3104" i="250" s="1"/>
  <c r="F3105" i="250"/>
  <c r="H3105" i="250" s="1"/>
  <c r="F3106" i="250"/>
  <c r="H3106" i="250" s="1"/>
  <c r="E3097" i="250"/>
  <c r="E3098" i="250"/>
  <c r="G3098" i="250" s="1"/>
  <c r="E3099" i="250"/>
  <c r="G3099" i="250" s="1"/>
  <c r="E3100" i="250"/>
  <c r="G3100" i="250" s="1"/>
  <c r="E3101" i="250"/>
  <c r="G3101" i="250" s="1"/>
  <c r="E3102" i="250"/>
  <c r="G3102" i="250" s="1"/>
  <c r="E3103" i="250"/>
  <c r="G3103" i="250" s="1"/>
  <c r="E3104" i="250"/>
  <c r="G3104" i="250" s="1"/>
  <c r="E3105" i="250"/>
  <c r="G3105" i="250" s="1"/>
  <c r="E3106" i="250"/>
  <c r="G3106" i="250" s="1"/>
  <c r="D3097" i="250"/>
  <c r="D3098" i="250"/>
  <c r="D3099" i="250"/>
  <c r="D3100" i="250"/>
  <c r="D3101" i="250"/>
  <c r="D3102" i="250"/>
  <c r="D3103" i="250"/>
  <c r="D3104" i="250"/>
  <c r="D3105" i="250"/>
  <c r="D3106" i="250"/>
  <c r="F3072" i="250"/>
  <c r="F3073" i="250"/>
  <c r="H3073" i="250" s="1"/>
  <c r="F3074" i="250"/>
  <c r="H3074" i="250" s="1"/>
  <c r="F3075" i="250"/>
  <c r="H3075" i="250" s="1"/>
  <c r="F3076" i="250"/>
  <c r="H3076" i="250" s="1"/>
  <c r="F3077" i="250"/>
  <c r="H3077" i="250" s="1"/>
  <c r="F3078" i="250"/>
  <c r="H3078" i="250" s="1"/>
  <c r="F3079" i="250"/>
  <c r="H3079" i="250" s="1"/>
  <c r="F3080" i="250"/>
  <c r="H3080" i="250" s="1"/>
  <c r="F3081" i="250"/>
  <c r="H3081" i="250" s="1"/>
  <c r="F3082" i="250"/>
  <c r="H3082" i="250" s="1"/>
  <c r="F3083" i="250"/>
  <c r="H3083" i="250" s="1"/>
  <c r="F3084" i="250"/>
  <c r="H3084" i="250" s="1"/>
  <c r="F3085" i="250"/>
  <c r="H3085" i="250" s="1"/>
  <c r="F3086" i="250"/>
  <c r="H3086" i="250" s="1"/>
  <c r="E3072" i="250"/>
  <c r="G3072" i="250" s="1"/>
  <c r="E3073" i="250"/>
  <c r="G3073" i="250" s="1"/>
  <c r="E3074" i="250"/>
  <c r="G3074" i="250" s="1"/>
  <c r="E3075" i="250"/>
  <c r="G3075" i="250" s="1"/>
  <c r="E3076" i="250"/>
  <c r="G3076" i="250" s="1"/>
  <c r="E3077" i="250"/>
  <c r="G3077" i="250" s="1"/>
  <c r="E3078" i="250"/>
  <c r="G3078" i="250" s="1"/>
  <c r="E3079" i="250"/>
  <c r="G3079" i="250" s="1"/>
  <c r="E3080" i="250"/>
  <c r="G3080" i="250" s="1"/>
  <c r="E3081" i="250"/>
  <c r="G3081" i="250" s="1"/>
  <c r="E3082" i="250"/>
  <c r="G3082" i="250" s="1"/>
  <c r="E3083" i="250"/>
  <c r="G3083" i="250" s="1"/>
  <c r="E3084" i="250"/>
  <c r="G3084" i="250" s="1"/>
  <c r="E3085" i="250"/>
  <c r="G3085" i="250" s="1"/>
  <c r="E3086" i="250"/>
  <c r="G3086" i="250" s="1"/>
  <c r="D3072" i="250"/>
  <c r="D3073" i="250"/>
  <c r="D3074" i="250"/>
  <c r="D3075" i="250"/>
  <c r="D3076" i="250"/>
  <c r="D3077" i="250"/>
  <c r="D3078" i="250"/>
  <c r="D3079" i="250"/>
  <c r="D3080" i="250"/>
  <c r="D3081" i="250"/>
  <c r="D3082" i="250"/>
  <c r="D3083" i="250"/>
  <c r="D3084" i="250"/>
  <c r="D3085" i="250"/>
  <c r="D3086" i="250"/>
  <c r="J386" i="307"/>
  <c r="J387" i="307"/>
  <c r="J388" i="307"/>
  <c r="J389" i="307"/>
  <c r="J390" i="307"/>
  <c r="J391" i="307"/>
  <c r="J392" i="307"/>
  <c r="J393" i="307"/>
  <c r="J394" i="307"/>
  <c r="J395" i="307"/>
  <c r="J368" i="307"/>
  <c r="J369" i="307"/>
  <c r="J370" i="307"/>
  <c r="J371" i="307"/>
  <c r="J372" i="307"/>
  <c r="J373" i="307"/>
  <c r="J374" i="307"/>
  <c r="J375" i="307"/>
  <c r="J376" i="307"/>
  <c r="J377" i="307"/>
  <c r="J350" i="307"/>
  <c r="J351" i="307"/>
  <c r="J352" i="307"/>
  <c r="J353" i="307"/>
  <c r="J354" i="307"/>
  <c r="J355" i="307"/>
  <c r="J356" i="307"/>
  <c r="J357" i="307"/>
  <c r="J358" i="307"/>
  <c r="J359" i="307"/>
  <c r="J327" i="307"/>
  <c r="J328" i="307"/>
  <c r="J329" i="307"/>
  <c r="J330" i="307"/>
  <c r="J331" i="307"/>
  <c r="J332" i="307"/>
  <c r="J333" i="307"/>
  <c r="J334" i="307"/>
  <c r="J335" i="307"/>
  <c r="J336" i="307"/>
  <c r="J337" i="307"/>
  <c r="J338" i="307"/>
  <c r="J339" i="307"/>
  <c r="J340" i="307"/>
  <c r="J341" i="307"/>
  <c r="D514" i="311" l="1"/>
  <c r="D362" i="307"/>
  <c r="F3096" i="250"/>
  <c r="E3136" i="250"/>
  <c r="F3175" i="250"/>
  <c r="E3071" i="250"/>
  <c r="E3175" i="250"/>
  <c r="F3071" i="250"/>
  <c r="E3096" i="250"/>
  <c r="F3136" i="250"/>
  <c r="F506" i="311"/>
  <c r="E506" i="311"/>
  <c r="D513" i="311"/>
  <c r="D344" i="307"/>
  <c r="D380" i="307"/>
  <c r="D515" i="311"/>
  <c r="H3136" i="250"/>
  <c r="H3175" i="250"/>
  <c r="H3096" i="250"/>
  <c r="G3096" i="250"/>
  <c r="G3136" i="250"/>
  <c r="H3071" i="250"/>
  <c r="G3175" i="250"/>
  <c r="G3071" i="250"/>
  <c r="H385" i="307"/>
  <c r="H349" i="307"/>
  <c r="H367" i="307"/>
  <c r="G367" i="307"/>
  <c r="G385" i="307"/>
  <c r="G326" i="307"/>
  <c r="H326" i="307"/>
  <c r="G506" i="311"/>
  <c r="G349" i="307"/>
  <c r="H506" i="311"/>
  <c r="D398" i="307"/>
  <c r="D516" i="311"/>
  <c r="D1115" i="251"/>
  <c r="D1131" i="251"/>
  <c r="D1123" i="251"/>
  <c r="D1140" i="251"/>
  <c r="G322" i="301"/>
  <c r="M327" i="301"/>
  <c r="F3186" i="250"/>
  <c r="F510" i="311" s="1"/>
  <c r="F322" i="301"/>
  <c r="L327" i="301"/>
  <c r="N322" i="301"/>
  <c r="K327" i="301"/>
  <c r="M322" i="301"/>
  <c r="J327" i="301"/>
  <c r="L322" i="301"/>
  <c r="K322" i="301"/>
  <c r="F3147" i="250"/>
  <c r="F509" i="311" s="1"/>
  <c r="J322" i="301"/>
  <c r="E3186" i="250"/>
  <c r="E510" i="311" s="1"/>
  <c r="H3176" i="250"/>
  <c r="H3186" i="250" s="1"/>
  <c r="H510" i="311" s="1"/>
  <c r="N327" i="301"/>
  <c r="H330" i="301"/>
  <c r="K21" i="9" s="1"/>
  <c r="M21" i="9" s="1"/>
  <c r="G3087" i="250"/>
  <c r="G507" i="311" s="1"/>
  <c r="E3147" i="250"/>
  <c r="E509" i="311" s="1"/>
  <c r="G3137" i="250"/>
  <c r="G3147" i="250" s="1"/>
  <c r="G509" i="311" s="1"/>
  <c r="G3186" i="250"/>
  <c r="G510" i="311" s="1"/>
  <c r="J342" i="307"/>
  <c r="K100" i="9" s="1"/>
  <c r="M100" i="9" s="1"/>
  <c r="G3097" i="250"/>
  <c r="G3107" i="250" s="1"/>
  <c r="G508" i="311" s="1"/>
  <c r="E3107" i="250"/>
  <c r="E508" i="311" s="1"/>
  <c r="J360" i="307"/>
  <c r="K101" i="9" s="1"/>
  <c r="M101" i="9" s="1"/>
  <c r="H3097" i="250"/>
  <c r="H3107" i="250" s="1"/>
  <c r="H508" i="311" s="1"/>
  <c r="F3107" i="250"/>
  <c r="F508" i="311" s="1"/>
  <c r="F3087" i="250"/>
  <c r="F507" i="311" s="1"/>
  <c r="H3072" i="250"/>
  <c r="H3087" i="250" s="1"/>
  <c r="H507" i="311" s="1"/>
  <c r="J378" i="307"/>
  <c r="K102" i="9" s="1"/>
  <c r="M102" i="9" s="1"/>
  <c r="E3087" i="250"/>
  <c r="E507" i="311" s="1"/>
  <c r="J396" i="307"/>
  <c r="K103" i="9" s="1"/>
  <c r="M103" i="9" s="1"/>
  <c r="H3147" i="250"/>
  <c r="H509" i="311" s="1"/>
  <c r="B1113" i="251"/>
  <c r="C435" i="309" s="1"/>
  <c r="D435" i="329" s="1"/>
  <c r="B1121" i="251"/>
  <c r="C436" i="309" s="1"/>
  <c r="B1129" i="251"/>
  <c r="C439" i="309" s="1"/>
  <c r="B438" i="309"/>
  <c r="B1138" i="251"/>
  <c r="C440" i="309" s="1"/>
  <c r="B434" i="309"/>
  <c r="D764" i="251"/>
  <c r="D763" i="251"/>
  <c r="B760" i="251"/>
  <c r="B759" i="251" s="1"/>
  <c r="D755" i="251"/>
  <c r="D754" i="251"/>
  <c r="B751" i="251"/>
  <c r="B750" i="251" s="1"/>
  <c r="D727" i="251"/>
  <c r="D726" i="251"/>
  <c r="B723" i="251"/>
  <c r="B722" i="251" s="1"/>
  <c r="B649" i="251"/>
  <c r="B648" i="251" s="1"/>
  <c r="D653" i="251"/>
  <c r="D652" i="251"/>
  <c r="D690" i="251"/>
  <c r="D689" i="251"/>
  <c r="B686" i="251"/>
  <c r="B685" i="251" s="1"/>
  <c r="B612" i="251"/>
  <c r="B611" i="251" s="1"/>
  <c r="B1035" i="251"/>
  <c r="B1034" i="251" s="1"/>
  <c r="D1039" i="251"/>
  <c r="D1038" i="251"/>
  <c r="B1024" i="251"/>
  <c r="B1023" i="251" s="1"/>
  <c r="D1030" i="251"/>
  <c r="D1029" i="251"/>
  <c r="D1019" i="251"/>
  <c r="D1018" i="251"/>
  <c r="D1010" i="251"/>
  <c r="D1009" i="251"/>
  <c r="D1001" i="251"/>
  <c r="D1000" i="251"/>
  <c r="D964" i="251"/>
  <c r="D963" i="251"/>
  <c r="D928" i="251"/>
  <c r="D927" i="251"/>
  <c r="D992" i="251"/>
  <c r="D991" i="251"/>
  <c r="D955" i="251"/>
  <c r="D954" i="251"/>
  <c r="D919" i="251"/>
  <c r="D918" i="251"/>
  <c r="D983" i="251"/>
  <c r="D982" i="251"/>
  <c r="D946" i="251"/>
  <c r="D945" i="251"/>
  <c r="D910" i="251"/>
  <c r="D909" i="251"/>
  <c r="D973" i="251"/>
  <c r="D972" i="251"/>
  <c r="D937" i="251"/>
  <c r="D936" i="251"/>
  <c r="D901" i="251"/>
  <c r="D900" i="251"/>
  <c r="B1015" i="251"/>
  <c r="B1014" i="251" s="1"/>
  <c r="B1006" i="251"/>
  <c r="B1005" i="251" s="1"/>
  <c r="B997" i="251"/>
  <c r="B996" i="251" s="1"/>
  <c r="B960" i="251"/>
  <c r="B959" i="251" s="1"/>
  <c r="B924" i="251"/>
  <c r="B923" i="251" s="1"/>
  <c r="B988" i="251"/>
  <c r="B987" i="251" s="1"/>
  <c r="B951" i="251"/>
  <c r="B950" i="251" s="1"/>
  <c r="B915" i="251"/>
  <c r="B914" i="251" s="1"/>
  <c r="B942" i="251"/>
  <c r="B941" i="251" s="1"/>
  <c r="B979" i="251"/>
  <c r="B978" i="251" s="1"/>
  <c r="B906" i="251"/>
  <c r="B905" i="251" s="1"/>
  <c r="B969" i="251"/>
  <c r="B968" i="251" s="1"/>
  <c r="B933" i="251"/>
  <c r="B932" i="251" s="1"/>
  <c r="B897" i="251"/>
  <c r="B896" i="251" s="1"/>
  <c r="B1242" i="251"/>
  <c r="B1241" i="251" s="1"/>
  <c r="D1246" i="251"/>
  <c r="D1245" i="251"/>
  <c r="B1279" i="251"/>
  <c r="B1278" i="251" s="1"/>
  <c r="D1283" i="251"/>
  <c r="D1282" i="251"/>
  <c r="D1256" i="251"/>
  <c r="D1255" i="251"/>
  <c r="B1252" i="251"/>
  <c r="B1251" i="251" s="1"/>
  <c r="B1289" i="251"/>
  <c r="B1288" i="251" s="1"/>
  <c r="D1293" i="251"/>
  <c r="D1292" i="251"/>
  <c r="B1261" i="251"/>
  <c r="B1260" i="251" s="1"/>
  <c r="D1265" i="251"/>
  <c r="D1264" i="251"/>
  <c r="D1311" i="251"/>
  <c r="D1310" i="251"/>
  <c r="D1274" i="251"/>
  <c r="D1273" i="251"/>
  <c r="D1302" i="251"/>
  <c r="D1301" i="251"/>
  <c r="B1298" i="251"/>
  <c r="B1297" i="251" s="1"/>
  <c r="B1270" i="251"/>
  <c r="B1269" i="251" s="1"/>
  <c r="B1307" i="251"/>
  <c r="B1306" i="251" s="1"/>
  <c r="B714" i="251"/>
  <c r="B713" i="251" s="1"/>
  <c r="D718" i="251"/>
  <c r="D717" i="251"/>
  <c r="D681" i="251"/>
  <c r="D680" i="251"/>
  <c r="B677" i="251"/>
  <c r="B676" i="251" s="1"/>
  <c r="D644" i="251"/>
  <c r="D643" i="251"/>
  <c r="B640" i="251"/>
  <c r="B639" i="251" s="1"/>
  <c r="D607" i="251"/>
  <c r="D606" i="251"/>
  <c r="B603" i="251"/>
  <c r="B602" i="251" s="1"/>
  <c r="D625" i="251"/>
  <c r="D624" i="251"/>
  <c r="D588" i="251"/>
  <c r="D587" i="251"/>
  <c r="D662" i="251"/>
  <c r="D661" i="251"/>
  <c r="D699" i="251"/>
  <c r="D698" i="251"/>
  <c r="D736" i="251"/>
  <c r="D735" i="251"/>
  <c r="D598" i="251"/>
  <c r="D597" i="251"/>
  <c r="D635" i="251"/>
  <c r="D634" i="251"/>
  <c r="D672" i="251"/>
  <c r="D671" i="251"/>
  <c r="D709" i="251"/>
  <c r="D708" i="251"/>
  <c r="D746" i="251"/>
  <c r="D745" i="251"/>
  <c r="B742" i="251"/>
  <c r="B741" i="251" s="1"/>
  <c r="B705" i="251"/>
  <c r="B704" i="251" s="1"/>
  <c r="B668" i="251"/>
  <c r="B667" i="251" s="1"/>
  <c r="B631" i="251"/>
  <c r="B630" i="251" s="1"/>
  <c r="B594" i="251"/>
  <c r="B593" i="251" s="1"/>
  <c r="B732" i="251"/>
  <c r="B731" i="251" s="1"/>
  <c r="B695" i="251"/>
  <c r="B694" i="251" s="1"/>
  <c r="B658" i="251"/>
  <c r="B657" i="251" s="1"/>
  <c r="B621" i="251"/>
  <c r="B620" i="251" s="1"/>
  <c r="B584" i="251"/>
  <c r="B583" i="251" s="1"/>
  <c r="B451" i="251"/>
  <c r="B450" i="251" s="1"/>
  <c r="D483" i="251"/>
  <c r="D482" i="251"/>
  <c r="D474" i="251"/>
  <c r="D473" i="251"/>
  <c r="D409" i="251"/>
  <c r="D408" i="251"/>
  <c r="D446" i="251"/>
  <c r="D445" i="251"/>
  <c r="B479" i="251"/>
  <c r="B478" i="251" s="1"/>
  <c r="B442" i="251"/>
  <c r="B441" i="251" s="1"/>
  <c r="B470" i="251"/>
  <c r="B469" i="251" s="1"/>
  <c r="B433" i="251"/>
  <c r="B432" i="251" s="1"/>
  <c r="D437" i="251"/>
  <c r="D436" i="251"/>
  <c r="D400" i="251"/>
  <c r="D399" i="251"/>
  <c r="D428" i="251"/>
  <c r="D427" i="251"/>
  <c r="D465" i="251"/>
  <c r="D464" i="251"/>
  <c r="B461" i="251"/>
  <c r="B460" i="251" s="1"/>
  <c r="B424" i="251"/>
  <c r="B423" i="251" s="1"/>
  <c r="B414" i="251"/>
  <c r="B413" i="251" s="1"/>
  <c r="D418" i="251"/>
  <c r="D417" i="251"/>
  <c r="D381" i="251"/>
  <c r="D380" i="251"/>
  <c r="D276" i="251"/>
  <c r="D275" i="251"/>
  <c r="D267" i="251"/>
  <c r="D266" i="251"/>
  <c r="D258" i="251"/>
  <c r="D257" i="251"/>
  <c r="D248" i="251"/>
  <c r="D247" i="251"/>
  <c r="D143" i="251"/>
  <c r="D142" i="251"/>
  <c r="D106" i="251"/>
  <c r="D105" i="251"/>
  <c r="D134" i="251"/>
  <c r="D133" i="251"/>
  <c r="D97" i="251"/>
  <c r="D96" i="251"/>
  <c r="D125" i="251"/>
  <c r="D124" i="251"/>
  <c r="D88" i="251"/>
  <c r="D87" i="251"/>
  <c r="B405" i="251"/>
  <c r="B404" i="251" s="1"/>
  <c r="B396" i="251"/>
  <c r="B395" i="251" s="1"/>
  <c r="B387" i="251"/>
  <c r="B386" i="251" s="1"/>
  <c r="B377" i="251"/>
  <c r="B376" i="251" s="1"/>
  <c r="B272" i="251"/>
  <c r="B271" i="251" s="1"/>
  <c r="B263" i="251"/>
  <c r="B262" i="251" s="1"/>
  <c r="B254" i="251"/>
  <c r="B253" i="251" s="1"/>
  <c r="B244" i="251"/>
  <c r="B243" i="251" s="1"/>
  <c r="B139" i="251"/>
  <c r="B138" i="251" s="1"/>
  <c r="B102" i="251"/>
  <c r="B101" i="251" s="1"/>
  <c r="B130" i="251"/>
  <c r="B129" i="251" s="1"/>
  <c r="B93" i="251"/>
  <c r="B92" i="251" s="1"/>
  <c r="B121" i="251"/>
  <c r="B120" i="251" s="1"/>
  <c r="B74" i="251"/>
  <c r="B111" i="251"/>
  <c r="B84" i="251"/>
  <c r="B83" i="251" s="1"/>
  <c r="D115" i="251"/>
  <c r="D78" i="251"/>
  <c r="D114" i="251"/>
  <c r="D77" i="251"/>
  <c r="F171" i="250"/>
  <c r="F172" i="250"/>
  <c r="F173" i="250"/>
  <c r="F174" i="250"/>
  <c r="F175" i="250"/>
  <c r="F176" i="250"/>
  <c r="F177" i="250"/>
  <c r="F178" i="250"/>
  <c r="F179" i="250"/>
  <c r="F180" i="250"/>
  <c r="F181" i="250"/>
  <c r="F182" i="250"/>
  <c r="F183" i="250"/>
  <c r="F184" i="250"/>
  <c r="F185" i="250"/>
  <c r="E171" i="250"/>
  <c r="E172" i="250"/>
  <c r="E173" i="250"/>
  <c r="E174" i="250"/>
  <c r="E175" i="250"/>
  <c r="E176" i="250"/>
  <c r="E177" i="250"/>
  <c r="E178" i="250"/>
  <c r="E179" i="250"/>
  <c r="E180" i="250"/>
  <c r="E181" i="250"/>
  <c r="E182" i="250"/>
  <c r="E183" i="250"/>
  <c r="E184" i="250"/>
  <c r="E185" i="250"/>
  <c r="D40" i="311"/>
  <c r="D171" i="250"/>
  <c r="D172" i="250"/>
  <c r="D173" i="250"/>
  <c r="D174" i="250"/>
  <c r="D175" i="250"/>
  <c r="D176" i="250"/>
  <c r="D177" i="250"/>
  <c r="D178" i="250"/>
  <c r="D179" i="250"/>
  <c r="D180" i="250"/>
  <c r="D181" i="250"/>
  <c r="D182" i="250"/>
  <c r="D183" i="250"/>
  <c r="D184" i="250"/>
  <c r="D185" i="250"/>
  <c r="D56" i="311"/>
  <c r="D255" i="250"/>
  <c r="D256" i="250"/>
  <c r="D257" i="250"/>
  <c r="D258" i="250"/>
  <c r="D259" i="250"/>
  <c r="D260" i="250"/>
  <c r="D261" i="250"/>
  <c r="D262" i="250"/>
  <c r="D263" i="250"/>
  <c r="D264" i="250"/>
  <c r="D265" i="250"/>
  <c r="D266" i="250"/>
  <c r="D267" i="250"/>
  <c r="D268" i="250"/>
  <c r="D269" i="250"/>
  <c r="F196" i="250"/>
  <c r="F197" i="250"/>
  <c r="F198" i="250"/>
  <c r="F199" i="250"/>
  <c r="F200" i="250"/>
  <c r="F201" i="250"/>
  <c r="F202" i="250"/>
  <c r="F203" i="250"/>
  <c r="F204" i="250"/>
  <c r="F205" i="250"/>
  <c r="E196" i="250"/>
  <c r="E197" i="250"/>
  <c r="E198" i="250"/>
  <c r="E199" i="250"/>
  <c r="E200" i="250"/>
  <c r="E201" i="250"/>
  <c r="E202" i="250"/>
  <c r="E203" i="250"/>
  <c r="E204" i="250"/>
  <c r="E205" i="250"/>
  <c r="D41" i="311"/>
  <c r="D196" i="250"/>
  <c r="D197" i="250"/>
  <c r="D198" i="250"/>
  <c r="D199" i="250"/>
  <c r="D200" i="250"/>
  <c r="D201" i="250"/>
  <c r="D202" i="250"/>
  <c r="D203" i="250"/>
  <c r="D204" i="250"/>
  <c r="D205" i="250"/>
  <c r="D57" i="311"/>
  <c r="D280" i="250"/>
  <c r="D281" i="250"/>
  <c r="D282" i="250"/>
  <c r="D283" i="250"/>
  <c r="D284" i="250"/>
  <c r="D285" i="250"/>
  <c r="D286" i="250"/>
  <c r="D287" i="250"/>
  <c r="D288" i="250"/>
  <c r="D289" i="250"/>
  <c r="F216" i="250"/>
  <c r="F217" i="250"/>
  <c r="F218" i="250"/>
  <c r="F219" i="250"/>
  <c r="F220" i="250"/>
  <c r="F221" i="250"/>
  <c r="F222" i="250"/>
  <c r="F223" i="250"/>
  <c r="F224" i="250"/>
  <c r="F225" i="250"/>
  <c r="E216" i="250"/>
  <c r="E217" i="250"/>
  <c r="E218" i="250"/>
  <c r="E219" i="250"/>
  <c r="E220" i="250"/>
  <c r="E221" i="250"/>
  <c r="E222" i="250"/>
  <c r="E223" i="250"/>
  <c r="E224" i="250"/>
  <c r="E225" i="250"/>
  <c r="D42" i="311"/>
  <c r="D216" i="250"/>
  <c r="D217" i="250"/>
  <c r="D218" i="250"/>
  <c r="D219" i="250"/>
  <c r="D220" i="250"/>
  <c r="D221" i="250"/>
  <c r="D222" i="250"/>
  <c r="D223" i="250"/>
  <c r="D224" i="250"/>
  <c r="D225" i="250"/>
  <c r="D58" i="311"/>
  <c r="D300" i="250"/>
  <c r="D301" i="250"/>
  <c r="D302" i="250"/>
  <c r="D303" i="250"/>
  <c r="D304" i="250"/>
  <c r="D305" i="250"/>
  <c r="D306" i="250"/>
  <c r="D307" i="250"/>
  <c r="D308" i="250"/>
  <c r="D309" i="250"/>
  <c r="F236" i="250"/>
  <c r="F237" i="250"/>
  <c r="F238" i="250"/>
  <c r="F239" i="250"/>
  <c r="F240" i="250"/>
  <c r="F241" i="250"/>
  <c r="F242" i="250"/>
  <c r="F243" i="250"/>
  <c r="F244" i="250"/>
  <c r="F245" i="250"/>
  <c r="E236" i="250"/>
  <c r="E237" i="250"/>
  <c r="E238" i="250"/>
  <c r="E239" i="250"/>
  <c r="E240" i="250"/>
  <c r="E241" i="250"/>
  <c r="E242" i="250"/>
  <c r="E243" i="250"/>
  <c r="E244" i="250"/>
  <c r="E245" i="250"/>
  <c r="D43" i="311"/>
  <c r="D236" i="250"/>
  <c r="D237" i="250"/>
  <c r="D238" i="250"/>
  <c r="D239" i="250"/>
  <c r="D240" i="250"/>
  <c r="D241" i="250"/>
  <c r="D242" i="250"/>
  <c r="D243" i="250"/>
  <c r="D244" i="250"/>
  <c r="D245" i="250"/>
  <c r="D59" i="311"/>
  <c r="D320" i="250"/>
  <c r="D321" i="250"/>
  <c r="D322" i="250"/>
  <c r="D323" i="250"/>
  <c r="D324" i="250"/>
  <c r="D325" i="250"/>
  <c r="D326" i="250"/>
  <c r="D327" i="250"/>
  <c r="D328" i="250"/>
  <c r="D329" i="250"/>
  <c r="F2859" i="250"/>
  <c r="F2860" i="250"/>
  <c r="F2861" i="250"/>
  <c r="F2862" i="250"/>
  <c r="F2863" i="250"/>
  <c r="F2864" i="250"/>
  <c r="F2865" i="250"/>
  <c r="F2866" i="250"/>
  <c r="F2867" i="250"/>
  <c r="F2868" i="250"/>
  <c r="F2869" i="250"/>
  <c r="F2870" i="250"/>
  <c r="F2871" i="250"/>
  <c r="F2872" i="250"/>
  <c r="F2873" i="250"/>
  <c r="E2859" i="250"/>
  <c r="E2860" i="250"/>
  <c r="E2861" i="250"/>
  <c r="E2862" i="250"/>
  <c r="E2863" i="250"/>
  <c r="E2864" i="250"/>
  <c r="E2865" i="250"/>
  <c r="E2866" i="250"/>
  <c r="E2867" i="250"/>
  <c r="E2868" i="250"/>
  <c r="E2869" i="250"/>
  <c r="E2870" i="250"/>
  <c r="E2871" i="250"/>
  <c r="E2872" i="250"/>
  <c r="E2873" i="250"/>
  <c r="D459" i="311"/>
  <c r="D2859" i="250"/>
  <c r="D2860" i="250"/>
  <c r="D2861" i="250"/>
  <c r="D2862" i="250"/>
  <c r="D2863" i="250"/>
  <c r="D2864" i="250"/>
  <c r="D2865" i="250"/>
  <c r="D2866" i="250"/>
  <c r="D2867" i="250"/>
  <c r="D2868" i="250"/>
  <c r="D2869" i="250"/>
  <c r="D2870" i="250"/>
  <c r="D2871" i="250"/>
  <c r="D2872" i="250"/>
  <c r="D2873" i="250"/>
  <c r="F3027" i="250"/>
  <c r="F3028" i="250"/>
  <c r="F3029" i="250"/>
  <c r="F3030" i="250"/>
  <c r="F3031" i="250"/>
  <c r="F3032" i="250"/>
  <c r="F3033" i="250"/>
  <c r="F3034" i="250"/>
  <c r="F3035" i="250"/>
  <c r="F3036" i="250"/>
  <c r="F3037" i="250"/>
  <c r="F3038" i="250"/>
  <c r="F3039" i="250"/>
  <c r="F3040" i="250"/>
  <c r="F3041" i="250"/>
  <c r="E3027" i="250"/>
  <c r="E3028" i="250"/>
  <c r="E3029" i="250"/>
  <c r="E3030" i="250"/>
  <c r="E3031" i="250"/>
  <c r="E3032" i="250"/>
  <c r="E3033" i="250"/>
  <c r="E3034" i="250"/>
  <c r="E3035" i="250"/>
  <c r="E3036" i="250"/>
  <c r="E3037" i="250"/>
  <c r="E3038" i="250"/>
  <c r="E3039" i="250"/>
  <c r="E3040" i="250"/>
  <c r="E3041" i="250"/>
  <c r="D475" i="311"/>
  <c r="D3027" i="250"/>
  <c r="D3028" i="250"/>
  <c r="D3029" i="250"/>
  <c r="D3030" i="250"/>
  <c r="D3031" i="250"/>
  <c r="D3032" i="250"/>
  <c r="D3033" i="250"/>
  <c r="D3034" i="250"/>
  <c r="D3035" i="250"/>
  <c r="D3036" i="250"/>
  <c r="D3037" i="250"/>
  <c r="D3038" i="250"/>
  <c r="D3039" i="250"/>
  <c r="D3040" i="250"/>
  <c r="D3041" i="250"/>
  <c r="F2943" i="250"/>
  <c r="F2944" i="250"/>
  <c r="F2945" i="250"/>
  <c r="F2946" i="250"/>
  <c r="F2947" i="250"/>
  <c r="F2948" i="250"/>
  <c r="F2949" i="250"/>
  <c r="F2950" i="250"/>
  <c r="F2951" i="250"/>
  <c r="F2952" i="250"/>
  <c r="F2953" i="250"/>
  <c r="F2954" i="250"/>
  <c r="F2955" i="250"/>
  <c r="F2956" i="250"/>
  <c r="F2957" i="250"/>
  <c r="E2943" i="250"/>
  <c r="E2944" i="250"/>
  <c r="E2945" i="250"/>
  <c r="E2946" i="250"/>
  <c r="E2947" i="250"/>
  <c r="E2948" i="250"/>
  <c r="E2949" i="250"/>
  <c r="E2950" i="250"/>
  <c r="E2951" i="250"/>
  <c r="E2952" i="250"/>
  <c r="E2953" i="250"/>
  <c r="E2954" i="250"/>
  <c r="E2955" i="250"/>
  <c r="E2956" i="250"/>
  <c r="E2957" i="250"/>
  <c r="D491" i="311"/>
  <c r="D2943" i="250"/>
  <c r="D2944" i="250"/>
  <c r="D2945" i="250"/>
  <c r="D2946" i="250"/>
  <c r="D2947" i="250"/>
  <c r="D2948" i="250"/>
  <c r="D2949" i="250"/>
  <c r="D2950" i="250"/>
  <c r="D2951" i="250"/>
  <c r="D2952" i="250"/>
  <c r="D2953" i="250"/>
  <c r="D2954" i="250"/>
  <c r="D2955" i="250"/>
  <c r="D2956" i="250"/>
  <c r="D2957" i="250"/>
  <c r="F2884" i="250"/>
  <c r="F2885" i="250"/>
  <c r="F2886" i="250"/>
  <c r="F2887" i="250"/>
  <c r="F2888" i="250"/>
  <c r="F2889" i="250"/>
  <c r="F2890" i="250"/>
  <c r="F2891" i="250"/>
  <c r="F2892" i="250"/>
  <c r="F2893" i="250"/>
  <c r="E2884" i="250"/>
  <c r="E2885" i="250"/>
  <c r="E2886" i="250"/>
  <c r="E2887" i="250"/>
  <c r="E2888" i="250"/>
  <c r="E2889" i="250"/>
  <c r="E2890" i="250"/>
  <c r="E2891" i="250"/>
  <c r="E2892" i="250"/>
  <c r="E2893" i="250"/>
  <c r="D460" i="311"/>
  <c r="D2884" i="250"/>
  <c r="D2885" i="250"/>
  <c r="D2886" i="250"/>
  <c r="D2887" i="250"/>
  <c r="D2888" i="250"/>
  <c r="D2889" i="250"/>
  <c r="D2890" i="250"/>
  <c r="D2891" i="250"/>
  <c r="D2892" i="250"/>
  <c r="D2893" i="250"/>
  <c r="F2968" i="250"/>
  <c r="F2969" i="250"/>
  <c r="F2970" i="250"/>
  <c r="F2971" i="250"/>
  <c r="F2972" i="250"/>
  <c r="F2973" i="250"/>
  <c r="F2974" i="250"/>
  <c r="F2975" i="250"/>
  <c r="F2976" i="250"/>
  <c r="F2977" i="250"/>
  <c r="E2968" i="250"/>
  <c r="E2969" i="250"/>
  <c r="E2970" i="250"/>
  <c r="E2971" i="250"/>
  <c r="E2972" i="250"/>
  <c r="E2973" i="250"/>
  <c r="E2974" i="250"/>
  <c r="E2975" i="250"/>
  <c r="E2976" i="250"/>
  <c r="E2977" i="250"/>
  <c r="D476" i="311"/>
  <c r="D2968" i="250"/>
  <c r="D2969" i="250"/>
  <c r="D2970" i="250"/>
  <c r="D2971" i="250"/>
  <c r="D2972" i="250"/>
  <c r="D2973" i="250"/>
  <c r="D2974" i="250"/>
  <c r="D2975" i="250"/>
  <c r="D2976" i="250"/>
  <c r="D2977" i="250"/>
  <c r="F3052" i="250"/>
  <c r="F3053" i="250"/>
  <c r="F3054" i="250"/>
  <c r="F3055" i="250"/>
  <c r="F3056" i="250"/>
  <c r="F3057" i="250"/>
  <c r="F3058" i="250"/>
  <c r="F3059" i="250"/>
  <c r="F3060" i="250"/>
  <c r="F3061" i="250"/>
  <c r="E3052" i="250"/>
  <c r="E3053" i="250"/>
  <c r="E3054" i="250"/>
  <c r="E3055" i="250"/>
  <c r="E3056" i="250"/>
  <c r="E3057" i="250"/>
  <c r="E3058" i="250"/>
  <c r="E3059" i="250"/>
  <c r="E3060" i="250"/>
  <c r="E3061" i="250"/>
  <c r="D492" i="311"/>
  <c r="D3052" i="250"/>
  <c r="D3053" i="250"/>
  <c r="D3054" i="250"/>
  <c r="D3055" i="250"/>
  <c r="D3056" i="250"/>
  <c r="D3057" i="250"/>
  <c r="D3058" i="250"/>
  <c r="D3059" i="250"/>
  <c r="D3060" i="250"/>
  <c r="D3061" i="250"/>
  <c r="F2904" i="250"/>
  <c r="F2905" i="250"/>
  <c r="F2906" i="250"/>
  <c r="F2907" i="250"/>
  <c r="F2908" i="250"/>
  <c r="F2909" i="250"/>
  <c r="F2910" i="250"/>
  <c r="F2911" i="250"/>
  <c r="F2912" i="250"/>
  <c r="F2913" i="250"/>
  <c r="E2904" i="250"/>
  <c r="E2905" i="250"/>
  <c r="E2906" i="250"/>
  <c r="E2907" i="250"/>
  <c r="E2908" i="250"/>
  <c r="E2909" i="250"/>
  <c r="E2910" i="250"/>
  <c r="E2911" i="250"/>
  <c r="E2912" i="250"/>
  <c r="E2913" i="250"/>
  <c r="D461" i="311"/>
  <c r="D2904" i="250"/>
  <c r="D2905" i="250"/>
  <c r="D2906" i="250"/>
  <c r="D2907" i="250"/>
  <c r="D2908" i="250"/>
  <c r="D2909" i="250"/>
  <c r="D2910" i="250"/>
  <c r="D2911" i="250"/>
  <c r="D2912" i="250"/>
  <c r="D2913" i="250"/>
  <c r="F2988" i="250"/>
  <c r="F2989" i="250"/>
  <c r="F2990" i="250"/>
  <c r="F2991" i="250"/>
  <c r="F2992" i="250"/>
  <c r="F2993" i="250"/>
  <c r="F2994" i="250"/>
  <c r="F2995" i="250"/>
  <c r="F2996" i="250"/>
  <c r="F2997" i="250"/>
  <c r="E2988" i="250"/>
  <c r="E2989" i="250"/>
  <c r="E2990" i="250"/>
  <c r="E2991" i="250"/>
  <c r="E2992" i="250"/>
  <c r="E2993" i="250"/>
  <c r="E2994" i="250"/>
  <c r="E2995" i="250"/>
  <c r="E2996" i="250"/>
  <c r="E2997" i="250"/>
  <c r="D477" i="311"/>
  <c r="D2988" i="250"/>
  <c r="D2989" i="250"/>
  <c r="D2990" i="250"/>
  <c r="D2991" i="250"/>
  <c r="D2992" i="250"/>
  <c r="D2993" i="250"/>
  <c r="D2994" i="250"/>
  <c r="D2995" i="250"/>
  <c r="D2996" i="250"/>
  <c r="D2997" i="250"/>
  <c r="F3117" i="250"/>
  <c r="F3118" i="250"/>
  <c r="F3119" i="250"/>
  <c r="F3120" i="250"/>
  <c r="F3121" i="250"/>
  <c r="F3122" i="250"/>
  <c r="F3123" i="250"/>
  <c r="F3124" i="250"/>
  <c r="F3125" i="250"/>
  <c r="F3126" i="250"/>
  <c r="E3117" i="250"/>
  <c r="E3118" i="250"/>
  <c r="E3119" i="250"/>
  <c r="E3120" i="250"/>
  <c r="E3121" i="250"/>
  <c r="E3122" i="250"/>
  <c r="E3123" i="250"/>
  <c r="E3124" i="250"/>
  <c r="E3125" i="250"/>
  <c r="E3126" i="250"/>
  <c r="D493" i="311"/>
  <c r="D3117" i="250"/>
  <c r="D3118" i="250"/>
  <c r="D3119" i="250"/>
  <c r="D3120" i="250"/>
  <c r="D3121" i="250"/>
  <c r="D3122" i="250"/>
  <c r="D3123" i="250"/>
  <c r="D3124" i="250"/>
  <c r="D3125" i="250"/>
  <c r="D3126" i="250"/>
  <c r="F2924" i="250"/>
  <c r="F2925" i="250"/>
  <c r="F2926" i="250"/>
  <c r="F2927" i="250"/>
  <c r="F2928" i="250"/>
  <c r="F2929" i="250"/>
  <c r="F2930" i="250"/>
  <c r="F2931" i="250"/>
  <c r="F2932" i="250"/>
  <c r="F2933" i="250"/>
  <c r="E2924" i="250"/>
  <c r="E2925" i="250"/>
  <c r="E2926" i="250"/>
  <c r="E2927" i="250"/>
  <c r="E2928" i="250"/>
  <c r="E2929" i="250"/>
  <c r="E2930" i="250"/>
  <c r="E2931" i="250"/>
  <c r="E2932" i="250"/>
  <c r="E2933" i="250"/>
  <c r="D462" i="311"/>
  <c r="D2924" i="250"/>
  <c r="D2925" i="250"/>
  <c r="D2926" i="250"/>
  <c r="D2927" i="250"/>
  <c r="D2928" i="250"/>
  <c r="D2929" i="250"/>
  <c r="D2930" i="250"/>
  <c r="D2931" i="250"/>
  <c r="D2932" i="250"/>
  <c r="D2933" i="250"/>
  <c r="F3008" i="250"/>
  <c r="F3009" i="250"/>
  <c r="F3010" i="250"/>
  <c r="F3011" i="250"/>
  <c r="F3012" i="250"/>
  <c r="F3013" i="250"/>
  <c r="F3014" i="250"/>
  <c r="F3015" i="250"/>
  <c r="F3016" i="250"/>
  <c r="F3017" i="250"/>
  <c r="E3008" i="250"/>
  <c r="E3009" i="250"/>
  <c r="E3010" i="250"/>
  <c r="E3011" i="250"/>
  <c r="E3012" i="250"/>
  <c r="E3013" i="250"/>
  <c r="E3014" i="250"/>
  <c r="E3015" i="250"/>
  <c r="E3016" i="250"/>
  <c r="E3017" i="250"/>
  <c r="D478" i="311"/>
  <c r="D3008" i="250"/>
  <c r="D3009" i="250"/>
  <c r="D3010" i="250"/>
  <c r="D3011" i="250"/>
  <c r="D3012" i="250"/>
  <c r="D3013" i="250"/>
  <c r="D3014" i="250"/>
  <c r="D3015" i="250"/>
  <c r="D3016" i="250"/>
  <c r="D3017" i="250"/>
  <c r="F3157" i="250"/>
  <c r="F3158" i="250"/>
  <c r="F3159" i="250"/>
  <c r="F3160" i="250"/>
  <c r="F3161" i="250"/>
  <c r="F3162" i="250"/>
  <c r="F3163" i="250"/>
  <c r="F3164" i="250"/>
  <c r="F3165" i="250"/>
  <c r="F3166" i="250"/>
  <c r="E3157" i="250"/>
  <c r="E3158" i="250"/>
  <c r="E3159" i="250"/>
  <c r="E3160" i="250"/>
  <c r="E3161" i="250"/>
  <c r="E3162" i="250"/>
  <c r="E3163" i="250"/>
  <c r="E3164" i="250"/>
  <c r="E3165" i="250"/>
  <c r="E3166" i="250"/>
  <c r="D494" i="311"/>
  <c r="D3157" i="250"/>
  <c r="D3158" i="250"/>
  <c r="D3159" i="250"/>
  <c r="D3160" i="250"/>
  <c r="D3161" i="250"/>
  <c r="D3162" i="250"/>
  <c r="D3163" i="250"/>
  <c r="D3164" i="250"/>
  <c r="D3165" i="250"/>
  <c r="D3166" i="250"/>
  <c r="D178" i="311"/>
  <c r="D927" i="250"/>
  <c r="D928" i="250"/>
  <c r="D929" i="250"/>
  <c r="D930" i="250"/>
  <c r="D931" i="250"/>
  <c r="D932" i="250"/>
  <c r="D933" i="250"/>
  <c r="D934" i="250"/>
  <c r="D935" i="250"/>
  <c r="D936" i="250"/>
  <c r="D937" i="250"/>
  <c r="D938" i="250"/>
  <c r="D939" i="250"/>
  <c r="D940" i="250"/>
  <c r="D941" i="250"/>
  <c r="D194" i="311"/>
  <c r="D1011" i="250"/>
  <c r="D1012" i="250"/>
  <c r="D1013" i="250"/>
  <c r="D1014" i="250"/>
  <c r="D1015" i="250"/>
  <c r="D1016" i="250"/>
  <c r="D1017" i="250"/>
  <c r="D1018" i="250"/>
  <c r="D1019" i="250"/>
  <c r="D1020" i="250"/>
  <c r="D1021" i="250"/>
  <c r="D1022" i="250"/>
  <c r="D1023" i="250"/>
  <c r="D1024" i="250"/>
  <c r="D1025" i="250"/>
  <c r="D210" i="311"/>
  <c r="D1095" i="250"/>
  <c r="D1096" i="250"/>
  <c r="D1097" i="250"/>
  <c r="D1098" i="250"/>
  <c r="D1099" i="250"/>
  <c r="D1100" i="250"/>
  <c r="D1101" i="250"/>
  <c r="D1102" i="250"/>
  <c r="D1103" i="250"/>
  <c r="D1104" i="250"/>
  <c r="D1105" i="250"/>
  <c r="D1106" i="250"/>
  <c r="D1107" i="250"/>
  <c r="D1108" i="250"/>
  <c r="D1109" i="250"/>
  <c r="D179" i="311"/>
  <c r="D952" i="250"/>
  <c r="D953" i="250"/>
  <c r="D954" i="250"/>
  <c r="D955" i="250"/>
  <c r="D956" i="250"/>
  <c r="D957" i="250"/>
  <c r="D958" i="250"/>
  <c r="D959" i="250"/>
  <c r="D960" i="250"/>
  <c r="D961" i="250"/>
  <c r="D195" i="311"/>
  <c r="D1036" i="250"/>
  <c r="D1037" i="250"/>
  <c r="D1038" i="250"/>
  <c r="D1039" i="250"/>
  <c r="D1040" i="250"/>
  <c r="D1041" i="250"/>
  <c r="D1042" i="250"/>
  <c r="D1043" i="250"/>
  <c r="D1044" i="250"/>
  <c r="D1045" i="250"/>
  <c r="D211" i="311"/>
  <c r="D1120" i="250"/>
  <c r="D1121" i="250"/>
  <c r="D1122" i="250"/>
  <c r="D1123" i="250"/>
  <c r="D1124" i="250"/>
  <c r="D1125" i="250"/>
  <c r="D1126" i="250"/>
  <c r="D1127" i="250"/>
  <c r="D1128" i="250"/>
  <c r="D1129" i="250"/>
  <c r="D180" i="311"/>
  <c r="D972" i="250"/>
  <c r="D973" i="250"/>
  <c r="D974" i="250"/>
  <c r="D975" i="250"/>
  <c r="D976" i="250"/>
  <c r="D977" i="250"/>
  <c r="D978" i="250"/>
  <c r="D979" i="250"/>
  <c r="D980" i="250"/>
  <c r="D981" i="250"/>
  <c r="D196" i="311"/>
  <c r="D1056" i="250"/>
  <c r="D1057" i="250"/>
  <c r="D1058" i="250"/>
  <c r="D1059" i="250"/>
  <c r="D1060" i="250"/>
  <c r="D1061" i="250"/>
  <c r="D1062" i="250"/>
  <c r="D1063" i="250"/>
  <c r="D1064" i="250"/>
  <c r="D1065" i="250"/>
  <c r="D212" i="311"/>
  <c r="D1140" i="250"/>
  <c r="D1141" i="250"/>
  <c r="D1142" i="250"/>
  <c r="D1143" i="250"/>
  <c r="D1144" i="250"/>
  <c r="D1145" i="250"/>
  <c r="D1146" i="250"/>
  <c r="D1147" i="250"/>
  <c r="D1148" i="250"/>
  <c r="D1149" i="250"/>
  <c r="D181" i="311"/>
  <c r="D992" i="250"/>
  <c r="D993" i="250"/>
  <c r="D994" i="250"/>
  <c r="D995" i="250"/>
  <c r="D996" i="250"/>
  <c r="D997" i="250"/>
  <c r="D998" i="250"/>
  <c r="D999" i="250"/>
  <c r="D1000" i="250"/>
  <c r="D1001" i="250"/>
  <c r="D197" i="311"/>
  <c r="D1076" i="250"/>
  <c r="D1077" i="250"/>
  <c r="D1078" i="250"/>
  <c r="D1079" i="250"/>
  <c r="D1080" i="250"/>
  <c r="D1081" i="250"/>
  <c r="D1082" i="250"/>
  <c r="D1083" i="250"/>
  <c r="D1084" i="250"/>
  <c r="D1085" i="250"/>
  <c r="D213" i="311"/>
  <c r="D1160" i="250"/>
  <c r="D1161" i="250"/>
  <c r="D1162" i="250"/>
  <c r="D1163" i="250"/>
  <c r="D1164" i="250"/>
  <c r="D1165" i="250"/>
  <c r="D1166" i="250"/>
  <c r="D1167" i="250"/>
  <c r="D1168" i="250"/>
  <c r="D1169" i="250"/>
  <c r="D271" i="311"/>
  <c r="D1431" i="250"/>
  <c r="D1432" i="250"/>
  <c r="D1433" i="250"/>
  <c r="D1434" i="250"/>
  <c r="D1435" i="250"/>
  <c r="D1436" i="250"/>
  <c r="D1437" i="250"/>
  <c r="D1438" i="250"/>
  <c r="D1439" i="250"/>
  <c r="D1440" i="250"/>
  <c r="D1441" i="250"/>
  <c r="D1442" i="250"/>
  <c r="D1443" i="250"/>
  <c r="D1444" i="250"/>
  <c r="D1445" i="250"/>
  <c r="D287" i="311"/>
  <c r="D1515" i="250"/>
  <c r="D1516" i="250"/>
  <c r="D1517" i="250"/>
  <c r="D1518" i="250"/>
  <c r="D1519" i="250"/>
  <c r="D1520" i="250"/>
  <c r="D1521" i="250"/>
  <c r="D1522" i="250"/>
  <c r="D1523" i="250"/>
  <c r="D1524" i="250"/>
  <c r="D1525" i="250"/>
  <c r="D1526" i="250"/>
  <c r="D1527" i="250"/>
  <c r="D1528" i="250"/>
  <c r="D1529" i="250"/>
  <c r="D303" i="311"/>
  <c r="D1599" i="250"/>
  <c r="D1600" i="250"/>
  <c r="D1601" i="250"/>
  <c r="D1602" i="250"/>
  <c r="D1603" i="250"/>
  <c r="D1604" i="250"/>
  <c r="D1605" i="250"/>
  <c r="D1606" i="250"/>
  <c r="D1607" i="250"/>
  <c r="D1608" i="250"/>
  <c r="D1609" i="250"/>
  <c r="D1610" i="250"/>
  <c r="D1611" i="250"/>
  <c r="D1612" i="250"/>
  <c r="D1613" i="250"/>
  <c r="D319" i="311"/>
  <c r="D1683" i="250"/>
  <c r="D1684" i="250"/>
  <c r="D1685" i="250"/>
  <c r="D1686" i="250"/>
  <c r="D1687" i="250"/>
  <c r="D1688" i="250"/>
  <c r="D1689" i="250"/>
  <c r="D1690" i="250"/>
  <c r="D1691" i="250"/>
  <c r="D1692" i="250"/>
  <c r="D1693" i="250"/>
  <c r="D1694" i="250"/>
  <c r="D1695" i="250"/>
  <c r="D1696" i="250"/>
  <c r="D1697" i="250"/>
  <c r="D335" i="311"/>
  <c r="D1767" i="250"/>
  <c r="D1768" i="250"/>
  <c r="D1769" i="250"/>
  <c r="D1770" i="250"/>
  <c r="D1771" i="250"/>
  <c r="D1772" i="250"/>
  <c r="D1773" i="250"/>
  <c r="D1774" i="250"/>
  <c r="D1775" i="250"/>
  <c r="D1776" i="250"/>
  <c r="D1777" i="250"/>
  <c r="D1778" i="250"/>
  <c r="D1779" i="250"/>
  <c r="D1780" i="250"/>
  <c r="D1781" i="250"/>
  <c r="D272" i="311"/>
  <c r="D1456" i="250"/>
  <c r="D1457" i="250"/>
  <c r="D1458" i="250"/>
  <c r="D1459" i="250"/>
  <c r="D1460" i="250"/>
  <c r="D1461" i="250"/>
  <c r="D1462" i="250"/>
  <c r="D1463" i="250"/>
  <c r="D1464" i="250"/>
  <c r="D1465" i="250"/>
  <c r="D288" i="311"/>
  <c r="D1540" i="250"/>
  <c r="D1541" i="250"/>
  <c r="D1542" i="250"/>
  <c r="D1543" i="250"/>
  <c r="D1544" i="250"/>
  <c r="D1545" i="250"/>
  <c r="D1546" i="250"/>
  <c r="D1547" i="250"/>
  <c r="D1548" i="250"/>
  <c r="D1549" i="250"/>
  <c r="D304" i="311"/>
  <c r="D1624" i="250"/>
  <c r="D1625" i="250"/>
  <c r="D1626" i="250"/>
  <c r="D1627" i="250"/>
  <c r="D1628" i="250"/>
  <c r="D1629" i="250"/>
  <c r="D1630" i="250"/>
  <c r="D1631" i="250"/>
  <c r="D1632" i="250"/>
  <c r="D1633" i="250"/>
  <c r="D320" i="311"/>
  <c r="D1708" i="250"/>
  <c r="D1709" i="250"/>
  <c r="D1710" i="250"/>
  <c r="D1711" i="250"/>
  <c r="D1712" i="250"/>
  <c r="D1713" i="250"/>
  <c r="D1714" i="250"/>
  <c r="D1715" i="250"/>
  <c r="D1716" i="250"/>
  <c r="D1717" i="250"/>
  <c r="D336" i="311"/>
  <c r="D1792" i="250"/>
  <c r="D1793" i="250"/>
  <c r="D1794" i="250"/>
  <c r="D1795" i="250"/>
  <c r="D1796" i="250"/>
  <c r="D1797" i="250"/>
  <c r="D1798" i="250"/>
  <c r="D1799" i="250"/>
  <c r="D1800" i="250"/>
  <c r="D1801" i="250"/>
  <c r="D273" i="311"/>
  <c r="D1476" i="250"/>
  <c r="D1477" i="250"/>
  <c r="D1478" i="250"/>
  <c r="D1479" i="250"/>
  <c r="D1480" i="250"/>
  <c r="D1481" i="250"/>
  <c r="D1482" i="250"/>
  <c r="D1483" i="250"/>
  <c r="D1484" i="250"/>
  <c r="D1485" i="250"/>
  <c r="D289" i="311"/>
  <c r="D1560" i="250"/>
  <c r="D1561" i="250"/>
  <c r="D1562" i="250"/>
  <c r="D1563" i="250"/>
  <c r="D1564" i="250"/>
  <c r="D1565" i="250"/>
  <c r="D1566" i="250"/>
  <c r="D1567" i="250"/>
  <c r="D1568" i="250"/>
  <c r="D1569" i="250"/>
  <c r="D305" i="311"/>
  <c r="D1644" i="250"/>
  <c r="D1645" i="250"/>
  <c r="D1646" i="250"/>
  <c r="D1647" i="250"/>
  <c r="D1648" i="250"/>
  <c r="D1649" i="250"/>
  <c r="D1650" i="250"/>
  <c r="D1651" i="250"/>
  <c r="D1652" i="250"/>
  <c r="D1653" i="250"/>
  <c r="D321" i="311"/>
  <c r="D1728" i="250"/>
  <c r="D1729" i="250"/>
  <c r="D1730" i="250"/>
  <c r="D1731" i="250"/>
  <c r="D1732" i="250"/>
  <c r="D1733" i="250"/>
  <c r="D1734" i="250"/>
  <c r="D1735" i="250"/>
  <c r="D1736" i="250"/>
  <c r="D1737" i="250"/>
  <c r="D337" i="311"/>
  <c r="D1812" i="250"/>
  <c r="D1813" i="250"/>
  <c r="D1814" i="250"/>
  <c r="D1815" i="250"/>
  <c r="D1816" i="250"/>
  <c r="D1817" i="250"/>
  <c r="D1818" i="250"/>
  <c r="D1819" i="250"/>
  <c r="D1820" i="250"/>
  <c r="D1821" i="250"/>
  <c r="D274" i="311"/>
  <c r="D1496" i="250"/>
  <c r="D1497" i="250"/>
  <c r="D1498" i="250"/>
  <c r="D1499" i="250"/>
  <c r="D1500" i="250"/>
  <c r="D1501" i="250"/>
  <c r="D1502" i="250"/>
  <c r="D1503" i="250"/>
  <c r="D1504" i="250"/>
  <c r="D1505" i="250"/>
  <c r="D290" i="311"/>
  <c r="D1580" i="250"/>
  <c r="D1581" i="250"/>
  <c r="D1582" i="250"/>
  <c r="D1583" i="250"/>
  <c r="D1584" i="250"/>
  <c r="D1585" i="250"/>
  <c r="D1586" i="250"/>
  <c r="D1587" i="250"/>
  <c r="D1588" i="250"/>
  <c r="D1589" i="250"/>
  <c r="D306" i="311"/>
  <c r="D1664" i="250"/>
  <c r="D1665" i="250"/>
  <c r="D1666" i="250"/>
  <c r="D1667" i="250"/>
  <c r="D1668" i="250"/>
  <c r="D1669" i="250"/>
  <c r="D1670" i="250"/>
  <c r="D1671" i="250"/>
  <c r="D1672" i="250"/>
  <c r="D1673" i="250"/>
  <c r="D322" i="311"/>
  <c r="D1748" i="250"/>
  <c r="D1749" i="250"/>
  <c r="D1750" i="250"/>
  <c r="D1751" i="250"/>
  <c r="D1752" i="250"/>
  <c r="D1753" i="250"/>
  <c r="D1754" i="250"/>
  <c r="D1755" i="250"/>
  <c r="D1756" i="250"/>
  <c r="D1757" i="250"/>
  <c r="D338" i="311"/>
  <c r="D1832" i="250"/>
  <c r="D1833" i="250"/>
  <c r="D1834" i="250"/>
  <c r="D1835" i="250"/>
  <c r="D1836" i="250"/>
  <c r="D1837" i="250"/>
  <c r="D1838" i="250"/>
  <c r="D1839" i="250"/>
  <c r="D1840" i="250"/>
  <c r="D1841" i="250"/>
  <c r="D411" i="311"/>
  <c r="D2187" i="250"/>
  <c r="D2188" i="250"/>
  <c r="D2189" i="250"/>
  <c r="D2190" i="250"/>
  <c r="D2191" i="250"/>
  <c r="D2192" i="250"/>
  <c r="D2193" i="250"/>
  <c r="D2194" i="250"/>
  <c r="D2195" i="250"/>
  <c r="D2196" i="250"/>
  <c r="D2197" i="250"/>
  <c r="D2198" i="250"/>
  <c r="D2199" i="250"/>
  <c r="D2200" i="250"/>
  <c r="D2201" i="250"/>
  <c r="D427" i="311"/>
  <c r="D2271" i="250"/>
  <c r="D2272" i="250"/>
  <c r="D2273" i="250"/>
  <c r="D2274" i="250"/>
  <c r="D2275" i="250"/>
  <c r="D2276" i="250"/>
  <c r="D2277" i="250"/>
  <c r="D2278" i="250"/>
  <c r="D2279" i="250"/>
  <c r="D2280" i="250"/>
  <c r="D2281" i="250"/>
  <c r="D2282" i="250"/>
  <c r="D2283" i="250"/>
  <c r="D2284" i="250"/>
  <c r="D2285" i="250"/>
  <c r="D443" i="311"/>
  <c r="D2355" i="250"/>
  <c r="D2356" i="250"/>
  <c r="D2357" i="250"/>
  <c r="D2358" i="250"/>
  <c r="D2359" i="250"/>
  <c r="D2360" i="250"/>
  <c r="D2361" i="250"/>
  <c r="D2362" i="250"/>
  <c r="D2363" i="250"/>
  <c r="D2364" i="250"/>
  <c r="D2365" i="250"/>
  <c r="D2366" i="250"/>
  <c r="D2367" i="250"/>
  <c r="D2368" i="250"/>
  <c r="D2369" i="250"/>
  <c r="D412" i="311"/>
  <c r="D2212" i="250"/>
  <c r="D2213" i="250"/>
  <c r="D2214" i="250"/>
  <c r="D2215" i="250"/>
  <c r="D2216" i="250"/>
  <c r="D2217" i="250"/>
  <c r="D2218" i="250"/>
  <c r="D2219" i="250"/>
  <c r="D2220" i="250"/>
  <c r="D2221" i="250"/>
  <c r="D428" i="311"/>
  <c r="D2296" i="250"/>
  <c r="D2297" i="250"/>
  <c r="D2298" i="250"/>
  <c r="D2299" i="250"/>
  <c r="D2300" i="250"/>
  <c r="D2301" i="250"/>
  <c r="D2302" i="250"/>
  <c r="D2303" i="250"/>
  <c r="D2304" i="250"/>
  <c r="D2305" i="250"/>
  <c r="D444" i="311"/>
  <c r="D2380" i="250"/>
  <c r="D2381" i="250"/>
  <c r="D2382" i="250"/>
  <c r="D2383" i="250"/>
  <c r="D2384" i="250"/>
  <c r="D2385" i="250"/>
  <c r="D2386" i="250"/>
  <c r="D2387" i="250"/>
  <c r="D2388" i="250"/>
  <c r="D2389" i="250"/>
  <c r="D413" i="311"/>
  <c r="D2232" i="250"/>
  <c r="D2233" i="250"/>
  <c r="D2234" i="250"/>
  <c r="D2235" i="250"/>
  <c r="D2236" i="250"/>
  <c r="D2237" i="250"/>
  <c r="D2238" i="250"/>
  <c r="D2239" i="250"/>
  <c r="D2240" i="250"/>
  <c r="D2241" i="250"/>
  <c r="D429" i="311"/>
  <c r="D2316" i="250"/>
  <c r="D2317" i="250"/>
  <c r="D2318" i="250"/>
  <c r="D2319" i="250"/>
  <c r="D2320" i="250"/>
  <c r="D2321" i="250"/>
  <c r="D2322" i="250"/>
  <c r="D2323" i="250"/>
  <c r="D2324" i="250"/>
  <c r="D2325" i="250"/>
  <c r="D445" i="311"/>
  <c r="D2400" i="250"/>
  <c r="D2401" i="250"/>
  <c r="D2402" i="250"/>
  <c r="D2403" i="250"/>
  <c r="D2404" i="250"/>
  <c r="D2405" i="250"/>
  <c r="D2406" i="250"/>
  <c r="D2407" i="250"/>
  <c r="D2408" i="250"/>
  <c r="D2409" i="250"/>
  <c r="D414" i="311"/>
  <c r="D2252" i="250"/>
  <c r="D2253" i="250"/>
  <c r="D2254" i="250"/>
  <c r="D2255" i="250"/>
  <c r="D2256" i="250"/>
  <c r="D2257" i="250"/>
  <c r="D2258" i="250"/>
  <c r="D2259" i="250"/>
  <c r="D2260" i="250"/>
  <c r="D2261" i="250"/>
  <c r="D430" i="311"/>
  <c r="D2336" i="250"/>
  <c r="D2337" i="250"/>
  <c r="D2338" i="250"/>
  <c r="D2339" i="250"/>
  <c r="D2340" i="250"/>
  <c r="D2341" i="250"/>
  <c r="D2342" i="250"/>
  <c r="D2343" i="250"/>
  <c r="D2344" i="250"/>
  <c r="D2345" i="250"/>
  <c r="D446" i="311"/>
  <c r="D2420" i="250"/>
  <c r="D2421" i="250"/>
  <c r="D2422" i="250"/>
  <c r="D2423" i="250"/>
  <c r="D2424" i="250"/>
  <c r="D2425" i="250"/>
  <c r="D2426" i="250"/>
  <c r="D2427" i="250"/>
  <c r="D2428" i="250"/>
  <c r="D2429" i="250"/>
  <c r="F591" i="250"/>
  <c r="F592" i="250"/>
  <c r="F593" i="250"/>
  <c r="F594" i="250"/>
  <c r="F595" i="250"/>
  <c r="F596" i="250"/>
  <c r="F597" i="250"/>
  <c r="F598" i="250"/>
  <c r="F599" i="250"/>
  <c r="F600" i="250"/>
  <c r="F601" i="250"/>
  <c r="F602" i="250"/>
  <c r="F603" i="250"/>
  <c r="F604" i="250"/>
  <c r="F605" i="250"/>
  <c r="E591" i="250"/>
  <c r="E592" i="250"/>
  <c r="E593" i="250"/>
  <c r="E594" i="250"/>
  <c r="E595" i="250"/>
  <c r="E596" i="250"/>
  <c r="E597" i="250"/>
  <c r="E598" i="250"/>
  <c r="E599" i="250"/>
  <c r="E600" i="250"/>
  <c r="E601" i="250"/>
  <c r="E602" i="250"/>
  <c r="E603" i="250"/>
  <c r="E604" i="250"/>
  <c r="E605" i="250"/>
  <c r="D117" i="311"/>
  <c r="D591" i="250"/>
  <c r="D592" i="250"/>
  <c r="D593" i="250"/>
  <c r="D594" i="250"/>
  <c r="D595" i="250"/>
  <c r="D596" i="250"/>
  <c r="D597" i="250"/>
  <c r="D598" i="250"/>
  <c r="D599" i="250"/>
  <c r="D600" i="250"/>
  <c r="D601" i="250"/>
  <c r="D602" i="250"/>
  <c r="D603" i="250"/>
  <c r="D604" i="250"/>
  <c r="D605" i="250"/>
  <c r="F616" i="250"/>
  <c r="F617" i="250"/>
  <c r="F618" i="250"/>
  <c r="F619" i="250"/>
  <c r="F620" i="250"/>
  <c r="F621" i="250"/>
  <c r="F622" i="250"/>
  <c r="F623" i="250"/>
  <c r="F624" i="250"/>
  <c r="F625" i="250"/>
  <c r="E616" i="250"/>
  <c r="E617" i="250"/>
  <c r="E618" i="250"/>
  <c r="E619" i="250"/>
  <c r="E620" i="250"/>
  <c r="E621" i="250"/>
  <c r="E622" i="250"/>
  <c r="E623" i="250"/>
  <c r="E624" i="250"/>
  <c r="E625" i="250"/>
  <c r="D118" i="311"/>
  <c r="D616" i="250"/>
  <c r="D617" i="250"/>
  <c r="D618" i="250"/>
  <c r="D619" i="250"/>
  <c r="D620" i="250"/>
  <c r="D621" i="250"/>
  <c r="D622" i="250"/>
  <c r="D623" i="250"/>
  <c r="D624" i="250"/>
  <c r="D625" i="250"/>
  <c r="F636" i="250"/>
  <c r="F637" i="250"/>
  <c r="F638" i="250"/>
  <c r="F639" i="250"/>
  <c r="F640" i="250"/>
  <c r="F641" i="250"/>
  <c r="F642" i="250"/>
  <c r="F643" i="250"/>
  <c r="F644" i="250"/>
  <c r="F645" i="250"/>
  <c r="E636" i="250"/>
  <c r="E637" i="250"/>
  <c r="E638" i="250"/>
  <c r="E639" i="250"/>
  <c r="E640" i="250"/>
  <c r="E641" i="250"/>
  <c r="E642" i="250"/>
  <c r="E643" i="250"/>
  <c r="E644" i="250"/>
  <c r="E645" i="250"/>
  <c r="D119" i="311"/>
  <c r="D636" i="250"/>
  <c r="D637" i="250"/>
  <c r="D638" i="250"/>
  <c r="D639" i="250"/>
  <c r="D640" i="250"/>
  <c r="D641" i="250"/>
  <c r="D642" i="250"/>
  <c r="D643" i="250"/>
  <c r="D644" i="250"/>
  <c r="D645" i="250"/>
  <c r="F656" i="250"/>
  <c r="F657" i="250"/>
  <c r="F658" i="250"/>
  <c r="F659" i="250"/>
  <c r="F660" i="250"/>
  <c r="F661" i="250"/>
  <c r="F662" i="250"/>
  <c r="F663" i="250"/>
  <c r="F664" i="250"/>
  <c r="F665" i="250"/>
  <c r="E656" i="250"/>
  <c r="E657" i="250"/>
  <c r="E658" i="250"/>
  <c r="E659" i="250"/>
  <c r="E660" i="250"/>
  <c r="E661" i="250"/>
  <c r="E662" i="250"/>
  <c r="E663" i="250"/>
  <c r="E664" i="250"/>
  <c r="E665" i="250"/>
  <c r="D656" i="250"/>
  <c r="D657" i="250"/>
  <c r="D658" i="250"/>
  <c r="D659" i="250"/>
  <c r="D660" i="250"/>
  <c r="D661" i="250"/>
  <c r="D662" i="250"/>
  <c r="D663" i="250"/>
  <c r="D664" i="250"/>
  <c r="D665" i="250"/>
  <c r="D568" i="311"/>
  <c r="D2691" i="250"/>
  <c r="D2692" i="250"/>
  <c r="D2693" i="250"/>
  <c r="D2694" i="250"/>
  <c r="D2695" i="250"/>
  <c r="D2696" i="250"/>
  <c r="D2697" i="250"/>
  <c r="D2698" i="250"/>
  <c r="D2699" i="250"/>
  <c r="D2700" i="250"/>
  <c r="D2701" i="250"/>
  <c r="D2702" i="250"/>
  <c r="D2703" i="250"/>
  <c r="D2704" i="250"/>
  <c r="D2705" i="250"/>
  <c r="D584" i="311"/>
  <c r="D2775" i="250"/>
  <c r="D2776" i="250"/>
  <c r="D2777" i="250"/>
  <c r="D2778" i="250"/>
  <c r="D2779" i="250"/>
  <c r="D2780" i="250"/>
  <c r="D2781" i="250"/>
  <c r="D2782" i="250"/>
  <c r="D2783" i="250"/>
  <c r="D2784" i="250"/>
  <c r="D2785" i="250"/>
  <c r="D2786" i="250"/>
  <c r="D2787" i="250"/>
  <c r="D2788" i="250"/>
  <c r="D2789" i="250"/>
  <c r="D569" i="311"/>
  <c r="D2716" i="250"/>
  <c r="D2717" i="250"/>
  <c r="D2718" i="250"/>
  <c r="D2719" i="250"/>
  <c r="D2720" i="250"/>
  <c r="D2721" i="250"/>
  <c r="D2722" i="250"/>
  <c r="D2723" i="250"/>
  <c r="D2724" i="250"/>
  <c r="D2725" i="250"/>
  <c r="D585" i="311"/>
  <c r="D2800" i="250"/>
  <c r="D2801" i="250"/>
  <c r="D2802" i="250"/>
  <c r="D2803" i="250"/>
  <c r="D2804" i="250"/>
  <c r="D2805" i="250"/>
  <c r="D2806" i="250"/>
  <c r="D2807" i="250"/>
  <c r="D2808" i="250"/>
  <c r="D2809" i="250"/>
  <c r="D570" i="311"/>
  <c r="D2736" i="250"/>
  <c r="D2737" i="250"/>
  <c r="D2738" i="250"/>
  <c r="D2739" i="250"/>
  <c r="D2740" i="250"/>
  <c r="D2741" i="250"/>
  <c r="D2742" i="250"/>
  <c r="D2743" i="250"/>
  <c r="D2744" i="250"/>
  <c r="D2745" i="250"/>
  <c r="D586" i="311"/>
  <c r="D2820" i="250"/>
  <c r="D2821" i="250"/>
  <c r="D2822" i="250"/>
  <c r="D2823" i="250"/>
  <c r="D2824" i="250"/>
  <c r="D2825" i="250"/>
  <c r="D2826" i="250"/>
  <c r="D2827" i="250"/>
  <c r="D2828" i="250"/>
  <c r="D2829" i="250"/>
  <c r="D571" i="311"/>
  <c r="D2756" i="250"/>
  <c r="D2757" i="250"/>
  <c r="D2758" i="250"/>
  <c r="D2759" i="250"/>
  <c r="D2760" i="250"/>
  <c r="D2761" i="250"/>
  <c r="D2762" i="250"/>
  <c r="D2763" i="250"/>
  <c r="D2764" i="250"/>
  <c r="D2765" i="250"/>
  <c r="D587" i="311"/>
  <c r="D2840" i="250"/>
  <c r="D2841" i="250"/>
  <c r="D2842" i="250"/>
  <c r="D2843" i="250"/>
  <c r="D2844" i="250"/>
  <c r="D2845" i="250"/>
  <c r="D2846" i="250"/>
  <c r="D2847" i="250"/>
  <c r="D2848" i="250"/>
  <c r="D2849" i="250"/>
  <c r="C169" i="250"/>
  <c r="B167" i="250" s="1"/>
  <c r="C253" i="250"/>
  <c r="B251" i="250" s="1"/>
  <c r="C194" i="250"/>
  <c r="B192" i="250" s="1"/>
  <c r="C278" i="250"/>
  <c r="B276" i="250" s="1"/>
  <c r="C214" i="250"/>
  <c r="B212" i="250" s="1"/>
  <c r="C298" i="250"/>
  <c r="B296" i="250" s="1"/>
  <c r="C234" i="250"/>
  <c r="B232" i="250" s="1"/>
  <c r="C318" i="250"/>
  <c r="B316" i="250" s="1"/>
  <c r="C2857" i="250"/>
  <c r="B2855" i="250" s="1"/>
  <c r="C2882" i="250"/>
  <c r="B2880" i="250" s="1"/>
  <c r="C2902" i="250"/>
  <c r="B2900" i="250" s="1"/>
  <c r="C2922" i="250"/>
  <c r="B2920" i="250" s="1"/>
  <c r="C925" i="250"/>
  <c r="B923" i="250" s="1"/>
  <c r="C1009" i="250"/>
  <c r="B1007" i="250" s="1"/>
  <c r="C1093" i="250"/>
  <c r="B1091" i="250" s="1"/>
  <c r="C950" i="250"/>
  <c r="B948" i="250" s="1"/>
  <c r="C1034" i="250"/>
  <c r="B1032" i="250" s="1"/>
  <c r="C1118" i="250"/>
  <c r="B1116" i="250" s="1"/>
  <c r="C970" i="250"/>
  <c r="B968" i="250" s="1"/>
  <c r="C1054" i="250"/>
  <c r="B1052" i="250" s="1"/>
  <c r="C1138" i="250"/>
  <c r="B1136" i="250" s="1"/>
  <c r="C990" i="250"/>
  <c r="B988" i="250" s="1"/>
  <c r="C1074" i="250"/>
  <c r="B1072" i="250" s="1"/>
  <c r="C1158" i="250"/>
  <c r="B1156" i="250" s="1"/>
  <c r="C1429" i="250"/>
  <c r="B1427" i="250" s="1"/>
  <c r="C1513" i="250"/>
  <c r="B1511" i="250" s="1"/>
  <c r="C1597" i="250"/>
  <c r="B1595" i="250" s="1"/>
  <c r="C1681" i="250"/>
  <c r="B1679" i="250" s="1"/>
  <c r="C1765" i="250"/>
  <c r="B1763" i="250" s="1"/>
  <c r="C1454" i="250"/>
  <c r="B1452" i="250" s="1"/>
  <c r="C1538" i="250"/>
  <c r="B1536" i="250" s="1"/>
  <c r="C1622" i="250"/>
  <c r="B1620" i="250" s="1"/>
  <c r="C1706" i="250"/>
  <c r="B1704" i="250" s="1"/>
  <c r="C1790" i="250"/>
  <c r="B1788" i="250" s="1"/>
  <c r="C1474" i="250"/>
  <c r="B1472" i="250" s="1"/>
  <c r="C1558" i="250"/>
  <c r="B1556" i="250" s="1"/>
  <c r="C1642" i="250"/>
  <c r="B1640" i="250" s="1"/>
  <c r="C1726" i="250"/>
  <c r="B1724" i="250" s="1"/>
  <c r="C1810" i="250"/>
  <c r="B1808" i="250" s="1"/>
  <c r="C1494" i="250"/>
  <c r="B1492" i="250" s="1"/>
  <c r="C1578" i="250"/>
  <c r="B1576" i="250" s="1"/>
  <c r="C1662" i="250"/>
  <c r="B1660" i="250" s="1"/>
  <c r="C1746" i="250"/>
  <c r="B1744" i="250" s="1"/>
  <c r="C1830" i="250"/>
  <c r="B1828" i="250" s="1"/>
  <c r="C2185" i="250"/>
  <c r="B2183" i="250" s="1"/>
  <c r="C2269" i="250"/>
  <c r="B2267" i="250" s="1"/>
  <c r="C2353" i="250"/>
  <c r="B2351" i="250" s="1"/>
  <c r="C2210" i="250"/>
  <c r="B2208" i="250" s="1"/>
  <c r="C2294" i="250"/>
  <c r="B2292" i="250" s="1"/>
  <c r="C2378" i="250"/>
  <c r="B2376" i="250" s="1"/>
  <c r="C2230" i="250"/>
  <c r="B2228" i="250" s="1"/>
  <c r="C2314" i="250"/>
  <c r="B2312" i="250" s="1"/>
  <c r="C2398" i="250"/>
  <c r="B2396" i="250" s="1"/>
  <c r="C2250" i="250"/>
  <c r="B2248" i="250" s="1"/>
  <c r="C2334" i="250"/>
  <c r="B2332" i="250" s="1"/>
  <c r="C2418" i="250"/>
  <c r="B2416" i="250" s="1"/>
  <c r="C589" i="250"/>
  <c r="B587" i="250" s="1"/>
  <c r="C614" i="250"/>
  <c r="B612" i="250" s="1"/>
  <c r="C634" i="250"/>
  <c r="B632" i="250" s="1"/>
  <c r="C654" i="250"/>
  <c r="B652" i="250" s="1"/>
  <c r="C2689" i="250"/>
  <c r="B2687" i="250" s="1"/>
  <c r="C2773" i="250"/>
  <c r="B2771" i="250" s="1"/>
  <c r="C2714" i="250"/>
  <c r="B2712" i="250" s="1"/>
  <c r="C2798" i="250"/>
  <c r="B2796" i="250" s="1"/>
  <c r="C2734" i="250"/>
  <c r="B2732" i="250" s="1"/>
  <c r="C2818" i="250"/>
  <c r="B2816" i="250" s="1"/>
  <c r="C2754" i="250"/>
  <c r="B2752" i="250" s="1"/>
  <c r="C2838" i="250"/>
  <c r="B2836" i="250" s="1"/>
  <c r="E1105" i="251"/>
  <c r="E1072" i="251"/>
  <c r="E1036" i="251"/>
  <c r="E1097" i="251"/>
  <c r="E1063" i="251"/>
  <c r="E1025" i="251"/>
  <c r="E1089" i="251"/>
  <c r="E1054" i="251"/>
  <c r="E1016" i="251"/>
  <c r="E1081" i="251"/>
  <c r="E1045" i="251"/>
  <c r="E1007" i="251"/>
  <c r="E1243" i="251"/>
  <c r="E1280" i="251"/>
  <c r="E1253" i="251"/>
  <c r="E1290" i="251"/>
  <c r="E1262" i="251"/>
  <c r="E1299" i="251"/>
  <c r="E1271" i="251"/>
  <c r="E1308" i="251"/>
  <c r="E378" i="251"/>
  <c r="E415" i="251"/>
  <c r="E452" i="251"/>
  <c r="E388" i="251"/>
  <c r="E425" i="251"/>
  <c r="E462" i="251"/>
  <c r="E397" i="251"/>
  <c r="E434" i="251"/>
  <c r="E471" i="251"/>
  <c r="E406" i="251"/>
  <c r="E443" i="251"/>
  <c r="E480" i="251"/>
  <c r="E273" i="251"/>
  <c r="E264" i="251"/>
  <c r="E255" i="251"/>
  <c r="E245" i="251"/>
  <c r="E998" i="251"/>
  <c r="E961" i="251"/>
  <c r="E925" i="251"/>
  <c r="E989" i="251"/>
  <c r="E952" i="251"/>
  <c r="E916" i="251"/>
  <c r="E980" i="251"/>
  <c r="E943" i="251"/>
  <c r="E907" i="251"/>
  <c r="E970" i="251"/>
  <c r="E934" i="251"/>
  <c r="E898" i="251"/>
  <c r="E761" i="251"/>
  <c r="E724" i="251"/>
  <c r="E687" i="251"/>
  <c r="E650" i="251"/>
  <c r="E613" i="251"/>
  <c r="E752" i="251"/>
  <c r="E715" i="251"/>
  <c r="E678" i="251"/>
  <c r="E641" i="251"/>
  <c r="E604" i="251"/>
  <c r="E743" i="251"/>
  <c r="E706" i="251"/>
  <c r="E669" i="251"/>
  <c r="E632" i="251"/>
  <c r="E595" i="251"/>
  <c r="E733" i="251"/>
  <c r="E696" i="251"/>
  <c r="E659" i="251"/>
  <c r="E622" i="251"/>
  <c r="E585" i="251"/>
  <c r="E140" i="251"/>
  <c r="E103" i="251"/>
  <c r="E131" i="251"/>
  <c r="E94" i="251"/>
  <c r="E122" i="251"/>
  <c r="E85" i="251"/>
  <c r="E112" i="251"/>
  <c r="E75" i="251"/>
  <c r="D374" i="280" l="1"/>
  <c r="D125" i="311"/>
  <c r="D588" i="246"/>
  <c r="D436" i="311"/>
  <c r="D343" i="311"/>
  <c r="D770" i="282"/>
  <c r="D455" i="282"/>
  <c r="D294" i="311"/>
  <c r="D536" i="281"/>
  <c r="D216" i="311"/>
  <c r="D47" i="311"/>
  <c r="D254" i="279"/>
  <c r="D473" i="337"/>
  <c r="D592" i="311"/>
  <c r="D437" i="337"/>
  <c r="D590" i="311"/>
  <c r="D124" i="311"/>
  <c r="D356" i="280"/>
  <c r="D489" i="246"/>
  <c r="D420" i="311"/>
  <c r="D651" i="246"/>
  <c r="D450" i="311"/>
  <c r="D534" i="246"/>
  <c r="D433" i="311"/>
  <c r="D312" i="311"/>
  <c r="D590" i="282"/>
  <c r="D671" i="282"/>
  <c r="D327" i="311"/>
  <c r="D752" i="282"/>
  <c r="D342" i="311"/>
  <c r="D278" i="311"/>
  <c r="D356" i="282"/>
  <c r="D437" i="282"/>
  <c r="D293" i="311"/>
  <c r="D392" i="281"/>
  <c r="D187" i="311"/>
  <c r="D217" i="311"/>
  <c r="D554" i="281"/>
  <c r="D200" i="311"/>
  <c r="D437" i="281"/>
  <c r="D466" i="311"/>
  <c r="D65" i="307"/>
  <c r="D371" i="279"/>
  <c r="D64" i="311"/>
  <c r="D335" i="279"/>
  <c r="D62" i="311"/>
  <c r="D577" i="311"/>
  <c r="D392" i="337"/>
  <c r="D471" i="246"/>
  <c r="D419" i="311"/>
  <c r="D689" i="282"/>
  <c r="D328" i="311"/>
  <c r="D536" i="282"/>
  <c r="D309" i="311"/>
  <c r="D374" i="281"/>
  <c r="D186" i="311"/>
  <c r="D290" i="279"/>
  <c r="D49" i="311"/>
  <c r="D374" i="337"/>
  <c r="D576" i="311"/>
  <c r="D338" i="337"/>
  <c r="D574" i="311"/>
  <c r="D123" i="311"/>
  <c r="D338" i="280"/>
  <c r="D669" i="246"/>
  <c r="D451" i="311"/>
  <c r="D434" i="311"/>
  <c r="D552" i="246"/>
  <c r="D435" i="246"/>
  <c r="D417" i="311"/>
  <c r="D491" i="282"/>
  <c r="D296" i="311"/>
  <c r="D572" i="282"/>
  <c r="D311" i="311"/>
  <c r="D653" i="282"/>
  <c r="D326" i="311"/>
  <c r="D734" i="282"/>
  <c r="D341" i="311"/>
  <c r="D338" i="282"/>
  <c r="D277" i="311"/>
  <c r="D572" i="281"/>
  <c r="D218" i="311"/>
  <c r="D455" i="281"/>
  <c r="D201" i="311"/>
  <c r="D184" i="311"/>
  <c r="D338" i="281"/>
  <c r="D465" i="311"/>
  <c r="D47" i="307"/>
  <c r="D272" i="279"/>
  <c r="D48" i="311"/>
  <c r="D236" i="279"/>
  <c r="D46" i="311"/>
  <c r="D575" i="311"/>
  <c r="D356" i="337"/>
  <c r="D633" i="246"/>
  <c r="D449" i="311"/>
  <c r="D374" i="282"/>
  <c r="D279" i="311"/>
  <c r="D491" i="281"/>
  <c r="D203" i="311"/>
  <c r="D83" i="307"/>
  <c r="D467" i="311"/>
  <c r="D491" i="337"/>
  <c r="D593" i="311"/>
  <c r="D455" i="337"/>
  <c r="D591" i="311"/>
  <c r="D392" i="280"/>
  <c r="D126" i="311"/>
  <c r="D452" i="311"/>
  <c r="D687" i="246"/>
  <c r="D570" i="246"/>
  <c r="D435" i="311"/>
  <c r="D453" i="246"/>
  <c r="D418" i="311"/>
  <c r="D788" i="282"/>
  <c r="D344" i="311"/>
  <c r="D392" i="282"/>
  <c r="D280" i="311"/>
  <c r="D473" i="282"/>
  <c r="D295" i="311"/>
  <c r="D554" i="282"/>
  <c r="D310" i="311"/>
  <c r="D325" i="311"/>
  <c r="D635" i="282"/>
  <c r="D219" i="311"/>
  <c r="D590" i="281"/>
  <c r="D473" i="281"/>
  <c r="D202" i="311"/>
  <c r="D356" i="281"/>
  <c r="D185" i="311"/>
  <c r="D101" i="307"/>
  <c r="D468" i="311"/>
  <c r="D389" i="279"/>
  <c r="D65" i="311"/>
  <c r="D353" i="279"/>
  <c r="D63" i="311"/>
  <c r="D446" i="329"/>
  <c r="F511" i="311"/>
  <c r="F324" i="301" s="1"/>
  <c r="H511" i="311"/>
  <c r="G324" i="301" s="1"/>
  <c r="E511" i="311"/>
  <c r="G511" i="311"/>
  <c r="G323" i="301" s="1"/>
  <c r="F3167" i="250"/>
  <c r="F494" i="311" s="1"/>
  <c r="E3018" i="250"/>
  <c r="E478" i="311" s="1"/>
  <c r="E2934" i="250"/>
  <c r="E462" i="311" s="1"/>
  <c r="E3127" i="250"/>
  <c r="E493" i="311" s="1"/>
  <c r="F3127" i="250"/>
  <c r="F493" i="311" s="1"/>
  <c r="E2998" i="250"/>
  <c r="E477" i="311" s="1"/>
  <c r="F2998" i="250"/>
  <c r="F477" i="311" s="1"/>
  <c r="E2914" i="250"/>
  <c r="E461" i="311" s="1"/>
  <c r="F2914" i="250"/>
  <c r="F461" i="311" s="1"/>
  <c r="E3062" i="250"/>
  <c r="E492" i="311" s="1"/>
  <c r="F3062" i="250"/>
  <c r="F492" i="311" s="1"/>
  <c r="F2978" i="250"/>
  <c r="F476" i="311" s="1"/>
  <c r="F2894" i="250"/>
  <c r="F460" i="311" s="1"/>
  <c r="E3042" i="250"/>
  <c r="E475" i="311" s="1"/>
  <c r="E646" i="250"/>
  <c r="E119" i="311" s="1"/>
  <c r="F3018" i="250"/>
  <c r="F478" i="311" s="1"/>
  <c r="F2934" i="250"/>
  <c r="F462" i="311" s="1"/>
  <c r="E2978" i="250"/>
  <c r="E476" i="311" s="1"/>
  <c r="E2894" i="250"/>
  <c r="E460" i="311" s="1"/>
  <c r="E2958" i="250"/>
  <c r="E491" i="311" s="1"/>
  <c r="F2958" i="250"/>
  <c r="F491" i="311" s="1"/>
  <c r="F3042" i="250"/>
  <c r="F475" i="311" s="1"/>
  <c r="E2874" i="250"/>
  <c r="E459" i="311" s="1"/>
  <c r="F2874" i="250"/>
  <c r="F459" i="311" s="1"/>
  <c r="E3167" i="250"/>
  <c r="E494" i="311" s="1"/>
  <c r="E226" i="250"/>
  <c r="E42" i="311" s="1"/>
  <c r="E246" i="250"/>
  <c r="E43" i="311" s="1"/>
  <c r="F246" i="250"/>
  <c r="F43" i="311" s="1"/>
  <c r="F206" i="250"/>
  <c r="F41" i="311" s="1"/>
  <c r="E666" i="250"/>
  <c r="E120" i="311" s="1"/>
  <c r="F626" i="250"/>
  <c r="F118" i="311" s="1"/>
  <c r="E186" i="250"/>
  <c r="E40" i="311" s="1"/>
  <c r="F646" i="250"/>
  <c r="F119" i="311" s="1"/>
  <c r="F606" i="250"/>
  <c r="F117" i="311" s="1"/>
  <c r="F666" i="250"/>
  <c r="F120" i="311" s="1"/>
  <c r="E606" i="250"/>
  <c r="E117" i="311" s="1"/>
  <c r="E626" i="250"/>
  <c r="E118" i="311" s="1"/>
  <c r="F186" i="250"/>
  <c r="F40" i="311" s="1"/>
  <c r="E206" i="250"/>
  <c r="E41" i="311" s="1"/>
  <c r="F226" i="250"/>
  <c r="F42" i="311" s="1"/>
  <c r="L324" i="301" l="1"/>
  <c r="L1123" i="251" s="1"/>
  <c r="N324" i="301"/>
  <c r="N1123" i="251" s="1"/>
  <c r="K324" i="301"/>
  <c r="K1123" i="251" s="1"/>
  <c r="J324" i="301"/>
  <c r="J1123" i="251" s="1"/>
  <c r="M324" i="301"/>
  <c r="M1123" i="251" s="1"/>
  <c r="J323" i="301"/>
  <c r="J1115" i="251" s="1"/>
  <c r="K323" i="301"/>
  <c r="K1115" i="251" s="1"/>
  <c r="L323" i="301"/>
  <c r="L1115" i="251" s="1"/>
  <c r="M323" i="301"/>
  <c r="M1115" i="251" s="1"/>
  <c r="N323" i="301"/>
  <c r="N1115" i="251" s="1"/>
  <c r="F323" i="301"/>
  <c r="D57" i="329"/>
  <c r="D53" i="329"/>
  <c r="D50" i="329"/>
  <c r="J148" i="336"/>
  <c r="J586" i="309" s="1"/>
  <c r="K148" i="336"/>
  <c r="K586" i="309" s="1"/>
  <c r="L148" i="336"/>
  <c r="L586" i="309" s="1"/>
  <c r="M148" i="336"/>
  <c r="M586" i="309" s="1"/>
  <c r="N148" i="336"/>
  <c r="N586" i="309" s="1"/>
  <c r="D312" i="337"/>
  <c r="D313" i="337"/>
  <c r="J188" i="336"/>
  <c r="J600" i="309" s="1"/>
  <c r="K188" i="336"/>
  <c r="K600" i="309" s="1"/>
  <c r="L188" i="336"/>
  <c r="L600" i="309" s="1"/>
  <c r="M188" i="336"/>
  <c r="M600" i="309" s="1"/>
  <c r="N188" i="336"/>
  <c r="N600" i="309" s="1"/>
  <c r="D411" i="337"/>
  <c r="D412" i="337"/>
  <c r="J277" i="247"/>
  <c r="J530" i="309" s="1"/>
  <c r="K277" i="247"/>
  <c r="K530" i="309" s="1"/>
  <c r="L277" i="247"/>
  <c r="L530" i="309" s="1"/>
  <c r="M277" i="247"/>
  <c r="M530" i="309" s="1"/>
  <c r="N277" i="247"/>
  <c r="N530" i="309" s="1"/>
  <c r="J234" i="247"/>
  <c r="J516" i="309" s="1"/>
  <c r="K234" i="247"/>
  <c r="K516" i="309" s="1"/>
  <c r="L234" i="247"/>
  <c r="L516" i="309" s="1"/>
  <c r="M234" i="247"/>
  <c r="M516" i="309" s="1"/>
  <c r="N234" i="247"/>
  <c r="N516" i="309" s="1"/>
  <c r="J191" i="247"/>
  <c r="J502" i="309" s="1"/>
  <c r="K191" i="247"/>
  <c r="K502" i="309" s="1"/>
  <c r="L191" i="247"/>
  <c r="L502" i="309" s="1"/>
  <c r="M191" i="247"/>
  <c r="M502" i="309" s="1"/>
  <c r="N191" i="247"/>
  <c r="N502" i="309" s="1"/>
  <c r="J154" i="286"/>
  <c r="J320" i="309" s="1"/>
  <c r="K154" i="286"/>
  <c r="K320" i="309" s="1"/>
  <c r="L154" i="286"/>
  <c r="L320" i="309" s="1"/>
  <c r="M154" i="286"/>
  <c r="M320" i="309" s="1"/>
  <c r="N154" i="286"/>
  <c r="N320" i="309" s="1"/>
  <c r="J197" i="286"/>
  <c r="J334" i="309" s="1"/>
  <c r="K197" i="286"/>
  <c r="K334" i="309" s="1"/>
  <c r="L197" i="286"/>
  <c r="L334" i="309" s="1"/>
  <c r="M197" i="286"/>
  <c r="M334" i="309" s="1"/>
  <c r="N197" i="286"/>
  <c r="N334" i="309" s="1"/>
  <c r="J240" i="286"/>
  <c r="J348" i="309" s="1"/>
  <c r="K240" i="286"/>
  <c r="K348" i="309" s="1"/>
  <c r="L240" i="286"/>
  <c r="L348" i="309" s="1"/>
  <c r="M240" i="286"/>
  <c r="M348" i="309" s="1"/>
  <c r="N240" i="286"/>
  <c r="N348" i="309" s="1"/>
  <c r="J283" i="286"/>
  <c r="J362" i="309" s="1"/>
  <c r="K283" i="286"/>
  <c r="K362" i="309" s="1"/>
  <c r="L283" i="286"/>
  <c r="L362" i="309" s="1"/>
  <c r="M283" i="286"/>
  <c r="M362" i="309" s="1"/>
  <c r="N283" i="286"/>
  <c r="N362" i="309" s="1"/>
  <c r="J326" i="286"/>
  <c r="J376" i="309" s="1"/>
  <c r="K326" i="286"/>
  <c r="K376" i="309" s="1"/>
  <c r="L326" i="286"/>
  <c r="L376" i="309" s="1"/>
  <c r="M326" i="286"/>
  <c r="M376" i="309" s="1"/>
  <c r="N326" i="286"/>
  <c r="N376" i="309" s="1"/>
  <c r="J197" i="285"/>
  <c r="J250" i="309" s="1"/>
  <c r="K197" i="285"/>
  <c r="K250" i="309" s="1"/>
  <c r="L197" i="285"/>
  <c r="L250" i="309" s="1"/>
  <c r="M197" i="285"/>
  <c r="M250" i="309" s="1"/>
  <c r="N197" i="285"/>
  <c r="N250" i="309" s="1"/>
  <c r="J240" i="285"/>
  <c r="J264" i="309" s="1"/>
  <c r="K240" i="285"/>
  <c r="K264" i="309" s="1"/>
  <c r="L240" i="285"/>
  <c r="L264" i="309" s="1"/>
  <c r="M240" i="285"/>
  <c r="M264" i="309" s="1"/>
  <c r="N240" i="285"/>
  <c r="N264" i="309" s="1"/>
  <c r="J154" i="285"/>
  <c r="J236" i="309" s="1"/>
  <c r="K154" i="285"/>
  <c r="K236" i="309" s="1"/>
  <c r="L154" i="285"/>
  <c r="L236" i="309" s="1"/>
  <c r="M154" i="285"/>
  <c r="M236" i="309" s="1"/>
  <c r="N154" i="285"/>
  <c r="N236" i="309" s="1"/>
  <c r="J155" i="284"/>
  <c r="J180" i="309" s="1"/>
  <c r="K155" i="284"/>
  <c r="K180" i="309" s="1"/>
  <c r="L155" i="284"/>
  <c r="L180" i="309" s="1"/>
  <c r="M155" i="284"/>
  <c r="M180" i="309" s="1"/>
  <c r="N155" i="284"/>
  <c r="N180" i="309" s="1"/>
  <c r="J160" i="283"/>
  <c r="J124" i="309" s="1"/>
  <c r="K160" i="283"/>
  <c r="K124" i="309" s="1"/>
  <c r="L160" i="283"/>
  <c r="L124" i="309" s="1"/>
  <c r="M160" i="283"/>
  <c r="M124" i="309" s="1"/>
  <c r="N160" i="283"/>
  <c r="N124" i="309" s="1"/>
  <c r="J117" i="283"/>
  <c r="J110" i="309" s="1"/>
  <c r="K117" i="283"/>
  <c r="K110" i="309" s="1"/>
  <c r="L117" i="283"/>
  <c r="L110" i="309" s="1"/>
  <c r="M117" i="283"/>
  <c r="M110" i="309" s="1"/>
  <c r="N117" i="283"/>
  <c r="N110" i="309" s="1"/>
  <c r="K189" i="329" l="1"/>
  <c r="J189" i="329"/>
  <c r="M189" i="329"/>
  <c r="N189" i="329"/>
  <c r="L189" i="329"/>
  <c r="M1131" i="251"/>
  <c r="L1131" i="251"/>
  <c r="L1140" i="251"/>
  <c r="K1131" i="251"/>
  <c r="J1131" i="251"/>
  <c r="M1140" i="251"/>
  <c r="J1140" i="251"/>
  <c r="K1140" i="251"/>
  <c r="N1131" i="251"/>
  <c r="N1140" i="251"/>
  <c r="D1091" i="251"/>
  <c r="D1083" i="251"/>
  <c r="B388" i="309"/>
  <c r="D242" i="301"/>
  <c r="D161" i="317"/>
  <c r="D162" i="317"/>
  <c r="D157" i="317"/>
  <c r="D158" i="317"/>
  <c r="C28" i="4"/>
  <c r="J55" i="324" l="1"/>
  <c r="I618" i="352" s="1"/>
  <c r="K55" i="324"/>
  <c r="I619" i="352" s="1"/>
  <c r="L55" i="324"/>
  <c r="I620" i="352" s="1"/>
  <c r="M55" i="324"/>
  <c r="I621" i="352" s="1"/>
  <c r="N55" i="324"/>
  <c r="I622" i="352" s="1"/>
  <c r="J47" i="324"/>
  <c r="I613" i="352" s="1"/>
  <c r="K47" i="324"/>
  <c r="I614" i="352" s="1"/>
  <c r="L47" i="324"/>
  <c r="I615" i="352" s="1"/>
  <c r="M47" i="324"/>
  <c r="I616" i="352" s="1"/>
  <c r="N47" i="324"/>
  <c r="I617" i="352" s="1"/>
  <c r="J38" i="324"/>
  <c r="I608" i="352" s="1"/>
  <c r="K38" i="324"/>
  <c r="I609" i="352" s="1"/>
  <c r="L38" i="324"/>
  <c r="I610" i="352" s="1"/>
  <c r="M38" i="324"/>
  <c r="I611" i="352" s="1"/>
  <c r="N38" i="324"/>
  <c r="I612" i="352" s="1"/>
  <c r="D45" i="338"/>
  <c r="D31" i="340" s="1"/>
  <c r="D46" i="338"/>
  <c r="D32" i="340" s="1"/>
  <c r="D121" i="321" l="1"/>
  <c r="D253" i="321"/>
  <c r="D175" i="301" s="1"/>
  <c r="D126" i="321"/>
  <c r="D257" i="321"/>
  <c r="D196" i="301" s="1"/>
  <c r="C169" i="321"/>
  <c r="J176" i="336"/>
  <c r="K176" i="336"/>
  <c r="L176" i="336"/>
  <c r="M176" i="336"/>
  <c r="N176" i="336"/>
  <c r="J135" i="336"/>
  <c r="K135" i="336"/>
  <c r="L135" i="336"/>
  <c r="M135" i="336"/>
  <c r="N135" i="336"/>
  <c r="J98" i="336"/>
  <c r="K98" i="336"/>
  <c r="L98" i="336"/>
  <c r="M98" i="336"/>
  <c r="N98" i="336"/>
  <c r="J63" i="336"/>
  <c r="K63" i="336"/>
  <c r="L63" i="336"/>
  <c r="M63" i="336"/>
  <c r="N63" i="336"/>
  <c r="J29" i="336"/>
  <c r="K29" i="336"/>
  <c r="L29" i="336"/>
  <c r="M29" i="336"/>
  <c r="N29" i="336"/>
  <c r="J265" i="247"/>
  <c r="K265" i="247"/>
  <c r="L265" i="247"/>
  <c r="M265" i="247"/>
  <c r="N265" i="247"/>
  <c r="J222" i="247"/>
  <c r="K222" i="247"/>
  <c r="L222" i="247"/>
  <c r="M222" i="247"/>
  <c r="N222" i="247"/>
  <c r="J179" i="247"/>
  <c r="K179" i="247"/>
  <c r="L179" i="247"/>
  <c r="M179" i="247"/>
  <c r="N179" i="247"/>
  <c r="J140" i="247"/>
  <c r="K140" i="247"/>
  <c r="L140" i="247"/>
  <c r="M140" i="247"/>
  <c r="N140" i="247"/>
  <c r="J103" i="247"/>
  <c r="K103" i="247"/>
  <c r="L103" i="247"/>
  <c r="M103" i="247"/>
  <c r="N103" i="247"/>
  <c r="J66" i="247"/>
  <c r="K66" i="247"/>
  <c r="L66" i="247"/>
  <c r="M66" i="247"/>
  <c r="N66" i="247"/>
  <c r="J29" i="247"/>
  <c r="K29" i="247"/>
  <c r="L29" i="247"/>
  <c r="M29" i="247"/>
  <c r="N29" i="247"/>
  <c r="M343" i="329"/>
  <c r="J314" i="286"/>
  <c r="K314" i="286"/>
  <c r="L314" i="286"/>
  <c r="M314" i="286"/>
  <c r="N314" i="286"/>
  <c r="J271" i="286"/>
  <c r="K271" i="286"/>
  <c r="L271" i="286"/>
  <c r="M271" i="286"/>
  <c r="N271" i="286"/>
  <c r="J228" i="286"/>
  <c r="K228" i="286"/>
  <c r="L228" i="286"/>
  <c r="M228" i="286"/>
  <c r="N228" i="286"/>
  <c r="J185" i="286"/>
  <c r="K185" i="286"/>
  <c r="L185" i="286"/>
  <c r="M185" i="286"/>
  <c r="N185" i="286"/>
  <c r="J142" i="286"/>
  <c r="K142" i="286"/>
  <c r="L142" i="286"/>
  <c r="M142" i="286"/>
  <c r="N142" i="286"/>
  <c r="J103" i="286"/>
  <c r="K103" i="286"/>
  <c r="L103" i="286"/>
  <c r="M103" i="286"/>
  <c r="N103" i="286"/>
  <c r="J66" i="286"/>
  <c r="K66" i="286"/>
  <c r="L66" i="286"/>
  <c r="M66" i="286"/>
  <c r="N66" i="286"/>
  <c r="J29" i="286"/>
  <c r="K29" i="286"/>
  <c r="L29" i="286"/>
  <c r="M29" i="286"/>
  <c r="N29" i="286"/>
  <c r="J228" i="285"/>
  <c r="K228" i="285"/>
  <c r="L228" i="285"/>
  <c r="M228" i="285"/>
  <c r="N228" i="285"/>
  <c r="J185" i="285"/>
  <c r="K185" i="285"/>
  <c r="L185" i="285"/>
  <c r="M185" i="285"/>
  <c r="N185" i="285"/>
  <c r="J142" i="285"/>
  <c r="K142" i="285"/>
  <c r="L142" i="285"/>
  <c r="M142" i="285"/>
  <c r="N142" i="285"/>
  <c r="J103" i="285"/>
  <c r="K103" i="285"/>
  <c r="L103" i="285"/>
  <c r="M103" i="285"/>
  <c r="N103" i="285"/>
  <c r="J66" i="285"/>
  <c r="K66" i="285"/>
  <c r="L66" i="285"/>
  <c r="M66" i="285"/>
  <c r="N66" i="285"/>
  <c r="J29" i="285"/>
  <c r="K29" i="285"/>
  <c r="L29" i="285"/>
  <c r="M29" i="285"/>
  <c r="N29" i="285"/>
  <c r="J142" i="284"/>
  <c r="K142" i="284"/>
  <c r="L142" i="284"/>
  <c r="M142" i="284"/>
  <c r="N142" i="284"/>
  <c r="J103" i="284"/>
  <c r="K103" i="284"/>
  <c r="L103" i="284"/>
  <c r="M103" i="284"/>
  <c r="N103" i="284"/>
  <c r="J66" i="284"/>
  <c r="K66" i="284"/>
  <c r="L66" i="284"/>
  <c r="M66" i="284"/>
  <c r="N66" i="284"/>
  <c r="J29" i="284"/>
  <c r="K29" i="284"/>
  <c r="L29" i="284"/>
  <c r="M29" i="284"/>
  <c r="N29" i="284"/>
  <c r="J148" i="283"/>
  <c r="K148" i="283"/>
  <c r="L148" i="283"/>
  <c r="M148" i="283"/>
  <c r="N148" i="283"/>
  <c r="J105" i="283"/>
  <c r="K105" i="283"/>
  <c r="L105" i="283"/>
  <c r="M105" i="283"/>
  <c r="N105" i="283"/>
  <c r="J66" i="283"/>
  <c r="K66" i="283"/>
  <c r="L66" i="283"/>
  <c r="M66" i="283"/>
  <c r="N66" i="283"/>
  <c r="J29" i="283"/>
  <c r="K29" i="283"/>
  <c r="L29" i="283"/>
  <c r="M29" i="283"/>
  <c r="N29" i="283"/>
  <c r="J305" i="301"/>
  <c r="K305" i="301"/>
  <c r="L305" i="301"/>
  <c r="M305" i="301"/>
  <c r="N305" i="301"/>
  <c r="J281" i="301"/>
  <c r="K281" i="301"/>
  <c r="L281" i="301"/>
  <c r="M281" i="301"/>
  <c r="N281" i="301"/>
  <c r="J257" i="301"/>
  <c r="K257" i="301"/>
  <c r="L257" i="301"/>
  <c r="M257" i="301"/>
  <c r="N257" i="301"/>
  <c r="J6" i="251"/>
  <c r="K6" i="251"/>
  <c r="L6" i="251"/>
  <c r="M6" i="251"/>
  <c r="N6" i="251"/>
  <c r="J8" i="327"/>
  <c r="K8" i="327"/>
  <c r="L8" i="327"/>
  <c r="M8" i="327"/>
  <c r="N8" i="327"/>
  <c r="J8" i="323"/>
  <c r="K8" i="323"/>
  <c r="L8" i="323"/>
  <c r="M8" i="323"/>
  <c r="N8" i="323"/>
  <c r="J6" i="309"/>
  <c r="K6" i="309"/>
  <c r="L6" i="309"/>
  <c r="M6" i="309"/>
  <c r="N6" i="309"/>
  <c r="J6" i="322"/>
  <c r="K6" i="322"/>
  <c r="L6" i="322"/>
  <c r="M6" i="322"/>
  <c r="N6" i="322"/>
  <c r="J6" i="336"/>
  <c r="K6" i="336"/>
  <c r="L6" i="336"/>
  <c r="M6" i="336"/>
  <c r="N6" i="336"/>
  <c r="J6" i="247"/>
  <c r="K6" i="247"/>
  <c r="L6" i="247"/>
  <c r="M6" i="247"/>
  <c r="N6" i="247"/>
  <c r="J6" i="286"/>
  <c r="K6" i="286"/>
  <c r="L6" i="286"/>
  <c r="M6" i="286"/>
  <c r="N6" i="286"/>
  <c r="J6" i="285"/>
  <c r="K6" i="285"/>
  <c r="L6" i="285"/>
  <c r="M6" i="285"/>
  <c r="N6" i="285"/>
  <c r="J6" i="284"/>
  <c r="K6" i="284"/>
  <c r="L6" i="284"/>
  <c r="M6" i="284"/>
  <c r="N6" i="284"/>
  <c r="J6" i="283"/>
  <c r="K6" i="283"/>
  <c r="L6" i="283"/>
  <c r="M6" i="283"/>
  <c r="N6" i="283"/>
  <c r="J6" i="301"/>
  <c r="K6" i="301"/>
  <c r="L6" i="301"/>
  <c r="M6" i="301"/>
  <c r="N6" i="301"/>
  <c r="J6" i="324"/>
  <c r="K6" i="324"/>
  <c r="L6" i="324"/>
  <c r="M6" i="324"/>
  <c r="N6" i="324"/>
  <c r="J6" i="321"/>
  <c r="K6" i="321"/>
  <c r="L6" i="321"/>
  <c r="M6" i="321"/>
  <c r="N6" i="321"/>
  <c r="J6" i="317"/>
  <c r="K6" i="317"/>
  <c r="L6" i="317"/>
  <c r="M6" i="317"/>
  <c r="N6" i="317"/>
  <c r="J8" i="338"/>
  <c r="K8" i="338"/>
  <c r="L8" i="338"/>
  <c r="M8" i="338"/>
  <c r="N8" i="338"/>
  <c r="J6" i="329"/>
  <c r="K6" i="329"/>
  <c r="L6" i="329"/>
  <c r="M6" i="329"/>
  <c r="N6" i="329"/>
  <c r="J568" i="329"/>
  <c r="K568" i="329"/>
  <c r="L568" i="329"/>
  <c r="M568" i="329"/>
  <c r="N568" i="329"/>
  <c r="J566" i="329"/>
  <c r="K566" i="329"/>
  <c r="L566" i="329"/>
  <c r="M566" i="329"/>
  <c r="J564" i="329"/>
  <c r="K564" i="329"/>
  <c r="L564" i="329"/>
  <c r="M564" i="329"/>
  <c r="N564" i="329"/>
  <c r="J562" i="329"/>
  <c r="K562" i="329"/>
  <c r="L562" i="329"/>
  <c r="M562" i="329"/>
  <c r="N562" i="329"/>
  <c r="J560" i="329"/>
  <c r="K560" i="329"/>
  <c r="L560" i="329"/>
  <c r="M560" i="329"/>
  <c r="N560" i="329"/>
  <c r="J487" i="329"/>
  <c r="K487" i="329"/>
  <c r="L487" i="329"/>
  <c r="M487" i="329"/>
  <c r="N487" i="329"/>
  <c r="J486" i="329"/>
  <c r="K486" i="329"/>
  <c r="L486" i="329"/>
  <c r="M486" i="329"/>
  <c r="J485" i="329"/>
  <c r="L485" i="329"/>
  <c r="M485" i="329"/>
  <c r="N485" i="329"/>
  <c r="J484" i="329"/>
  <c r="K484" i="329"/>
  <c r="L484" i="329"/>
  <c r="M484" i="329"/>
  <c r="N484" i="329"/>
  <c r="J483" i="329"/>
  <c r="K483" i="329"/>
  <c r="L483" i="329"/>
  <c r="M483" i="329"/>
  <c r="N483" i="329"/>
  <c r="J482" i="329"/>
  <c r="K482" i="329"/>
  <c r="L482" i="329"/>
  <c r="M482" i="329"/>
  <c r="N482" i="329"/>
  <c r="J481" i="329"/>
  <c r="K481" i="329"/>
  <c r="L481" i="329"/>
  <c r="M481" i="329"/>
  <c r="N481" i="329"/>
  <c r="J343" i="329"/>
  <c r="K343" i="329"/>
  <c r="L343" i="329"/>
  <c r="N343" i="329"/>
  <c r="K341" i="329"/>
  <c r="L341" i="329"/>
  <c r="M341" i="329"/>
  <c r="N341" i="329"/>
  <c r="J339" i="329"/>
  <c r="K339" i="329"/>
  <c r="L339" i="329"/>
  <c r="M339" i="329"/>
  <c r="K337" i="329"/>
  <c r="L337" i="329"/>
  <c r="M337" i="329"/>
  <c r="N337" i="329"/>
  <c r="J335" i="329"/>
  <c r="K335" i="329"/>
  <c r="L335" i="329"/>
  <c r="N335" i="329"/>
  <c r="J333" i="329"/>
  <c r="K333" i="329"/>
  <c r="L333" i="329"/>
  <c r="M333" i="329"/>
  <c r="N333" i="329"/>
  <c r="J331" i="329"/>
  <c r="K331" i="329"/>
  <c r="L331" i="329"/>
  <c r="M331" i="329"/>
  <c r="N331" i="329"/>
  <c r="J329" i="329"/>
  <c r="K329" i="329"/>
  <c r="L329" i="329"/>
  <c r="M329" i="329"/>
  <c r="N329" i="329"/>
  <c r="J260" i="329"/>
  <c r="K260" i="329"/>
  <c r="L260" i="329"/>
  <c r="N260" i="329"/>
  <c r="J258" i="329"/>
  <c r="K258" i="329"/>
  <c r="L258" i="329"/>
  <c r="M258" i="329"/>
  <c r="N258" i="329"/>
  <c r="J256" i="329"/>
  <c r="K256" i="329"/>
  <c r="L256" i="329"/>
  <c r="N256" i="329"/>
  <c r="J254" i="329"/>
  <c r="K254" i="329"/>
  <c r="L254" i="329"/>
  <c r="M254" i="329"/>
  <c r="N254" i="329"/>
  <c r="J252" i="329"/>
  <c r="K252" i="329"/>
  <c r="L252" i="329"/>
  <c r="M252" i="329"/>
  <c r="N252" i="329"/>
  <c r="J250" i="329"/>
  <c r="K250" i="329"/>
  <c r="L250" i="329"/>
  <c r="M250" i="329"/>
  <c r="N250" i="329"/>
  <c r="J121" i="329"/>
  <c r="K121" i="329"/>
  <c r="L121" i="329"/>
  <c r="M121" i="329"/>
  <c r="N121" i="329"/>
  <c r="J119" i="329"/>
  <c r="K119" i="329"/>
  <c r="L119" i="329"/>
  <c r="M119" i="329"/>
  <c r="N119" i="329"/>
  <c r="J117" i="329"/>
  <c r="K117" i="329"/>
  <c r="L117" i="329"/>
  <c r="M117" i="329"/>
  <c r="N117" i="329"/>
  <c r="J115" i="329"/>
  <c r="K115" i="329"/>
  <c r="L115" i="329"/>
  <c r="M115" i="329"/>
  <c r="N115" i="329"/>
  <c r="I343" i="329" l="1"/>
  <c r="I701" i="352" s="1"/>
  <c r="I331" i="329"/>
  <c r="I695" i="352" s="1"/>
  <c r="I568" i="329"/>
  <c r="I717" i="352" s="1"/>
  <c r="I564" i="329"/>
  <c r="I715" i="352" s="1"/>
  <c r="I329" i="329"/>
  <c r="I694" i="352" s="1"/>
  <c r="I562" i="329"/>
  <c r="I714" i="352" s="1"/>
  <c r="I333" i="329"/>
  <c r="I696" i="352" s="1"/>
  <c r="I560" i="329"/>
  <c r="I713" i="352" s="1"/>
  <c r="I121" i="329"/>
  <c r="I683" i="352" s="1"/>
  <c r="I115" i="329"/>
  <c r="I680" i="352" s="1"/>
  <c r="I483" i="329"/>
  <c r="I708" i="352" s="1"/>
  <c r="I119" i="329"/>
  <c r="I682" i="352" s="1"/>
  <c r="I258" i="329"/>
  <c r="I692" i="352" s="1"/>
  <c r="I487" i="329"/>
  <c r="I712" i="352" s="1"/>
  <c r="I484" i="329"/>
  <c r="I709" i="352" s="1"/>
  <c r="I250" i="329"/>
  <c r="I688" i="352" s="1"/>
  <c r="I185" i="329"/>
  <c r="I685" i="352" s="1"/>
  <c r="I254" i="329"/>
  <c r="I690" i="352" s="1"/>
  <c r="I189" i="329"/>
  <c r="I687" i="352" s="1"/>
  <c r="I482" i="329"/>
  <c r="I707" i="352" s="1"/>
  <c r="I183" i="329"/>
  <c r="I684" i="352" s="1"/>
  <c r="I252" i="329"/>
  <c r="I689" i="352" s="1"/>
  <c r="I117" i="329"/>
  <c r="I681" i="352" s="1"/>
  <c r="I187" i="329"/>
  <c r="I686" i="352" s="1"/>
  <c r="I481" i="329"/>
  <c r="I706" i="352" s="1"/>
  <c r="H29" i="285"/>
  <c r="K30" i="9" s="1"/>
  <c r="M30" i="9" s="1"/>
  <c r="H142" i="284"/>
  <c r="K29" i="9" s="1"/>
  <c r="M29" i="9" s="1"/>
  <c r="H148" i="283"/>
  <c r="K25" i="9" s="1"/>
  <c r="M25" i="9" s="1"/>
  <c r="H29" i="336"/>
  <c r="K51" i="9" s="1"/>
  <c r="M51" i="9" s="1"/>
  <c r="H63" i="336"/>
  <c r="K52" i="9" s="1"/>
  <c r="M52" i="9" s="1"/>
  <c r="H228" i="285"/>
  <c r="K35" i="9" s="1"/>
  <c r="M35" i="9" s="1"/>
  <c r="H222" i="247"/>
  <c r="K49" i="9" s="1"/>
  <c r="M49" i="9" s="1"/>
  <c r="H185" i="286"/>
  <c r="K40" i="9" s="1"/>
  <c r="M40" i="9" s="1"/>
  <c r="H281" i="301"/>
  <c r="K19" i="9" s="1"/>
  <c r="M19" i="9" s="1"/>
  <c r="H66" i="283"/>
  <c r="K23" i="9" s="1"/>
  <c r="M23" i="9" s="1"/>
  <c r="H66" i="286"/>
  <c r="K37" i="9" s="1"/>
  <c r="M37" i="9" s="1"/>
  <c r="H228" i="286"/>
  <c r="K41" i="9" s="1"/>
  <c r="M41" i="9" s="1"/>
  <c r="H135" i="336"/>
  <c r="K54" i="9" s="1"/>
  <c r="M54" i="9" s="1"/>
  <c r="H103" i="247"/>
  <c r="K46" i="9" s="1"/>
  <c r="M46" i="9" s="1"/>
  <c r="M260" i="329"/>
  <c r="I260" i="329" s="1"/>
  <c r="I693" i="352" s="1"/>
  <c r="N486" i="329"/>
  <c r="I486" i="329" s="1"/>
  <c r="I711" i="352" s="1"/>
  <c r="H105" i="283"/>
  <c r="K24" i="9" s="1"/>
  <c r="M24" i="9" s="1"/>
  <c r="H185" i="285"/>
  <c r="K34" i="9" s="1"/>
  <c r="M34" i="9" s="1"/>
  <c r="M335" i="329"/>
  <c r="I335" i="329" s="1"/>
  <c r="I697" i="352" s="1"/>
  <c r="J337" i="329"/>
  <c r="I337" i="329" s="1"/>
  <c r="I698" i="352" s="1"/>
  <c r="H66" i="284"/>
  <c r="K27" i="9" s="1"/>
  <c r="M27" i="9" s="1"/>
  <c r="H103" i="284"/>
  <c r="K28" i="9" s="1"/>
  <c r="M28" i="9" s="1"/>
  <c r="H140" i="247"/>
  <c r="K47" i="9" s="1"/>
  <c r="M47" i="9" s="1"/>
  <c r="H176" i="336"/>
  <c r="K55" i="9" s="1"/>
  <c r="M55" i="9" s="1"/>
  <c r="N339" i="329"/>
  <c r="I339" i="329" s="1"/>
  <c r="I699" i="352" s="1"/>
  <c r="H305" i="301"/>
  <c r="K20" i="9" s="1"/>
  <c r="M20" i="9" s="1"/>
  <c r="H271" i="286"/>
  <c r="K42" i="9" s="1"/>
  <c r="M42" i="9" s="1"/>
  <c r="J341" i="329"/>
  <c r="I341" i="329" s="1"/>
  <c r="I700" i="352" s="1"/>
  <c r="H29" i="247"/>
  <c r="K44" i="9" s="1"/>
  <c r="M44" i="9" s="1"/>
  <c r="H179" i="247"/>
  <c r="K48" i="9" s="1"/>
  <c r="M48" i="9" s="1"/>
  <c r="H98" i="336"/>
  <c r="K53" i="9" s="1"/>
  <c r="M53" i="9" s="1"/>
  <c r="H29" i="286"/>
  <c r="K36" i="9" s="1"/>
  <c r="M36" i="9" s="1"/>
  <c r="H257" i="301"/>
  <c r="K18" i="9" s="1"/>
  <c r="M18" i="9" s="1"/>
  <c r="H142" i="286"/>
  <c r="K39" i="9" s="1"/>
  <c r="M39" i="9" s="1"/>
  <c r="H314" i="286"/>
  <c r="K43" i="9" s="1"/>
  <c r="M43" i="9" s="1"/>
  <c r="H66" i="247"/>
  <c r="K45" i="9" s="1"/>
  <c r="M45" i="9" s="1"/>
  <c r="M256" i="329"/>
  <c r="I256" i="329" s="1"/>
  <c r="I691" i="352" s="1"/>
  <c r="K485" i="329"/>
  <c r="I485" i="329" s="1"/>
  <c r="I710" i="352" s="1"/>
  <c r="N566" i="329"/>
  <c r="I566" i="329" s="1"/>
  <c r="I716" i="352" s="1"/>
  <c r="H265" i="247"/>
  <c r="K50" i="9" s="1"/>
  <c r="M50" i="9" s="1"/>
  <c r="H29" i="283"/>
  <c r="K22" i="9" s="1"/>
  <c r="M22" i="9" s="1"/>
  <c r="H103" i="285"/>
  <c r="K32" i="9" s="1"/>
  <c r="M32" i="9" s="1"/>
  <c r="H103" i="286"/>
  <c r="K38" i="9" s="1"/>
  <c r="M38" i="9" s="1"/>
  <c r="H29" i="284"/>
  <c r="K26" i="9" s="1"/>
  <c r="M26" i="9" s="1"/>
  <c r="H66" i="285"/>
  <c r="K31" i="9" s="1"/>
  <c r="M31" i="9" s="1"/>
  <c r="H142" i="285"/>
  <c r="K33" i="9" s="1"/>
  <c r="M33" i="9" s="1"/>
  <c r="J420" i="337"/>
  <c r="J421" i="337"/>
  <c r="J422" i="337"/>
  <c r="J423" i="337"/>
  <c r="J424" i="337"/>
  <c r="J425" i="337"/>
  <c r="J426" i="337"/>
  <c r="J427" i="337"/>
  <c r="J428" i="337"/>
  <c r="J429" i="337"/>
  <c r="J430" i="337"/>
  <c r="J431" i="337"/>
  <c r="J432" i="337"/>
  <c r="J433" i="337"/>
  <c r="J434" i="337"/>
  <c r="J321" i="337"/>
  <c r="J322" i="337"/>
  <c r="J323" i="337"/>
  <c r="J324" i="337"/>
  <c r="J325" i="337"/>
  <c r="J326" i="337"/>
  <c r="J327" i="337"/>
  <c r="J328" i="337"/>
  <c r="J329" i="337"/>
  <c r="J330" i="337"/>
  <c r="J331" i="337"/>
  <c r="J332" i="337"/>
  <c r="J333" i="337"/>
  <c r="J334" i="337"/>
  <c r="J335" i="337"/>
  <c r="J222" i="337"/>
  <c r="J223" i="337"/>
  <c r="J224" i="337"/>
  <c r="J225" i="337"/>
  <c r="J226" i="337"/>
  <c r="J227" i="337"/>
  <c r="J228" i="337"/>
  <c r="J229" i="337"/>
  <c r="J230" i="337"/>
  <c r="J231" i="337"/>
  <c r="J232" i="337"/>
  <c r="J233" i="337"/>
  <c r="J234" i="337"/>
  <c r="J235" i="337"/>
  <c r="J236" i="337"/>
  <c r="D2607" i="250"/>
  <c r="D2608" i="250"/>
  <c r="D2609" i="250"/>
  <c r="D2610" i="250"/>
  <c r="D2611" i="250"/>
  <c r="D2612" i="250"/>
  <c r="D2613" i="250"/>
  <c r="D2614" i="250"/>
  <c r="D2615" i="250"/>
  <c r="D2616" i="250"/>
  <c r="D2617" i="250"/>
  <c r="D2618" i="250"/>
  <c r="D2619" i="250"/>
  <c r="D2620" i="250"/>
  <c r="D2621" i="250"/>
  <c r="J125" i="337"/>
  <c r="J126" i="337"/>
  <c r="J127" i="337"/>
  <c r="J128" i="337"/>
  <c r="J129" i="337"/>
  <c r="J130" i="337"/>
  <c r="J131" i="337"/>
  <c r="J132" i="337"/>
  <c r="J133" i="337"/>
  <c r="J134" i="337"/>
  <c r="J135" i="337"/>
  <c r="J136" i="337"/>
  <c r="J137" i="337"/>
  <c r="J138" i="337"/>
  <c r="J139" i="337"/>
  <c r="D2523" i="250"/>
  <c r="D2524" i="250"/>
  <c r="D2525" i="250"/>
  <c r="D2526" i="250"/>
  <c r="D2527" i="250"/>
  <c r="D2528" i="250"/>
  <c r="D2529" i="250"/>
  <c r="D2530" i="250"/>
  <c r="D2531" i="250"/>
  <c r="D2532" i="250"/>
  <c r="D2533" i="250"/>
  <c r="D2534" i="250"/>
  <c r="D2535" i="250"/>
  <c r="D2536" i="250"/>
  <c r="D2537" i="250"/>
  <c r="J28" i="337"/>
  <c r="J29" i="337"/>
  <c r="J30" i="337"/>
  <c r="J31" i="337"/>
  <c r="J32" i="337"/>
  <c r="J33" i="337"/>
  <c r="J34" i="337"/>
  <c r="J35" i="337"/>
  <c r="J36" i="337"/>
  <c r="J37" i="337"/>
  <c r="J38" i="337"/>
  <c r="J39" i="337"/>
  <c r="J40" i="337"/>
  <c r="J41" i="337"/>
  <c r="J42" i="337"/>
  <c r="D2439" i="250"/>
  <c r="D2440" i="250"/>
  <c r="D2441" i="250"/>
  <c r="D2442" i="250"/>
  <c r="D2443" i="250"/>
  <c r="D2444" i="250"/>
  <c r="D2445" i="250"/>
  <c r="D2446" i="250"/>
  <c r="D2447" i="250"/>
  <c r="D2448" i="250"/>
  <c r="D2449" i="250"/>
  <c r="D2450" i="250"/>
  <c r="D2451" i="250"/>
  <c r="D2452" i="250"/>
  <c r="D2453" i="250"/>
  <c r="J616" i="246"/>
  <c r="J617" i="246"/>
  <c r="J618" i="246"/>
  <c r="J619" i="246"/>
  <c r="J620" i="246"/>
  <c r="J621" i="246"/>
  <c r="J622" i="246"/>
  <c r="J623" i="246"/>
  <c r="J624" i="246"/>
  <c r="J625" i="246"/>
  <c r="J626" i="246"/>
  <c r="J627" i="246"/>
  <c r="J628" i="246"/>
  <c r="J629" i="246"/>
  <c r="J630" i="246"/>
  <c r="J517" i="246"/>
  <c r="J518" i="246"/>
  <c r="J519" i="246"/>
  <c r="J520" i="246"/>
  <c r="J521" i="246"/>
  <c r="J522" i="246"/>
  <c r="J523" i="246"/>
  <c r="J524" i="246"/>
  <c r="J525" i="246"/>
  <c r="J526" i="246"/>
  <c r="J527" i="246"/>
  <c r="J528" i="246"/>
  <c r="J529" i="246"/>
  <c r="J530" i="246"/>
  <c r="J531" i="246"/>
  <c r="J418" i="246"/>
  <c r="J419" i="246"/>
  <c r="J420" i="246"/>
  <c r="J421" i="246"/>
  <c r="J422" i="246"/>
  <c r="J423" i="246"/>
  <c r="J424" i="246"/>
  <c r="J425" i="246"/>
  <c r="J426" i="246"/>
  <c r="J427" i="246"/>
  <c r="J428" i="246"/>
  <c r="J429" i="246"/>
  <c r="J430" i="246"/>
  <c r="J431" i="246"/>
  <c r="J432" i="246"/>
  <c r="J319" i="246"/>
  <c r="J320" i="246"/>
  <c r="J321" i="246"/>
  <c r="J322" i="246"/>
  <c r="J323" i="246"/>
  <c r="J324" i="246"/>
  <c r="J325" i="246"/>
  <c r="J326" i="246"/>
  <c r="J327" i="246"/>
  <c r="J328" i="246"/>
  <c r="J329" i="246"/>
  <c r="J330" i="246"/>
  <c r="J331" i="246"/>
  <c r="J332" i="246"/>
  <c r="J333" i="246"/>
  <c r="D2103" i="250"/>
  <c r="D2104" i="250"/>
  <c r="D2105" i="250"/>
  <c r="D2106" i="250"/>
  <c r="D2107" i="250"/>
  <c r="D2108" i="250"/>
  <c r="D2109" i="250"/>
  <c r="D2110" i="250"/>
  <c r="D2111" i="250"/>
  <c r="D2112" i="250"/>
  <c r="D2113" i="250"/>
  <c r="D2114" i="250"/>
  <c r="D2115" i="250"/>
  <c r="D2116" i="250"/>
  <c r="D2117" i="250"/>
  <c r="J222" i="246"/>
  <c r="J223" i="246"/>
  <c r="J224" i="246"/>
  <c r="J225" i="246"/>
  <c r="J226" i="246"/>
  <c r="J227" i="246"/>
  <c r="J228" i="246"/>
  <c r="J229" i="246"/>
  <c r="J230" i="246"/>
  <c r="J231" i="246"/>
  <c r="J232" i="246"/>
  <c r="J233" i="246"/>
  <c r="J234" i="246"/>
  <c r="J235" i="246"/>
  <c r="J236" i="246"/>
  <c r="D2019" i="250"/>
  <c r="D2020" i="250"/>
  <c r="D2021" i="250"/>
  <c r="D2022" i="250"/>
  <c r="D2023" i="250"/>
  <c r="D2024" i="250"/>
  <c r="D2025" i="250"/>
  <c r="D2026" i="250"/>
  <c r="D2027" i="250"/>
  <c r="D2028" i="250"/>
  <c r="D2029" i="250"/>
  <c r="D2030" i="250"/>
  <c r="D2031" i="250"/>
  <c r="D2032" i="250"/>
  <c r="D2033" i="250"/>
  <c r="J125" i="246"/>
  <c r="J126" i="246"/>
  <c r="J127" i="246"/>
  <c r="J128" i="246"/>
  <c r="J129" i="246"/>
  <c r="J130" i="246"/>
  <c r="J131" i="246"/>
  <c r="J132" i="246"/>
  <c r="J133" i="246"/>
  <c r="J134" i="246"/>
  <c r="J135" i="246"/>
  <c r="J136" i="246"/>
  <c r="J137" i="246"/>
  <c r="J138" i="246"/>
  <c r="J139" i="246"/>
  <c r="D1935" i="250"/>
  <c r="D1936" i="250"/>
  <c r="D1937" i="250"/>
  <c r="D1938" i="250"/>
  <c r="D1939" i="250"/>
  <c r="D1940" i="250"/>
  <c r="D1941" i="250"/>
  <c r="D1942" i="250"/>
  <c r="D1943" i="250"/>
  <c r="D1944" i="250"/>
  <c r="D1945" i="250"/>
  <c r="D1946" i="250"/>
  <c r="D1947" i="250"/>
  <c r="D1948" i="250"/>
  <c r="D1949" i="250"/>
  <c r="J28" i="246"/>
  <c r="J29" i="246"/>
  <c r="J30" i="246"/>
  <c r="J31" i="246"/>
  <c r="J32" i="246"/>
  <c r="J33" i="246"/>
  <c r="J34" i="246"/>
  <c r="J35" i="246"/>
  <c r="J36" i="246"/>
  <c r="J37" i="246"/>
  <c r="J38" i="246"/>
  <c r="J39" i="246"/>
  <c r="J40" i="246"/>
  <c r="J41" i="246"/>
  <c r="J42" i="246"/>
  <c r="D1851" i="250"/>
  <c r="D1852" i="250"/>
  <c r="D1853" i="250"/>
  <c r="D1854" i="250"/>
  <c r="D1855" i="250"/>
  <c r="D1856" i="250"/>
  <c r="D1857" i="250"/>
  <c r="D1858" i="250"/>
  <c r="D1859" i="250"/>
  <c r="D1860" i="250"/>
  <c r="D1861" i="250"/>
  <c r="D1862" i="250"/>
  <c r="D1863" i="250"/>
  <c r="D1864" i="250"/>
  <c r="D1865" i="250"/>
  <c r="J717" i="282"/>
  <c r="J718" i="282"/>
  <c r="J719" i="282"/>
  <c r="J720" i="282"/>
  <c r="J721" i="282"/>
  <c r="J722" i="282"/>
  <c r="J723" i="282"/>
  <c r="J724" i="282"/>
  <c r="J725" i="282"/>
  <c r="J726" i="282"/>
  <c r="J727" i="282"/>
  <c r="J728" i="282"/>
  <c r="J729" i="282"/>
  <c r="J730" i="282"/>
  <c r="J731" i="282"/>
  <c r="J618" i="282"/>
  <c r="J619" i="282"/>
  <c r="J620" i="282"/>
  <c r="J621" i="282"/>
  <c r="J622" i="282"/>
  <c r="J623" i="282"/>
  <c r="J624" i="282"/>
  <c r="J625" i="282"/>
  <c r="J626" i="282"/>
  <c r="J627" i="282"/>
  <c r="J628" i="282"/>
  <c r="J629" i="282"/>
  <c r="J630" i="282"/>
  <c r="J631" i="282"/>
  <c r="J632" i="282"/>
  <c r="J519" i="282"/>
  <c r="J520" i="282"/>
  <c r="J521" i="282"/>
  <c r="J522" i="282"/>
  <c r="J523" i="282"/>
  <c r="J524" i="282"/>
  <c r="J525" i="282"/>
  <c r="J526" i="282"/>
  <c r="J527" i="282"/>
  <c r="J528" i="282"/>
  <c r="J529" i="282"/>
  <c r="J530" i="282"/>
  <c r="J531" i="282"/>
  <c r="J532" i="282"/>
  <c r="J533" i="282"/>
  <c r="J420" i="282"/>
  <c r="J421" i="282"/>
  <c r="J422" i="282"/>
  <c r="J423" i="282"/>
  <c r="J424" i="282"/>
  <c r="J425" i="282"/>
  <c r="J426" i="282"/>
  <c r="J427" i="282"/>
  <c r="J428" i="282"/>
  <c r="J429" i="282"/>
  <c r="J430" i="282"/>
  <c r="J431" i="282"/>
  <c r="J432" i="282"/>
  <c r="J433" i="282"/>
  <c r="J434" i="282"/>
  <c r="J321" i="282"/>
  <c r="J322" i="282"/>
  <c r="J323" i="282"/>
  <c r="J324" i="282"/>
  <c r="J325" i="282"/>
  <c r="J326" i="282"/>
  <c r="J327" i="282"/>
  <c r="J328" i="282"/>
  <c r="J329" i="282"/>
  <c r="J330" i="282"/>
  <c r="J331" i="282"/>
  <c r="J332" i="282"/>
  <c r="J333" i="282"/>
  <c r="J334" i="282"/>
  <c r="J335" i="282"/>
  <c r="J222" i="282"/>
  <c r="J223" i="282"/>
  <c r="J224" i="282"/>
  <c r="J225" i="282"/>
  <c r="J226" i="282"/>
  <c r="J227" i="282"/>
  <c r="J228" i="282"/>
  <c r="J229" i="282"/>
  <c r="J230" i="282"/>
  <c r="J231" i="282"/>
  <c r="J232" i="282"/>
  <c r="J233" i="282"/>
  <c r="J234" i="282"/>
  <c r="J235" i="282"/>
  <c r="J236" i="282"/>
  <c r="D1347" i="250"/>
  <c r="D1348" i="250"/>
  <c r="D1349" i="250"/>
  <c r="D1350" i="250"/>
  <c r="D1351" i="250"/>
  <c r="D1352" i="250"/>
  <c r="D1353" i="250"/>
  <c r="D1354" i="250"/>
  <c r="D1355" i="250"/>
  <c r="D1356" i="250"/>
  <c r="D1357" i="250"/>
  <c r="D1358" i="250"/>
  <c r="D1359" i="250"/>
  <c r="D1360" i="250"/>
  <c r="D1361" i="250"/>
  <c r="J125" i="282"/>
  <c r="J126" i="282"/>
  <c r="J127" i="282"/>
  <c r="J128" i="282"/>
  <c r="J129" i="282"/>
  <c r="J130" i="282"/>
  <c r="J131" i="282"/>
  <c r="J132" i="282"/>
  <c r="J133" i="282"/>
  <c r="J134" i="282"/>
  <c r="J135" i="282"/>
  <c r="J136" i="282"/>
  <c r="J137" i="282"/>
  <c r="J138" i="282"/>
  <c r="J139" i="282"/>
  <c r="D1263" i="250"/>
  <c r="D1264" i="250"/>
  <c r="D1265" i="250"/>
  <c r="D1266" i="250"/>
  <c r="D1267" i="250"/>
  <c r="D1268" i="250"/>
  <c r="D1269" i="250"/>
  <c r="D1270" i="250"/>
  <c r="D1271" i="250"/>
  <c r="D1272" i="250"/>
  <c r="D1273" i="250"/>
  <c r="D1274" i="250"/>
  <c r="D1275" i="250"/>
  <c r="D1276" i="250"/>
  <c r="D1277" i="250"/>
  <c r="J28" i="282"/>
  <c r="J29" i="282"/>
  <c r="J30" i="282"/>
  <c r="J31" i="282"/>
  <c r="J32" i="282"/>
  <c r="J33" i="282"/>
  <c r="J34" i="282"/>
  <c r="J35" i="282"/>
  <c r="J36" i="282"/>
  <c r="J37" i="282"/>
  <c r="J38" i="282"/>
  <c r="J39" i="282"/>
  <c r="J40" i="282"/>
  <c r="J41" i="282"/>
  <c r="J42" i="282"/>
  <c r="D1179" i="250"/>
  <c r="D1180" i="250"/>
  <c r="D1181" i="250"/>
  <c r="D1182" i="250"/>
  <c r="D1183" i="250"/>
  <c r="D1184" i="250"/>
  <c r="D1185" i="250"/>
  <c r="D1186" i="250"/>
  <c r="D1187" i="250"/>
  <c r="D1188" i="250"/>
  <c r="D1189" i="250"/>
  <c r="D1190" i="250"/>
  <c r="D1191" i="250"/>
  <c r="D1192" i="250"/>
  <c r="D1193" i="250"/>
  <c r="J519" i="281"/>
  <c r="J520" i="281"/>
  <c r="J521" i="281"/>
  <c r="J522" i="281"/>
  <c r="J523" i="281"/>
  <c r="J524" i="281"/>
  <c r="J525" i="281"/>
  <c r="J526" i="281"/>
  <c r="J527" i="281"/>
  <c r="J528" i="281"/>
  <c r="J529" i="281"/>
  <c r="J530" i="281"/>
  <c r="J531" i="281"/>
  <c r="J532" i="281"/>
  <c r="J533" i="281"/>
  <c r="J420" i="281"/>
  <c r="J421" i="281"/>
  <c r="J422" i="281"/>
  <c r="J423" i="281"/>
  <c r="J424" i="281"/>
  <c r="J425" i="281"/>
  <c r="J426" i="281"/>
  <c r="J427" i="281"/>
  <c r="J428" i="281"/>
  <c r="J429" i="281"/>
  <c r="J430" i="281"/>
  <c r="J431" i="281"/>
  <c r="J432" i="281"/>
  <c r="J433" i="281"/>
  <c r="J434" i="281"/>
  <c r="J321" i="281"/>
  <c r="J322" i="281"/>
  <c r="J323" i="281"/>
  <c r="J324" i="281"/>
  <c r="J325" i="281"/>
  <c r="J326" i="281"/>
  <c r="J327" i="281"/>
  <c r="J328" i="281"/>
  <c r="J329" i="281"/>
  <c r="J330" i="281"/>
  <c r="J331" i="281"/>
  <c r="J332" i="281"/>
  <c r="J333" i="281"/>
  <c r="J334" i="281"/>
  <c r="J335" i="281"/>
  <c r="J222" i="281"/>
  <c r="J223" i="281"/>
  <c r="J224" i="281"/>
  <c r="J225" i="281"/>
  <c r="J226" i="281"/>
  <c r="J227" i="281"/>
  <c r="J228" i="281"/>
  <c r="J229" i="281"/>
  <c r="J230" i="281"/>
  <c r="J231" i="281"/>
  <c r="J232" i="281"/>
  <c r="J233" i="281"/>
  <c r="J234" i="281"/>
  <c r="J235" i="281"/>
  <c r="J236" i="281"/>
  <c r="D843" i="250"/>
  <c r="D844" i="250"/>
  <c r="D845" i="250"/>
  <c r="D846" i="250"/>
  <c r="D847" i="250"/>
  <c r="D848" i="250"/>
  <c r="D849" i="250"/>
  <c r="D850" i="250"/>
  <c r="D851" i="250"/>
  <c r="D852" i="250"/>
  <c r="D853" i="250"/>
  <c r="D854" i="250"/>
  <c r="D855" i="250"/>
  <c r="D856" i="250"/>
  <c r="D857" i="250"/>
  <c r="J125" i="281"/>
  <c r="J126" i="281"/>
  <c r="J127" i="281"/>
  <c r="J128" i="281"/>
  <c r="J129" i="281"/>
  <c r="J130" i="281"/>
  <c r="J131" i="281"/>
  <c r="J132" i="281"/>
  <c r="J133" i="281"/>
  <c r="J134" i="281"/>
  <c r="J135" i="281"/>
  <c r="J136" i="281"/>
  <c r="J137" i="281"/>
  <c r="J138" i="281"/>
  <c r="J139" i="281"/>
  <c r="D759" i="250"/>
  <c r="D760" i="250"/>
  <c r="D761" i="250"/>
  <c r="D762" i="250"/>
  <c r="D763" i="250"/>
  <c r="D764" i="250"/>
  <c r="D765" i="250"/>
  <c r="D766" i="250"/>
  <c r="D767" i="250"/>
  <c r="D768" i="250"/>
  <c r="D769" i="250"/>
  <c r="D770" i="250"/>
  <c r="D771" i="250"/>
  <c r="D772" i="250"/>
  <c r="D773" i="250"/>
  <c r="J28" i="281"/>
  <c r="J29" i="281"/>
  <c r="J30" i="281"/>
  <c r="J31" i="281"/>
  <c r="J32" i="281"/>
  <c r="J33" i="281"/>
  <c r="J34" i="281"/>
  <c r="J35" i="281"/>
  <c r="J36" i="281"/>
  <c r="J37" i="281"/>
  <c r="J38" i="281"/>
  <c r="J39" i="281"/>
  <c r="J40" i="281"/>
  <c r="J41" i="281"/>
  <c r="J42" i="281"/>
  <c r="D675" i="250"/>
  <c r="D676" i="250"/>
  <c r="D677" i="250"/>
  <c r="D678" i="250"/>
  <c r="D679" i="250"/>
  <c r="D680" i="250"/>
  <c r="D681" i="250"/>
  <c r="D682" i="250"/>
  <c r="D683" i="250"/>
  <c r="D684" i="250"/>
  <c r="D685" i="250"/>
  <c r="D686" i="250"/>
  <c r="D687" i="250"/>
  <c r="D688" i="250"/>
  <c r="D689" i="250"/>
  <c r="J228" i="307"/>
  <c r="J229" i="307"/>
  <c r="J230" i="307"/>
  <c r="J231" i="307"/>
  <c r="J232" i="307"/>
  <c r="J233" i="307"/>
  <c r="J234" i="307"/>
  <c r="J235" i="307"/>
  <c r="J236" i="307"/>
  <c r="J237" i="307"/>
  <c r="J238" i="307"/>
  <c r="J239" i="307"/>
  <c r="J240" i="307"/>
  <c r="J241" i="307"/>
  <c r="J242" i="307"/>
  <c r="J129" i="307"/>
  <c r="J130" i="307"/>
  <c r="J131" i="307"/>
  <c r="J132" i="307"/>
  <c r="J133" i="307"/>
  <c r="J134" i="307"/>
  <c r="J135" i="307"/>
  <c r="J136" i="307"/>
  <c r="J137" i="307"/>
  <c r="J138" i="307"/>
  <c r="J139" i="307"/>
  <c r="J140" i="307"/>
  <c r="J141" i="307"/>
  <c r="J142" i="307"/>
  <c r="J143" i="307"/>
  <c r="J30" i="307"/>
  <c r="J31" i="307"/>
  <c r="J32" i="307"/>
  <c r="J33" i="307"/>
  <c r="J34" i="307"/>
  <c r="J35" i="307"/>
  <c r="J36" i="307"/>
  <c r="J37" i="307"/>
  <c r="J38" i="307"/>
  <c r="J39" i="307"/>
  <c r="J40" i="307"/>
  <c r="J41" i="307"/>
  <c r="J42" i="307"/>
  <c r="J43" i="307"/>
  <c r="J44" i="307"/>
  <c r="J321" i="280"/>
  <c r="J322" i="280"/>
  <c r="J323" i="280"/>
  <c r="J324" i="280"/>
  <c r="J325" i="280"/>
  <c r="J326" i="280"/>
  <c r="J327" i="280"/>
  <c r="J328" i="280"/>
  <c r="J329" i="280"/>
  <c r="J330" i="280"/>
  <c r="J331" i="280"/>
  <c r="J332" i="280"/>
  <c r="J333" i="280"/>
  <c r="J334" i="280"/>
  <c r="J335" i="280"/>
  <c r="J222" i="280"/>
  <c r="J223" i="280"/>
  <c r="J224" i="280"/>
  <c r="J225" i="280"/>
  <c r="J226" i="280"/>
  <c r="J227" i="280"/>
  <c r="J228" i="280"/>
  <c r="J229" i="280"/>
  <c r="J230" i="280"/>
  <c r="J231" i="280"/>
  <c r="J232" i="280"/>
  <c r="J233" i="280"/>
  <c r="J234" i="280"/>
  <c r="J235" i="280"/>
  <c r="J236" i="280"/>
  <c r="D507" i="250"/>
  <c r="D508" i="250"/>
  <c r="D509" i="250"/>
  <c r="D510" i="250"/>
  <c r="D511" i="250"/>
  <c r="D512" i="250"/>
  <c r="D513" i="250"/>
  <c r="D514" i="250"/>
  <c r="D515" i="250"/>
  <c r="D516" i="250"/>
  <c r="D517" i="250"/>
  <c r="D518" i="250"/>
  <c r="D519" i="250"/>
  <c r="D520" i="250"/>
  <c r="D521" i="250"/>
  <c r="J125" i="280"/>
  <c r="J126" i="280"/>
  <c r="J127" i="280"/>
  <c r="J128" i="280"/>
  <c r="J129" i="280"/>
  <c r="J130" i="280"/>
  <c r="J131" i="280"/>
  <c r="J132" i="280"/>
  <c r="J133" i="280"/>
  <c r="J134" i="280"/>
  <c r="J135" i="280"/>
  <c r="J136" i="280"/>
  <c r="J137" i="280"/>
  <c r="J138" i="280"/>
  <c r="J139" i="280"/>
  <c r="D423" i="250"/>
  <c r="D424" i="250"/>
  <c r="D425" i="250"/>
  <c r="D426" i="250"/>
  <c r="D427" i="250"/>
  <c r="D428" i="250"/>
  <c r="D429" i="250"/>
  <c r="D430" i="250"/>
  <c r="D431" i="250"/>
  <c r="D432" i="250"/>
  <c r="D433" i="250"/>
  <c r="D434" i="250"/>
  <c r="D435" i="250"/>
  <c r="D436" i="250"/>
  <c r="D437" i="250"/>
  <c r="J28" i="280"/>
  <c r="J29" i="280"/>
  <c r="J30" i="280"/>
  <c r="J31" i="280"/>
  <c r="J32" i="280"/>
  <c r="J33" i="280"/>
  <c r="J34" i="280"/>
  <c r="J35" i="280"/>
  <c r="J36" i="280"/>
  <c r="J37" i="280"/>
  <c r="J38" i="280"/>
  <c r="J39" i="280"/>
  <c r="J40" i="280"/>
  <c r="J41" i="280"/>
  <c r="J42" i="280"/>
  <c r="D339" i="250"/>
  <c r="D340" i="250"/>
  <c r="D341" i="250"/>
  <c r="D342" i="250"/>
  <c r="D343" i="250"/>
  <c r="D344" i="250"/>
  <c r="D345" i="250"/>
  <c r="D346" i="250"/>
  <c r="D347" i="250"/>
  <c r="D348" i="250"/>
  <c r="D349" i="250"/>
  <c r="D350" i="250"/>
  <c r="D351" i="250"/>
  <c r="D352" i="250"/>
  <c r="D353" i="250"/>
  <c r="J318" i="279"/>
  <c r="J319" i="279"/>
  <c r="J320" i="279"/>
  <c r="J321" i="279"/>
  <c r="J322" i="279"/>
  <c r="J323" i="279"/>
  <c r="J324" i="279"/>
  <c r="J325" i="279"/>
  <c r="J326" i="279"/>
  <c r="J327" i="279"/>
  <c r="J328" i="279"/>
  <c r="J329" i="279"/>
  <c r="J330" i="279"/>
  <c r="J331" i="279"/>
  <c r="J332" i="279"/>
  <c r="J219" i="279"/>
  <c r="J220" i="279"/>
  <c r="J221" i="279"/>
  <c r="J222" i="279"/>
  <c r="J223" i="279"/>
  <c r="J224" i="279"/>
  <c r="J225" i="279"/>
  <c r="J226" i="279"/>
  <c r="J227" i="279"/>
  <c r="J228" i="279"/>
  <c r="J229" i="279"/>
  <c r="J230" i="279"/>
  <c r="J231" i="279"/>
  <c r="J232" i="279"/>
  <c r="J233" i="279"/>
  <c r="J120" i="279"/>
  <c r="J121" i="279"/>
  <c r="J122" i="279"/>
  <c r="J123" i="279"/>
  <c r="J124" i="279"/>
  <c r="J125" i="279"/>
  <c r="J126" i="279"/>
  <c r="J127" i="279"/>
  <c r="J128" i="279"/>
  <c r="J129" i="279"/>
  <c r="J130" i="279"/>
  <c r="J131" i="279"/>
  <c r="J132" i="279"/>
  <c r="J133" i="279"/>
  <c r="J134" i="279"/>
  <c r="D87" i="250"/>
  <c r="D88" i="250"/>
  <c r="D89" i="250"/>
  <c r="D90" i="250"/>
  <c r="D91" i="250"/>
  <c r="D92" i="250"/>
  <c r="D93" i="250"/>
  <c r="D94" i="250"/>
  <c r="D95" i="250"/>
  <c r="D96" i="250"/>
  <c r="D97" i="250"/>
  <c r="D98" i="250"/>
  <c r="D99" i="250"/>
  <c r="D100" i="250"/>
  <c r="D101" i="250"/>
  <c r="J43" i="280" l="1"/>
  <c r="K72" i="9" s="1"/>
  <c r="M72" i="9" s="1"/>
  <c r="J43" i="281"/>
  <c r="K104" i="9" s="1"/>
  <c r="M104" i="9" s="1"/>
  <c r="J435" i="337"/>
  <c r="K204" i="9" s="1"/>
  <c r="M204" i="9" s="1"/>
  <c r="J333" i="279"/>
  <c r="K68" i="9" s="1"/>
  <c r="M68" i="9" s="1"/>
  <c r="J336" i="280"/>
  <c r="K84" i="9" s="1"/>
  <c r="M84" i="9" s="1"/>
  <c r="J336" i="281"/>
  <c r="K116" i="9" s="1"/>
  <c r="M116" i="9" s="1"/>
  <c r="J237" i="337"/>
  <c r="K196" i="9" s="1"/>
  <c r="M196" i="9" s="1"/>
  <c r="J336" i="337"/>
  <c r="K200" i="9" s="1"/>
  <c r="M200" i="9" s="1"/>
  <c r="J237" i="280"/>
  <c r="K80" i="9" s="1"/>
  <c r="M80" i="9" s="1"/>
  <c r="J140" i="281"/>
  <c r="K108" i="9" s="1"/>
  <c r="M108" i="9" s="1"/>
  <c r="J140" i="280"/>
  <c r="K76" i="9" s="1"/>
  <c r="M76" i="9" s="1"/>
  <c r="J237" i="281"/>
  <c r="K112" i="9" s="1"/>
  <c r="M112" i="9" s="1"/>
  <c r="J732" i="282"/>
  <c r="K156" i="9" s="1"/>
  <c r="M156" i="9" s="1"/>
  <c r="J237" i="246"/>
  <c r="K168" i="9" s="1"/>
  <c r="M168" i="9" s="1"/>
  <c r="J631" i="246"/>
  <c r="K184" i="9" s="1"/>
  <c r="M184" i="9" s="1"/>
  <c r="J534" i="281"/>
  <c r="K124" i="9" s="1"/>
  <c r="M124" i="9" s="1"/>
  <c r="J633" i="282"/>
  <c r="K152" i="9" s="1"/>
  <c r="M152" i="9" s="1"/>
  <c r="J433" i="246"/>
  <c r="K176" i="9" s="1"/>
  <c r="M176" i="9" s="1"/>
  <c r="J532" i="246"/>
  <c r="K180" i="9" s="1"/>
  <c r="M180" i="9" s="1"/>
  <c r="J534" i="282"/>
  <c r="K148" i="9" s="1"/>
  <c r="M148" i="9" s="1"/>
  <c r="J234" i="279"/>
  <c r="K64" i="9" s="1"/>
  <c r="M64" i="9" s="1"/>
  <c r="J435" i="281"/>
  <c r="K120" i="9" s="1"/>
  <c r="M120" i="9" s="1"/>
  <c r="J334" i="246"/>
  <c r="K172" i="9" s="1"/>
  <c r="M172" i="9" s="1"/>
  <c r="J135" i="279"/>
  <c r="K60" i="9" s="1"/>
  <c r="M60" i="9" s="1"/>
  <c r="J43" i="337"/>
  <c r="K188" i="9" s="1"/>
  <c r="M188" i="9" s="1"/>
  <c r="J140" i="337"/>
  <c r="K192" i="9" s="1"/>
  <c r="M192" i="9" s="1"/>
  <c r="J43" i="246"/>
  <c r="K160" i="9" s="1"/>
  <c r="M160" i="9" s="1"/>
  <c r="J140" i="246"/>
  <c r="K164" i="9" s="1"/>
  <c r="M164" i="9" s="1"/>
  <c r="J336" i="282"/>
  <c r="K140" i="9" s="1"/>
  <c r="M140" i="9" s="1"/>
  <c r="J140" i="282"/>
  <c r="K132" i="9" s="1"/>
  <c r="M132" i="9" s="1"/>
  <c r="J237" i="282"/>
  <c r="K136" i="9" s="1"/>
  <c r="M136" i="9" s="1"/>
  <c r="J43" i="282"/>
  <c r="K128" i="9" s="1"/>
  <c r="M128" i="9" s="1"/>
  <c r="J435" i="282"/>
  <c r="K144" i="9" s="1"/>
  <c r="M144" i="9" s="1"/>
  <c r="J144" i="307"/>
  <c r="K92" i="9" s="1"/>
  <c r="M92" i="9" s="1"/>
  <c r="J45" i="307"/>
  <c r="K88" i="9" s="1"/>
  <c r="M88" i="9" s="1"/>
  <c r="J243" i="307"/>
  <c r="K96" i="9" s="1"/>
  <c r="M96" i="9" s="1"/>
  <c r="K56" i="9"/>
  <c r="M56" i="9" s="1"/>
  <c r="D567" i="329"/>
  <c r="D581" i="329" s="1"/>
  <c r="D563" i="329"/>
  <c r="D579" i="329" s="1"/>
  <c r="D561" i="329"/>
  <c r="D590" i="329" s="1"/>
  <c r="D618" i="329" l="1"/>
  <c r="D607" i="329"/>
  <c r="D615" i="329"/>
  <c r="D616" i="329"/>
  <c r="D604" i="329"/>
  <c r="D605" i="329"/>
  <c r="D591" i="329"/>
  <c r="D593" i="329"/>
  <c r="D578" i="329"/>
  <c r="D342" i="329"/>
  <c r="D340" i="329"/>
  <c r="D338" i="329"/>
  <c r="D336" i="329"/>
  <c r="D332" i="329"/>
  <c r="D330" i="329"/>
  <c r="D259" i="329"/>
  <c r="D288" i="329" s="1"/>
  <c r="D257" i="329"/>
  <c r="D287" i="329" s="1"/>
  <c r="D253" i="329"/>
  <c r="D272" i="329" s="1"/>
  <c r="D251" i="329"/>
  <c r="D271" i="329" s="1"/>
  <c r="D201" i="329"/>
  <c r="D200" i="329"/>
  <c r="D120" i="329"/>
  <c r="D145" i="329" s="1"/>
  <c r="D116" i="329"/>
  <c r="D132" i="329" s="1"/>
  <c r="D386" i="329" l="1"/>
  <c r="D400" i="329"/>
  <c r="D387" i="329"/>
  <c r="D401" i="329"/>
  <c r="D389" i="329"/>
  <c r="D403" i="329"/>
  <c r="D390" i="329"/>
  <c r="D404" i="329"/>
  <c r="D391" i="329"/>
  <c r="D405" i="329"/>
  <c r="D392" i="329"/>
  <c r="D406" i="329"/>
  <c r="D354" i="329"/>
  <c r="D369" i="329"/>
  <c r="D355" i="329"/>
  <c r="D370" i="329"/>
  <c r="D357" i="329"/>
  <c r="D372" i="329"/>
  <c r="D358" i="329"/>
  <c r="D373" i="329"/>
  <c r="D359" i="329"/>
  <c r="D374" i="329"/>
  <c r="D360" i="329"/>
  <c r="D375" i="329"/>
  <c r="D284" i="329"/>
  <c r="D285" i="329"/>
  <c r="D315" i="329"/>
  <c r="D303" i="329"/>
  <c r="D311" i="329"/>
  <c r="D312" i="329"/>
  <c r="D314" i="329"/>
  <c r="D274" i="329"/>
  <c r="D299" i="329"/>
  <c r="D300" i="329"/>
  <c r="D302" i="329"/>
  <c r="D275" i="329"/>
  <c r="D234" i="329"/>
  <c r="D235" i="329"/>
  <c r="D224" i="329"/>
  <c r="D225" i="329"/>
  <c r="D211" i="329"/>
  <c r="D212" i="329"/>
  <c r="D167" i="329"/>
  <c r="D169" i="329"/>
  <c r="D157" i="329"/>
  <c r="D159" i="329"/>
  <c r="D143" i="329"/>
  <c r="D134" i="329"/>
  <c r="D256" i="286" l="1"/>
  <c r="D299" i="286"/>
  <c r="D133" i="283"/>
  <c r="E313" i="246"/>
  <c r="D310" i="246"/>
  <c r="D117" i="315" s="1"/>
  <c r="D311" i="246"/>
  <c r="D118" i="315" s="1"/>
  <c r="E494" i="309"/>
  <c r="E490" i="309"/>
  <c r="B486" i="309"/>
  <c r="D398" i="311"/>
  <c r="D397" i="311"/>
  <c r="D396" i="311"/>
  <c r="D395" i="311"/>
  <c r="E892" i="251"/>
  <c r="D892" i="251"/>
  <c r="B889" i="251"/>
  <c r="B888" i="251" s="1"/>
  <c r="E884" i="251"/>
  <c r="D884" i="251"/>
  <c r="B881" i="251"/>
  <c r="B880" i="251" s="1"/>
  <c r="E876" i="251"/>
  <c r="D876" i="251"/>
  <c r="B873" i="251"/>
  <c r="B872" i="251" s="1"/>
  <c r="E868" i="251"/>
  <c r="D868" i="251"/>
  <c r="B865" i="251"/>
  <c r="B864" i="251" s="1"/>
  <c r="C2166" i="250"/>
  <c r="C2146" i="250"/>
  <c r="C2126" i="250"/>
  <c r="C2101" i="250"/>
  <c r="B374" i="246"/>
  <c r="D2180" i="250" s="1"/>
  <c r="B356" i="246"/>
  <c r="D2161" i="250" s="1"/>
  <c r="B338" i="246"/>
  <c r="D2141" i="250" s="1"/>
  <c r="B315" i="246"/>
  <c r="D2121" i="250" s="1"/>
  <c r="B303" i="246"/>
  <c r="B295" i="246"/>
  <c r="D2168" i="250"/>
  <c r="D2169" i="250"/>
  <c r="D2170" i="250"/>
  <c r="D2171" i="250"/>
  <c r="D2172" i="250"/>
  <c r="D2173" i="250"/>
  <c r="D2174" i="250"/>
  <c r="D2175" i="250"/>
  <c r="D2176" i="250"/>
  <c r="D2177" i="250"/>
  <c r="D2148" i="250"/>
  <c r="D2149" i="250"/>
  <c r="D2150" i="250"/>
  <c r="D2151" i="250"/>
  <c r="D2152" i="250"/>
  <c r="D2153" i="250"/>
  <c r="D2154" i="250"/>
  <c r="D2155" i="250"/>
  <c r="D2156" i="250"/>
  <c r="D2157" i="250"/>
  <c r="D2128" i="250"/>
  <c r="D2129" i="250"/>
  <c r="D2130" i="250"/>
  <c r="D2131" i="250"/>
  <c r="D2132" i="250"/>
  <c r="D2133" i="250"/>
  <c r="D2134" i="250"/>
  <c r="D2135" i="250"/>
  <c r="D2136" i="250"/>
  <c r="D2137" i="250"/>
  <c r="J378" i="246"/>
  <c r="J379" i="246"/>
  <c r="J380" i="246"/>
  <c r="J381" i="246"/>
  <c r="J382" i="246"/>
  <c r="J383" i="246"/>
  <c r="J384" i="246"/>
  <c r="J385" i="246"/>
  <c r="J386" i="246"/>
  <c r="J387" i="246"/>
  <c r="J360" i="246"/>
  <c r="J361" i="246"/>
  <c r="J362" i="246"/>
  <c r="J363" i="246"/>
  <c r="J364" i="246"/>
  <c r="J365" i="246"/>
  <c r="J366" i="246"/>
  <c r="J367" i="246"/>
  <c r="J368" i="246"/>
  <c r="J369" i="246"/>
  <c r="J342" i="246"/>
  <c r="J343" i="246"/>
  <c r="J344" i="246"/>
  <c r="J345" i="246"/>
  <c r="J346" i="246"/>
  <c r="J347" i="246"/>
  <c r="J348" i="246"/>
  <c r="J349" i="246"/>
  <c r="J350" i="246"/>
  <c r="J351" i="246"/>
  <c r="E711" i="282"/>
  <c r="D708" i="282"/>
  <c r="D257" i="313" s="1"/>
  <c r="D709" i="282"/>
  <c r="D258" i="313" s="1"/>
  <c r="E382" i="309"/>
  <c r="E378" i="309"/>
  <c r="B374" i="309"/>
  <c r="B772" i="282"/>
  <c r="D1844" i="250" s="1"/>
  <c r="B754" i="282"/>
  <c r="D1825" i="250" s="1"/>
  <c r="B736" i="282"/>
  <c r="D1805" i="250" s="1"/>
  <c r="B713" i="282"/>
  <c r="D1785" i="250" s="1"/>
  <c r="B700" i="282"/>
  <c r="B691" i="282"/>
  <c r="J776" i="282"/>
  <c r="J777" i="282"/>
  <c r="J778" i="282"/>
  <c r="J779" i="282"/>
  <c r="J780" i="282"/>
  <c r="J781" i="282"/>
  <c r="J782" i="282"/>
  <c r="J783" i="282"/>
  <c r="J784" i="282"/>
  <c r="J785" i="282"/>
  <c r="J758" i="282"/>
  <c r="J759" i="282"/>
  <c r="J760" i="282"/>
  <c r="J761" i="282"/>
  <c r="J762" i="282"/>
  <c r="J763" i="282"/>
  <c r="J764" i="282"/>
  <c r="J765" i="282"/>
  <c r="J766" i="282"/>
  <c r="J767" i="282"/>
  <c r="J740" i="282"/>
  <c r="J741" i="282"/>
  <c r="J742" i="282"/>
  <c r="J743" i="282"/>
  <c r="J744" i="282"/>
  <c r="J745" i="282"/>
  <c r="J746" i="282"/>
  <c r="J747" i="282"/>
  <c r="J748" i="282"/>
  <c r="J749" i="282"/>
  <c r="E612" i="282"/>
  <c r="D609" i="282"/>
  <c r="D222" i="313" s="1"/>
  <c r="D610" i="282"/>
  <c r="D223" i="313" s="1"/>
  <c r="E368" i="309"/>
  <c r="E364" i="309"/>
  <c r="B360" i="309"/>
  <c r="B673" i="282"/>
  <c r="D1760" i="250" s="1"/>
  <c r="B655" i="282"/>
  <c r="D1741" i="250" s="1"/>
  <c r="B637" i="282"/>
  <c r="D1721" i="250" s="1"/>
  <c r="B614" i="282"/>
  <c r="D1701" i="250" s="1"/>
  <c r="B601" i="282"/>
  <c r="B592" i="282"/>
  <c r="J677" i="282"/>
  <c r="J678" i="282"/>
  <c r="J679" i="282"/>
  <c r="J680" i="282"/>
  <c r="J681" i="282"/>
  <c r="J682" i="282"/>
  <c r="J683" i="282"/>
  <c r="J684" i="282"/>
  <c r="J685" i="282"/>
  <c r="J686" i="282"/>
  <c r="J659" i="282"/>
  <c r="J660" i="282"/>
  <c r="J661" i="282"/>
  <c r="J662" i="282"/>
  <c r="J663" i="282"/>
  <c r="J664" i="282"/>
  <c r="J665" i="282"/>
  <c r="J666" i="282"/>
  <c r="J667" i="282"/>
  <c r="J668" i="282"/>
  <c r="J641" i="282"/>
  <c r="J642" i="282"/>
  <c r="J643" i="282"/>
  <c r="J644" i="282"/>
  <c r="J645" i="282"/>
  <c r="J646" i="282"/>
  <c r="J647" i="282"/>
  <c r="J648" i="282"/>
  <c r="J649" i="282"/>
  <c r="J650" i="282"/>
  <c r="E312" i="279"/>
  <c r="D115" i="252"/>
  <c r="D116" i="252"/>
  <c r="E130" i="309"/>
  <c r="E126" i="309"/>
  <c r="B122" i="309"/>
  <c r="B373" i="279"/>
  <c r="D332" i="250" s="1"/>
  <c r="B355" i="279"/>
  <c r="D313" i="250" s="1"/>
  <c r="B337" i="279"/>
  <c r="D293" i="250" s="1"/>
  <c r="B314" i="279"/>
  <c r="D273" i="250" s="1"/>
  <c r="B301" i="279"/>
  <c r="J377" i="279"/>
  <c r="J378" i="279"/>
  <c r="J379" i="279"/>
  <c r="J380" i="279"/>
  <c r="J381" i="279"/>
  <c r="J382" i="279"/>
  <c r="J383" i="279"/>
  <c r="J384" i="279"/>
  <c r="J385" i="279"/>
  <c r="J386" i="279"/>
  <c r="J359" i="279"/>
  <c r="J360" i="279"/>
  <c r="J361" i="279"/>
  <c r="J362" i="279"/>
  <c r="J363" i="279"/>
  <c r="J364" i="279"/>
  <c r="J365" i="279"/>
  <c r="J366" i="279"/>
  <c r="J367" i="279"/>
  <c r="J368" i="279"/>
  <c r="J341" i="279"/>
  <c r="J342" i="279"/>
  <c r="J343" i="279"/>
  <c r="J344" i="279"/>
  <c r="J345" i="279"/>
  <c r="J346" i="279"/>
  <c r="J347" i="279"/>
  <c r="J348" i="279"/>
  <c r="J349" i="279"/>
  <c r="J350" i="279"/>
  <c r="F319" i="250" l="1"/>
  <c r="E254" i="250"/>
  <c r="F279" i="250"/>
  <c r="E279" i="250"/>
  <c r="F299" i="250"/>
  <c r="F254" i="250"/>
  <c r="E299" i="250"/>
  <c r="E319" i="250"/>
  <c r="F55" i="311"/>
  <c r="E55" i="311"/>
  <c r="B866" i="251"/>
  <c r="C491" i="309" s="1"/>
  <c r="F2147" i="250"/>
  <c r="E2167" i="250"/>
  <c r="E2127" i="250"/>
  <c r="F2167" i="250"/>
  <c r="F2102" i="250"/>
  <c r="E2147" i="250"/>
  <c r="E2102" i="250"/>
  <c r="F2127" i="250"/>
  <c r="F394" i="311"/>
  <c r="E394" i="311"/>
  <c r="H319" i="250"/>
  <c r="H299" i="250"/>
  <c r="H279" i="250"/>
  <c r="G279" i="250"/>
  <c r="H254" i="250"/>
  <c r="G254" i="250"/>
  <c r="G319" i="250"/>
  <c r="G299" i="250"/>
  <c r="H376" i="279"/>
  <c r="G376" i="279"/>
  <c r="H358" i="279"/>
  <c r="G358" i="279"/>
  <c r="H340" i="279"/>
  <c r="G340" i="279"/>
  <c r="H317" i="279"/>
  <c r="G317" i="279"/>
  <c r="G55" i="311"/>
  <c r="H55" i="311"/>
  <c r="H1791" i="250"/>
  <c r="H1766" i="250"/>
  <c r="H1831" i="250"/>
  <c r="G1766" i="250"/>
  <c r="G1791" i="250"/>
  <c r="H1811" i="250"/>
  <c r="G1831" i="250"/>
  <c r="G1811" i="250"/>
  <c r="H775" i="282"/>
  <c r="G775" i="282"/>
  <c r="H716" i="282"/>
  <c r="G716" i="282"/>
  <c r="H739" i="282"/>
  <c r="G739" i="282"/>
  <c r="G334" i="311"/>
  <c r="H757" i="282"/>
  <c r="G757" i="282"/>
  <c r="H334" i="311"/>
  <c r="H2127" i="250"/>
  <c r="H2102" i="250"/>
  <c r="H2167" i="250"/>
  <c r="G2167" i="250"/>
  <c r="G2147" i="250"/>
  <c r="H2147" i="250"/>
  <c r="G2102" i="250"/>
  <c r="G2127" i="250"/>
  <c r="H359" i="246"/>
  <c r="H318" i="246"/>
  <c r="H377" i="246"/>
  <c r="G341" i="246"/>
  <c r="G359" i="246"/>
  <c r="G394" i="311"/>
  <c r="G377" i="246"/>
  <c r="G318" i="246"/>
  <c r="H341" i="246"/>
  <c r="H394" i="311"/>
  <c r="E1707" i="250"/>
  <c r="F1747" i="250"/>
  <c r="E1727" i="250"/>
  <c r="F1727" i="250"/>
  <c r="F1707" i="250"/>
  <c r="F1682" i="250"/>
  <c r="E1682" i="250"/>
  <c r="E1747" i="250"/>
  <c r="F318" i="311"/>
  <c r="E318" i="311"/>
  <c r="F1811" i="250"/>
  <c r="E1791" i="250"/>
  <c r="F1831" i="250"/>
  <c r="E1811" i="250"/>
  <c r="E1831" i="250"/>
  <c r="F1766" i="250"/>
  <c r="E1766" i="250"/>
  <c r="F334" i="311"/>
  <c r="F1791" i="250"/>
  <c r="E334" i="311"/>
  <c r="H1707" i="250"/>
  <c r="G1707" i="250"/>
  <c r="H1682" i="250"/>
  <c r="H1747" i="250"/>
  <c r="G1747" i="250"/>
  <c r="G1682" i="250"/>
  <c r="H1727" i="250"/>
  <c r="G1727" i="250"/>
  <c r="H658" i="282"/>
  <c r="G658" i="282"/>
  <c r="H676" i="282"/>
  <c r="G676" i="282"/>
  <c r="H617" i="282"/>
  <c r="G617" i="282"/>
  <c r="G318" i="311"/>
  <c r="H318" i="311"/>
  <c r="H640" i="282"/>
  <c r="G640" i="282"/>
  <c r="B68" i="9"/>
  <c r="B153" i="9"/>
  <c r="B159" i="9"/>
  <c r="B175" i="9"/>
  <c r="B69" i="9"/>
  <c r="B154" i="9"/>
  <c r="B156" i="9"/>
  <c r="B172" i="9"/>
  <c r="B70" i="9"/>
  <c r="B155" i="9"/>
  <c r="B157" i="9"/>
  <c r="B173" i="9"/>
  <c r="B71" i="9"/>
  <c r="B152" i="9"/>
  <c r="B158" i="9"/>
  <c r="B174" i="9"/>
  <c r="E130" i="247"/>
  <c r="E304" i="286"/>
  <c r="E261" i="286"/>
  <c r="F2150" i="250"/>
  <c r="H2150" i="250" s="1"/>
  <c r="J868" i="251"/>
  <c r="J491" i="309" s="1"/>
  <c r="K868" i="251"/>
  <c r="K491" i="309" s="1"/>
  <c r="L868" i="251"/>
  <c r="L491" i="309" s="1"/>
  <c r="N868" i="251"/>
  <c r="N491" i="309" s="1"/>
  <c r="J876" i="251"/>
  <c r="J492" i="309" s="1"/>
  <c r="M868" i="251"/>
  <c r="M491" i="309" s="1"/>
  <c r="K876" i="251"/>
  <c r="K492" i="309" s="1"/>
  <c r="L876" i="251"/>
  <c r="L492" i="309" s="1"/>
  <c r="N876" i="251"/>
  <c r="N492" i="309" s="1"/>
  <c r="M876" i="251"/>
  <c r="M492" i="309" s="1"/>
  <c r="J735" i="251"/>
  <c r="K735" i="251"/>
  <c r="L735" i="251"/>
  <c r="N735" i="251"/>
  <c r="J745" i="251"/>
  <c r="M735" i="251"/>
  <c r="K745" i="251"/>
  <c r="L745" i="251"/>
  <c r="M745" i="251"/>
  <c r="N745" i="251"/>
  <c r="L114" i="251"/>
  <c r="M124" i="251"/>
  <c r="J124" i="251"/>
  <c r="M114" i="251"/>
  <c r="K124" i="251"/>
  <c r="N114" i="251"/>
  <c r="K114" i="251"/>
  <c r="L124" i="251"/>
  <c r="N124" i="251"/>
  <c r="J114" i="251"/>
  <c r="M708" i="251"/>
  <c r="N708" i="251"/>
  <c r="J698" i="251"/>
  <c r="L708" i="251"/>
  <c r="K698" i="251"/>
  <c r="L698" i="251"/>
  <c r="J708" i="251"/>
  <c r="M698" i="251"/>
  <c r="K708" i="251"/>
  <c r="N698" i="251"/>
  <c r="B378" i="309"/>
  <c r="B743" i="251"/>
  <c r="C380" i="309" s="1"/>
  <c r="H375" i="329" s="1"/>
  <c r="B733" i="251"/>
  <c r="C379" i="309" s="1"/>
  <c r="H360" i="329" s="1"/>
  <c r="B752" i="251"/>
  <c r="C383" i="309" s="1"/>
  <c r="B761" i="251"/>
  <c r="C384" i="309" s="1"/>
  <c r="B706" i="251"/>
  <c r="C366" i="309" s="1"/>
  <c r="H374" i="329" s="1"/>
  <c r="B696" i="251"/>
  <c r="C365" i="309" s="1"/>
  <c r="H359" i="329" s="1"/>
  <c r="F1770" i="250"/>
  <c r="H1770" i="250" s="1"/>
  <c r="F1778" i="250"/>
  <c r="H1778" i="250" s="1"/>
  <c r="E1771" i="250"/>
  <c r="G1771" i="250" s="1"/>
  <c r="E1779" i="250"/>
  <c r="G1779" i="250" s="1"/>
  <c r="F1793" i="250"/>
  <c r="H1793" i="250" s="1"/>
  <c r="F1801" i="250"/>
  <c r="H1801" i="250" s="1"/>
  <c r="E1799" i="250"/>
  <c r="G1799" i="250" s="1"/>
  <c r="F1771" i="250"/>
  <c r="H1771" i="250" s="1"/>
  <c r="F1779" i="250"/>
  <c r="H1779" i="250" s="1"/>
  <c r="E1772" i="250"/>
  <c r="G1772" i="250" s="1"/>
  <c r="E1780" i="250"/>
  <c r="G1780" i="250" s="1"/>
  <c r="F1794" i="250"/>
  <c r="H1794" i="250" s="1"/>
  <c r="E1792" i="250"/>
  <c r="E1800" i="250"/>
  <c r="G1800" i="250" s="1"/>
  <c r="F1772" i="250"/>
  <c r="H1772" i="250" s="1"/>
  <c r="F1780" i="250"/>
  <c r="H1780" i="250" s="1"/>
  <c r="E1773" i="250"/>
  <c r="G1773" i="250" s="1"/>
  <c r="E1781" i="250"/>
  <c r="G1781" i="250" s="1"/>
  <c r="F1795" i="250"/>
  <c r="H1795" i="250" s="1"/>
  <c r="E1793" i="250"/>
  <c r="G1793" i="250" s="1"/>
  <c r="E1801" i="250"/>
  <c r="G1801" i="250" s="1"/>
  <c r="F1773" i="250"/>
  <c r="H1773" i="250" s="1"/>
  <c r="F1781" i="250"/>
  <c r="H1781" i="250" s="1"/>
  <c r="E1774" i="250"/>
  <c r="G1774" i="250" s="1"/>
  <c r="F1796" i="250"/>
  <c r="H1796" i="250" s="1"/>
  <c r="E1794" i="250"/>
  <c r="G1794" i="250" s="1"/>
  <c r="F1774" i="250"/>
  <c r="H1774" i="250" s="1"/>
  <c r="E1767" i="250"/>
  <c r="E1775" i="250"/>
  <c r="G1775" i="250" s="1"/>
  <c r="F1797" i="250"/>
  <c r="H1797" i="250" s="1"/>
  <c r="E1795" i="250"/>
  <c r="G1795" i="250" s="1"/>
  <c r="F1767" i="250"/>
  <c r="F1775" i="250"/>
  <c r="H1775" i="250" s="1"/>
  <c r="E1768" i="250"/>
  <c r="G1768" i="250" s="1"/>
  <c r="E1776" i="250"/>
  <c r="G1776" i="250" s="1"/>
  <c r="F1798" i="250"/>
  <c r="H1798" i="250" s="1"/>
  <c r="E1796" i="250"/>
  <c r="G1796" i="250" s="1"/>
  <c r="F1768" i="250"/>
  <c r="H1768" i="250" s="1"/>
  <c r="F1776" i="250"/>
  <c r="H1776" i="250" s="1"/>
  <c r="E1769" i="250"/>
  <c r="G1769" i="250" s="1"/>
  <c r="E1777" i="250"/>
  <c r="G1777" i="250" s="1"/>
  <c r="F1799" i="250"/>
  <c r="H1799" i="250" s="1"/>
  <c r="E1797" i="250"/>
  <c r="G1797" i="250" s="1"/>
  <c r="F1769" i="250"/>
  <c r="H1769" i="250" s="1"/>
  <c r="F1777" i="250"/>
  <c r="H1777" i="250" s="1"/>
  <c r="E1770" i="250"/>
  <c r="G1770" i="250" s="1"/>
  <c r="E1778" i="250"/>
  <c r="G1778" i="250" s="1"/>
  <c r="F1792" i="250"/>
  <c r="F1800" i="250"/>
  <c r="H1800" i="250" s="1"/>
  <c r="E1798" i="250"/>
  <c r="G1798" i="250" s="1"/>
  <c r="F1816" i="250"/>
  <c r="H1816" i="250" s="1"/>
  <c r="E1814" i="250"/>
  <c r="G1814" i="250" s="1"/>
  <c r="F1833" i="250"/>
  <c r="H1833" i="250" s="1"/>
  <c r="F1841" i="250"/>
  <c r="H1841" i="250" s="1"/>
  <c r="E1839" i="250"/>
  <c r="G1839" i="250" s="1"/>
  <c r="F1817" i="250"/>
  <c r="H1817" i="250" s="1"/>
  <c r="E1815" i="250"/>
  <c r="G1815" i="250" s="1"/>
  <c r="F1834" i="250"/>
  <c r="H1834" i="250" s="1"/>
  <c r="E1832" i="250"/>
  <c r="E1840" i="250"/>
  <c r="G1840" i="250" s="1"/>
  <c r="F1818" i="250"/>
  <c r="H1818" i="250" s="1"/>
  <c r="E1816" i="250"/>
  <c r="G1816" i="250" s="1"/>
  <c r="F1835" i="250"/>
  <c r="H1835" i="250" s="1"/>
  <c r="E1833" i="250"/>
  <c r="G1833" i="250" s="1"/>
  <c r="E1841" i="250"/>
  <c r="G1841" i="250" s="1"/>
  <c r="F1819" i="250"/>
  <c r="H1819" i="250" s="1"/>
  <c r="E1817" i="250"/>
  <c r="G1817" i="250" s="1"/>
  <c r="F1836" i="250"/>
  <c r="H1836" i="250" s="1"/>
  <c r="E1834" i="250"/>
  <c r="G1834" i="250" s="1"/>
  <c r="F1812" i="250"/>
  <c r="F1820" i="250"/>
  <c r="H1820" i="250" s="1"/>
  <c r="E1818" i="250"/>
  <c r="G1818" i="250" s="1"/>
  <c r="F1837" i="250"/>
  <c r="H1837" i="250" s="1"/>
  <c r="E1835" i="250"/>
  <c r="G1835" i="250" s="1"/>
  <c r="F1813" i="250"/>
  <c r="H1813" i="250" s="1"/>
  <c r="F1821" i="250"/>
  <c r="H1821" i="250" s="1"/>
  <c r="E1819" i="250"/>
  <c r="G1819" i="250" s="1"/>
  <c r="F1838" i="250"/>
  <c r="H1838" i="250" s="1"/>
  <c r="E1836" i="250"/>
  <c r="G1836" i="250" s="1"/>
  <c r="F1814" i="250"/>
  <c r="H1814" i="250" s="1"/>
  <c r="E1812" i="250"/>
  <c r="E1820" i="250"/>
  <c r="G1820" i="250" s="1"/>
  <c r="F1839" i="250"/>
  <c r="H1839" i="250" s="1"/>
  <c r="E1837" i="250"/>
  <c r="G1837" i="250" s="1"/>
  <c r="F1815" i="250"/>
  <c r="H1815" i="250" s="1"/>
  <c r="E1813" i="250"/>
  <c r="G1813" i="250" s="1"/>
  <c r="E1821" i="250"/>
  <c r="G1821" i="250" s="1"/>
  <c r="F1832" i="250"/>
  <c r="F1840" i="250"/>
  <c r="H1840" i="250" s="1"/>
  <c r="E1838" i="250"/>
  <c r="G1838" i="250" s="1"/>
  <c r="B724" i="251"/>
  <c r="C370" i="309" s="1"/>
  <c r="B715" i="251"/>
  <c r="C369" i="309" s="1"/>
  <c r="F1684" i="250"/>
  <c r="H1684" i="250" s="1"/>
  <c r="F1692" i="250"/>
  <c r="H1692" i="250" s="1"/>
  <c r="E1685" i="250"/>
  <c r="G1685" i="250" s="1"/>
  <c r="E1693" i="250"/>
  <c r="G1693" i="250" s="1"/>
  <c r="F1708" i="250"/>
  <c r="F1716" i="250"/>
  <c r="H1716" i="250" s="1"/>
  <c r="E1714" i="250"/>
  <c r="G1714" i="250" s="1"/>
  <c r="F1685" i="250"/>
  <c r="H1685" i="250" s="1"/>
  <c r="F1693" i="250"/>
  <c r="H1693" i="250" s="1"/>
  <c r="E1686" i="250"/>
  <c r="G1686" i="250" s="1"/>
  <c r="E1694" i="250"/>
  <c r="G1694" i="250" s="1"/>
  <c r="F1709" i="250"/>
  <c r="H1709" i="250" s="1"/>
  <c r="F1717" i="250"/>
  <c r="H1717" i="250" s="1"/>
  <c r="E1715" i="250"/>
  <c r="G1715" i="250" s="1"/>
  <c r="F1686" i="250"/>
  <c r="H1686" i="250" s="1"/>
  <c r="F1694" i="250"/>
  <c r="H1694" i="250" s="1"/>
  <c r="E1687" i="250"/>
  <c r="G1687" i="250" s="1"/>
  <c r="E1695" i="250"/>
  <c r="G1695" i="250" s="1"/>
  <c r="F1710" i="250"/>
  <c r="H1710" i="250" s="1"/>
  <c r="E1708" i="250"/>
  <c r="E1716" i="250"/>
  <c r="G1716" i="250" s="1"/>
  <c r="F1687" i="250"/>
  <c r="H1687" i="250" s="1"/>
  <c r="F1695" i="250"/>
  <c r="H1695" i="250" s="1"/>
  <c r="E1688" i="250"/>
  <c r="G1688" i="250" s="1"/>
  <c r="E1696" i="250"/>
  <c r="G1696" i="250" s="1"/>
  <c r="F1711" i="250"/>
  <c r="H1711" i="250" s="1"/>
  <c r="E1709" i="250"/>
  <c r="G1709" i="250" s="1"/>
  <c r="E1717" i="250"/>
  <c r="G1717" i="250" s="1"/>
  <c r="F1688" i="250"/>
  <c r="H1688" i="250" s="1"/>
  <c r="F1696" i="250"/>
  <c r="H1696" i="250" s="1"/>
  <c r="E1689" i="250"/>
  <c r="G1689" i="250" s="1"/>
  <c r="E1697" i="250"/>
  <c r="G1697" i="250" s="1"/>
  <c r="F1712" i="250"/>
  <c r="H1712" i="250" s="1"/>
  <c r="E1710" i="250"/>
  <c r="G1710" i="250" s="1"/>
  <c r="F1689" i="250"/>
  <c r="H1689" i="250" s="1"/>
  <c r="F1697" i="250"/>
  <c r="H1697" i="250" s="1"/>
  <c r="E1690" i="250"/>
  <c r="G1690" i="250" s="1"/>
  <c r="F1713" i="250"/>
  <c r="H1713" i="250" s="1"/>
  <c r="E1711" i="250"/>
  <c r="G1711" i="250" s="1"/>
  <c r="F1690" i="250"/>
  <c r="H1690" i="250" s="1"/>
  <c r="E1683" i="250"/>
  <c r="E1691" i="250"/>
  <c r="G1691" i="250" s="1"/>
  <c r="F1714" i="250"/>
  <c r="H1714" i="250" s="1"/>
  <c r="E1712" i="250"/>
  <c r="G1712" i="250" s="1"/>
  <c r="F1683" i="250"/>
  <c r="F1691" i="250"/>
  <c r="H1691" i="250" s="1"/>
  <c r="E1684" i="250"/>
  <c r="G1684" i="250" s="1"/>
  <c r="E1692" i="250"/>
  <c r="G1692" i="250" s="1"/>
  <c r="F1715" i="250"/>
  <c r="H1715" i="250" s="1"/>
  <c r="E1713" i="250"/>
  <c r="G1713" i="250" s="1"/>
  <c r="F1731" i="250"/>
  <c r="H1731" i="250" s="1"/>
  <c r="E1729" i="250"/>
  <c r="G1729" i="250" s="1"/>
  <c r="E1737" i="250"/>
  <c r="G1737" i="250" s="1"/>
  <c r="F1748" i="250"/>
  <c r="F1756" i="250"/>
  <c r="H1756" i="250" s="1"/>
  <c r="E1754" i="250"/>
  <c r="G1754" i="250" s="1"/>
  <c r="F1732" i="250"/>
  <c r="H1732" i="250" s="1"/>
  <c r="E1730" i="250"/>
  <c r="G1730" i="250" s="1"/>
  <c r="F1749" i="250"/>
  <c r="H1749" i="250" s="1"/>
  <c r="F1757" i="250"/>
  <c r="H1757" i="250" s="1"/>
  <c r="E1755" i="250"/>
  <c r="G1755" i="250" s="1"/>
  <c r="F1733" i="250"/>
  <c r="H1733" i="250" s="1"/>
  <c r="E1731" i="250"/>
  <c r="G1731" i="250" s="1"/>
  <c r="F1750" i="250"/>
  <c r="H1750" i="250" s="1"/>
  <c r="E1748" i="250"/>
  <c r="E1756" i="250"/>
  <c r="G1756" i="250" s="1"/>
  <c r="F1734" i="250"/>
  <c r="H1734" i="250" s="1"/>
  <c r="E1732" i="250"/>
  <c r="G1732" i="250" s="1"/>
  <c r="F1751" i="250"/>
  <c r="H1751" i="250" s="1"/>
  <c r="E1749" i="250"/>
  <c r="G1749" i="250" s="1"/>
  <c r="E1757" i="250"/>
  <c r="G1757" i="250" s="1"/>
  <c r="F1735" i="250"/>
  <c r="H1735" i="250" s="1"/>
  <c r="E1733" i="250"/>
  <c r="G1733" i="250" s="1"/>
  <c r="F1752" i="250"/>
  <c r="H1752" i="250" s="1"/>
  <c r="E1750" i="250"/>
  <c r="G1750" i="250" s="1"/>
  <c r="F1728" i="250"/>
  <c r="F1736" i="250"/>
  <c r="H1736" i="250" s="1"/>
  <c r="E1734" i="250"/>
  <c r="G1734" i="250" s="1"/>
  <c r="F1753" i="250"/>
  <c r="H1753" i="250" s="1"/>
  <c r="E1751" i="250"/>
  <c r="G1751" i="250" s="1"/>
  <c r="F1729" i="250"/>
  <c r="H1729" i="250" s="1"/>
  <c r="F1737" i="250"/>
  <c r="H1737" i="250" s="1"/>
  <c r="E1735" i="250"/>
  <c r="G1735" i="250" s="1"/>
  <c r="F1754" i="250"/>
  <c r="H1754" i="250" s="1"/>
  <c r="E1752" i="250"/>
  <c r="G1752" i="250" s="1"/>
  <c r="F1730" i="250"/>
  <c r="H1730" i="250" s="1"/>
  <c r="E1728" i="250"/>
  <c r="E1736" i="250"/>
  <c r="G1736" i="250" s="1"/>
  <c r="F1755" i="250"/>
  <c r="H1755" i="250" s="1"/>
  <c r="E1753" i="250"/>
  <c r="G1753" i="250" s="1"/>
  <c r="E343" i="329"/>
  <c r="F260" i="250"/>
  <c r="H260" i="250" s="1"/>
  <c r="F268" i="250"/>
  <c r="H268" i="250" s="1"/>
  <c r="E261" i="250"/>
  <c r="G261" i="250" s="1"/>
  <c r="E269" i="250"/>
  <c r="G269" i="250" s="1"/>
  <c r="F280" i="250"/>
  <c r="H280" i="250" s="1"/>
  <c r="F288" i="250"/>
  <c r="H288" i="250" s="1"/>
  <c r="E286" i="250"/>
  <c r="G286" i="250" s="1"/>
  <c r="F302" i="250"/>
  <c r="H302" i="250" s="1"/>
  <c r="E300" i="250"/>
  <c r="E308" i="250"/>
  <c r="G308" i="250" s="1"/>
  <c r="F324" i="250"/>
  <c r="H324" i="250" s="1"/>
  <c r="E322" i="250"/>
  <c r="G322" i="250" s="1"/>
  <c r="F261" i="250"/>
  <c r="H261" i="250" s="1"/>
  <c r="F269" i="250"/>
  <c r="H269" i="250" s="1"/>
  <c r="E262" i="250"/>
  <c r="G262" i="250" s="1"/>
  <c r="F281" i="250"/>
  <c r="H281" i="250" s="1"/>
  <c r="F289" i="250"/>
  <c r="H289" i="250" s="1"/>
  <c r="E287" i="250"/>
  <c r="G287" i="250" s="1"/>
  <c r="F303" i="250"/>
  <c r="H303" i="250" s="1"/>
  <c r="E301" i="250"/>
  <c r="G301" i="250" s="1"/>
  <c r="E309" i="250"/>
  <c r="G309" i="250" s="1"/>
  <c r="F325" i="250"/>
  <c r="H325" i="250" s="1"/>
  <c r="E323" i="250"/>
  <c r="G323" i="250" s="1"/>
  <c r="F262" i="250"/>
  <c r="H262" i="250" s="1"/>
  <c r="E255" i="250"/>
  <c r="G255" i="250" s="1"/>
  <c r="E263" i="250"/>
  <c r="G263" i="250" s="1"/>
  <c r="F282" i="250"/>
  <c r="H282" i="250" s="1"/>
  <c r="E280" i="250"/>
  <c r="E288" i="250"/>
  <c r="G288" i="250" s="1"/>
  <c r="F304" i="250"/>
  <c r="H304" i="250" s="1"/>
  <c r="E302" i="250"/>
  <c r="G302" i="250" s="1"/>
  <c r="F326" i="250"/>
  <c r="H326" i="250" s="1"/>
  <c r="E324" i="250"/>
  <c r="G324" i="250" s="1"/>
  <c r="F255" i="250"/>
  <c r="H255" i="250" s="1"/>
  <c r="F263" i="250"/>
  <c r="H263" i="250" s="1"/>
  <c r="E256" i="250"/>
  <c r="G256" i="250" s="1"/>
  <c r="E264" i="250"/>
  <c r="G264" i="250" s="1"/>
  <c r="F283" i="250"/>
  <c r="H283" i="250" s="1"/>
  <c r="E281" i="250"/>
  <c r="G281" i="250" s="1"/>
  <c r="E289" i="250"/>
  <c r="G289" i="250" s="1"/>
  <c r="F305" i="250"/>
  <c r="H305" i="250" s="1"/>
  <c r="E303" i="250"/>
  <c r="G303" i="250" s="1"/>
  <c r="F327" i="250"/>
  <c r="H327" i="250" s="1"/>
  <c r="E325" i="250"/>
  <c r="G325" i="250" s="1"/>
  <c r="F256" i="250"/>
  <c r="F264" i="250"/>
  <c r="H264" i="250" s="1"/>
  <c r="E257" i="250"/>
  <c r="E265" i="250"/>
  <c r="G265" i="250" s="1"/>
  <c r="F284" i="250"/>
  <c r="E282" i="250"/>
  <c r="G282" i="250" s="1"/>
  <c r="F306" i="250"/>
  <c r="H306" i="250" s="1"/>
  <c r="E304" i="250"/>
  <c r="G304" i="250" s="1"/>
  <c r="F320" i="250"/>
  <c r="F328" i="250"/>
  <c r="H328" i="250" s="1"/>
  <c r="E326" i="250"/>
  <c r="G326" i="250" s="1"/>
  <c r="F257" i="250"/>
  <c r="H257" i="250" s="1"/>
  <c r="F265" i="250"/>
  <c r="H265" i="250" s="1"/>
  <c r="E258" i="250"/>
  <c r="G258" i="250" s="1"/>
  <c r="E266" i="250"/>
  <c r="G266" i="250" s="1"/>
  <c r="F285" i="250"/>
  <c r="H285" i="250" s="1"/>
  <c r="E283" i="250"/>
  <c r="G283" i="250" s="1"/>
  <c r="F307" i="250"/>
  <c r="H307" i="250" s="1"/>
  <c r="E305" i="250"/>
  <c r="G305" i="250" s="1"/>
  <c r="F321" i="250"/>
  <c r="H321" i="250" s="1"/>
  <c r="F329" i="250"/>
  <c r="H329" i="250" s="1"/>
  <c r="E327" i="250"/>
  <c r="G327" i="250" s="1"/>
  <c r="F258" i="250"/>
  <c r="H258" i="250" s="1"/>
  <c r="F266" i="250"/>
  <c r="H266" i="250" s="1"/>
  <c r="E259" i="250"/>
  <c r="G259" i="250" s="1"/>
  <c r="E267" i="250"/>
  <c r="G267" i="250" s="1"/>
  <c r="F286" i="250"/>
  <c r="H286" i="250" s="1"/>
  <c r="E284" i="250"/>
  <c r="G284" i="250" s="1"/>
  <c r="F300" i="250"/>
  <c r="F308" i="250"/>
  <c r="H308" i="250" s="1"/>
  <c r="E306" i="250"/>
  <c r="G306" i="250" s="1"/>
  <c r="F322" i="250"/>
  <c r="H322" i="250" s="1"/>
  <c r="E320" i="250"/>
  <c r="E328" i="250"/>
  <c r="G328" i="250" s="1"/>
  <c r="F259" i="250"/>
  <c r="H259" i="250" s="1"/>
  <c r="F267" i="250"/>
  <c r="H267" i="250" s="1"/>
  <c r="E260" i="250"/>
  <c r="G260" i="250" s="1"/>
  <c r="E268" i="250"/>
  <c r="G268" i="250" s="1"/>
  <c r="F287" i="250"/>
  <c r="H287" i="250" s="1"/>
  <c r="E285" i="250"/>
  <c r="G285" i="250" s="1"/>
  <c r="F301" i="250"/>
  <c r="H301" i="250" s="1"/>
  <c r="F309" i="250"/>
  <c r="H309" i="250" s="1"/>
  <c r="E307" i="250"/>
  <c r="G307" i="250" s="1"/>
  <c r="F323" i="250"/>
  <c r="H323" i="250" s="1"/>
  <c r="E321" i="250"/>
  <c r="G321" i="250" s="1"/>
  <c r="E329" i="250"/>
  <c r="G329" i="250" s="1"/>
  <c r="B112" i="251"/>
  <c r="C127" i="309" s="1"/>
  <c r="B122" i="251"/>
  <c r="C128" i="309" s="1"/>
  <c r="B140" i="251"/>
  <c r="C132" i="309" s="1"/>
  <c r="B131" i="251"/>
  <c r="C131" i="309" s="1"/>
  <c r="E121" i="329"/>
  <c r="J306" i="286"/>
  <c r="J311" i="286"/>
  <c r="K306" i="286"/>
  <c r="L311" i="286"/>
  <c r="M306" i="286"/>
  <c r="M311" i="286"/>
  <c r="N306" i="286"/>
  <c r="L306" i="286"/>
  <c r="N311" i="286"/>
  <c r="K311" i="286"/>
  <c r="M137" i="247"/>
  <c r="N132" i="247"/>
  <c r="N137" i="247"/>
  <c r="J132" i="247"/>
  <c r="K137" i="247"/>
  <c r="L132" i="247"/>
  <c r="L137" i="247"/>
  <c r="K132" i="247"/>
  <c r="M132" i="247"/>
  <c r="J137" i="247"/>
  <c r="M268" i="286"/>
  <c r="N263" i="286"/>
  <c r="N268" i="286"/>
  <c r="J263" i="286"/>
  <c r="K268" i="286"/>
  <c r="L263" i="286"/>
  <c r="K263" i="286"/>
  <c r="M263" i="286"/>
  <c r="J268" i="286"/>
  <c r="L268" i="286"/>
  <c r="M145" i="283"/>
  <c r="N140" i="283"/>
  <c r="N145" i="283"/>
  <c r="J140" i="283"/>
  <c r="K145" i="283"/>
  <c r="L140" i="283"/>
  <c r="M140" i="283"/>
  <c r="J145" i="283"/>
  <c r="L145" i="283"/>
  <c r="K140" i="283"/>
  <c r="F2175" i="250"/>
  <c r="H2175" i="250" s="1"/>
  <c r="F2109" i="250"/>
  <c r="H2109" i="250" s="1"/>
  <c r="F2117" i="250"/>
  <c r="H2117" i="250" s="1"/>
  <c r="E2110" i="250"/>
  <c r="G2110" i="250" s="1"/>
  <c r="F2110" i="250"/>
  <c r="H2110" i="250" s="1"/>
  <c r="E2103" i="250"/>
  <c r="E2111" i="250"/>
  <c r="G2111" i="250" s="1"/>
  <c r="F2103" i="250"/>
  <c r="F2111" i="250"/>
  <c r="H2111" i="250" s="1"/>
  <c r="E2104" i="250"/>
  <c r="G2104" i="250" s="1"/>
  <c r="E2112" i="250"/>
  <c r="G2112" i="250" s="1"/>
  <c r="F2104" i="250"/>
  <c r="H2104" i="250" s="1"/>
  <c r="F2112" i="250"/>
  <c r="H2112" i="250" s="1"/>
  <c r="E2105" i="250"/>
  <c r="G2105" i="250" s="1"/>
  <c r="E2113" i="250"/>
  <c r="G2113" i="250" s="1"/>
  <c r="F2105" i="250"/>
  <c r="H2105" i="250" s="1"/>
  <c r="F2113" i="250"/>
  <c r="H2113" i="250" s="1"/>
  <c r="E2106" i="250"/>
  <c r="G2106" i="250" s="1"/>
  <c r="E2114" i="250"/>
  <c r="G2114" i="250" s="1"/>
  <c r="F2106" i="250"/>
  <c r="H2106" i="250" s="1"/>
  <c r="F2114" i="250"/>
  <c r="H2114" i="250" s="1"/>
  <c r="E2107" i="250"/>
  <c r="G2107" i="250" s="1"/>
  <c r="E2115" i="250"/>
  <c r="G2115" i="250" s="1"/>
  <c r="F2107" i="250"/>
  <c r="H2107" i="250" s="1"/>
  <c r="F2115" i="250"/>
  <c r="H2115" i="250" s="1"/>
  <c r="E2108" i="250"/>
  <c r="G2108" i="250" s="1"/>
  <c r="E2116" i="250"/>
  <c r="G2116" i="250" s="1"/>
  <c r="F2108" i="250"/>
  <c r="H2108" i="250" s="1"/>
  <c r="F2116" i="250"/>
  <c r="H2116" i="250" s="1"/>
  <c r="E2109" i="250"/>
  <c r="G2109" i="250" s="1"/>
  <c r="E2117" i="250"/>
  <c r="G2117" i="250" s="1"/>
  <c r="B292" i="279"/>
  <c r="D488" i="309"/>
  <c r="D484" i="329"/>
  <c r="E341" i="329"/>
  <c r="E2130" i="250"/>
  <c r="G2130" i="250" s="1"/>
  <c r="F2174" i="250"/>
  <c r="H2174" i="250" s="1"/>
  <c r="E2128" i="250"/>
  <c r="G2128" i="250" s="1"/>
  <c r="E2157" i="250"/>
  <c r="G2157" i="250" s="1"/>
  <c r="F2136" i="250"/>
  <c r="H2136" i="250" s="1"/>
  <c r="E2156" i="250"/>
  <c r="G2156" i="250" s="1"/>
  <c r="E2137" i="250"/>
  <c r="G2137" i="250" s="1"/>
  <c r="F2132" i="250"/>
  <c r="H2132" i="250" s="1"/>
  <c r="E2154" i="250"/>
  <c r="G2154" i="250" s="1"/>
  <c r="E2174" i="250"/>
  <c r="G2174" i="250" s="1"/>
  <c r="E2136" i="250"/>
  <c r="G2136" i="250" s="1"/>
  <c r="F2131" i="250"/>
  <c r="H2131" i="250" s="1"/>
  <c r="E2148" i="250"/>
  <c r="G2148" i="250" s="1"/>
  <c r="E2172" i="250"/>
  <c r="G2172" i="250" s="1"/>
  <c r="E2135" i="250"/>
  <c r="G2135" i="250" s="1"/>
  <c r="F2130" i="250"/>
  <c r="H2130" i="250" s="1"/>
  <c r="F2156" i="250"/>
  <c r="H2156" i="250" s="1"/>
  <c r="F2177" i="250"/>
  <c r="H2177" i="250" s="1"/>
  <c r="E2134" i="250"/>
  <c r="G2134" i="250" s="1"/>
  <c r="F2128" i="250"/>
  <c r="H2128" i="250" s="1"/>
  <c r="F2151" i="250"/>
  <c r="H2151" i="250" s="1"/>
  <c r="F2176" i="250"/>
  <c r="H2176" i="250" s="1"/>
  <c r="E2129" i="250"/>
  <c r="G2129" i="250" s="1"/>
  <c r="F2148" i="250"/>
  <c r="H2148" i="250" s="1"/>
  <c r="F2169" i="250"/>
  <c r="H2169" i="250" s="1"/>
  <c r="E2149" i="250"/>
  <c r="G2149" i="250" s="1"/>
  <c r="E2175" i="250"/>
  <c r="G2175" i="250" s="1"/>
  <c r="F2168" i="250"/>
  <c r="H2168" i="250" s="1"/>
  <c r="E2133" i="250"/>
  <c r="G2133" i="250" s="1"/>
  <c r="F2135" i="250"/>
  <c r="H2135" i="250" s="1"/>
  <c r="E2153" i="250"/>
  <c r="G2153" i="250" s="1"/>
  <c r="F2155" i="250"/>
  <c r="H2155" i="250" s="1"/>
  <c r="E2171" i="250"/>
  <c r="G2171" i="250" s="1"/>
  <c r="F2173" i="250"/>
  <c r="H2173" i="250" s="1"/>
  <c r="E2132" i="250"/>
  <c r="G2132" i="250" s="1"/>
  <c r="F2134" i="250"/>
  <c r="H2134" i="250" s="1"/>
  <c r="E2152" i="250"/>
  <c r="G2152" i="250" s="1"/>
  <c r="F2154" i="250"/>
  <c r="H2154" i="250" s="1"/>
  <c r="E2170" i="250"/>
  <c r="G2170" i="250" s="1"/>
  <c r="F2172" i="250"/>
  <c r="H2172" i="250" s="1"/>
  <c r="E2131" i="250"/>
  <c r="G2131" i="250" s="1"/>
  <c r="F2133" i="250"/>
  <c r="H2133" i="250" s="1"/>
  <c r="E2151" i="250"/>
  <c r="G2151" i="250" s="1"/>
  <c r="F2153" i="250"/>
  <c r="H2153" i="250" s="1"/>
  <c r="E2177" i="250"/>
  <c r="G2177" i="250" s="1"/>
  <c r="E2169" i="250"/>
  <c r="G2169" i="250" s="1"/>
  <c r="F2171" i="250"/>
  <c r="H2171" i="250" s="1"/>
  <c r="E2150" i="250"/>
  <c r="G2150" i="250" s="1"/>
  <c r="F2152" i="250"/>
  <c r="H2152" i="250" s="1"/>
  <c r="E2176" i="250"/>
  <c r="G2176" i="250" s="1"/>
  <c r="E2168" i="250"/>
  <c r="G2168" i="250" s="1"/>
  <c r="F2170" i="250"/>
  <c r="H2170" i="250" s="1"/>
  <c r="F2137" i="250"/>
  <c r="H2137" i="250" s="1"/>
  <c r="F2129" i="250"/>
  <c r="H2129" i="250" s="1"/>
  <c r="E2155" i="250"/>
  <c r="G2155" i="250" s="1"/>
  <c r="F2157" i="250"/>
  <c r="H2157" i="250" s="1"/>
  <c r="F2149" i="250"/>
  <c r="H2149" i="250" s="1"/>
  <c r="E2173" i="250"/>
  <c r="G2173" i="250" s="1"/>
  <c r="J786" i="282"/>
  <c r="K159" i="9" s="1"/>
  <c r="M159" i="9" s="1"/>
  <c r="G306" i="286"/>
  <c r="J387" i="279"/>
  <c r="K71" i="9" s="1"/>
  <c r="M71" i="9" s="1"/>
  <c r="J651" i="282"/>
  <c r="K153" i="9" s="1"/>
  <c r="M153" i="9" s="1"/>
  <c r="J768" i="282"/>
  <c r="K158" i="9" s="1"/>
  <c r="M158" i="9" s="1"/>
  <c r="J370" i="246"/>
  <c r="K174" i="9" s="1"/>
  <c r="M174" i="9" s="1"/>
  <c r="F306" i="286"/>
  <c r="J669" i="282"/>
  <c r="K154" i="9" s="1"/>
  <c r="M154" i="9" s="1"/>
  <c r="J388" i="246"/>
  <c r="K175" i="9" s="1"/>
  <c r="M175" i="9" s="1"/>
  <c r="G263" i="286"/>
  <c r="J351" i="279"/>
  <c r="K69" i="9" s="1"/>
  <c r="M69" i="9" s="1"/>
  <c r="J687" i="282"/>
  <c r="K155" i="9" s="1"/>
  <c r="M155" i="9" s="1"/>
  <c r="F263" i="286"/>
  <c r="J750" i="282"/>
  <c r="K157" i="9" s="1"/>
  <c r="M157" i="9" s="1"/>
  <c r="G140" i="283"/>
  <c r="J369" i="279"/>
  <c r="K70" i="9" s="1"/>
  <c r="M70" i="9" s="1"/>
  <c r="J352" i="246"/>
  <c r="K173" i="9" s="1"/>
  <c r="M173" i="9" s="1"/>
  <c r="F140" i="283"/>
  <c r="G132" i="247"/>
  <c r="F132" i="247"/>
  <c r="B890" i="251"/>
  <c r="C496" i="309" s="1"/>
  <c r="B494" i="309"/>
  <c r="B882" i="251"/>
  <c r="C495" i="309" s="1"/>
  <c r="B490" i="309"/>
  <c r="B874" i="251"/>
  <c r="C492" i="309" s="1"/>
  <c r="H514" i="329" s="1"/>
  <c r="D376" i="309"/>
  <c r="B382" i="309"/>
  <c r="D362" i="309"/>
  <c r="B368" i="309"/>
  <c r="B364" i="309"/>
  <c r="D124" i="309"/>
  <c r="B126" i="309"/>
  <c r="B130" i="309"/>
  <c r="D161" i="336"/>
  <c r="D207" i="247"/>
  <c r="D250" i="247"/>
  <c r="D170" i="286"/>
  <c r="D213" i="286"/>
  <c r="D170" i="285"/>
  <c r="D213" i="285"/>
  <c r="E138" i="283" l="1"/>
  <c r="K133" i="251"/>
  <c r="K134" i="251" s="1"/>
  <c r="K131" i="309" s="1"/>
  <c r="K115" i="251"/>
  <c r="K127" i="309" s="1"/>
  <c r="H300" i="250"/>
  <c r="H310" i="250" s="1"/>
  <c r="H58" i="311" s="1"/>
  <c r="F310" i="250"/>
  <c r="F58" i="311" s="1"/>
  <c r="F290" i="250"/>
  <c r="F57" i="311" s="1"/>
  <c r="H284" i="250"/>
  <c r="H290" i="250" s="1"/>
  <c r="H57" i="311" s="1"/>
  <c r="G300" i="250"/>
  <c r="G310" i="250" s="1"/>
  <c r="G58" i="311" s="1"/>
  <c r="E310" i="250"/>
  <c r="E58" i="311" s="1"/>
  <c r="L717" i="251"/>
  <c r="L718" i="251" s="1"/>
  <c r="L369" i="309" s="1"/>
  <c r="L699" i="251"/>
  <c r="L365" i="309" s="1"/>
  <c r="F1758" i="250"/>
  <c r="F322" i="311" s="1"/>
  <c r="H1748" i="250"/>
  <c r="H1758" i="250" s="1"/>
  <c r="H322" i="311" s="1"/>
  <c r="M754" i="251"/>
  <c r="M755" i="251" s="1"/>
  <c r="M383" i="309" s="1"/>
  <c r="M736" i="251"/>
  <c r="M379" i="309" s="1"/>
  <c r="F1842" i="250"/>
  <c r="F338" i="311" s="1"/>
  <c r="H1832" i="250"/>
  <c r="H1842" i="250" s="1"/>
  <c r="H338" i="311" s="1"/>
  <c r="H1792" i="250"/>
  <c r="H1802" i="250" s="1"/>
  <c r="H336" i="311" s="1"/>
  <c r="F1802" i="250"/>
  <c r="F336" i="311" s="1"/>
  <c r="F1782" i="250"/>
  <c r="F335" i="311" s="1"/>
  <c r="H1767" i="250"/>
  <c r="H1782" i="250" s="1"/>
  <c r="H335" i="311" s="1"/>
  <c r="J133" i="251"/>
  <c r="J134" i="251" s="1"/>
  <c r="J131" i="309" s="1"/>
  <c r="J115" i="251"/>
  <c r="J127" i="309" s="1"/>
  <c r="L726" i="251"/>
  <c r="L727" i="251" s="1"/>
  <c r="L370" i="309" s="1"/>
  <c r="L709" i="251"/>
  <c r="L366" i="309" s="1"/>
  <c r="H1683" i="250"/>
  <c r="H1698" i="250" s="1"/>
  <c r="H319" i="311" s="1"/>
  <c r="F1698" i="250"/>
  <c r="F319" i="311" s="1"/>
  <c r="F1718" i="250"/>
  <c r="F320" i="311" s="1"/>
  <c r="H1708" i="250"/>
  <c r="H1718" i="250" s="1"/>
  <c r="H320" i="311" s="1"/>
  <c r="M763" i="251"/>
  <c r="M764" i="251" s="1"/>
  <c r="M384" i="309" s="1"/>
  <c r="M746" i="251"/>
  <c r="M380" i="309" s="1"/>
  <c r="M142" i="251"/>
  <c r="M143" i="251" s="1"/>
  <c r="M132" i="309" s="1"/>
  <c r="M125" i="251"/>
  <c r="M128" i="309" s="1"/>
  <c r="E270" i="250"/>
  <c r="E56" i="311" s="1"/>
  <c r="G257" i="250"/>
  <c r="G270" i="250" s="1"/>
  <c r="G56" i="311" s="1"/>
  <c r="J717" i="251"/>
  <c r="J718" i="251" s="1"/>
  <c r="J369" i="309" s="1"/>
  <c r="J699" i="251"/>
  <c r="J365" i="309" s="1"/>
  <c r="K717" i="251"/>
  <c r="K718" i="251" s="1"/>
  <c r="K369" i="309" s="1"/>
  <c r="K699" i="251"/>
  <c r="K365" i="309" s="1"/>
  <c r="H1728" i="250"/>
  <c r="H1738" i="250" s="1"/>
  <c r="H321" i="311" s="1"/>
  <c r="F1738" i="250"/>
  <c r="F321" i="311" s="1"/>
  <c r="E1718" i="250"/>
  <c r="E320" i="311" s="1"/>
  <c r="G1708" i="250"/>
  <c r="G1718" i="250" s="1"/>
  <c r="G320" i="311" s="1"/>
  <c r="L754" i="251"/>
  <c r="L755" i="251" s="1"/>
  <c r="L383" i="309" s="1"/>
  <c r="L736" i="251"/>
  <c r="L379" i="309" s="1"/>
  <c r="F1822" i="250"/>
  <c r="F337" i="311" s="1"/>
  <c r="H1812" i="250"/>
  <c r="H1822" i="250" s="1"/>
  <c r="H337" i="311" s="1"/>
  <c r="M133" i="251"/>
  <c r="M134" i="251" s="1"/>
  <c r="M131" i="309" s="1"/>
  <c r="M115" i="251"/>
  <c r="M127" i="309" s="1"/>
  <c r="J726" i="251"/>
  <c r="J727" i="251" s="1"/>
  <c r="J370" i="309" s="1"/>
  <c r="J709" i="251"/>
  <c r="J366" i="309" s="1"/>
  <c r="K726" i="251"/>
  <c r="K727" i="251" s="1"/>
  <c r="K370" i="309" s="1"/>
  <c r="K709" i="251"/>
  <c r="K366" i="309" s="1"/>
  <c r="L763" i="251"/>
  <c r="L764" i="251" s="1"/>
  <c r="L384" i="309" s="1"/>
  <c r="L746" i="251"/>
  <c r="L380" i="309" s="1"/>
  <c r="G1792" i="250"/>
  <c r="G1802" i="250" s="1"/>
  <c r="G336" i="311" s="1"/>
  <c r="E1802" i="250"/>
  <c r="E336" i="311" s="1"/>
  <c r="J142" i="251"/>
  <c r="J143" i="251" s="1"/>
  <c r="J132" i="309" s="1"/>
  <c r="J125" i="251"/>
  <c r="J128" i="309" s="1"/>
  <c r="G320" i="250"/>
  <c r="G330" i="250" s="1"/>
  <c r="G59" i="311" s="1"/>
  <c r="E330" i="250"/>
  <c r="E59" i="311" s="1"/>
  <c r="H320" i="250"/>
  <c r="H330" i="250" s="1"/>
  <c r="H59" i="311" s="1"/>
  <c r="F330" i="250"/>
  <c r="F59" i="311" s="1"/>
  <c r="F270" i="250"/>
  <c r="F56" i="311" s="1"/>
  <c r="H256" i="250"/>
  <c r="H270" i="250" s="1"/>
  <c r="H56" i="311" s="1"/>
  <c r="N717" i="251"/>
  <c r="N718" i="251" s="1"/>
  <c r="N369" i="309" s="1"/>
  <c r="N699" i="251"/>
  <c r="N365" i="309" s="1"/>
  <c r="J754" i="251"/>
  <c r="J755" i="251" s="1"/>
  <c r="J383" i="309" s="1"/>
  <c r="J736" i="251"/>
  <c r="J379" i="309" s="1"/>
  <c r="K754" i="251"/>
  <c r="K755" i="251" s="1"/>
  <c r="K383" i="309" s="1"/>
  <c r="K736" i="251"/>
  <c r="K379" i="309" s="1"/>
  <c r="E1782" i="250"/>
  <c r="E335" i="311" s="1"/>
  <c r="G1767" i="250"/>
  <c r="G1782" i="250" s="1"/>
  <c r="G335" i="311" s="1"/>
  <c r="N142" i="251"/>
  <c r="N143" i="251" s="1"/>
  <c r="N132" i="309" s="1"/>
  <c r="N125" i="251"/>
  <c r="N128" i="309" s="1"/>
  <c r="N133" i="251"/>
  <c r="N134" i="251" s="1"/>
  <c r="N131" i="309" s="1"/>
  <c r="N115" i="251"/>
  <c r="N127" i="309" s="1"/>
  <c r="G280" i="250"/>
  <c r="G290" i="250" s="1"/>
  <c r="G57" i="311" s="1"/>
  <c r="E290" i="250"/>
  <c r="E57" i="311" s="1"/>
  <c r="N726" i="251"/>
  <c r="N727" i="251" s="1"/>
  <c r="N370" i="309" s="1"/>
  <c r="N709" i="251"/>
  <c r="N366" i="309" s="1"/>
  <c r="E1758" i="250"/>
  <c r="E322" i="311" s="1"/>
  <c r="G1748" i="250"/>
  <c r="G1758" i="250" s="1"/>
  <c r="G322" i="311" s="1"/>
  <c r="E1698" i="250"/>
  <c r="E319" i="311" s="1"/>
  <c r="G1683" i="250"/>
  <c r="G1698" i="250" s="1"/>
  <c r="G319" i="311" s="1"/>
  <c r="J763" i="251"/>
  <c r="J764" i="251" s="1"/>
  <c r="J384" i="309" s="1"/>
  <c r="J746" i="251"/>
  <c r="J380" i="309" s="1"/>
  <c r="K763" i="251"/>
  <c r="K764" i="251" s="1"/>
  <c r="K384" i="309" s="1"/>
  <c r="K746" i="251"/>
  <c r="K380" i="309" s="1"/>
  <c r="G1832" i="250"/>
  <c r="G1842" i="250" s="1"/>
  <c r="G338" i="311" s="1"/>
  <c r="E1842" i="250"/>
  <c r="E338" i="311" s="1"/>
  <c r="L142" i="251"/>
  <c r="L143" i="251" s="1"/>
  <c r="L132" i="309" s="1"/>
  <c r="L125" i="251"/>
  <c r="L128" i="309" s="1"/>
  <c r="K142" i="251"/>
  <c r="K143" i="251" s="1"/>
  <c r="K132" i="309" s="1"/>
  <c r="K125" i="251"/>
  <c r="K128" i="309" s="1"/>
  <c r="M717" i="251"/>
  <c r="M718" i="251" s="1"/>
  <c r="M369" i="309" s="1"/>
  <c r="M699" i="251"/>
  <c r="M365" i="309" s="1"/>
  <c r="N754" i="251"/>
  <c r="N755" i="251" s="1"/>
  <c r="N383" i="309" s="1"/>
  <c r="N736" i="251"/>
  <c r="N379" i="309" s="1"/>
  <c r="L133" i="251"/>
  <c r="L134" i="251" s="1"/>
  <c r="L131" i="309" s="1"/>
  <c r="L115" i="251"/>
  <c r="L127" i="309" s="1"/>
  <c r="M726" i="251"/>
  <c r="M727" i="251" s="1"/>
  <c r="M370" i="309" s="1"/>
  <c r="M709" i="251"/>
  <c r="M366" i="309" s="1"/>
  <c r="E1738" i="250"/>
  <c r="E321" i="311" s="1"/>
  <c r="G1728" i="250"/>
  <c r="G1738" i="250" s="1"/>
  <c r="G321" i="311" s="1"/>
  <c r="N763" i="251"/>
  <c r="N764" i="251" s="1"/>
  <c r="N384" i="309" s="1"/>
  <c r="N746" i="251"/>
  <c r="N380" i="309" s="1"/>
  <c r="E1822" i="250"/>
  <c r="E337" i="311" s="1"/>
  <c r="G1812" i="250"/>
  <c r="G1822" i="250" s="1"/>
  <c r="G337" i="311" s="1"/>
  <c r="F2118" i="250"/>
  <c r="F395" i="311" s="1"/>
  <c r="H2103" i="250"/>
  <c r="H2118" i="250" s="1"/>
  <c r="H395" i="311" s="1"/>
  <c r="E2118" i="250"/>
  <c r="E395" i="311" s="1"/>
  <c r="G2103" i="250"/>
  <c r="G2118" i="250" s="1"/>
  <c r="G395" i="311" s="1"/>
  <c r="H2158" i="250"/>
  <c r="H397" i="311" s="1"/>
  <c r="G2138" i="250"/>
  <c r="G396" i="311" s="1"/>
  <c r="E2138" i="250"/>
  <c r="E396" i="311" s="1"/>
  <c r="E2178" i="250"/>
  <c r="E398" i="311" s="1"/>
  <c r="H2138" i="250"/>
  <c r="H396" i="311" s="1"/>
  <c r="F2138" i="250"/>
  <c r="F396" i="311" s="1"/>
  <c r="H2178" i="250"/>
  <c r="H398" i="311" s="1"/>
  <c r="G2178" i="250"/>
  <c r="G398" i="311" s="1"/>
  <c r="E2158" i="250"/>
  <c r="E397" i="311" s="1"/>
  <c r="G2158" i="250"/>
  <c r="G397" i="311" s="1"/>
  <c r="F2178" i="250"/>
  <c r="F398" i="311" s="1"/>
  <c r="F2158" i="250"/>
  <c r="F397" i="311" s="1"/>
  <c r="E513" i="281"/>
  <c r="D510" i="281"/>
  <c r="D187" i="312" s="1"/>
  <c r="D511" i="281"/>
  <c r="D188" i="312" s="1"/>
  <c r="E270" i="309"/>
  <c r="E266" i="309"/>
  <c r="B262" i="309"/>
  <c r="B574" i="281"/>
  <c r="D1172" i="250" s="1"/>
  <c r="B556" i="281"/>
  <c r="D1153" i="250" s="1"/>
  <c r="B538" i="281"/>
  <c r="D1133" i="250" s="1"/>
  <c r="B515" i="281"/>
  <c r="D1113" i="250" s="1"/>
  <c r="B502" i="281"/>
  <c r="J578" i="281"/>
  <c r="J579" i="281"/>
  <c r="J580" i="281"/>
  <c r="J581" i="281"/>
  <c r="J582" i="281"/>
  <c r="J583" i="281"/>
  <c r="J584" i="281"/>
  <c r="J585" i="281"/>
  <c r="J586" i="281"/>
  <c r="J587" i="281"/>
  <c r="J560" i="281"/>
  <c r="J561" i="281"/>
  <c r="J562" i="281"/>
  <c r="J563" i="281"/>
  <c r="J564" i="281"/>
  <c r="J565" i="281"/>
  <c r="J566" i="281"/>
  <c r="J567" i="281"/>
  <c r="J568" i="281"/>
  <c r="J569" i="281"/>
  <c r="J542" i="281"/>
  <c r="J543" i="281"/>
  <c r="J544" i="281"/>
  <c r="J545" i="281"/>
  <c r="J546" i="281"/>
  <c r="J547" i="281"/>
  <c r="J548" i="281"/>
  <c r="J549" i="281"/>
  <c r="J550" i="281"/>
  <c r="J551" i="281"/>
  <c r="E414" i="281"/>
  <c r="D411" i="281"/>
  <c r="D152" i="312" s="1"/>
  <c r="D412" i="281"/>
  <c r="D153" i="312" s="1"/>
  <c r="E256" i="309"/>
  <c r="E252" i="309"/>
  <c r="B248" i="309"/>
  <c r="B475" i="281"/>
  <c r="D1088" i="250" s="1"/>
  <c r="B457" i="281"/>
  <c r="D1069" i="250" s="1"/>
  <c r="B439" i="281"/>
  <c r="D1049" i="250" s="1"/>
  <c r="B416" i="281"/>
  <c r="D1029" i="250" s="1"/>
  <c r="B403" i="281"/>
  <c r="J479" i="281"/>
  <c r="J480" i="281"/>
  <c r="J481" i="281"/>
  <c r="J482" i="281"/>
  <c r="J483" i="281"/>
  <c r="J484" i="281"/>
  <c r="J485" i="281"/>
  <c r="J486" i="281"/>
  <c r="J487" i="281"/>
  <c r="J488" i="281"/>
  <c r="J461" i="281"/>
  <c r="J462" i="281"/>
  <c r="J463" i="281"/>
  <c r="J464" i="281"/>
  <c r="J465" i="281"/>
  <c r="J466" i="281"/>
  <c r="J467" i="281"/>
  <c r="J468" i="281"/>
  <c r="J469" i="281"/>
  <c r="J470" i="281"/>
  <c r="J443" i="281"/>
  <c r="J444" i="281"/>
  <c r="J445" i="281"/>
  <c r="J446" i="281"/>
  <c r="J447" i="281"/>
  <c r="J448" i="281"/>
  <c r="J449" i="281"/>
  <c r="J450" i="281"/>
  <c r="J451" i="281"/>
  <c r="J452" i="281"/>
  <c r="E414" i="337"/>
  <c r="D152" i="339"/>
  <c r="D153" i="339"/>
  <c r="E606" i="309"/>
  <c r="E602" i="309"/>
  <c r="B598" i="309"/>
  <c r="B475" i="337"/>
  <c r="D2852" i="250" s="1"/>
  <c r="B457" i="337"/>
  <c r="D2833" i="250" s="1"/>
  <c r="B439" i="337"/>
  <c r="D2813" i="250" s="1"/>
  <c r="B416" i="337"/>
  <c r="D2793" i="250" s="1"/>
  <c r="B403" i="337"/>
  <c r="B394" i="337"/>
  <c r="J479" i="337"/>
  <c r="J480" i="337"/>
  <c r="J481" i="337"/>
  <c r="J482" i="337"/>
  <c r="J483" i="337"/>
  <c r="J484" i="337"/>
  <c r="J485" i="337"/>
  <c r="J486" i="337"/>
  <c r="J487" i="337"/>
  <c r="J488" i="337"/>
  <c r="J461" i="337"/>
  <c r="J462" i="337"/>
  <c r="J463" i="337"/>
  <c r="J464" i="337"/>
  <c r="J465" i="337"/>
  <c r="J466" i="337"/>
  <c r="J467" i="337"/>
  <c r="J468" i="337"/>
  <c r="J469" i="337"/>
  <c r="J470" i="337"/>
  <c r="J443" i="337"/>
  <c r="J444" i="337"/>
  <c r="J445" i="337"/>
  <c r="J446" i="337"/>
  <c r="J447" i="337"/>
  <c r="J448" i="337"/>
  <c r="J449" i="337"/>
  <c r="J450" i="337"/>
  <c r="J451" i="337"/>
  <c r="J452" i="337"/>
  <c r="E119" i="337"/>
  <c r="D116" i="337"/>
  <c r="D47" i="339" s="1"/>
  <c r="D117" i="337"/>
  <c r="D48" i="339" s="1"/>
  <c r="E564" i="309"/>
  <c r="E560" i="309"/>
  <c r="B556" i="309"/>
  <c r="D540" i="311"/>
  <c r="D539" i="311"/>
  <c r="D538" i="311"/>
  <c r="D537" i="311"/>
  <c r="E1205" i="251"/>
  <c r="D1205" i="251"/>
  <c r="B1202" i="251"/>
  <c r="B1201" i="251" s="1"/>
  <c r="E1197" i="251"/>
  <c r="D1197" i="251"/>
  <c r="B1194" i="251"/>
  <c r="B1193" i="251" s="1"/>
  <c r="E1189" i="251"/>
  <c r="D1189" i="251"/>
  <c r="B1186" i="251"/>
  <c r="B1185" i="251" s="1"/>
  <c r="E1181" i="251"/>
  <c r="D1181" i="251"/>
  <c r="B1178" i="251"/>
  <c r="B1177" i="251" s="1"/>
  <c r="C2586" i="250"/>
  <c r="C2566" i="250"/>
  <c r="C2546" i="250"/>
  <c r="C2521" i="250"/>
  <c r="B277" i="337"/>
  <c r="D2600" i="250" s="1"/>
  <c r="B162" i="337"/>
  <c r="D2581" i="250" s="1"/>
  <c r="B144" i="337"/>
  <c r="D2561" i="250" s="1"/>
  <c r="B121" i="337"/>
  <c r="D2541" i="250" s="1"/>
  <c r="B109" i="337"/>
  <c r="C103" i="337"/>
  <c r="B101" i="337" s="1"/>
  <c r="D2588" i="250"/>
  <c r="D2589" i="250"/>
  <c r="D2590" i="250"/>
  <c r="D2591" i="250"/>
  <c r="D2592" i="250"/>
  <c r="D2593" i="250"/>
  <c r="D2594" i="250"/>
  <c r="D2595" i="250"/>
  <c r="D2596" i="250"/>
  <c r="D2597" i="250"/>
  <c r="D2568" i="250"/>
  <c r="D2569" i="250"/>
  <c r="D2570" i="250"/>
  <c r="D2571" i="250"/>
  <c r="D2572" i="250"/>
  <c r="D2573" i="250"/>
  <c r="D2574" i="250"/>
  <c r="D2575" i="250"/>
  <c r="D2576" i="250"/>
  <c r="D2577" i="250"/>
  <c r="D2548" i="250"/>
  <c r="D2549" i="250"/>
  <c r="D2550" i="250"/>
  <c r="D2551" i="250"/>
  <c r="D2552" i="250"/>
  <c r="D2553" i="250"/>
  <c r="D2554" i="250"/>
  <c r="D2555" i="250"/>
  <c r="D2556" i="250"/>
  <c r="D2557" i="250"/>
  <c r="J281" i="337"/>
  <c r="J282" i="337"/>
  <c r="J283" i="337"/>
  <c r="J284" i="337"/>
  <c r="J285" i="337"/>
  <c r="J286" i="337"/>
  <c r="J287" i="337"/>
  <c r="J288" i="337"/>
  <c r="J289" i="337"/>
  <c r="J290" i="337"/>
  <c r="J166" i="337"/>
  <c r="J167" i="337"/>
  <c r="J168" i="337"/>
  <c r="J169" i="337"/>
  <c r="J170" i="337"/>
  <c r="J171" i="337"/>
  <c r="J172" i="337"/>
  <c r="J173" i="337"/>
  <c r="J174" i="337"/>
  <c r="J175" i="337"/>
  <c r="J148" i="337"/>
  <c r="J149" i="337"/>
  <c r="J150" i="337"/>
  <c r="J151" i="337"/>
  <c r="J152" i="337"/>
  <c r="J153" i="337"/>
  <c r="J154" i="337"/>
  <c r="J155" i="337"/>
  <c r="J156" i="337"/>
  <c r="J157" i="337"/>
  <c r="E216" i="337"/>
  <c r="D213" i="337"/>
  <c r="D82" i="339" s="1"/>
  <c r="D214" i="337"/>
  <c r="D83" i="339" s="1"/>
  <c r="E578" i="309"/>
  <c r="E574" i="309"/>
  <c r="B570" i="309"/>
  <c r="D555" i="311"/>
  <c r="D554" i="311"/>
  <c r="D553" i="311"/>
  <c r="D552" i="311"/>
  <c r="C550" i="311"/>
  <c r="E1237" i="251"/>
  <c r="D1237" i="251"/>
  <c r="B1234" i="251"/>
  <c r="B1233" i="251" s="1"/>
  <c r="E1229" i="251"/>
  <c r="D1229" i="251"/>
  <c r="B1226" i="251"/>
  <c r="B1225" i="251" s="1"/>
  <c r="E1221" i="251"/>
  <c r="D1221" i="251"/>
  <c r="B1218" i="251"/>
  <c r="B1217" i="251" s="1"/>
  <c r="E1213" i="251"/>
  <c r="D1213" i="251"/>
  <c r="B1210" i="251"/>
  <c r="B1209" i="251" s="1"/>
  <c r="C2670" i="250"/>
  <c r="C2650" i="250"/>
  <c r="C2630" i="250"/>
  <c r="C2605" i="250"/>
  <c r="B180" i="337"/>
  <c r="D2684" i="250" s="1"/>
  <c r="B259" i="337"/>
  <c r="D2665" i="250" s="1"/>
  <c r="B241" i="337"/>
  <c r="D2645" i="250" s="1"/>
  <c r="B218" i="337"/>
  <c r="D2625" i="250" s="1"/>
  <c r="B206" i="337"/>
  <c r="B198" i="337"/>
  <c r="D2672" i="250"/>
  <c r="D2673" i="250"/>
  <c r="D2674" i="250"/>
  <c r="D2675" i="250"/>
  <c r="D2676" i="250"/>
  <c r="D2677" i="250"/>
  <c r="D2678" i="250"/>
  <c r="D2679" i="250"/>
  <c r="D2680" i="250"/>
  <c r="D2681" i="250"/>
  <c r="D2652" i="250"/>
  <c r="D2653" i="250"/>
  <c r="D2654" i="250"/>
  <c r="D2655" i="250"/>
  <c r="D2656" i="250"/>
  <c r="D2657" i="250"/>
  <c r="D2658" i="250"/>
  <c r="D2659" i="250"/>
  <c r="D2660" i="250"/>
  <c r="D2661" i="250"/>
  <c r="D2632" i="250"/>
  <c r="D2633" i="250"/>
  <c r="D2634" i="250"/>
  <c r="D2635" i="250"/>
  <c r="D2636" i="250"/>
  <c r="D2637" i="250"/>
  <c r="D2638" i="250"/>
  <c r="D2639" i="250"/>
  <c r="D2640" i="250"/>
  <c r="D2641" i="250"/>
  <c r="J184" i="337"/>
  <c r="J185" i="337"/>
  <c r="J186" i="337"/>
  <c r="J187" i="337"/>
  <c r="J188" i="337"/>
  <c r="J189" i="337"/>
  <c r="J190" i="337"/>
  <c r="J191" i="337"/>
  <c r="J192" i="337"/>
  <c r="J193" i="337"/>
  <c r="J263" i="337"/>
  <c r="J264" i="337"/>
  <c r="J265" i="337"/>
  <c r="J266" i="337"/>
  <c r="J267" i="337"/>
  <c r="J268" i="337"/>
  <c r="J269" i="337"/>
  <c r="J270" i="337"/>
  <c r="J271" i="337"/>
  <c r="J272" i="337"/>
  <c r="J245" i="337"/>
  <c r="J246" i="337"/>
  <c r="J247" i="337"/>
  <c r="J248" i="337"/>
  <c r="J249" i="337"/>
  <c r="J250" i="337"/>
  <c r="J251" i="337"/>
  <c r="J252" i="337"/>
  <c r="J253" i="337"/>
  <c r="J254" i="337"/>
  <c r="E610" i="246"/>
  <c r="D607" i="246"/>
  <c r="D222" i="315" s="1"/>
  <c r="D608" i="246"/>
  <c r="D223" i="315" s="1"/>
  <c r="E536" i="309"/>
  <c r="E532" i="309"/>
  <c r="B528" i="309"/>
  <c r="B671" i="246"/>
  <c r="D2432" i="250" s="1"/>
  <c r="B653" i="246"/>
  <c r="D2413" i="250" s="1"/>
  <c r="B635" i="246"/>
  <c r="D2393" i="250" s="1"/>
  <c r="B612" i="246"/>
  <c r="D2373" i="250" s="1"/>
  <c r="B599" i="246"/>
  <c r="B590" i="246"/>
  <c r="J675" i="246"/>
  <c r="J676" i="246"/>
  <c r="J677" i="246"/>
  <c r="J678" i="246"/>
  <c r="J679" i="246"/>
  <c r="J680" i="246"/>
  <c r="J681" i="246"/>
  <c r="J682" i="246"/>
  <c r="J683" i="246"/>
  <c r="J684" i="246"/>
  <c r="J657" i="246"/>
  <c r="J658" i="246"/>
  <c r="J659" i="246"/>
  <c r="J660" i="246"/>
  <c r="J661" i="246"/>
  <c r="J662" i="246"/>
  <c r="J663" i="246"/>
  <c r="J664" i="246"/>
  <c r="J665" i="246"/>
  <c r="J666" i="246"/>
  <c r="J639" i="246"/>
  <c r="J640" i="246"/>
  <c r="J641" i="246"/>
  <c r="J642" i="246"/>
  <c r="J643" i="246"/>
  <c r="J644" i="246"/>
  <c r="J645" i="246"/>
  <c r="J646" i="246"/>
  <c r="J647" i="246"/>
  <c r="J648" i="246"/>
  <c r="E511" i="246"/>
  <c r="D508" i="246"/>
  <c r="D187" i="315" s="1"/>
  <c r="D509" i="246"/>
  <c r="D188" i="315" s="1"/>
  <c r="E522" i="309"/>
  <c r="E518" i="309"/>
  <c r="B514" i="309"/>
  <c r="B572" i="246"/>
  <c r="D2348" i="250" s="1"/>
  <c r="B554" i="246"/>
  <c r="D2329" i="250" s="1"/>
  <c r="B536" i="246"/>
  <c r="D2309" i="250" s="1"/>
  <c r="B513" i="246"/>
  <c r="D2289" i="250" s="1"/>
  <c r="B500" i="246"/>
  <c r="B491" i="246"/>
  <c r="J576" i="246"/>
  <c r="J577" i="246"/>
  <c r="J578" i="246"/>
  <c r="J579" i="246"/>
  <c r="J580" i="246"/>
  <c r="J581" i="246"/>
  <c r="J582" i="246"/>
  <c r="J583" i="246"/>
  <c r="J584" i="246"/>
  <c r="J585" i="246"/>
  <c r="J558" i="246"/>
  <c r="J559" i="246"/>
  <c r="J560" i="246"/>
  <c r="J561" i="246"/>
  <c r="J562" i="246"/>
  <c r="J563" i="246"/>
  <c r="J564" i="246"/>
  <c r="J565" i="246"/>
  <c r="J566" i="246"/>
  <c r="J567" i="246"/>
  <c r="J540" i="246"/>
  <c r="J541" i="246"/>
  <c r="J542" i="246"/>
  <c r="J543" i="246"/>
  <c r="J544" i="246"/>
  <c r="J545" i="246"/>
  <c r="J546" i="246"/>
  <c r="J547" i="246"/>
  <c r="J548" i="246"/>
  <c r="J549" i="246"/>
  <c r="E216" i="246"/>
  <c r="D213" i="246"/>
  <c r="D82" i="315" s="1"/>
  <c r="D214" i="246"/>
  <c r="D83" i="315" s="1"/>
  <c r="E480" i="309"/>
  <c r="E476" i="309"/>
  <c r="B472" i="309"/>
  <c r="D383" i="311"/>
  <c r="D382" i="311"/>
  <c r="D381" i="311"/>
  <c r="D380" i="311"/>
  <c r="E860" i="251"/>
  <c r="D860" i="251"/>
  <c r="B857" i="251"/>
  <c r="B856" i="251" s="1"/>
  <c r="E852" i="251"/>
  <c r="D852" i="251"/>
  <c r="B849" i="251"/>
  <c r="B848" i="251" s="1"/>
  <c r="E844" i="251"/>
  <c r="D844" i="251"/>
  <c r="B841" i="251"/>
  <c r="B840" i="251" s="1"/>
  <c r="E836" i="251"/>
  <c r="D836" i="251"/>
  <c r="B833" i="251"/>
  <c r="B832" i="251" s="1"/>
  <c r="C2082" i="250"/>
  <c r="C2062" i="250"/>
  <c r="C2042" i="250"/>
  <c r="C2017" i="250"/>
  <c r="B277" i="246"/>
  <c r="D2096" i="250" s="1"/>
  <c r="B259" i="246"/>
  <c r="D2077" i="250" s="1"/>
  <c r="B241" i="246"/>
  <c r="D2057" i="250" s="1"/>
  <c r="B218" i="246"/>
  <c r="D2037" i="250" s="1"/>
  <c r="B206" i="246"/>
  <c r="B198" i="246"/>
  <c r="D2084" i="250"/>
  <c r="D2085" i="250"/>
  <c r="D2086" i="250"/>
  <c r="D2087" i="250"/>
  <c r="D2088" i="250"/>
  <c r="D2089" i="250"/>
  <c r="D2090" i="250"/>
  <c r="D2091" i="250"/>
  <c r="D2092" i="250"/>
  <c r="D2093" i="250"/>
  <c r="D2064" i="250"/>
  <c r="D2065" i="250"/>
  <c r="D2066" i="250"/>
  <c r="D2067" i="250"/>
  <c r="D2068" i="250"/>
  <c r="D2069" i="250"/>
  <c r="D2070" i="250"/>
  <c r="D2071" i="250"/>
  <c r="D2072" i="250"/>
  <c r="D2073" i="250"/>
  <c r="D2044" i="250"/>
  <c r="D2045" i="250"/>
  <c r="D2046" i="250"/>
  <c r="D2047" i="250"/>
  <c r="D2048" i="250"/>
  <c r="D2049" i="250"/>
  <c r="D2050" i="250"/>
  <c r="D2051" i="250"/>
  <c r="D2052" i="250"/>
  <c r="D2053" i="250"/>
  <c r="J281" i="246"/>
  <c r="J282" i="246"/>
  <c r="J283" i="246"/>
  <c r="J284" i="246"/>
  <c r="J285" i="246"/>
  <c r="J286" i="246"/>
  <c r="J287" i="246"/>
  <c r="J288" i="246"/>
  <c r="J289" i="246"/>
  <c r="J290" i="246"/>
  <c r="J263" i="246"/>
  <c r="J264" i="246"/>
  <c r="J265" i="246"/>
  <c r="J266" i="246"/>
  <c r="J267" i="246"/>
  <c r="J268" i="246"/>
  <c r="J269" i="246"/>
  <c r="J270" i="246"/>
  <c r="J271" i="246"/>
  <c r="J272" i="246"/>
  <c r="J245" i="246"/>
  <c r="J246" i="246"/>
  <c r="J247" i="246"/>
  <c r="J248" i="246"/>
  <c r="J249" i="246"/>
  <c r="J250" i="246"/>
  <c r="J251" i="246"/>
  <c r="J252" i="246"/>
  <c r="J253" i="246"/>
  <c r="J254" i="246"/>
  <c r="E119" i="246"/>
  <c r="D116" i="246"/>
  <c r="D47" i="315" s="1"/>
  <c r="D117" i="246"/>
  <c r="D48" i="315" s="1"/>
  <c r="E466" i="309"/>
  <c r="E462" i="309"/>
  <c r="B458" i="309"/>
  <c r="D368" i="311"/>
  <c r="D367" i="311"/>
  <c r="D366" i="311"/>
  <c r="D365" i="311"/>
  <c r="E828" i="251"/>
  <c r="D828" i="251"/>
  <c r="B825" i="251"/>
  <c r="B824" i="251" s="1"/>
  <c r="E820" i="251"/>
  <c r="D820" i="251"/>
  <c r="B817" i="251"/>
  <c r="B816" i="251" s="1"/>
  <c r="E812" i="251"/>
  <c r="D812" i="251"/>
  <c r="B809" i="251"/>
  <c r="B808" i="251" s="1"/>
  <c r="E804" i="251"/>
  <c r="D804" i="251"/>
  <c r="B801" i="251"/>
  <c r="B800" i="251" s="1"/>
  <c r="C1998" i="250"/>
  <c r="C1978" i="250"/>
  <c r="C1958" i="250"/>
  <c r="C1933" i="250"/>
  <c r="B180" i="246"/>
  <c r="D2012" i="250" s="1"/>
  <c r="B162" i="246"/>
  <c r="D1993" i="250" s="1"/>
  <c r="B144" i="246"/>
  <c r="D1973" i="250" s="1"/>
  <c r="B121" i="246"/>
  <c r="D1953" i="250" s="1"/>
  <c r="B109" i="246"/>
  <c r="B101" i="246"/>
  <c r="D2000" i="250"/>
  <c r="D2001" i="250"/>
  <c r="D2002" i="250"/>
  <c r="D2003" i="250"/>
  <c r="D2004" i="250"/>
  <c r="D2005" i="250"/>
  <c r="D2006" i="250"/>
  <c r="D2007" i="250"/>
  <c r="D2008" i="250"/>
  <c r="D2009" i="250"/>
  <c r="D1980" i="250"/>
  <c r="D1981" i="250"/>
  <c r="D1982" i="250"/>
  <c r="D1983" i="250"/>
  <c r="D1984" i="250"/>
  <c r="D1985" i="250"/>
  <c r="D1986" i="250"/>
  <c r="D1987" i="250"/>
  <c r="D1988" i="250"/>
  <c r="D1989" i="250"/>
  <c r="D1960" i="250"/>
  <c r="D1961" i="250"/>
  <c r="D1962" i="250"/>
  <c r="D1963" i="250"/>
  <c r="D1964" i="250"/>
  <c r="D1965" i="250"/>
  <c r="D1966" i="250"/>
  <c r="D1967" i="250"/>
  <c r="D1968" i="250"/>
  <c r="D1969" i="250"/>
  <c r="J184" i="246"/>
  <c r="J185" i="246"/>
  <c r="J186" i="246"/>
  <c r="J187" i="246"/>
  <c r="J188" i="246"/>
  <c r="J189" i="246"/>
  <c r="J190" i="246"/>
  <c r="J191" i="246"/>
  <c r="J192" i="246"/>
  <c r="J193" i="246"/>
  <c r="J166" i="246"/>
  <c r="J167" i="246"/>
  <c r="J168" i="246"/>
  <c r="J169" i="246"/>
  <c r="J170" i="246"/>
  <c r="J171" i="246"/>
  <c r="J172" i="246"/>
  <c r="J173" i="246"/>
  <c r="J174" i="246"/>
  <c r="J175" i="246"/>
  <c r="J148" i="246"/>
  <c r="J149" i="246"/>
  <c r="J150" i="246"/>
  <c r="J151" i="246"/>
  <c r="J152" i="246"/>
  <c r="J153" i="246"/>
  <c r="J154" i="246"/>
  <c r="J155" i="246"/>
  <c r="J156" i="246"/>
  <c r="J157" i="246"/>
  <c r="D82" i="314"/>
  <c r="D83" i="314"/>
  <c r="E424" i="309"/>
  <c r="E420" i="309"/>
  <c r="J287" i="307"/>
  <c r="J288" i="307"/>
  <c r="J289" i="307"/>
  <c r="J290" i="307"/>
  <c r="J291" i="307"/>
  <c r="J292" i="307"/>
  <c r="J293" i="307"/>
  <c r="J294" i="307"/>
  <c r="J295" i="307"/>
  <c r="J296" i="307"/>
  <c r="J269" i="307"/>
  <c r="J270" i="307"/>
  <c r="J271" i="307"/>
  <c r="J272" i="307"/>
  <c r="J273" i="307"/>
  <c r="J274" i="307"/>
  <c r="J275" i="307"/>
  <c r="J276" i="307"/>
  <c r="J277" i="307"/>
  <c r="J278" i="307"/>
  <c r="J251" i="307"/>
  <c r="J252" i="307"/>
  <c r="J253" i="307"/>
  <c r="J254" i="307"/>
  <c r="J255" i="307"/>
  <c r="J256" i="307"/>
  <c r="J257" i="307"/>
  <c r="J258" i="307"/>
  <c r="J259" i="307"/>
  <c r="J260" i="307"/>
  <c r="D47" i="314"/>
  <c r="D48" i="314"/>
  <c r="E410" i="309"/>
  <c r="E406" i="309"/>
  <c r="J188" i="307"/>
  <c r="J189" i="307"/>
  <c r="J190" i="307"/>
  <c r="J191" i="307"/>
  <c r="J192" i="307"/>
  <c r="J193" i="307"/>
  <c r="J194" i="307"/>
  <c r="J195" i="307"/>
  <c r="J196" i="307"/>
  <c r="J197" i="307"/>
  <c r="J170" i="307"/>
  <c r="J171" i="307"/>
  <c r="J172" i="307"/>
  <c r="J173" i="307"/>
  <c r="J174" i="307"/>
  <c r="J175" i="307"/>
  <c r="J176" i="307"/>
  <c r="J177" i="307"/>
  <c r="J178" i="307"/>
  <c r="J179" i="307"/>
  <c r="J152" i="307"/>
  <c r="J153" i="307"/>
  <c r="J154" i="307"/>
  <c r="J155" i="307"/>
  <c r="J156" i="307"/>
  <c r="J157" i="307"/>
  <c r="J158" i="307"/>
  <c r="J159" i="307"/>
  <c r="J160" i="307"/>
  <c r="J161" i="307"/>
  <c r="E513" i="282"/>
  <c r="D510" i="282"/>
  <c r="D187" i="313" s="1"/>
  <c r="D511" i="282"/>
  <c r="D188" i="313" s="1"/>
  <c r="E354" i="309"/>
  <c r="E350" i="309"/>
  <c r="B346" i="309"/>
  <c r="B574" i="282"/>
  <c r="D1676" i="250" s="1"/>
  <c r="B556" i="282"/>
  <c r="D1657" i="250" s="1"/>
  <c r="B538" i="282"/>
  <c r="D1637" i="250" s="1"/>
  <c r="B515" i="282"/>
  <c r="D1617" i="250" s="1"/>
  <c r="B502" i="282"/>
  <c r="B493" i="282"/>
  <c r="J578" i="282"/>
  <c r="J579" i="282"/>
  <c r="J580" i="282"/>
  <c r="J581" i="282"/>
  <c r="J582" i="282"/>
  <c r="J583" i="282"/>
  <c r="J584" i="282"/>
  <c r="J585" i="282"/>
  <c r="J586" i="282"/>
  <c r="J587" i="282"/>
  <c r="J560" i="282"/>
  <c r="J561" i="282"/>
  <c r="J562" i="282"/>
  <c r="J563" i="282"/>
  <c r="J564" i="282"/>
  <c r="J565" i="282"/>
  <c r="J566" i="282"/>
  <c r="J567" i="282"/>
  <c r="J568" i="282"/>
  <c r="J569" i="282"/>
  <c r="J542" i="282"/>
  <c r="J543" i="282"/>
  <c r="J544" i="282"/>
  <c r="J545" i="282"/>
  <c r="J546" i="282"/>
  <c r="J547" i="282"/>
  <c r="J548" i="282"/>
  <c r="J549" i="282"/>
  <c r="J550" i="282"/>
  <c r="J551" i="282"/>
  <c r="E414" i="282"/>
  <c r="D411" i="282"/>
  <c r="D152" i="313" s="1"/>
  <c r="D412" i="282"/>
  <c r="D153" i="313" s="1"/>
  <c r="E340" i="309"/>
  <c r="E336" i="309"/>
  <c r="B332" i="309"/>
  <c r="B475" i="282"/>
  <c r="D1592" i="250" s="1"/>
  <c r="B457" i="282"/>
  <c r="D1573" i="250" s="1"/>
  <c r="B439" i="282"/>
  <c r="D1553" i="250" s="1"/>
  <c r="B416" i="282"/>
  <c r="D1533" i="250" s="1"/>
  <c r="B403" i="282"/>
  <c r="B394" i="282"/>
  <c r="J479" i="282"/>
  <c r="J480" i="282"/>
  <c r="J481" i="282"/>
  <c r="J482" i="282"/>
  <c r="J483" i="282"/>
  <c r="J484" i="282"/>
  <c r="J485" i="282"/>
  <c r="J486" i="282"/>
  <c r="J487" i="282"/>
  <c r="J488" i="282"/>
  <c r="J461" i="282"/>
  <c r="J462" i="282"/>
  <c r="J463" i="282"/>
  <c r="J464" i="282"/>
  <c r="J465" i="282"/>
  <c r="J466" i="282"/>
  <c r="J467" i="282"/>
  <c r="J468" i="282"/>
  <c r="J469" i="282"/>
  <c r="J470" i="282"/>
  <c r="J443" i="282"/>
  <c r="J444" i="282"/>
  <c r="J445" i="282"/>
  <c r="J446" i="282"/>
  <c r="J447" i="282"/>
  <c r="J448" i="282"/>
  <c r="J449" i="282"/>
  <c r="J450" i="282"/>
  <c r="J451" i="282"/>
  <c r="J452" i="282"/>
  <c r="E216" i="282"/>
  <c r="D213" i="282"/>
  <c r="D82" i="313" s="1"/>
  <c r="D214" i="282"/>
  <c r="D83" i="313" s="1"/>
  <c r="E312" i="309"/>
  <c r="E308" i="309"/>
  <c r="B304" i="309"/>
  <c r="D258" i="311"/>
  <c r="D257" i="311"/>
  <c r="D256" i="311"/>
  <c r="D255" i="311"/>
  <c r="E579" i="251"/>
  <c r="D579" i="251"/>
  <c r="B576" i="251"/>
  <c r="B575" i="251" s="1"/>
  <c r="E571" i="251"/>
  <c r="D571" i="251"/>
  <c r="B568" i="251"/>
  <c r="B567" i="251" s="1"/>
  <c r="E563" i="251"/>
  <c r="D563" i="251"/>
  <c r="B560" i="251"/>
  <c r="B559" i="251" s="1"/>
  <c r="E555" i="251"/>
  <c r="D555" i="251"/>
  <c r="B552" i="251"/>
  <c r="B551" i="251" s="1"/>
  <c r="C1410" i="250"/>
  <c r="C1390" i="250"/>
  <c r="C1370" i="250"/>
  <c r="C1345" i="250"/>
  <c r="B277" i="282"/>
  <c r="D1424" i="250" s="1"/>
  <c r="B259" i="282"/>
  <c r="D1405" i="250" s="1"/>
  <c r="B241" i="282"/>
  <c r="D1385" i="250" s="1"/>
  <c r="B218" i="282"/>
  <c r="D1365" i="250" s="1"/>
  <c r="B206" i="282"/>
  <c r="B198" i="282"/>
  <c r="D1412" i="250"/>
  <c r="D1413" i="250"/>
  <c r="D1414" i="250"/>
  <c r="D1415" i="250"/>
  <c r="D1416" i="250"/>
  <c r="D1417" i="250"/>
  <c r="D1418" i="250"/>
  <c r="D1419" i="250"/>
  <c r="D1420" i="250"/>
  <c r="D1421" i="250"/>
  <c r="D1392" i="250"/>
  <c r="D1393" i="250"/>
  <c r="D1394" i="250"/>
  <c r="D1395" i="250"/>
  <c r="D1396" i="250"/>
  <c r="D1397" i="250"/>
  <c r="D1398" i="250"/>
  <c r="D1399" i="250"/>
  <c r="D1400" i="250"/>
  <c r="D1401" i="250"/>
  <c r="D1372" i="250"/>
  <c r="D1373" i="250"/>
  <c r="D1374" i="250"/>
  <c r="D1375" i="250"/>
  <c r="D1376" i="250"/>
  <c r="D1377" i="250"/>
  <c r="D1378" i="250"/>
  <c r="D1379" i="250"/>
  <c r="D1380" i="250"/>
  <c r="D1381" i="250"/>
  <c r="J281" i="282"/>
  <c r="J282" i="282"/>
  <c r="J283" i="282"/>
  <c r="J284" i="282"/>
  <c r="J285" i="282"/>
  <c r="J286" i="282"/>
  <c r="J287" i="282"/>
  <c r="J288" i="282"/>
  <c r="J289" i="282"/>
  <c r="J290" i="282"/>
  <c r="J263" i="282"/>
  <c r="J264" i="282"/>
  <c r="J265" i="282"/>
  <c r="J266" i="282"/>
  <c r="J267" i="282"/>
  <c r="J268" i="282"/>
  <c r="J269" i="282"/>
  <c r="J270" i="282"/>
  <c r="J271" i="282"/>
  <c r="J272" i="282"/>
  <c r="J245" i="282"/>
  <c r="J246" i="282"/>
  <c r="J247" i="282"/>
  <c r="J248" i="282"/>
  <c r="J249" i="282"/>
  <c r="J250" i="282"/>
  <c r="J251" i="282"/>
  <c r="J252" i="282"/>
  <c r="J253" i="282"/>
  <c r="J254" i="282"/>
  <c r="E119" i="282"/>
  <c r="D116" i="282"/>
  <c r="D47" i="313" s="1"/>
  <c r="D117" i="282"/>
  <c r="D48" i="313" s="1"/>
  <c r="E298" i="309"/>
  <c r="E294" i="309"/>
  <c r="B290" i="309"/>
  <c r="D243" i="311"/>
  <c r="D242" i="311"/>
  <c r="D241" i="311"/>
  <c r="D240" i="311"/>
  <c r="E547" i="251"/>
  <c r="D547" i="251"/>
  <c r="B544" i="251"/>
  <c r="B543" i="251" s="1"/>
  <c r="E539" i="251"/>
  <c r="D539" i="251"/>
  <c r="B536" i="251"/>
  <c r="B535" i="251" s="1"/>
  <c r="E531" i="251"/>
  <c r="D531" i="251"/>
  <c r="B528" i="251"/>
  <c r="B527" i="251" s="1"/>
  <c r="E523" i="251"/>
  <c r="D523" i="251"/>
  <c r="B520" i="251"/>
  <c r="B519" i="251" s="1"/>
  <c r="C1326" i="250"/>
  <c r="C1306" i="250"/>
  <c r="C1286" i="250"/>
  <c r="C1261" i="250"/>
  <c r="B180" i="282"/>
  <c r="D1340" i="250" s="1"/>
  <c r="B162" i="282"/>
  <c r="D1321" i="250" s="1"/>
  <c r="B144" i="282"/>
  <c r="D1301" i="250" s="1"/>
  <c r="B121" i="282"/>
  <c r="D1281" i="250" s="1"/>
  <c r="B109" i="282"/>
  <c r="B101" i="282"/>
  <c r="D1328" i="250"/>
  <c r="D1329" i="250"/>
  <c r="D1330" i="250"/>
  <c r="D1331" i="250"/>
  <c r="D1332" i="250"/>
  <c r="D1333" i="250"/>
  <c r="D1334" i="250"/>
  <c r="D1335" i="250"/>
  <c r="D1336" i="250"/>
  <c r="D1337" i="250"/>
  <c r="D1308" i="250"/>
  <c r="D1309" i="250"/>
  <c r="D1310" i="250"/>
  <c r="D1311" i="250"/>
  <c r="D1312" i="250"/>
  <c r="D1313" i="250"/>
  <c r="D1314" i="250"/>
  <c r="D1315" i="250"/>
  <c r="D1316" i="250"/>
  <c r="D1317" i="250"/>
  <c r="D1288" i="250"/>
  <c r="D1289" i="250"/>
  <c r="D1290" i="250"/>
  <c r="D1291" i="250"/>
  <c r="D1292" i="250"/>
  <c r="D1293" i="250"/>
  <c r="D1294" i="250"/>
  <c r="D1295" i="250"/>
  <c r="D1296" i="250"/>
  <c r="D1297" i="250"/>
  <c r="J184" i="282"/>
  <c r="J185" i="282"/>
  <c r="J186" i="282"/>
  <c r="J187" i="282"/>
  <c r="J188" i="282"/>
  <c r="J189" i="282"/>
  <c r="J190" i="282"/>
  <c r="J191" i="282"/>
  <c r="J192" i="282"/>
  <c r="J193" i="282"/>
  <c r="J166" i="282"/>
  <c r="J167" i="282"/>
  <c r="J168" i="282"/>
  <c r="J169" i="282"/>
  <c r="J170" i="282"/>
  <c r="J171" i="282"/>
  <c r="J172" i="282"/>
  <c r="J173" i="282"/>
  <c r="J174" i="282"/>
  <c r="J175" i="282"/>
  <c r="J148" i="282"/>
  <c r="J149" i="282"/>
  <c r="J150" i="282"/>
  <c r="J151" i="282"/>
  <c r="J152" i="282"/>
  <c r="J153" i="282"/>
  <c r="J154" i="282"/>
  <c r="J155" i="282"/>
  <c r="J156" i="282"/>
  <c r="J157" i="282"/>
  <c r="E216" i="280"/>
  <c r="D213" i="280"/>
  <c r="D80" i="261" s="1"/>
  <c r="D214" i="280"/>
  <c r="D81" i="261" s="1"/>
  <c r="B164" i="309"/>
  <c r="D104" i="311"/>
  <c r="D103" i="311"/>
  <c r="D102" i="311"/>
  <c r="D101" i="311"/>
  <c r="E239" i="251"/>
  <c r="D239" i="251"/>
  <c r="B236" i="251"/>
  <c r="B235" i="251" s="1"/>
  <c r="E231" i="251"/>
  <c r="D231" i="251"/>
  <c r="B228" i="251"/>
  <c r="B227" i="251" s="1"/>
  <c r="E223" i="251"/>
  <c r="D223" i="251"/>
  <c r="B220" i="251"/>
  <c r="B219" i="251" s="1"/>
  <c r="E215" i="251"/>
  <c r="D215" i="251"/>
  <c r="B212" i="251"/>
  <c r="B211" i="251" s="1"/>
  <c r="C570" i="250"/>
  <c r="C550" i="250"/>
  <c r="C530" i="250"/>
  <c r="C505" i="250"/>
  <c r="B277" i="280"/>
  <c r="D584" i="250" s="1"/>
  <c r="B259" i="280"/>
  <c r="D565" i="250" s="1"/>
  <c r="B241" i="280"/>
  <c r="D545" i="250" s="1"/>
  <c r="B218" i="280"/>
  <c r="D525" i="250" s="1"/>
  <c r="B206" i="280"/>
  <c r="B198" i="280"/>
  <c r="D572" i="250"/>
  <c r="D573" i="250"/>
  <c r="D574" i="250"/>
  <c r="D575" i="250"/>
  <c r="D576" i="250"/>
  <c r="D577" i="250"/>
  <c r="D578" i="250"/>
  <c r="D579" i="250"/>
  <c r="D580" i="250"/>
  <c r="D581" i="250"/>
  <c r="D552" i="250"/>
  <c r="D553" i="250"/>
  <c r="D554" i="250"/>
  <c r="D555" i="250"/>
  <c r="D556" i="250"/>
  <c r="D557" i="250"/>
  <c r="D558" i="250"/>
  <c r="D559" i="250"/>
  <c r="D560" i="250"/>
  <c r="D561" i="250"/>
  <c r="D532" i="250"/>
  <c r="D533" i="250"/>
  <c r="D534" i="250"/>
  <c r="D535" i="250"/>
  <c r="D536" i="250"/>
  <c r="D537" i="250"/>
  <c r="D538" i="250"/>
  <c r="D539" i="250"/>
  <c r="D540" i="250"/>
  <c r="D541" i="250"/>
  <c r="J281" i="280"/>
  <c r="J282" i="280"/>
  <c r="J283" i="280"/>
  <c r="J284" i="280"/>
  <c r="J285" i="280"/>
  <c r="J286" i="280"/>
  <c r="J287" i="280"/>
  <c r="J288" i="280"/>
  <c r="J289" i="280"/>
  <c r="J290" i="280"/>
  <c r="J263" i="280"/>
  <c r="J264" i="280"/>
  <c r="J265" i="280"/>
  <c r="J266" i="280"/>
  <c r="J267" i="280"/>
  <c r="J268" i="280"/>
  <c r="J269" i="280"/>
  <c r="J270" i="280"/>
  <c r="J271" i="280"/>
  <c r="J272" i="280"/>
  <c r="J245" i="280"/>
  <c r="J246" i="280"/>
  <c r="J247" i="280"/>
  <c r="J248" i="280"/>
  <c r="J249" i="280"/>
  <c r="J250" i="280"/>
  <c r="J251" i="280"/>
  <c r="J252" i="280"/>
  <c r="J253" i="280"/>
  <c r="J254" i="280"/>
  <c r="D45" i="261"/>
  <c r="D46" i="261"/>
  <c r="B150" i="309"/>
  <c r="D89" i="311"/>
  <c r="D88" i="311"/>
  <c r="D87" i="311"/>
  <c r="D86" i="311"/>
  <c r="E207" i="251"/>
  <c r="D207" i="251"/>
  <c r="B204" i="251"/>
  <c r="B203" i="251" s="1"/>
  <c r="E199" i="251"/>
  <c r="D199" i="251"/>
  <c r="B196" i="251"/>
  <c r="B195" i="251" s="1"/>
  <c r="E191" i="251"/>
  <c r="D191" i="251"/>
  <c r="B188" i="251"/>
  <c r="B187" i="251" s="1"/>
  <c r="E183" i="251"/>
  <c r="D183" i="251"/>
  <c r="B180" i="251"/>
  <c r="B179" i="251" s="1"/>
  <c r="C486" i="250"/>
  <c r="C466" i="250"/>
  <c r="C446" i="250"/>
  <c r="C421" i="250"/>
  <c r="B180" i="280"/>
  <c r="D500" i="250" s="1"/>
  <c r="B162" i="280"/>
  <c r="D481" i="250" s="1"/>
  <c r="B144" i="280"/>
  <c r="D461" i="250" s="1"/>
  <c r="B121" i="280"/>
  <c r="D441" i="250" s="1"/>
  <c r="B109" i="280"/>
  <c r="B101" i="280"/>
  <c r="D488" i="250"/>
  <c r="D489" i="250"/>
  <c r="D490" i="250"/>
  <c r="D491" i="250"/>
  <c r="D492" i="250"/>
  <c r="D493" i="250"/>
  <c r="D494" i="250"/>
  <c r="D495" i="250"/>
  <c r="D496" i="250"/>
  <c r="D497" i="250"/>
  <c r="D468" i="250"/>
  <c r="D469" i="250"/>
  <c r="D470" i="250"/>
  <c r="D471" i="250"/>
  <c r="D472" i="250"/>
  <c r="D473" i="250"/>
  <c r="D474" i="250"/>
  <c r="D475" i="250"/>
  <c r="D476" i="250"/>
  <c r="D477" i="250"/>
  <c r="D448" i="250"/>
  <c r="D449" i="250"/>
  <c r="D450" i="250"/>
  <c r="D451" i="250"/>
  <c r="D452" i="250"/>
  <c r="D453" i="250"/>
  <c r="D454" i="250"/>
  <c r="D455" i="250"/>
  <c r="D456" i="250"/>
  <c r="D457" i="250"/>
  <c r="J184" i="280"/>
  <c r="J185" i="280"/>
  <c r="J186" i="280"/>
  <c r="J187" i="280"/>
  <c r="J188" i="280"/>
  <c r="J189" i="280"/>
  <c r="J190" i="280"/>
  <c r="J191" i="280"/>
  <c r="J192" i="280"/>
  <c r="J193" i="280"/>
  <c r="J166" i="280"/>
  <c r="J167" i="280"/>
  <c r="J168" i="280"/>
  <c r="J169" i="280"/>
  <c r="J170" i="280"/>
  <c r="J171" i="280"/>
  <c r="J172" i="280"/>
  <c r="J173" i="280"/>
  <c r="J174" i="280"/>
  <c r="J175" i="280"/>
  <c r="J148" i="280"/>
  <c r="J149" i="280"/>
  <c r="J150" i="280"/>
  <c r="J151" i="280"/>
  <c r="J152" i="280"/>
  <c r="J153" i="280"/>
  <c r="J154" i="280"/>
  <c r="J155" i="280"/>
  <c r="J156" i="280"/>
  <c r="J157" i="280"/>
  <c r="E216" i="281"/>
  <c r="D213" i="281"/>
  <c r="D82" i="312" s="1"/>
  <c r="D214" i="281"/>
  <c r="D83" i="312" s="1"/>
  <c r="E228" i="309"/>
  <c r="E224" i="309"/>
  <c r="B220" i="309"/>
  <c r="D165" i="311"/>
  <c r="D164" i="311"/>
  <c r="D163" i="311"/>
  <c r="D162" i="311"/>
  <c r="E372" i="251"/>
  <c r="D372" i="251"/>
  <c r="B369" i="251"/>
  <c r="B368" i="251" s="1"/>
  <c r="E364" i="251"/>
  <c r="D364" i="251"/>
  <c r="B361" i="251"/>
  <c r="B360" i="251" s="1"/>
  <c r="E356" i="251"/>
  <c r="D356" i="251"/>
  <c r="B353" i="251"/>
  <c r="B352" i="251" s="1"/>
  <c r="E348" i="251"/>
  <c r="D348" i="251"/>
  <c r="B345" i="251"/>
  <c r="B344" i="251" s="1"/>
  <c r="C906" i="250"/>
  <c r="C886" i="250"/>
  <c r="C866" i="250"/>
  <c r="C841" i="250"/>
  <c r="B277" i="281"/>
  <c r="D920" i="250" s="1"/>
  <c r="B259" i="281"/>
  <c r="D901" i="250" s="1"/>
  <c r="B241" i="281"/>
  <c r="D881" i="250" s="1"/>
  <c r="B218" i="281"/>
  <c r="D861" i="250" s="1"/>
  <c r="B206" i="281"/>
  <c r="D908" i="250"/>
  <c r="D909" i="250"/>
  <c r="D910" i="250"/>
  <c r="D911" i="250"/>
  <c r="D912" i="250"/>
  <c r="D913" i="250"/>
  <c r="D914" i="250"/>
  <c r="D915" i="250"/>
  <c r="D916" i="250"/>
  <c r="D917" i="250"/>
  <c r="D888" i="250"/>
  <c r="D889" i="250"/>
  <c r="D890" i="250"/>
  <c r="D891" i="250"/>
  <c r="D892" i="250"/>
  <c r="D893" i="250"/>
  <c r="D894" i="250"/>
  <c r="D895" i="250"/>
  <c r="D896" i="250"/>
  <c r="D897" i="250"/>
  <c r="D868" i="250"/>
  <c r="D869" i="250"/>
  <c r="D870" i="250"/>
  <c r="D871" i="250"/>
  <c r="D872" i="250"/>
  <c r="D873" i="250"/>
  <c r="D874" i="250"/>
  <c r="D875" i="250"/>
  <c r="D876" i="250"/>
  <c r="D877" i="250"/>
  <c r="J281" i="281"/>
  <c r="J282" i="281"/>
  <c r="J283" i="281"/>
  <c r="J284" i="281"/>
  <c r="J285" i="281"/>
  <c r="J286" i="281"/>
  <c r="J287" i="281"/>
  <c r="J288" i="281"/>
  <c r="J289" i="281"/>
  <c r="J290" i="281"/>
  <c r="J263" i="281"/>
  <c r="J264" i="281"/>
  <c r="J265" i="281"/>
  <c r="J266" i="281"/>
  <c r="J267" i="281"/>
  <c r="J268" i="281"/>
  <c r="J269" i="281"/>
  <c r="J270" i="281"/>
  <c r="J271" i="281"/>
  <c r="J272" i="281"/>
  <c r="J245" i="281"/>
  <c r="J246" i="281"/>
  <c r="J247" i="281"/>
  <c r="J248" i="281"/>
  <c r="J249" i="281"/>
  <c r="J250" i="281"/>
  <c r="J251" i="281"/>
  <c r="J252" i="281"/>
  <c r="J253" i="281"/>
  <c r="J254" i="281"/>
  <c r="E119" i="281"/>
  <c r="D116" i="281"/>
  <c r="D47" i="312" s="1"/>
  <c r="D117" i="281"/>
  <c r="D48" i="312" s="1"/>
  <c r="E214" i="309"/>
  <c r="E210" i="309"/>
  <c r="B206" i="309"/>
  <c r="D150" i="311"/>
  <c r="D149" i="311"/>
  <c r="D148" i="311"/>
  <c r="D147" i="311"/>
  <c r="E340" i="251"/>
  <c r="D340" i="251"/>
  <c r="B337" i="251"/>
  <c r="B336" i="251" s="1"/>
  <c r="E332" i="251"/>
  <c r="D332" i="251"/>
  <c r="B329" i="251"/>
  <c r="B328" i="251" s="1"/>
  <c r="E324" i="251"/>
  <c r="D324" i="251"/>
  <c r="B321" i="251"/>
  <c r="B320" i="251" s="1"/>
  <c r="E316" i="251"/>
  <c r="D316" i="251"/>
  <c r="B313" i="251"/>
  <c r="B312" i="251" s="1"/>
  <c r="C822" i="250"/>
  <c r="C802" i="250"/>
  <c r="C782" i="250"/>
  <c r="C757" i="250"/>
  <c r="B180" i="281"/>
  <c r="D836" i="250" s="1"/>
  <c r="B162" i="281"/>
  <c r="D817" i="250" s="1"/>
  <c r="B144" i="281"/>
  <c r="D797" i="250" s="1"/>
  <c r="B121" i="281"/>
  <c r="D777" i="250" s="1"/>
  <c r="B109" i="281"/>
  <c r="D824" i="250"/>
  <c r="D825" i="250"/>
  <c r="D826" i="250"/>
  <c r="D827" i="250"/>
  <c r="D828" i="250"/>
  <c r="D829" i="250"/>
  <c r="D830" i="250"/>
  <c r="D831" i="250"/>
  <c r="D832" i="250"/>
  <c r="D833" i="250"/>
  <c r="D804" i="250"/>
  <c r="D805" i="250"/>
  <c r="D806" i="250"/>
  <c r="D807" i="250"/>
  <c r="D808" i="250"/>
  <c r="D809" i="250"/>
  <c r="D810" i="250"/>
  <c r="D811" i="250"/>
  <c r="D812" i="250"/>
  <c r="D813" i="250"/>
  <c r="D784" i="250"/>
  <c r="D785" i="250"/>
  <c r="D786" i="250"/>
  <c r="D787" i="250"/>
  <c r="D788" i="250"/>
  <c r="D789" i="250"/>
  <c r="D790" i="250"/>
  <c r="D791" i="250"/>
  <c r="D792" i="250"/>
  <c r="D793" i="250"/>
  <c r="J184" i="281"/>
  <c r="J185" i="281"/>
  <c r="J186" i="281"/>
  <c r="J187" i="281"/>
  <c r="J188" i="281"/>
  <c r="J189" i="281"/>
  <c r="J190" i="281"/>
  <c r="J191" i="281"/>
  <c r="J192" i="281"/>
  <c r="J193" i="281"/>
  <c r="J166" i="281"/>
  <c r="J167" i="281"/>
  <c r="J168" i="281"/>
  <c r="J169" i="281"/>
  <c r="J170" i="281"/>
  <c r="J171" i="281"/>
  <c r="J172" i="281"/>
  <c r="J173" i="281"/>
  <c r="J174" i="281"/>
  <c r="J175" i="281"/>
  <c r="J148" i="281"/>
  <c r="J149" i="281"/>
  <c r="J150" i="281"/>
  <c r="J151" i="281"/>
  <c r="J152" i="281"/>
  <c r="J153" i="281"/>
  <c r="J154" i="281"/>
  <c r="J155" i="281"/>
  <c r="J156" i="281"/>
  <c r="J157" i="281"/>
  <c r="E114" i="279"/>
  <c r="D45" i="252"/>
  <c r="D46" i="252"/>
  <c r="E102" i="309"/>
  <c r="E98" i="309"/>
  <c r="B94" i="309"/>
  <c r="D27" i="311"/>
  <c r="D26" i="311"/>
  <c r="D25" i="311"/>
  <c r="D24" i="311"/>
  <c r="E69" i="251"/>
  <c r="D69" i="251"/>
  <c r="B66" i="251"/>
  <c r="E61" i="251"/>
  <c r="D61" i="251"/>
  <c r="B58" i="251"/>
  <c r="E53" i="251"/>
  <c r="D53" i="251"/>
  <c r="B50" i="251"/>
  <c r="E45" i="251"/>
  <c r="D45" i="251"/>
  <c r="B42" i="251"/>
  <c r="C150" i="250"/>
  <c r="C130" i="250"/>
  <c r="C110" i="250"/>
  <c r="C85" i="250"/>
  <c r="B175" i="279"/>
  <c r="D164" i="250" s="1"/>
  <c r="B157" i="279"/>
  <c r="D145" i="250" s="1"/>
  <c r="B139" i="279"/>
  <c r="D125" i="250" s="1"/>
  <c r="B116" i="279"/>
  <c r="D105" i="250" s="1"/>
  <c r="B104" i="279"/>
  <c r="B96" i="279"/>
  <c r="D152" i="250"/>
  <c r="D153" i="250"/>
  <c r="D154" i="250"/>
  <c r="D155" i="250"/>
  <c r="D156" i="250"/>
  <c r="D157" i="250"/>
  <c r="D158" i="250"/>
  <c r="D159" i="250"/>
  <c r="D160" i="250"/>
  <c r="D161" i="250"/>
  <c r="D132" i="250"/>
  <c r="D133" i="250"/>
  <c r="D134" i="250"/>
  <c r="D135" i="250"/>
  <c r="D136" i="250"/>
  <c r="D137" i="250"/>
  <c r="D138" i="250"/>
  <c r="D139" i="250"/>
  <c r="D140" i="250"/>
  <c r="D141" i="250"/>
  <c r="D112" i="250"/>
  <c r="D113" i="250"/>
  <c r="D114" i="250"/>
  <c r="D115" i="250"/>
  <c r="D116" i="250"/>
  <c r="D117" i="250"/>
  <c r="D118" i="250"/>
  <c r="D119" i="250"/>
  <c r="D120" i="250"/>
  <c r="D121" i="250"/>
  <c r="J179" i="279"/>
  <c r="J180" i="279"/>
  <c r="J181" i="279"/>
  <c r="J182" i="279"/>
  <c r="J183" i="279"/>
  <c r="J184" i="279"/>
  <c r="J185" i="279"/>
  <c r="J186" i="279"/>
  <c r="J187" i="279"/>
  <c r="J188" i="279"/>
  <c r="J161" i="279"/>
  <c r="J162" i="279"/>
  <c r="J163" i="279"/>
  <c r="J164" i="279"/>
  <c r="J165" i="279"/>
  <c r="J166" i="279"/>
  <c r="J167" i="279"/>
  <c r="J168" i="279"/>
  <c r="J169" i="279"/>
  <c r="J170" i="279"/>
  <c r="J143" i="279"/>
  <c r="J144" i="279"/>
  <c r="J145" i="279"/>
  <c r="J146" i="279"/>
  <c r="J147" i="279"/>
  <c r="J148" i="279"/>
  <c r="J149" i="279"/>
  <c r="J150" i="279"/>
  <c r="J151" i="279"/>
  <c r="J152" i="279"/>
  <c r="L53" i="251" l="1"/>
  <c r="N53" i="251"/>
  <c r="J53" i="251"/>
  <c r="K53" i="251"/>
  <c r="M53" i="251"/>
  <c r="F823" i="250"/>
  <c r="E758" i="250"/>
  <c r="F783" i="250"/>
  <c r="E823" i="250"/>
  <c r="F758" i="250"/>
  <c r="E803" i="250"/>
  <c r="E783" i="250"/>
  <c r="F803" i="250"/>
  <c r="F146" i="311"/>
  <c r="E146" i="311"/>
  <c r="H867" i="250"/>
  <c r="H842" i="250"/>
  <c r="H907" i="250"/>
  <c r="H887" i="250"/>
  <c r="G867" i="250"/>
  <c r="G842" i="250"/>
  <c r="G887" i="250"/>
  <c r="H221" i="281"/>
  <c r="G221" i="281"/>
  <c r="G280" i="281"/>
  <c r="H280" i="281"/>
  <c r="G161" i="311"/>
  <c r="G244" i="281"/>
  <c r="H161" i="311"/>
  <c r="G907" i="250"/>
  <c r="G262" i="281"/>
  <c r="H244" i="281"/>
  <c r="H262" i="281"/>
  <c r="H447" i="250"/>
  <c r="H422" i="250"/>
  <c r="H487" i="250"/>
  <c r="G447" i="250"/>
  <c r="H467" i="250"/>
  <c r="G422" i="250"/>
  <c r="G487" i="250"/>
  <c r="G467" i="250"/>
  <c r="H183" i="280"/>
  <c r="H165" i="280"/>
  <c r="G124" i="280"/>
  <c r="G165" i="280"/>
  <c r="H147" i="280"/>
  <c r="G183" i="280"/>
  <c r="H124" i="280"/>
  <c r="H85" i="311"/>
  <c r="G85" i="311"/>
  <c r="G147" i="280"/>
  <c r="F1559" i="250"/>
  <c r="E1539" i="250"/>
  <c r="F1579" i="250"/>
  <c r="F1514" i="250"/>
  <c r="E1514" i="250"/>
  <c r="F1539" i="250"/>
  <c r="E1579" i="250"/>
  <c r="E1559" i="250"/>
  <c r="F286" i="311"/>
  <c r="E286" i="311"/>
  <c r="H3051" i="250"/>
  <c r="G3051" i="250"/>
  <c r="H3116" i="250"/>
  <c r="H2942" i="250"/>
  <c r="G2942" i="250"/>
  <c r="G3116" i="250"/>
  <c r="H3156" i="250"/>
  <c r="G3156" i="250"/>
  <c r="G268" i="307"/>
  <c r="G286" i="307"/>
  <c r="H227" i="307"/>
  <c r="G250" i="307"/>
  <c r="H286" i="307"/>
  <c r="G490" i="311"/>
  <c r="H490" i="311"/>
  <c r="H250" i="307"/>
  <c r="G227" i="307"/>
  <c r="H268" i="307"/>
  <c r="E2315" i="250"/>
  <c r="E2335" i="250"/>
  <c r="F2315" i="250"/>
  <c r="F2270" i="250"/>
  <c r="F2335" i="250"/>
  <c r="E2270" i="250"/>
  <c r="F2295" i="250"/>
  <c r="E2295" i="250"/>
  <c r="F426" i="311"/>
  <c r="E426" i="311"/>
  <c r="H2631" i="250"/>
  <c r="H2606" i="250"/>
  <c r="G2671" i="250"/>
  <c r="G2606" i="250"/>
  <c r="H2671" i="250"/>
  <c r="H2651" i="250"/>
  <c r="G2651" i="250"/>
  <c r="G2631" i="250"/>
  <c r="H221" i="337"/>
  <c r="G262" i="337"/>
  <c r="H244" i="337"/>
  <c r="H183" i="337"/>
  <c r="G244" i="337"/>
  <c r="G551" i="311"/>
  <c r="G221" i="337"/>
  <c r="H262" i="337"/>
  <c r="H551" i="311"/>
  <c r="G183" i="337"/>
  <c r="H2547" i="250"/>
  <c r="G2587" i="250"/>
  <c r="G2522" i="250"/>
  <c r="H2522" i="250"/>
  <c r="G2547" i="250"/>
  <c r="H2587" i="250"/>
  <c r="H2567" i="250"/>
  <c r="G2567" i="250"/>
  <c r="H280" i="337"/>
  <c r="G147" i="337"/>
  <c r="G280" i="337"/>
  <c r="H165" i="337"/>
  <c r="G165" i="337"/>
  <c r="H124" i="337"/>
  <c r="G124" i="337"/>
  <c r="G536" i="311"/>
  <c r="H536" i="311"/>
  <c r="H147" i="337"/>
  <c r="G1119" i="250"/>
  <c r="G1094" i="250"/>
  <c r="G1159" i="250"/>
  <c r="H1119" i="250"/>
  <c r="G1139" i="250"/>
  <c r="H1094" i="250"/>
  <c r="H1139" i="250"/>
  <c r="H1159" i="250"/>
  <c r="H577" i="281"/>
  <c r="G577" i="281"/>
  <c r="H541" i="281"/>
  <c r="G541" i="281"/>
  <c r="H559" i="281"/>
  <c r="G559" i="281"/>
  <c r="H518" i="281"/>
  <c r="G518" i="281"/>
  <c r="G209" i="311"/>
  <c r="H209" i="311"/>
  <c r="F151" i="250"/>
  <c r="E86" i="250"/>
  <c r="F131" i="250"/>
  <c r="E151" i="250"/>
  <c r="E131" i="250"/>
  <c r="F111" i="250"/>
  <c r="F86" i="250"/>
  <c r="E111" i="250"/>
  <c r="F23" i="311"/>
  <c r="E23" i="311"/>
  <c r="H783" i="250"/>
  <c r="H758" i="250"/>
  <c r="H823" i="250"/>
  <c r="G783" i="250"/>
  <c r="H803" i="250"/>
  <c r="G758" i="250"/>
  <c r="G823" i="250"/>
  <c r="G803" i="250"/>
  <c r="H183" i="281"/>
  <c r="H147" i="281"/>
  <c r="H165" i="281"/>
  <c r="G165" i="281"/>
  <c r="G183" i="281"/>
  <c r="H124" i="281"/>
  <c r="G124" i="281"/>
  <c r="G147" i="281"/>
  <c r="G146" i="311"/>
  <c r="H146" i="311"/>
  <c r="H1539" i="250"/>
  <c r="G1579" i="250"/>
  <c r="G1514" i="250"/>
  <c r="H1514" i="250"/>
  <c r="H1579" i="250"/>
  <c r="H1559" i="250"/>
  <c r="G1539" i="250"/>
  <c r="G1559" i="250"/>
  <c r="H460" i="282"/>
  <c r="G460" i="282"/>
  <c r="H478" i="282"/>
  <c r="G478" i="282"/>
  <c r="H419" i="282"/>
  <c r="G419" i="282"/>
  <c r="G286" i="311"/>
  <c r="H286" i="311"/>
  <c r="H442" i="282"/>
  <c r="G442" i="282"/>
  <c r="E2987" i="250"/>
  <c r="E3007" i="250"/>
  <c r="F2987" i="250"/>
  <c r="E2967" i="250"/>
  <c r="F2967" i="250"/>
  <c r="F3007" i="250"/>
  <c r="F3026" i="250"/>
  <c r="E3026" i="250"/>
  <c r="F474" i="311"/>
  <c r="E474" i="311"/>
  <c r="H2295" i="250"/>
  <c r="H2270" i="250"/>
  <c r="G2335" i="250"/>
  <c r="G2270" i="250"/>
  <c r="H2335" i="250"/>
  <c r="H2315" i="250"/>
  <c r="G2315" i="250"/>
  <c r="G2295" i="250"/>
  <c r="G575" i="246"/>
  <c r="H557" i="246"/>
  <c r="G539" i="246"/>
  <c r="H516" i="246"/>
  <c r="H575" i="246"/>
  <c r="G557" i="246"/>
  <c r="G426" i="311"/>
  <c r="H539" i="246"/>
  <c r="H426" i="311"/>
  <c r="G516" i="246"/>
  <c r="F2819" i="250"/>
  <c r="E2839" i="250"/>
  <c r="E2799" i="250"/>
  <c r="F2839" i="250"/>
  <c r="F2774" i="250"/>
  <c r="E2819" i="250"/>
  <c r="E2774" i="250"/>
  <c r="F2799" i="250"/>
  <c r="F583" i="311"/>
  <c r="E583" i="311"/>
  <c r="H131" i="250"/>
  <c r="H111" i="250"/>
  <c r="G86" i="250"/>
  <c r="H86" i="250"/>
  <c r="G111" i="250"/>
  <c r="G151" i="250"/>
  <c r="H151" i="250"/>
  <c r="G131" i="250"/>
  <c r="H178" i="279"/>
  <c r="G178" i="279"/>
  <c r="H160" i="279"/>
  <c r="G160" i="279"/>
  <c r="H142" i="279"/>
  <c r="G142" i="279"/>
  <c r="H119" i="279"/>
  <c r="G119" i="279"/>
  <c r="G23" i="311"/>
  <c r="H23" i="311"/>
  <c r="B168" i="309"/>
  <c r="E571" i="250"/>
  <c r="E531" i="250"/>
  <c r="F506" i="250"/>
  <c r="F571" i="250"/>
  <c r="E551" i="250"/>
  <c r="F551" i="250"/>
  <c r="F531" i="250"/>
  <c r="E506" i="250"/>
  <c r="F100" i="311"/>
  <c r="E100" i="311"/>
  <c r="F1327" i="250"/>
  <c r="E1307" i="250"/>
  <c r="F1307" i="250"/>
  <c r="E1262" i="250"/>
  <c r="F1287" i="250"/>
  <c r="F1262" i="250"/>
  <c r="E1287" i="250"/>
  <c r="E1327" i="250"/>
  <c r="F239" i="311"/>
  <c r="E239" i="311"/>
  <c r="F1411" i="250"/>
  <c r="F1391" i="250"/>
  <c r="F1371" i="250"/>
  <c r="E1391" i="250"/>
  <c r="F1346" i="250"/>
  <c r="E1371" i="250"/>
  <c r="E1346" i="250"/>
  <c r="E1411" i="250"/>
  <c r="F254" i="311"/>
  <c r="E254" i="311"/>
  <c r="E1643" i="250"/>
  <c r="E1663" i="250"/>
  <c r="F1643" i="250"/>
  <c r="F1598" i="250"/>
  <c r="E1623" i="250"/>
  <c r="F1623" i="250"/>
  <c r="F1663" i="250"/>
  <c r="E1598" i="250"/>
  <c r="F302" i="311"/>
  <c r="E302" i="311"/>
  <c r="H2967" i="250"/>
  <c r="H3026" i="250"/>
  <c r="G3007" i="250"/>
  <c r="H3007" i="250"/>
  <c r="G3026" i="250"/>
  <c r="H2987" i="250"/>
  <c r="G2967" i="250"/>
  <c r="G2987" i="250"/>
  <c r="H187" i="307"/>
  <c r="H151" i="307"/>
  <c r="G128" i="307"/>
  <c r="H169" i="307"/>
  <c r="G187" i="307"/>
  <c r="H128" i="307"/>
  <c r="G169" i="307"/>
  <c r="G474" i="311"/>
  <c r="G151" i="307"/>
  <c r="H474" i="311"/>
  <c r="E1979" i="250"/>
  <c r="F1934" i="250"/>
  <c r="F1979" i="250"/>
  <c r="E1934" i="250"/>
  <c r="E1959" i="250"/>
  <c r="F1959" i="250"/>
  <c r="F1999" i="250"/>
  <c r="E1999" i="250"/>
  <c r="F364" i="311"/>
  <c r="E364" i="311"/>
  <c r="E2043" i="250"/>
  <c r="F2083" i="250"/>
  <c r="E2063" i="250"/>
  <c r="F2063" i="250"/>
  <c r="E2018" i="250"/>
  <c r="E2083" i="250"/>
  <c r="F2043" i="250"/>
  <c r="F2018" i="250"/>
  <c r="F379" i="311"/>
  <c r="E379" i="311"/>
  <c r="E2379" i="250"/>
  <c r="F2419" i="250"/>
  <c r="E2399" i="250"/>
  <c r="F2379" i="250"/>
  <c r="F2399" i="250"/>
  <c r="E2354" i="250"/>
  <c r="E2419" i="250"/>
  <c r="F2354" i="250"/>
  <c r="F442" i="311"/>
  <c r="E442" i="311"/>
  <c r="E53" i="336"/>
  <c r="H2799" i="250"/>
  <c r="H2774" i="250"/>
  <c r="H2839" i="250"/>
  <c r="G2774" i="250"/>
  <c r="G2819" i="250"/>
  <c r="H2819" i="250"/>
  <c r="G2839" i="250"/>
  <c r="G2799" i="250"/>
  <c r="G583" i="311"/>
  <c r="H478" i="337"/>
  <c r="H419" i="337"/>
  <c r="G460" i="337"/>
  <c r="H442" i="337"/>
  <c r="G478" i="337"/>
  <c r="G419" i="337"/>
  <c r="G442" i="337"/>
  <c r="H460" i="337"/>
  <c r="F1075" i="250"/>
  <c r="F1055" i="250"/>
  <c r="F1035" i="250"/>
  <c r="E1055" i="250"/>
  <c r="E1010" i="250"/>
  <c r="F1010" i="250"/>
  <c r="E1035" i="250"/>
  <c r="E1075" i="250"/>
  <c r="F193" i="311"/>
  <c r="E193" i="311"/>
  <c r="E907" i="250"/>
  <c r="E867" i="250"/>
  <c r="F842" i="250"/>
  <c r="E842" i="250"/>
  <c r="F907" i="250"/>
  <c r="F887" i="250"/>
  <c r="F867" i="250"/>
  <c r="E887" i="250"/>
  <c r="F161" i="311"/>
  <c r="E161" i="311"/>
  <c r="F487" i="250"/>
  <c r="E422" i="250"/>
  <c r="F447" i="250"/>
  <c r="E487" i="250"/>
  <c r="E447" i="250"/>
  <c r="F467" i="250"/>
  <c r="F422" i="250"/>
  <c r="F85" i="311"/>
  <c r="E467" i="250"/>
  <c r="E85" i="311"/>
  <c r="H531" i="250"/>
  <c r="H506" i="250"/>
  <c r="H571" i="250"/>
  <c r="H551" i="250"/>
  <c r="G531" i="250"/>
  <c r="G506" i="250"/>
  <c r="G551" i="250"/>
  <c r="H244" i="280"/>
  <c r="G221" i="280"/>
  <c r="G280" i="280"/>
  <c r="G571" i="250"/>
  <c r="G244" i="280"/>
  <c r="H262" i="280"/>
  <c r="H221" i="280"/>
  <c r="G100" i="311"/>
  <c r="G262" i="280"/>
  <c r="H100" i="311"/>
  <c r="H280" i="280"/>
  <c r="G1287" i="250"/>
  <c r="G1262" i="250"/>
  <c r="G1327" i="250"/>
  <c r="G1307" i="250"/>
  <c r="H1287" i="250"/>
  <c r="H1307" i="250"/>
  <c r="H1327" i="250"/>
  <c r="H1262" i="250"/>
  <c r="H183" i="282"/>
  <c r="H124" i="282"/>
  <c r="G124" i="282"/>
  <c r="H147" i="282"/>
  <c r="G183" i="282"/>
  <c r="G147" i="282"/>
  <c r="G239" i="311"/>
  <c r="H239" i="311"/>
  <c r="H165" i="282"/>
  <c r="G165" i="282"/>
  <c r="G1371" i="250"/>
  <c r="G1346" i="250"/>
  <c r="H1411" i="250"/>
  <c r="G1411" i="250"/>
  <c r="G1391" i="250"/>
  <c r="H1371" i="250"/>
  <c r="H1346" i="250"/>
  <c r="H1391" i="250"/>
  <c r="G280" i="282"/>
  <c r="G244" i="282"/>
  <c r="H262" i="282"/>
  <c r="G262" i="282"/>
  <c r="H280" i="282"/>
  <c r="H221" i="282"/>
  <c r="G221" i="282"/>
  <c r="G254" i="311"/>
  <c r="H244" i="282"/>
  <c r="H254" i="311"/>
  <c r="H1623" i="250"/>
  <c r="H1598" i="250"/>
  <c r="G1663" i="250"/>
  <c r="G1598" i="250"/>
  <c r="H1663" i="250"/>
  <c r="H1643" i="250"/>
  <c r="G1643" i="250"/>
  <c r="G1623" i="250"/>
  <c r="H577" i="282"/>
  <c r="G577" i="282"/>
  <c r="H518" i="282"/>
  <c r="G518" i="282"/>
  <c r="H541" i="282"/>
  <c r="G541" i="282"/>
  <c r="G302" i="311"/>
  <c r="H559" i="282"/>
  <c r="G559" i="282"/>
  <c r="H302" i="311"/>
  <c r="F3156" i="250"/>
  <c r="E3051" i="250"/>
  <c r="E3156" i="250"/>
  <c r="F2942" i="250"/>
  <c r="F3051" i="250"/>
  <c r="F3116" i="250"/>
  <c r="E3116" i="250"/>
  <c r="F490" i="311"/>
  <c r="E2942" i="250"/>
  <c r="E490" i="311"/>
  <c r="H1959" i="250"/>
  <c r="H1934" i="250"/>
  <c r="G1999" i="250"/>
  <c r="G1934" i="250"/>
  <c r="H1999" i="250"/>
  <c r="H1979" i="250"/>
  <c r="G1979" i="250"/>
  <c r="G1959" i="250"/>
  <c r="G124" i="246"/>
  <c r="H165" i="246"/>
  <c r="H124" i="246"/>
  <c r="H183" i="246"/>
  <c r="G147" i="246"/>
  <c r="G165" i="246"/>
  <c r="G364" i="311"/>
  <c r="H364" i="311"/>
  <c r="H147" i="246"/>
  <c r="G183" i="246"/>
  <c r="H2043" i="250"/>
  <c r="H2018" i="250"/>
  <c r="H2083" i="250"/>
  <c r="G2083" i="250"/>
  <c r="G2018" i="250"/>
  <c r="G2043" i="250"/>
  <c r="G2063" i="250"/>
  <c r="H2063" i="250"/>
  <c r="H280" i="246"/>
  <c r="G280" i="246"/>
  <c r="G262" i="246"/>
  <c r="H244" i="246"/>
  <c r="G244" i="246"/>
  <c r="G221" i="246"/>
  <c r="H262" i="246"/>
  <c r="G379" i="311"/>
  <c r="H221" i="246"/>
  <c r="H379" i="311"/>
  <c r="H2379" i="250"/>
  <c r="G2379" i="250"/>
  <c r="H2354" i="250"/>
  <c r="H2419" i="250"/>
  <c r="G2419" i="250"/>
  <c r="G2354" i="250"/>
  <c r="H2399" i="250"/>
  <c r="H674" i="246"/>
  <c r="G656" i="246"/>
  <c r="H638" i="246"/>
  <c r="G615" i="246"/>
  <c r="G674" i="246"/>
  <c r="H656" i="246"/>
  <c r="G442" i="311"/>
  <c r="H442" i="311"/>
  <c r="G2399" i="250"/>
  <c r="G638" i="246"/>
  <c r="H615" i="246"/>
  <c r="E2651" i="250"/>
  <c r="F2606" i="250"/>
  <c r="F2651" i="250"/>
  <c r="E2631" i="250"/>
  <c r="E2671" i="250"/>
  <c r="F2671" i="250"/>
  <c r="E2606" i="250"/>
  <c r="F2631" i="250"/>
  <c r="F551" i="311"/>
  <c r="E551" i="311"/>
  <c r="F2567" i="250"/>
  <c r="E2547" i="250"/>
  <c r="F2587" i="250"/>
  <c r="F2522" i="250"/>
  <c r="E2567" i="250"/>
  <c r="F2547" i="250"/>
  <c r="E2587" i="250"/>
  <c r="E2522" i="250"/>
  <c r="F536" i="311"/>
  <c r="E536" i="311"/>
  <c r="G1035" i="250"/>
  <c r="G1010" i="250"/>
  <c r="G1075" i="250"/>
  <c r="H1075" i="250"/>
  <c r="H1035" i="250"/>
  <c r="H1055" i="250"/>
  <c r="G1055" i="250"/>
  <c r="H1010" i="250"/>
  <c r="H419" i="281"/>
  <c r="G419" i="281"/>
  <c r="G478" i="281"/>
  <c r="H478" i="281"/>
  <c r="G442" i="281"/>
  <c r="G193" i="311"/>
  <c r="G460" i="281"/>
  <c r="H442" i="281"/>
  <c r="H460" i="281"/>
  <c r="H193" i="311"/>
  <c r="F1159" i="250"/>
  <c r="E1139" i="250"/>
  <c r="F1139" i="250"/>
  <c r="E1094" i="250"/>
  <c r="F1119" i="250"/>
  <c r="F1094" i="250"/>
  <c r="E1119" i="250"/>
  <c r="F209" i="311"/>
  <c r="E1159" i="250"/>
  <c r="E209" i="311"/>
  <c r="B61" i="9"/>
  <c r="B110" i="9"/>
  <c r="B115" i="9"/>
  <c r="B79" i="9"/>
  <c r="B80" i="9"/>
  <c r="B132" i="9"/>
  <c r="B137" i="9"/>
  <c r="B147" i="9"/>
  <c r="B149" i="9"/>
  <c r="B165" i="9"/>
  <c r="B169" i="9"/>
  <c r="B183" i="9"/>
  <c r="B185" i="9"/>
  <c r="B197" i="9"/>
  <c r="B192" i="9"/>
  <c r="B206" i="9"/>
  <c r="B121" i="9"/>
  <c r="B124" i="9"/>
  <c r="B62" i="9"/>
  <c r="B111" i="9"/>
  <c r="B112" i="9"/>
  <c r="B76" i="9"/>
  <c r="B81" i="9"/>
  <c r="B133" i="9"/>
  <c r="B138" i="9"/>
  <c r="B144" i="9"/>
  <c r="B150" i="9"/>
  <c r="B166" i="9"/>
  <c r="B170" i="9"/>
  <c r="B180" i="9"/>
  <c r="B186" i="9"/>
  <c r="B198" i="9"/>
  <c r="B193" i="9"/>
  <c r="B207" i="9"/>
  <c r="B122" i="9"/>
  <c r="B125" i="9"/>
  <c r="B63" i="9"/>
  <c r="B108" i="9"/>
  <c r="B113" i="9"/>
  <c r="B77" i="9"/>
  <c r="B82" i="9"/>
  <c r="B134" i="9"/>
  <c r="B139" i="9"/>
  <c r="B145" i="9"/>
  <c r="B151" i="9"/>
  <c r="B167" i="9"/>
  <c r="B171" i="9"/>
  <c r="B181" i="9"/>
  <c r="B187" i="9"/>
  <c r="B195" i="9"/>
  <c r="B194" i="9"/>
  <c r="B204" i="9"/>
  <c r="B123" i="9"/>
  <c r="B126" i="9"/>
  <c r="B60" i="9"/>
  <c r="B109" i="9"/>
  <c r="B114" i="9"/>
  <c r="B78" i="9"/>
  <c r="B83" i="9"/>
  <c r="B135" i="9"/>
  <c r="B136" i="9"/>
  <c r="B146" i="9"/>
  <c r="B148" i="9"/>
  <c r="B164" i="9"/>
  <c r="B168" i="9"/>
  <c r="B182" i="9"/>
  <c r="B184" i="9"/>
  <c r="B196" i="9"/>
  <c r="B199" i="9"/>
  <c r="B205" i="9"/>
  <c r="B120" i="9"/>
  <c r="B127" i="9"/>
  <c r="E166" i="336"/>
  <c r="E88" i="336"/>
  <c r="E255" i="247"/>
  <c r="E212" i="247"/>
  <c r="E93" i="247"/>
  <c r="E56" i="247"/>
  <c r="E218" i="286"/>
  <c r="E175" i="286"/>
  <c r="E93" i="286"/>
  <c r="E56" i="286"/>
  <c r="E93" i="284"/>
  <c r="E56" i="284"/>
  <c r="E56" i="283"/>
  <c r="K812" i="251"/>
  <c r="K464" i="309" s="1"/>
  <c r="N804" i="251"/>
  <c r="N463" i="309" s="1"/>
  <c r="J812" i="251"/>
  <c r="J464" i="309" s="1"/>
  <c r="L812" i="251"/>
  <c r="L464" i="309" s="1"/>
  <c r="M812" i="251"/>
  <c r="M464" i="309" s="1"/>
  <c r="N812" i="251"/>
  <c r="N464" i="309" s="1"/>
  <c r="J804" i="251"/>
  <c r="J463" i="309" s="1"/>
  <c r="M804" i="251"/>
  <c r="M463" i="309" s="1"/>
  <c r="K804" i="251"/>
  <c r="K463" i="309" s="1"/>
  <c r="L804" i="251"/>
  <c r="L463" i="309" s="1"/>
  <c r="J1181" i="251"/>
  <c r="J561" i="309" s="1"/>
  <c r="K1181" i="251"/>
  <c r="K561" i="309" s="1"/>
  <c r="L1181" i="251"/>
  <c r="L561" i="309" s="1"/>
  <c r="K1189" i="251"/>
  <c r="K562" i="309" s="1"/>
  <c r="J1189" i="251"/>
  <c r="J562" i="309" s="1"/>
  <c r="M1181" i="251"/>
  <c r="M561" i="309" s="1"/>
  <c r="N1181" i="251"/>
  <c r="N561" i="309" s="1"/>
  <c r="L1189" i="251"/>
  <c r="L562" i="309" s="1"/>
  <c r="M1189" i="251"/>
  <c r="M562" i="309" s="1"/>
  <c r="N1189" i="251"/>
  <c r="N562" i="309" s="1"/>
  <c r="J454" i="251"/>
  <c r="K454" i="251"/>
  <c r="L454" i="251"/>
  <c r="K464" i="251"/>
  <c r="J464" i="251"/>
  <c r="M454" i="251"/>
  <c r="N454" i="251"/>
  <c r="N464" i="251"/>
  <c r="L464" i="251"/>
  <c r="M464" i="251"/>
  <c r="M45" i="251"/>
  <c r="M99" i="309" s="1"/>
  <c r="N45" i="251"/>
  <c r="N99" i="309" s="1"/>
  <c r="L45" i="251"/>
  <c r="L99" i="309" s="1"/>
  <c r="J45" i="251"/>
  <c r="J99" i="309" s="1"/>
  <c r="K45" i="251"/>
  <c r="K99" i="309" s="1"/>
  <c r="M324" i="251"/>
  <c r="M212" i="309" s="1"/>
  <c r="N324" i="251"/>
  <c r="N212" i="309" s="1"/>
  <c r="J316" i="251"/>
  <c r="J211" i="309" s="1"/>
  <c r="K316" i="251"/>
  <c r="K211" i="309" s="1"/>
  <c r="L316" i="251"/>
  <c r="L211" i="309" s="1"/>
  <c r="L324" i="251"/>
  <c r="L212" i="309" s="1"/>
  <c r="J324" i="251"/>
  <c r="J212" i="309" s="1"/>
  <c r="M316" i="251"/>
  <c r="M211" i="309" s="1"/>
  <c r="K324" i="251"/>
  <c r="K212" i="309" s="1"/>
  <c r="N316" i="251"/>
  <c r="N211" i="309" s="1"/>
  <c r="J348" i="251"/>
  <c r="J225" i="309" s="1"/>
  <c r="N348" i="251"/>
  <c r="N225" i="309" s="1"/>
  <c r="K348" i="251"/>
  <c r="K225" i="309" s="1"/>
  <c r="L348" i="251"/>
  <c r="L225" i="309" s="1"/>
  <c r="J356" i="251"/>
  <c r="J226" i="309" s="1"/>
  <c r="M348" i="251"/>
  <c r="M225" i="309" s="1"/>
  <c r="K356" i="251"/>
  <c r="K226" i="309" s="1"/>
  <c r="L356" i="251"/>
  <c r="L226" i="309" s="1"/>
  <c r="M356" i="251"/>
  <c r="M226" i="309" s="1"/>
  <c r="N356" i="251"/>
  <c r="N226" i="309" s="1"/>
  <c r="K671" i="251"/>
  <c r="N661" i="251"/>
  <c r="L671" i="251"/>
  <c r="M661" i="251"/>
  <c r="M671" i="251"/>
  <c r="J661" i="251"/>
  <c r="N671" i="251"/>
  <c r="K661" i="251"/>
  <c r="J671" i="251"/>
  <c r="L661" i="251"/>
  <c r="M844" i="251"/>
  <c r="M478" i="309" s="1"/>
  <c r="N844" i="251"/>
  <c r="N478" i="309" s="1"/>
  <c r="J836" i="251"/>
  <c r="J477" i="309" s="1"/>
  <c r="L836" i="251"/>
  <c r="L477" i="309" s="1"/>
  <c r="K836" i="251"/>
  <c r="K477" i="309" s="1"/>
  <c r="L844" i="251"/>
  <c r="L478" i="309" s="1"/>
  <c r="J844" i="251"/>
  <c r="J478" i="309" s="1"/>
  <c r="M836" i="251"/>
  <c r="M477" i="309" s="1"/>
  <c r="K844" i="251"/>
  <c r="K478" i="309" s="1"/>
  <c r="N836" i="251"/>
  <c r="N477" i="309" s="1"/>
  <c r="J215" i="251"/>
  <c r="J169" i="309" s="1"/>
  <c r="N215" i="251"/>
  <c r="N169" i="309" s="1"/>
  <c r="K215" i="251"/>
  <c r="K169" i="309" s="1"/>
  <c r="L215" i="251"/>
  <c r="L169" i="309" s="1"/>
  <c r="J223" i="251"/>
  <c r="J170" i="309" s="1"/>
  <c r="M215" i="251"/>
  <c r="M169" i="309" s="1"/>
  <c r="K223" i="251"/>
  <c r="K170" i="309" s="1"/>
  <c r="N223" i="251"/>
  <c r="N170" i="309" s="1"/>
  <c r="L223" i="251"/>
  <c r="L170" i="309" s="1"/>
  <c r="M223" i="251"/>
  <c r="M170" i="309" s="1"/>
  <c r="L624" i="251"/>
  <c r="J634" i="251"/>
  <c r="M624" i="251"/>
  <c r="K634" i="251"/>
  <c r="N624" i="251"/>
  <c r="L634" i="251"/>
  <c r="M634" i="251"/>
  <c r="N634" i="251"/>
  <c r="J624" i="251"/>
  <c r="K624" i="251"/>
  <c r="K427" i="251"/>
  <c r="N417" i="251"/>
  <c r="M417" i="251"/>
  <c r="L427" i="251"/>
  <c r="M427" i="251"/>
  <c r="J417" i="251"/>
  <c r="N427" i="251"/>
  <c r="J427" i="251"/>
  <c r="K417" i="251"/>
  <c r="L417" i="251"/>
  <c r="K531" i="251"/>
  <c r="K296" i="309" s="1"/>
  <c r="N523" i="251"/>
  <c r="N295" i="309" s="1"/>
  <c r="J531" i="251"/>
  <c r="J296" i="309" s="1"/>
  <c r="L531" i="251"/>
  <c r="L296" i="309" s="1"/>
  <c r="M531" i="251"/>
  <c r="M296" i="309" s="1"/>
  <c r="N531" i="251"/>
  <c r="N296" i="309" s="1"/>
  <c r="J523" i="251"/>
  <c r="J295" i="309" s="1"/>
  <c r="K523" i="251"/>
  <c r="K295" i="309" s="1"/>
  <c r="M523" i="251"/>
  <c r="M295" i="309" s="1"/>
  <c r="L523" i="251"/>
  <c r="L295" i="309" s="1"/>
  <c r="M563" i="251"/>
  <c r="M310" i="309" s="1"/>
  <c r="N563" i="251"/>
  <c r="N310" i="309" s="1"/>
  <c r="J555" i="251"/>
  <c r="J309" i="309" s="1"/>
  <c r="L555" i="251"/>
  <c r="L309" i="309" s="1"/>
  <c r="K555" i="251"/>
  <c r="K309" i="309" s="1"/>
  <c r="L563" i="251"/>
  <c r="L310" i="309" s="1"/>
  <c r="J563" i="251"/>
  <c r="J310" i="309" s="1"/>
  <c r="M555" i="251"/>
  <c r="M309" i="309" s="1"/>
  <c r="K563" i="251"/>
  <c r="K310" i="309" s="1"/>
  <c r="N555" i="251"/>
  <c r="N309" i="309" s="1"/>
  <c r="M982" i="251"/>
  <c r="N982" i="251"/>
  <c r="J972" i="251"/>
  <c r="L972" i="251"/>
  <c r="K972" i="251"/>
  <c r="J982" i="251"/>
  <c r="M972" i="251"/>
  <c r="L982" i="251"/>
  <c r="K982" i="251"/>
  <c r="N972" i="251"/>
  <c r="M1292" i="251"/>
  <c r="L1292" i="251"/>
  <c r="N1292" i="251"/>
  <c r="J1282" i="251"/>
  <c r="K1282" i="251"/>
  <c r="L1282" i="251"/>
  <c r="J1292" i="251"/>
  <c r="M1282" i="251"/>
  <c r="K1292" i="251"/>
  <c r="N1282" i="251"/>
  <c r="K945" i="251"/>
  <c r="N936" i="251"/>
  <c r="L945" i="251"/>
  <c r="M945" i="251"/>
  <c r="N945" i="251"/>
  <c r="J936" i="251"/>
  <c r="K936" i="251"/>
  <c r="J945" i="251"/>
  <c r="L936" i="251"/>
  <c r="M936" i="251"/>
  <c r="L1213" i="251"/>
  <c r="L575" i="309" s="1"/>
  <c r="J1221" i="251"/>
  <c r="J576" i="309" s="1"/>
  <c r="M1213" i="251"/>
  <c r="M575" i="309" s="1"/>
  <c r="K1221" i="251"/>
  <c r="K576" i="309" s="1"/>
  <c r="N1213" i="251"/>
  <c r="N575" i="309" s="1"/>
  <c r="K1213" i="251"/>
  <c r="K575" i="309" s="1"/>
  <c r="L1221" i="251"/>
  <c r="L576" i="309" s="1"/>
  <c r="M1221" i="251"/>
  <c r="M576" i="309" s="1"/>
  <c r="N1221" i="251"/>
  <c r="N576" i="309" s="1"/>
  <c r="J1213" i="251"/>
  <c r="J575" i="309" s="1"/>
  <c r="B632" i="251"/>
  <c r="C338" i="309" s="1"/>
  <c r="H372" i="329" s="1"/>
  <c r="B622" i="251"/>
  <c r="C337" i="309" s="1"/>
  <c r="H357" i="329" s="1"/>
  <c r="F1606" i="250"/>
  <c r="H1606" i="250" s="1"/>
  <c r="E1599" i="250"/>
  <c r="E1607" i="250"/>
  <c r="G1607" i="250" s="1"/>
  <c r="F1631" i="250"/>
  <c r="H1631" i="250" s="1"/>
  <c r="E1629" i="250"/>
  <c r="G1629" i="250" s="1"/>
  <c r="F1648" i="250"/>
  <c r="H1648" i="250" s="1"/>
  <c r="F1599" i="250"/>
  <c r="F1607" i="250"/>
  <c r="H1607" i="250" s="1"/>
  <c r="E1600" i="250"/>
  <c r="G1600" i="250" s="1"/>
  <c r="E1608" i="250"/>
  <c r="G1608" i="250" s="1"/>
  <c r="F1624" i="250"/>
  <c r="F1632" i="250"/>
  <c r="H1632" i="250" s="1"/>
  <c r="E1630" i="250"/>
  <c r="G1630" i="250" s="1"/>
  <c r="F1600" i="250"/>
  <c r="H1600" i="250" s="1"/>
  <c r="F1608" i="250"/>
  <c r="H1608" i="250" s="1"/>
  <c r="E1601" i="250"/>
  <c r="G1601" i="250" s="1"/>
  <c r="E1609" i="250"/>
  <c r="G1609" i="250" s="1"/>
  <c r="F1625" i="250"/>
  <c r="H1625" i="250" s="1"/>
  <c r="F1633" i="250"/>
  <c r="H1633" i="250" s="1"/>
  <c r="E1631" i="250"/>
  <c r="G1631" i="250" s="1"/>
  <c r="F1650" i="250"/>
  <c r="H1650" i="250" s="1"/>
  <c r="F1601" i="250"/>
  <c r="H1601" i="250" s="1"/>
  <c r="F1609" i="250"/>
  <c r="H1609" i="250" s="1"/>
  <c r="E1602" i="250"/>
  <c r="G1602" i="250" s="1"/>
  <c r="E1610" i="250"/>
  <c r="G1610" i="250" s="1"/>
  <c r="F1626" i="250"/>
  <c r="H1626" i="250" s="1"/>
  <c r="E1624" i="250"/>
  <c r="E1632" i="250"/>
  <c r="G1632" i="250" s="1"/>
  <c r="F1602" i="250"/>
  <c r="H1602" i="250" s="1"/>
  <c r="F1610" i="250"/>
  <c r="H1610" i="250" s="1"/>
  <c r="E1603" i="250"/>
  <c r="G1603" i="250" s="1"/>
  <c r="E1611" i="250"/>
  <c r="G1611" i="250" s="1"/>
  <c r="F1627" i="250"/>
  <c r="H1627" i="250" s="1"/>
  <c r="E1625" i="250"/>
  <c r="G1625" i="250" s="1"/>
  <c r="E1633" i="250"/>
  <c r="G1633" i="250" s="1"/>
  <c r="F1603" i="250"/>
  <c r="H1603" i="250" s="1"/>
  <c r="F1611" i="250"/>
  <c r="H1611" i="250" s="1"/>
  <c r="E1604" i="250"/>
  <c r="G1604" i="250" s="1"/>
  <c r="E1612" i="250"/>
  <c r="G1612" i="250" s="1"/>
  <c r="F1628" i="250"/>
  <c r="H1628" i="250" s="1"/>
  <c r="E1626" i="250"/>
  <c r="G1626" i="250" s="1"/>
  <c r="F1645" i="250"/>
  <c r="H1645" i="250" s="1"/>
  <c r="F1653" i="250"/>
  <c r="H1653" i="250" s="1"/>
  <c r="F1604" i="250"/>
  <c r="H1604" i="250" s="1"/>
  <c r="F1612" i="250"/>
  <c r="H1612" i="250" s="1"/>
  <c r="E1605" i="250"/>
  <c r="G1605" i="250" s="1"/>
  <c r="E1613" i="250"/>
  <c r="G1613" i="250" s="1"/>
  <c r="F1629" i="250"/>
  <c r="H1629" i="250" s="1"/>
  <c r="E1627" i="250"/>
  <c r="G1627" i="250" s="1"/>
  <c r="F1646" i="250"/>
  <c r="H1646" i="250" s="1"/>
  <c r="F1605" i="250"/>
  <c r="H1605" i="250" s="1"/>
  <c r="F1613" i="250"/>
  <c r="H1613" i="250" s="1"/>
  <c r="E1606" i="250"/>
  <c r="G1606" i="250" s="1"/>
  <c r="F1630" i="250"/>
  <c r="H1630" i="250" s="1"/>
  <c r="E1628" i="250"/>
  <c r="G1628" i="250" s="1"/>
  <c r="F1647" i="250"/>
  <c r="H1647" i="250" s="1"/>
  <c r="E1645" i="250"/>
  <c r="G1645" i="250" s="1"/>
  <c r="F1652" i="250"/>
  <c r="H1652" i="250" s="1"/>
  <c r="E1652" i="250"/>
  <c r="G1652" i="250" s="1"/>
  <c r="F1671" i="250"/>
  <c r="H1671" i="250" s="1"/>
  <c r="E1669" i="250"/>
  <c r="G1669" i="250" s="1"/>
  <c r="E1644" i="250"/>
  <c r="E1653" i="250"/>
  <c r="G1653" i="250" s="1"/>
  <c r="F1664" i="250"/>
  <c r="F1672" i="250"/>
  <c r="H1672" i="250" s="1"/>
  <c r="E1670" i="250"/>
  <c r="G1670" i="250" s="1"/>
  <c r="E1646" i="250"/>
  <c r="G1646" i="250" s="1"/>
  <c r="F1665" i="250"/>
  <c r="H1665" i="250" s="1"/>
  <c r="F1673" i="250"/>
  <c r="H1673" i="250" s="1"/>
  <c r="E1671" i="250"/>
  <c r="G1671" i="250" s="1"/>
  <c r="E1647" i="250"/>
  <c r="G1647" i="250" s="1"/>
  <c r="F1666" i="250"/>
  <c r="H1666" i="250" s="1"/>
  <c r="E1664" i="250"/>
  <c r="E1672" i="250"/>
  <c r="G1672" i="250" s="1"/>
  <c r="E1648" i="250"/>
  <c r="G1648" i="250" s="1"/>
  <c r="F1667" i="250"/>
  <c r="H1667" i="250" s="1"/>
  <c r="E1665" i="250"/>
  <c r="G1665" i="250" s="1"/>
  <c r="E1673" i="250"/>
  <c r="G1673" i="250" s="1"/>
  <c r="F1644" i="250"/>
  <c r="E1649" i="250"/>
  <c r="G1649" i="250" s="1"/>
  <c r="F1668" i="250"/>
  <c r="H1668" i="250" s="1"/>
  <c r="E1666" i="250"/>
  <c r="G1666" i="250" s="1"/>
  <c r="F1649" i="250"/>
  <c r="H1649" i="250" s="1"/>
  <c r="E1650" i="250"/>
  <c r="G1650" i="250" s="1"/>
  <c r="F1669" i="250"/>
  <c r="H1669" i="250" s="1"/>
  <c r="E1667" i="250"/>
  <c r="G1667" i="250" s="1"/>
  <c r="F1651" i="250"/>
  <c r="H1651" i="250" s="1"/>
  <c r="E1651" i="250"/>
  <c r="G1651" i="250" s="1"/>
  <c r="F1670" i="250"/>
  <c r="H1670" i="250" s="1"/>
  <c r="E1668" i="250"/>
  <c r="G1668" i="250" s="1"/>
  <c r="F2275" i="250"/>
  <c r="H2275" i="250" s="1"/>
  <c r="F2283" i="250"/>
  <c r="H2283" i="250" s="1"/>
  <c r="E2276" i="250"/>
  <c r="G2276" i="250" s="1"/>
  <c r="E2284" i="250"/>
  <c r="G2284" i="250" s="1"/>
  <c r="F2297" i="250"/>
  <c r="H2297" i="250" s="1"/>
  <c r="F2305" i="250"/>
  <c r="H2305" i="250" s="1"/>
  <c r="E2303" i="250"/>
  <c r="G2303" i="250" s="1"/>
  <c r="F2320" i="250"/>
  <c r="H2320" i="250" s="1"/>
  <c r="E2318" i="250"/>
  <c r="G2318" i="250" s="1"/>
  <c r="F2343" i="250"/>
  <c r="H2343" i="250" s="1"/>
  <c r="E2341" i="250"/>
  <c r="G2341" i="250" s="1"/>
  <c r="F2276" i="250"/>
  <c r="H2276" i="250" s="1"/>
  <c r="F2284" i="250"/>
  <c r="H2284" i="250" s="1"/>
  <c r="E2277" i="250"/>
  <c r="G2277" i="250" s="1"/>
  <c r="E2285" i="250"/>
  <c r="G2285" i="250" s="1"/>
  <c r="F2298" i="250"/>
  <c r="H2298" i="250" s="1"/>
  <c r="E2296" i="250"/>
  <c r="E2304" i="250"/>
  <c r="G2304" i="250" s="1"/>
  <c r="F2321" i="250"/>
  <c r="H2321" i="250" s="1"/>
  <c r="E2319" i="250"/>
  <c r="G2319" i="250" s="1"/>
  <c r="F2336" i="250"/>
  <c r="F2344" i="250"/>
  <c r="H2344" i="250" s="1"/>
  <c r="E2342" i="250"/>
  <c r="G2342" i="250" s="1"/>
  <c r="F2277" i="250"/>
  <c r="H2277" i="250" s="1"/>
  <c r="F2285" i="250"/>
  <c r="H2285" i="250" s="1"/>
  <c r="E2278" i="250"/>
  <c r="G2278" i="250" s="1"/>
  <c r="F2299" i="250"/>
  <c r="H2299" i="250" s="1"/>
  <c r="E2297" i="250"/>
  <c r="G2297" i="250" s="1"/>
  <c r="E2305" i="250"/>
  <c r="G2305" i="250" s="1"/>
  <c r="F2322" i="250"/>
  <c r="H2322" i="250" s="1"/>
  <c r="E2320" i="250"/>
  <c r="G2320" i="250" s="1"/>
  <c r="F2337" i="250"/>
  <c r="H2337" i="250" s="1"/>
  <c r="F2345" i="250"/>
  <c r="H2345" i="250" s="1"/>
  <c r="E2343" i="250"/>
  <c r="G2343" i="250" s="1"/>
  <c r="F2278" i="250"/>
  <c r="H2278" i="250" s="1"/>
  <c r="E2271" i="250"/>
  <c r="E2279" i="250"/>
  <c r="G2279" i="250" s="1"/>
  <c r="F2300" i="250"/>
  <c r="H2300" i="250" s="1"/>
  <c r="E2298" i="250"/>
  <c r="G2298" i="250" s="1"/>
  <c r="F2323" i="250"/>
  <c r="H2323" i="250" s="1"/>
  <c r="E2321" i="250"/>
  <c r="G2321" i="250" s="1"/>
  <c r="F2338" i="250"/>
  <c r="H2338" i="250" s="1"/>
  <c r="E2336" i="250"/>
  <c r="E2344" i="250"/>
  <c r="G2344" i="250" s="1"/>
  <c r="F2271" i="250"/>
  <c r="F2279" i="250"/>
  <c r="H2279" i="250" s="1"/>
  <c r="E2272" i="250"/>
  <c r="G2272" i="250" s="1"/>
  <c r="E2280" i="250"/>
  <c r="G2280" i="250" s="1"/>
  <c r="F2301" i="250"/>
  <c r="H2301" i="250" s="1"/>
  <c r="E2299" i="250"/>
  <c r="G2299" i="250" s="1"/>
  <c r="F2316" i="250"/>
  <c r="F2324" i="250"/>
  <c r="H2324" i="250" s="1"/>
  <c r="E2322" i="250"/>
  <c r="G2322" i="250" s="1"/>
  <c r="F2339" i="250"/>
  <c r="H2339" i="250" s="1"/>
  <c r="E2337" i="250"/>
  <c r="G2337" i="250" s="1"/>
  <c r="E2345" i="250"/>
  <c r="G2345" i="250" s="1"/>
  <c r="F2272" i="250"/>
  <c r="H2272" i="250" s="1"/>
  <c r="F2280" i="250"/>
  <c r="H2280" i="250" s="1"/>
  <c r="E2273" i="250"/>
  <c r="G2273" i="250" s="1"/>
  <c r="E2281" i="250"/>
  <c r="G2281" i="250" s="1"/>
  <c r="F2302" i="250"/>
  <c r="H2302" i="250" s="1"/>
  <c r="E2300" i="250"/>
  <c r="G2300" i="250" s="1"/>
  <c r="F2317" i="250"/>
  <c r="H2317" i="250" s="1"/>
  <c r="F2325" i="250"/>
  <c r="H2325" i="250" s="1"/>
  <c r="E2323" i="250"/>
  <c r="G2323" i="250" s="1"/>
  <c r="F2340" i="250"/>
  <c r="H2340" i="250" s="1"/>
  <c r="E2338" i="250"/>
  <c r="G2338" i="250" s="1"/>
  <c r="F2273" i="250"/>
  <c r="H2273" i="250" s="1"/>
  <c r="F2281" i="250"/>
  <c r="H2281" i="250" s="1"/>
  <c r="E2274" i="250"/>
  <c r="G2274" i="250" s="1"/>
  <c r="E2282" i="250"/>
  <c r="G2282" i="250" s="1"/>
  <c r="F2303" i="250"/>
  <c r="H2303" i="250" s="1"/>
  <c r="E2301" i="250"/>
  <c r="G2301" i="250" s="1"/>
  <c r="F2318" i="250"/>
  <c r="H2318" i="250" s="1"/>
  <c r="E2316" i="250"/>
  <c r="E2324" i="250"/>
  <c r="G2324" i="250" s="1"/>
  <c r="F2341" i="250"/>
  <c r="H2341" i="250" s="1"/>
  <c r="E2339" i="250"/>
  <c r="G2339" i="250" s="1"/>
  <c r="F2274" i="250"/>
  <c r="H2274" i="250" s="1"/>
  <c r="F2282" i="250"/>
  <c r="H2282" i="250" s="1"/>
  <c r="E2275" i="250"/>
  <c r="G2275" i="250" s="1"/>
  <c r="E2283" i="250"/>
  <c r="G2283" i="250" s="1"/>
  <c r="F2296" i="250"/>
  <c r="F2304" i="250"/>
  <c r="H2304" i="250" s="1"/>
  <c r="E2302" i="250"/>
  <c r="G2302" i="250" s="1"/>
  <c r="F2319" i="250"/>
  <c r="H2319" i="250" s="1"/>
  <c r="E2317" i="250"/>
  <c r="G2317" i="250" s="1"/>
  <c r="E2325" i="250"/>
  <c r="G2325" i="250" s="1"/>
  <c r="F2342" i="250"/>
  <c r="H2342" i="250" s="1"/>
  <c r="E2340" i="250"/>
  <c r="G2340" i="250" s="1"/>
  <c r="B1299" i="251"/>
  <c r="C607" i="309" s="1"/>
  <c r="B1308" i="251"/>
  <c r="C608" i="309" s="1"/>
  <c r="B650" i="251"/>
  <c r="C342" i="309" s="1"/>
  <c r="B641" i="251"/>
  <c r="C341" i="309" s="1"/>
  <c r="B1054" i="251"/>
  <c r="C408" i="309" s="1"/>
  <c r="B1045" i="251"/>
  <c r="C407" i="309" s="1"/>
  <c r="F2775" i="250"/>
  <c r="F2783" i="250"/>
  <c r="H2783" i="250" s="1"/>
  <c r="E2776" i="250"/>
  <c r="G2776" i="250" s="1"/>
  <c r="E2784" i="250"/>
  <c r="G2784" i="250" s="1"/>
  <c r="F2803" i="250"/>
  <c r="H2803" i="250" s="1"/>
  <c r="E2801" i="250"/>
  <c r="G2801" i="250" s="1"/>
  <c r="E2809" i="250"/>
  <c r="G2809" i="250" s="1"/>
  <c r="F2825" i="250"/>
  <c r="H2825" i="250" s="1"/>
  <c r="E2823" i="250"/>
  <c r="G2823" i="250" s="1"/>
  <c r="F2847" i="250"/>
  <c r="H2847" i="250" s="1"/>
  <c r="E2845" i="250"/>
  <c r="G2845" i="250" s="1"/>
  <c r="F2776" i="250"/>
  <c r="H2776" i="250" s="1"/>
  <c r="F2784" i="250"/>
  <c r="H2784" i="250" s="1"/>
  <c r="E2777" i="250"/>
  <c r="G2777" i="250" s="1"/>
  <c r="E2785" i="250"/>
  <c r="G2785" i="250" s="1"/>
  <c r="F2804" i="250"/>
  <c r="H2804" i="250" s="1"/>
  <c r="E2802" i="250"/>
  <c r="G2802" i="250" s="1"/>
  <c r="F2826" i="250"/>
  <c r="H2826" i="250" s="1"/>
  <c r="E2824" i="250"/>
  <c r="G2824" i="250" s="1"/>
  <c r="F2840" i="250"/>
  <c r="F2848" i="250"/>
  <c r="H2848" i="250" s="1"/>
  <c r="E2846" i="250"/>
  <c r="G2846" i="250" s="1"/>
  <c r="F2777" i="250"/>
  <c r="H2777" i="250" s="1"/>
  <c r="F2785" i="250"/>
  <c r="H2785" i="250" s="1"/>
  <c r="E2778" i="250"/>
  <c r="G2778" i="250" s="1"/>
  <c r="E2786" i="250"/>
  <c r="G2786" i="250" s="1"/>
  <c r="F2805" i="250"/>
  <c r="H2805" i="250" s="1"/>
  <c r="E2803" i="250"/>
  <c r="G2803" i="250" s="1"/>
  <c r="F2827" i="250"/>
  <c r="H2827" i="250" s="1"/>
  <c r="E2825" i="250"/>
  <c r="G2825" i="250" s="1"/>
  <c r="F2841" i="250"/>
  <c r="H2841" i="250" s="1"/>
  <c r="F2849" i="250"/>
  <c r="H2849" i="250" s="1"/>
  <c r="E2847" i="250"/>
  <c r="G2847" i="250" s="1"/>
  <c r="F2778" i="250"/>
  <c r="H2778" i="250" s="1"/>
  <c r="F2786" i="250"/>
  <c r="H2786" i="250" s="1"/>
  <c r="E2779" i="250"/>
  <c r="G2779" i="250" s="1"/>
  <c r="E2787" i="250"/>
  <c r="G2787" i="250" s="1"/>
  <c r="F2806" i="250"/>
  <c r="H2806" i="250" s="1"/>
  <c r="E2804" i="250"/>
  <c r="G2804" i="250" s="1"/>
  <c r="F2820" i="250"/>
  <c r="F2828" i="250"/>
  <c r="H2828" i="250" s="1"/>
  <c r="E2826" i="250"/>
  <c r="G2826" i="250" s="1"/>
  <c r="F2842" i="250"/>
  <c r="H2842" i="250" s="1"/>
  <c r="E2840" i="250"/>
  <c r="F2779" i="250"/>
  <c r="H2779" i="250" s="1"/>
  <c r="F2787" i="250"/>
  <c r="H2787" i="250" s="1"/>
  <c r="E2780" i="250"/>
  <c r="G2780" i="250" s="1"/>
  <c r="E2788" i="250"/>
  <c r="G2788" i="250" s="1"/>
  <c r="F2807" i="250"/>
  <c r="H2807" i="250" s="1"/>
  <c r="E2805" i="250"/>
  <c r="G2805" i="250" s="1"/>
  <c r="F2821" i="250"/>
  <c r="H2821" i="250" s="1"/>
  <c r="F2829" i="250"/>
  <c r="H2829" i="250" s="1"/>
  <c r="E2827" i="250"/>
  <c r="G2827" i="250" s="1"/>
  <c r="F2843" i="250"/>
  <c r="H2843" i="250" s="1"/>
  <c r="E2841" i="250"/>
  <c r="G2841" i="250" s="1"/>
  <c r="E2849" i="250"/>
  <c r="G2849" i="250" s="1"/>
  <c r="F2780" i="250"/>
  <c r="H2780" i="250" s="1"/>
  <c r="F2788" i="250"/>
  <c r="H2788" i="250" s="1"/>
  <c r="E2781" i="250"/>
  <c r="G2781" i="250" s="1"/>
  <c r="E2789" i="250"/>
  <c r="G2789" i="250" s="1"/>
  <c r="F2800" i="250"/>
  <c r="F2808" i="250"/>
  <c r="H2808" i="250" s="1"/>
  <c r="E2806" i="250"/>
  <c r="G2806" i="250" s="1"/>
  <c r="F2822" i="250"/>
  <c r="H2822" i="250" s="1"/>
  <c r="E2820" i="250"/>
  <c r="E2828" i="250"/>
  <c r="G2828" i="250" s="1"/>
  <c r="F2781" i="250"/>
  <c r="H2781" i="250" s="1"/>
  <c r="F2789" i="250"/>
  <c r="H2789" i="250" s="1"/>
  <c r="E2782" i="250"/>
  <c r="G2782" i="250" s="1"/>
  <c r="F2801" i="250"/>
  <c r="H2801" i="250" s="1"/>
  <c r="F2809" i="250"/>
  <c r="H2809" i="250" s="1"/>
  <c r="E2807" i="250"/>
  <c r="G2807" i="250" s="1"/>
  <c r="F2823" i="250"/>
  <c r="H2823" i="250" s="1"/>
  <c r="E2821" i="250"/>
  <c r="G2821" i="250" s="1"/>
  <c r="E2829" i="250"/>
  <c r="G2829" i="250" s="1"/>
  <c r="F2845" i="250"/>
  <c r="H2845" i="250" s="1"/>
  <c r="E2843" i="250"/>
  <c r="G2843" i="250" s="1"/>
  <c r="F2782" i="250"/>
  <c r="H2782" i="250" s="1"/>
  <c r="E2775" i="250"/>
  <c r="E2783" i="250"/>
  <c r="G2783" i="250" s="1"/>
  <c r="F2802" i="250"/>
  <c r="H2802" i="250" s="1"/>
  <c r="E2800" i="250"/>
  <c r="E2808" i="250"/>
  <c r="G2808" i="250" s="1"/>
  <c r="F2824" i="250"/>
  <c r="H2824" i="250" s="1"/>
  <c r="E2822" i="250"/>
  <c r="G2822" i="250" s="1"/>
  <c r="F2846" i="250"/>
  <c r="H2846" i="250" s="1"/>
  <c r="E2844" i="250"/>
  <c r="G2844" i="250" s="1"/>
  <c r="E2848" i="250"/>
  <c r="G2848" i="250" s="1"/>
  <c r="F2844" i="250"/>
  <c r="H2844" i="250" s="1"/>
  <c r="E2842" i="250"/>
  <c r="G2842" i="250" s="1"/>
  <c r="E258" i="329"/>
  <c r="F220" i="285"/>
  <c r="B462" i="251"/>
  <c r="C268" i="309" s="1"/>
  <c r="H288" i="329" s="1"/>
  <c r="B452" i="251"/>
  <c r="C267" i="309" s="1"/>
  <c r="H275" i="329" s="1"/>
  <c r="F1520" i="250"/>
  <c r="H1520" i="250" s="1"/>
  <c r="F1528" i="250"/>
  <c r="H1528" i="250" s="1"/>
  <c r="E1521" i="250"/>
  <c r="G1521" i="250" s="1"/>
  <c r="E1529" i="250"/>
  <c r="G1529" i="250" s="1"/>
  <c r="F1546" i="250"/>
  <c r="H1546" i="250" s="1"/>
  <c r="E1544" i="250"/>
  <c r="G1544" i="250" s="1"/>
  <c r="F1563" i="250"/>
  <c r="H1563" i="250" s="1"/>
  <c r="E1561" i="250"/>
  <c r="G1561" i="250" s="1"/>
  <c r="E1569" i="250"/>
  <c r="G1569" i="250" s="1"/>
  <c r="F1521" i="250"/>
  <c r="H1521" i="250" s="1"/>
  <c r="F1529" i="250"/>
  <c r="H1529" i="250" s="1"/>
  <c r="E1522" i="250"/>
  <c r="G1522" i="250" s="1"/>
  <c r="F1547" i="250"/>
  <c r="H1547" i="250" s="1"/>
  <c r="E1545" i="250"/>
  <c r="G1545" i="250" s="1"/>
  <c r="F1564" i="250"/>
  <c r="H1564" i="250" s="1"/>
  <c r="F1522" i="250"/>
  <c r="H1522" i="250" s="1"/>
  <c r="E1515" i="250"/>
  <c r="E1523" i="250"/>
  <c r="G1523" i="250" s="1"/>
  <c r="F1540" i="250"/>
  <c r="F1548" i="250"/>
  <c r="H1548" i="250" s="1"/>
  <c r="E1546" i="250"/>
  <c r="G1546" i="250" s="1"/>
  <c r="F1565" i="250"/>
  <c r="H1565" i="250" s="1"/>
  <c r="E1563" i="250"/>
  <c r="G1563" i="250" s="1"/>
  <c r="F1515" i="250"/>
  <c r="F1523" i="250"/>
  <c r="H1523" i="250" s="1"/>
  <c r="E1516" i="250"/>
  <c r="G1516" i="250" s="1"/>
  <c r="E1524" i="250"/>
  <c r="G1524" i="250" s="1"/>
  <c r="F1541" i="250"/>
  <c r="H1541" i="250" s="1"/>
  <c r="F1549" i="250"/>
  <c r="H1549" i="250" s="1"/>
  <c r="E1547" i="250"/>
  <c r="G1547" i="250" s="1"/>
  <c r="F1566" i="250"/>
  <c r="H1566" i="250" s="1"/>
  <c r="E1564" i="250"/>
  <c r="G1564" i="250" s="1"/>
  <c r="F1516" i="250"/>
  <c r="H1516" i="250" s="1"/>
  <c r="F1524" i="250"/>
  <c r="H1524" i="250" s="1"/>
  <c r="E1517" i="250"/>
  <c r="G1517" i="250" s="1"/>
  <c r="E1525" i="250"/>
  <c r="G1525" i="250" s="1"/>
  <c r="F1542" i="250"/>
  <c r="H1542" i="250" s="1"/>
  <c r="E1540" i="250"/>
  <c r="E1548" i="250"/>
  <c r="G1548" i="250" s="1"/>
  <c r="F1517" i="250"/>
  <c r="H1517" i="250" s="1"/>
  <c r="F1525" i="250"/>
  <c r="H1525" i="250" s="1"/>
  <c r="E1518" i="250"/>
  <c r="G1518" i="250" s="1"/>
  <c r="E1526" i="250"/>
  <c r="G1526" i="250" s="1"/>
  <c r="F1543" i="250"/>
  <c r="H1543" i="250" s="1"/>
  <c r="E1541" i="250"/>
  <c r="G1541" i="250" s="1"/>
  <c r="E1549" i="250"/>
  <c r="G1549" i="250" s="1"/>
  <c r="F1560" i="250"/>
  <c r="F1568" i="250"/>
  <c r="H1568" i="250" s="1"/>
  <c r="E1566" i="250"/>
  <c r="G1566" i="250" s="1"/>
  <c r="F1518" i="250"/>
  <c r="H1518" i="250" s="1"/>
  <c r="F1526" i="250"/>
  <c r="H1526" i="250" s="1"/>
  <c r="E1519" i="250"/>
  <c r="G1519" i="250" s="1"/>
  <c r="E1527" i="250"/>
  <c r="G1527" i="250" s="1"/>
  <c r="F1544" i="250"/>
  <c r="H1544" i="250" s="1"/>
  <c r="E1542" i="250"/>
  <c r="G1542" i="250" s="1"/>
  <c r="F1561" i="250"/>
  <c r="H1561" i="250" s="1"/>
  <c r="F1569" i="250"/>
  <c r="H1569" i="250" s="1"/>
  <c r="E1567" i="250"/>
  <c r="G1567" i="250" s="1"/>
  <c r="F1519" i="250"/>
  <c r="H1519" i="250" s="1"/>
  <c r="F1527" i="250"/>
  <c r="H1527" i="250" s="1"/>
  <c r="E1520" i="250"/>
  <c r="G1520" i="250" s="1"/>
  <c r="E1528" i="250"/>
  <c r="G1528" i="250" s="1"/>
  <c r="F1545" i="250"/>
  <c r="H1545" i="250" s="1"/>
  <c r="E1543" i="250"/>
  <c r="G1543" i="250" s="1"/>
  <c r="F1562" i="250"/>
  <c r="H1562" i="250" s="1"/>
  <c r="E1560" i="250"/>
  <c r="E1568" i="250"/>
  <c r="G1568" i="250" s="1"/>
  <c r="E1562" i="250"/>
  <c r="G1562" i="250" s="1"/>
  <c r="F1586" i="250"/>
  <c r="H1586" i="250" s="1"/>
  <c r="E1584" i="250"/>
  <c r="G1584" i="250" s="1"/>
  <c r="E1565" i="250"/>
  <c r="G1565" i="250" s="1"/>
  <c r="F1587" i="250"/>
  <c r="H1587" i="250" s="1"/>
  <c r="E1585" i="250"/>
  <c r="G1585" i="250" s="1"/>
  <c r="F1580" i="250"/>
  <c r="F1588" i="250"/>
  <c r="H1588" i="250" s="1"/>
  <c r="E1586" i="250"/>
  <c r="G1586" i="250" s="1"/>
  <c r="F1581" i="250"/>
  <c r="H1581" i="250" s="1"/>
  <c r="F1589" i="250"/>
  <c r="H1589" i="250" s="1"/>
  <c r="E1587" i="250"/>
  <c r="G1587" i="250" s="1"/>
  <c r="F1582" i="250"/>
  <c r="H1582" i="250" s="1"/>
  <c r="E1580" i="250"/>
  <c r="E1588" i="250"/>
  <c r="G1588" i="250" s="1"/>
  <c r="F1583" i="250"/>
  <c r="H1583" i="250" s="1"/>
  <c r="E1581" i="250"/>
  <c r="G1581" i="250" s="1"/>
  <c r="E1589" i="250"/>
  <c r="G1589" i="250" s="1"/>
  <c r="F1584" i="250"/>
  <c r="H1584" i="250" s="1"/>
  <c r="E1582" i="250"/>
  <c r="G1582" i="250" s="1"/>
  <c r="F1567" i="250"/>
  <c r="H1567" i="250" s="1"/>
  <c r="F1585" i="250"/>
  <c r="H1585" i="250" s="1"/>
  <c r="E1583" i="250"/>
  <c r="G1583" i="250" s="1"/>
  <c r="B1072" i="251"/>
  <c r="C412" i="309" s="1"/>
  <c r="B1063" i="251"/>
  <c r="C411" i="309" s="1"/>
  <c r="B480" i="251"/>
  <c r="C272" i="309" s="1"/>
  <c r="B471" i="251"/>
  <c r="C271" i="309" s="1"/>
  <c r="H3028" i="250"/>
  <c r="H3032" i="250"/>
  <c r="H3036" i="250"/>
  <c r="H3040" i="250"/>
  <c r="G2968" i="250"/>
  <c r="G2972" i="250"/>
  <c r="G2976" i="250"/>
  <c r="H2988" i="250"/>
  <c r="H2992" i="250"/>
  <c r="H2996" i="250"/>
  <c r="G3009" i="250"/>
  <c r="G3013" i="250"/>
  <c r="G3017" i="250"/>
  <c r="G3029" i="250"/>
  <c r="G3033" i="250"/>
  <c r="G3037" i="250"/>
  <c r="G3041" i="250"/>
  <c r="H2968" i="250"/>
  <c r="H2972" i="250"/>
  <c r="H2976" i="250"/>
  <c r="G2989" i="250"/>
  <c r="G2993" i="250"/>
  <c r="G2997" i="250"/>
  <c r="H3009" i="250"/>
  <c r="H3013" i="250"/>
  <c r="H3017" i="250"/>
  <c r="H3029" i="250"/>
  <c r="H3033" i="250"/>
  <c r="H3037" i="250"/>
  <c r="H3041" i="250"/>
  <c r="G2969" i="250"/>
  <c r="G2973" i="250"/>
  <c r="G2977" i="250"/>
  <c r="H2989" i="250"/>
  <c r="H2993" i="250"/>
  <c r="H2997" i="250"/>
  <c r="G3010" i="250"/>
  <c r="G3014" i="250"/>
  <c r="G3030" i="250"/>
  <c r="G3034" i="250"/>
  <c r="G3038" i="250"/>
  <c r="H2969" i="250"/>
  <c r="H2973" i="250"/>
  <c r="H2977" i="250"/>
  <c r="G2990" i="250"/>
  <c r="G2994" i="250"/>
  <c r="H3010" i="250"/>
  <c r="H3014" i="250"/>
  <c r="H3030" i="250"/>
  <c r="H3034" i="250"/>
  <c r="H3038" i="250"/>
  <c r="G2970" i="250"/>
  <c r="G2974" i="250"/>
  <c r="H2990" i="250"/>
  <c r="H2994" i="250"/>
  <c r="G3011" i="250"/>
  <c r="G3015" i="250"/>
  <c r="G3027" i="250"/>
  <c r="G3031" i="250"/>
  <c r="G3035" i="250"/>
  <c r="G3039" i="250"/>
  <c r="H2970" i="250"/>
  <c r="H2974" i="250"/>
  <c r="G2991" i="250"/>
  <c r="G2995" i="250"/>
  <c r="H3011" i="250"/>
  <c r="H3015" i="250"/>
  <c r="H3027" i="250"/>
  <c r="H3031" i="250"/>
  <c r="H3035" i="250"/>
  <c r="H3039" i="250"/>
  <c r="G2971" i="250"/>
  <c r="G2975" i="250"/>
  <c r="H2991" i="250"/>
  <c r="H2995" i="250"/>
  <c r="G3008" i="250"/>
  <c r="G3012" i="250"/>
  <c r="G3016" i="250"/>
  <c r="G3028" i="250"/>
  <c r="G3032" i="250"/>
  <c r="G3036" i="250"/>
  <c r="G3040" i="250"/>
  <c r="H2971" i="250"/>
  <c r="H2975" i="250"/>
  <c r="G2988" i="250"/>
  <c r="G2992" i="250"/>
  <c r="G2996" i="250"/>
  <c r="H3008" i="250"/>
  <c r="H3012" i="250"/>
  <c r="H3016" i="250"/>
  <c r="F1095" i="250"/>
  <c r="F1103" i="250"/>
  <c r="H1103" i="250" s="1"/>
  <c r="E1096" i="250"/>
  <c r="G1096" i="250" s="1"/>
  <c r="E1104" i="250"/>
  <c r="G1104" i="250" s="1"/>
  <c r="F1124" i="250"/>
  <c r="H1124" i="250" s="1"/>
  <c r="E1122" i="250"/>
  <c r="G1122" i="250" s="1"/>
  <c r="F1147" i="250"/>
  <c r="H1147" i="250" s="1"/>
  <c r="E1145" i="250"/>
  <c r="G1145" i="250" s="1"/>
  <c r="F1162" i="250"/>
  <c r="H1162" i="250" s="1"/>
  <c r="E1160" i="250"/>
  <c r="E1168" i="250"/>
  <c r="G1168" i="250" s="1"/>
  <c r="F1096" i="250"/>
  <c r="H1096" i="250" s="1"/>
  <c r="F1104" i="250"/>
  <c r="H1104" i="250" s="1"/>
  <c r="E1097" i="250"/>
  <c r="G1097" i="250" s="1"/>
  <c r="E1105" i="250"/>
  <c r="G1105" i="250" s="1"/>
  <c r="F1125" i="250"/>
  <c r="H1125" i="250" s="1"/>
  <c r="E1123" i="250"/>
  <c r="G1123" i="250" s="1"/>
  <c r="F1140" i="250"/>
  <c r="F1148" i="250"/>
  <c r="H1148" i="250" s="1"/>
  <c r="E1146" i="250"/>
  <c r="G1146" i="250" s="1"/>
  <c r="F1163" i="250"/>
  <c r="H1163" i="250" s="1"/>
  <c r="E1161" i="250"/>
  <c r="G1161" i="250" s="1"/>
  <c r="E1169" i="250"/>
  <c r="G1169" i="250" s="1"/>
  <c r="F1097" i="250"/>
  <c r="H1097" i="250" s="1"/>
  <c r="F1105" i="250"/>
  <c r="H1105" i="250" s="1"/>
  <c r="E1098" i="250"/>
  <c r="G1098" i="250" s="1"/>
  <c r="E1106" i="250"/>
  <c r="G1106" i="250" s="1"/>
  <c r="F1126" i="250"/>
  <c r="H1126" i="250" s="1"/>
  <c r="E1124" i="250"/>
  <c r="G1124" i="250" s="1"/>
  <c r="F1141" i="250"/>
  <c r="H1141" i="250" s="1"/>
  <c r="F1149" i="250"/>
  <c r="H1149" i="250" s="1"/>
  <c r="E1147" i="250"/>
  <c r="G1147" i="250" s="1"/>
  <c r="F1164" i="250"/>
  <c r="H1164" i="250" s="1"/>
  <c r="E1162" i="250"/>
  <c r="G1162" i="250" s="1"/>
  <c r="F1098" i="250"/>
  <c r="H1098" i="250" s="1"/>
  <c r="F1106" i="250"/>
  <c r="H1106" i="250" s="1"/>
  <c r="E1099" i="250"/>
  <c r="G1099" i="250" s="1"/>
  <c r="E1107" i="250"/>
  <c r="G1107" i="250" s="1"/>
  <c r="F1127" i="250"/>
  <c r="H1127" i="250" s="1"/>
  <c r="E1125" i="250"/>
  <c r="G1125" i="250" s="1"/>
  <c r="F1142" i="250"/>
  <c r="H1142" i="250" s="1"/>
  <c r="E1140" i="250"/>
  <c r="E1148" i="250"/>
  <c r="G1148" i="250" s="1"/>
  <c r="F1165" i="250"/>
  <c r="H1165" i="250" s="1"/>
  <c r="E1163" i="250"/>
  <c r="G1163" i="250" s="1"/>
  <c r="F1099" i="250"/>
  <c r="H1099" i="250" s="1"/>
  <c r="F1107" i="250"/>
  <c r="H1107" i="250" s="1"/>
  <c r="E1100" i="250"/>
  <c r="G1100" i="250" s="1"/>
  <c r="E1108" i="250"/>
  <c r="G1108" i="250" s="1"/>
  <c r="F1120" i="250"/>
  <c r="F1128" i="250"/>
  <c r="H1128" i="250" s="1"/>
  <c r="E1126" i="250"/>
  <c r="G1126" i="250" s="1"/>
  <c r="F1143" i="250"/>
  <c r="H1143" i="250" s="1"/>
  <c r="E1141" i="250"/>
  <c r="G1141" i="250" s="1"/>
  <c r="E1149" i="250"/>
  <c r="G1149" i="250" s="1"/>
  <c r="F1166" i="250"/>
  <c r="H1166" i="250" s="1"/>
  <c r="E1164" i="250"/>
  <c r="G1164" i="250" s="1"/>
  <c r="F1100" i="250"/>
  <c r="H1100" i="250" s="1"/>
  <c r="F1108" i="250"/>
  <c r="H1108" i="250" s="1"/>
  <c r="E1101" i="250"/>
  <c r="G1101" i="250" s="1"/>
  <c r="E1109" i="250"/>
  <c r="G1109" i="250" s="1"/>
  <c r="F1121" i="250"/>
  <c r="H1121" i="250" s="1"/>
  <c r="F1129" i="250"/>
  <c r="H1129" i="250" s="1"/>
  <c r="E1127" i="250"/>
  <c r="G1127" i="250" s="1"/>
  <c r="F1144" i="250"/>
  <c r="H1144" i="250" s="1"/>
  <c r="E1142" i="250"/>
  <c r="G1142" i="250" s="1"/>
  <c r="F1167" i="250"/>
  <c r="H1167" i="250" s="1"/>
  <c r="E1165" i="250"/>
  <c r="G1165" i="250" s="1"/>
  <c r="F1101" i="250"/>
  <c r="H1101" i="250" s="1"/>
  <c r="F1109" i="250"/>
  <c r="H1109" i="250" s="1"/>
  <c r="E1102" i="250"/>
  <c r="G1102" i="250" s="1"/>
  <c r="F1122" i="250"/>
  <c r="H1122" i="250" s="1"/>
  <c r="E1120" i="250"/>
  <c r="E1128" i="250"/>
  <c r="G1128" i="250" s="1"/>
  <c r="F1145" i="250"/>
  <c r="H1145" i="250" s="1"/>
  <c r="E1143" i="250"/>
  <c r="G1143" i="250" s="1"/>
  <c r="F1160" i="250"/>
  <c r="F1168" i="250"/>
  <c r="H1168" i="250" s="1"/>
  <c r="E1166" i="250"/>
  <c r="G1166" i="250" s="1"/>
  <c r="F1102" i="250"/>
  <c r="H1102" i="250" s="1"/>
  <c r="E1095" i="250"/>
  <c r="E1103" i="250"/>
  <c r="G1103" i="250" s="1"/>
  <c r="F1123" i="250"/>
  <c r="H1123" i="250" s="1"/>
  <c r="E1121" i="250"/>
  <c r="G1121" i="250" s="1"/>
  <c r="E1129" i="250"/>
  <c r="G1129" i="250" s="1"/>
  <c r="F1146" i="250"/>
  <c r="H1146" i="250" s="1"/>
  <c r="E1144" i="250"/>
  <c r="G1144" i="250" s="1"/>
  <c r="F1161" i="250"/>
  <c r="H1161" i="250" s="1"/>
  <c r="F1169" i="250"/>
  <c r="H1169" i="250" s="1"/>
  <c r="E1167" i="250"/>
  <c r="G1167" i="250" s="1"/>
  <c r="B1081" i="251"/>
  <c r="C421" i="309" s="1"/>
  <c r="B1089" i="251"/>
  <c r="C422" i="309" s="1"/>
  <c r="B970" i="251"/>
  <c r="C533" i="309" s="1"/>
  <c r="B980" i="251"/>
  <c r="C534" i="309" s="1"/>
  <c r="H517" i="329" s="1"/>
  <c r="B415" i="251"/>
  <c r="C253" i="309" s="1"/>
  <c r="H274" i="329" s="1"/>
  <c r="B425" i="251"/>
  <c r="C254" i="309" s="1"/>
  <c r="H287" i="329" s="1"/>
  <c r="B1097" i="251"/>
  <c r="C425" i="309" s="1"/>
  <c r="B1105" i="251"/>
  <c r="C426" i="309" s="1"/>
  <c r="B998" i="251"/>
  <c r="C538" i="309" s="1"/>
  <c r="B989" i="251"/>
  <c r="C537" i="309" s="1"/>
  <c r="B443" i="251"/>
  <c r="C258" i="309" s="1"/>
  <c r="B434" i="251"/>
  <c r="C257" i="309" s="1"/>
  <c r="F220" i="286"/>
  <c r="B659" i="251"/>
  <c r="C351" i="309" s="1"/>
  <c r="H358" i="329" s="1"/>
  <c r="B669" i="251"/>
  <c r="C352" i="309" s="1"/>
  <c r="H373" i="329" s="1"/>
  <c r="G2945" i="250"/>
  <c r="G2949" i="250"/>
  <c r="G2953" i="250"/>
  <c r="G2957" i="250"/>
  <c r="H3053" i="250"/>
  <c r="H3057" i="250"/>
  <c r="H3061" i="250"/>
  <c r="G3119" i="250"/>
  <c r="G3123" i="250"/>
  <c r="H3159" i="250"/>
  <c r="H3163" i="250"/>
  <c r="H2945" i="250"/>
  <c r="H2949" i="250"/>
  <c r="H2953" i="250"/>
  <c r="H2957" i="250"/>
  <c r="G3054" i="250"/>
  <c r="G3058" i="250"/>
  <c r="H3119" i="250"/>
  <c r="H3123" i="250"/>
  <c r="G3160" i="250"/>
  <c r="G3164" i="250"/>
  <c r="G2946" i="250"/>
  <c r="G2950" i="250"/>
  <c r="G2954" i="250"/>
  <c r="H3054" i="250"/>
  <c r="H3058" i="250"/>
  <c r="G3120" i="250"/>
  <c r="G3124" i="250"/>
  <c r="H3160" i="250"/>
  <c r="H3164" i="250"/>
  <c r="H2946" i="250"/>
  <c r="H2950" i="250"/>
  <c r="H2954" i="250"/>
  <c r="G3055" i="250"/>
  <c r="G3059" i="250"/>
  <c r="H3120" i="250"/>
  <c r="H3124" i="250"/>
  <c r="G3157" i="250"/>
  <c r="G3161" i="250"/>
  <c r="G3165" i="250"/>
  <c r="G2943" i="250"/>
  <c r="G2947" i="250"/>
  <c r="G2951" i="250"/>
  <c r="G2955" i="250"/>
  <c r="H3055" i="250"/>
  <c r="H3059" i="250"/>
  <c r="G3117" i="250"/>
  <c r="G3121" i="250"/>
  <c r="G3125" i="250"/>
  <c r="H3157" i="250"/>
  <c r="H3161" i="250"/>
  <c r="H3165" i="250"/>
  <c r="H2943" i="250"/>
  <c r="H2947" i="250"/>
  <c r="H2951" i="250"/>
  <c r="H2955" i="250"/>
  <c r="G3052" i="250"/>
  <c r="G3056" i="250"/>
  <c r="G3060" i="250"/>
  <c r="H3117" i="250"/>
  <c r="H3121" i="250"/>
  <c r="H3125" i="250"/>
  <c r="G3158" i="250"/>
  <c r="G3162" i="250"/>
  <c r="G3166" i="250"/>
  <c r="G2944" i="250"/>
  <c r="G2948" i="250"/>
  <c r="G2952" i="250"/>
  <c r="G2956" i="250"/>
  <c r="H3052" i="250"/>
  <c r="H3056" i="250"/>
  <c r="H3060" i="250"/>
  <c r="G3118" i="250"/>
  <c r="G3122" i="250"/>
  <c r="G3126" i="250"/>
  <c r="H3158" i="250"/>
  <c r="H3162" i="250"/>
  <c r="H3166" i="250"/>
  <c r="H2944" i="250"/>
  <c r="H2948" i="250"/>
  <c r="H2952" i="250"/>
  <c r="H2956" i="250"/>
  <c r="G3053" i="250"/>
  <c r="G3057" i="250"/>
  <c r="G3061" i="250"/>
  <c r="H3118" i="250"/>
  <c r="H3122" i="250"/>
  <c r="H3126" i="250"/>
  <c r="G3159" i="250"/>
  <c r="G3163" i="250"/>
  <c r="B934" i="251"/>
  <c r="C519" i="309" s="1"/>
  <c r="B943" i="251"/>
  <c r="C520" i="309" s="1"/>
  <c r="H516" i="329" s="1"/>
  <c r="F2361" i="250"/>
  <c r="H2361" i="250" s="1"/>
  <c r="F2369" i="250"/>
  <c r="H2369" i="250" s="1"/>
  <c r="E2362" i="250"/>
  <c r="G2362" i="250" s="1"/>
  <c r="F2382" i="250"/>
  <c r="H2382" i="250" s="1"/>
  <c r="E2380" i="250"/>
  <c r="E2388" i="250"/>
  <c r="G2388" i="250" s="1"/>
  <c r="F2405" i="250"/>
  <c r="H2405" i="250" s="1"/>
  <c r="E2403" i="250"/>
  <c r="G2403" i="250" s="1"/>
  <c r="F2420" i="250"/>
  <c r="F2428" i="250"/>
  <c r="H2428" i="250" s="1"/>
  <c r="E2426" i="250"/>
  <c r="G2426" i="250" s="1"/>
  <c r="F2362" i="250"/>
  <c r="H2362" i="250" s="1"/>
  <c r="E2355" i="250"/>
  <c r="E2363" i="250"/>
  <c r="G2363" i="250" s="1"/>
  <c r="F2383" i="250"/>
  <c r="H2383" i="250" s="1"/>
  <c r="E2381" i="250"/>
  <c r="G2381" i="250" s="1"/>
  <c r="E2389" i="250"/>
  <c r="G2389" i="250" s="1"/>
  <c r="F2406" i="250"/>
  <c r="H2406" i="250" s="1"/>
  <c r="E2404" i="250"/>
  <c r="G2404" i="250" s="1"/>
  <c r="F2421" i="250"/>
  <c r="H2421" i="250" s="1"/>
  <c r="F2429" i="250"/>
  <c r="H2429" i="250" s="1"/>
  <c r="E2427" i="250"/>
  <c r="G2427" i="250" s="1"/>
  <c r="F2355" i="250"/>
  <c r="F2363" i="250"/>
  <c r="H2363" i="250" s="1"/>
  <c r="E2356" i="250"/>
  <c r="G2356" i="250" s="1"/>
  <c r="E2364" i="250"/>
  <c r="G2364" i="250" s="1"/>
  <c r="F2384" i="250"/>
  <c r="H2384" i="250" s="1"/>
  <c r="E2382" i="250"/>
  <c r="G2382" i="250" s="1"/>
  <c r="F2407" i="250"/>
  <c r="H2407" i="250" s="1"/>
  <c r="E2405" i="250"/>
  <c r="G2405" i="250" s="1"/>
  <c r="F2422" i="250"/>
  <c r="H2422" i="250" s="1"/>
  <c r="E2420" i="250"/>
  <c r="E2428" i="250"/>
  <c r="G2428" i="250" s="1"/>
  <c r="F2356" i="250"/>
  <c r="H2356" i="250" s="1"/>
  <c r="F2364" i="250"/>
  <c r="H2364" i="250" s="1"/>
  <c r="E2357" i="250"/>
  <c r="G2357" i="250" s="1"/>
  <c r="E2365" i="250"/>
  <c r="G2365" i="250" s="1"/>
  <c r="F2385" i="250"/>
  <c r="H2385" i="250" s="1"/>
  <c r="E2383" i="250"/>
  <c r="G2383" i="250" s="1"/>
  <c r="F2400" i="250"/>
  <c r="F2408" i="250"/>
  <c r="H2408" i="250" s="1"/>
  <c r="E2406" i="250"/>
  <c r="G2406" i="250" s="1"/>
  <c r="F2423" i="250"/>
  <c r="H2423" i="250" s="1"/>
  <c r="E2421" i="250"/>
  <c r="G2421" i="250" s="1"/>
  <c r="E2429" i="250"/>
  <c r="G2429" i="250" s="1"/>
  <c r="F2357" i="250"/>
  <c r="H2357" i="250" s="1"/>
  <c r="F2365" i="250"/>
  <c r="H2365" i="250" s="1"/>
  <c r="E2358" i="250"/>
  <c r="G2358" i="250" s="1"/>
  <c r="E2366" i="250"/>
  <c r="G2366" i="250" s="1"/>
  <c r="F2386" i="250"/>
  <c r="H2386" i="250" s="1"/>
  <c r="E2384" i="250"/>
  <c r="G2384" i="250" s="1"/>
  <c r="F2401" i="250"/>
  <c r="H2401" i="250" s="1"/>
  <c r="F2409" i="250"/>
  <c r="H2409" i="250" s="1"/>
  <c r="E2407" i="250"/>
  <c r="G2407" i="250" s="1"/>
  <c r="F2424" i="250"/>
  <c r="H2424" i="250" s="1"/>
  <c r="E2422" i="250"/>
  <c r="G2422" i="250" s="1"/>
  <c r="F2358" i="250"/>
  <c r="H2358" i="250" s="1"/>
  <c r="F2366" i="250"/>
  <c r="H2366" i="250" s="1"/>
  <c r="E2359" i="250"/>
  <c r="G2359" i="250" s="1"/>
  <c r="E2367" i="250"/>
  <c r="G2367" i="250" s="1"/>
  <c r="F2387" i="250"/>
  <c r="H2387" i="250" s="1"/>
  <c r="E2385" i="250"/>
  <c r="G2385" i="250" s="1"/>
  <c r="F2402" i="250"/>
  <c r="H2402" i="250" s="1"/>
  <c r="E2400" i="250"/>
  <c r="E2408" i="250"/>
  <c r="G2408" i="250" s="1"/>
  <c r="F2425" i="250"/>
  <c r="H2425" i="250" s="1"/>
  <c r="E2423" i="250"/>
  <c r="G2423" i="250" s="1"/>
  <c r="F2359" i="250"/>
  <c r="H2359" i="250" s="1"/>
  <c r="F2367" i="250"/>
  <c r="H2367" i="250" s="1"/>
  <c r="E2360" i="250"/>
  <c r="G2360" i="250" s="1"/>
  <c r="E2368" i="250"/>
  <c r="G2368" i="250" s="1"/>
  <c r="F2380" i="250"/>
  <c r="F2388" i="250"/>
  <c r="H2388" i="250" s="1"/>
  <c r="E2386" i="250"/>
  <c r="G2386" i="250" s="1"/>
  <c r="F2403" i="250"/>
  <c r="H2403" i="250" s="1"/>
  <c r="E2401" i="250"/>
  <c r="G2401" i="250" s="1"/>
  <c r="E2409" i="250"/>
  <c r="G2409" i="250" s="1"/>
  <c r="F2426" i="250"/>
  <c r="H2426" i="250" s="1"/>
  <c r="E2424" i="250"/>
  <c r="G2424" i="250" s="1"/>
  <c r="F2360" i="250"/>
  <c r="H2360" i="250" s="1"/>
  <c r="F2368" i="250"/>
  <c r="H2368" i="250" s="1"/>
  <c r="E2361" i="250"/>
  <c r="G2361" i="250" s="1"/>
  <c r="E2369" i="250"/>
  <c r="G2369" i="250" s="1"/>
  <c r="F2381" i="250"/>
  <c r="H2381" i="250" s="1"/>
  <c r="F2389" i="250"/>
  <c r="H2389" i="250" s="1"/>
  <c r="E2387" i="250"/>
  <c r="G2387" i="250" s="1"/>
  <c r="F2404" i="250"/>
  <c r="H2404" i="250" s="1"/>
  <c r="E2402" i="250"/>
  <c r="G2402" i="250" s="1"/>
  <c r="F2427" i="250"/>
  <c r="H2427" i="250" s="1"/>
  <c r="E2425" i="250"/>
  <c r="G2425" i="250" s="1"/>
  <c r="F1017" i="250"/>
  <c r="H1017" i="250" s="1"/>
  <c r="F1025" i="250"/>
  <c r="H1025" i="250" s="1"/>
  <c r="E1018" i="250"/>
  <c r="G1018" i="250" s="1"/>
  <c r="F1039" i="250"/>
  <c r="H1039" i="250" s="1"/>
  <c r="E1037" i="250"/>
  <c r="G1037" i="250" s="1"/>
  <c r="E1045" i="250"/>
  <c r="G1045" i="250" s="1"/>
  <c r="F1062" i="250"/>
  <c r="H1062" i="250" s="1"/>
  <c r="E1060" i="250"/>
  <c r="G1060" i="250" s="1"/>
  <c r="F1077" i="250"/>
  <c r="H1077" i="250" s="1"/>
  <c r="F1085" i="250"/>
  <c r="H1085" i="250" s="1"/>
  <c r="E1083" i="250"/>
  <c r="G1083" i="250" s="1"/>
  <c r="F1018" i="250"/>
  <c r="H1018" i="250" s="1"/>
  <c r="E1011" i="250"/>
  <c r="E1019" i="250"/>
  <c r="G1019" i="250" s="1"/>
  <c r="F1040" i="250"/>
  <c r="H1040" i="250" s="1"/>
  <c r="E1038" i="250"/>
  <c r="G1038" i="250" s="1"/>
  <c r="F1063" i="250"/>
  <c r="H1063" i="250" s="1"/>
  <c r="E1061" i="250"/>
  <c r="G1061" i="250" s="1"/>
  <c r="F1078" i="250"/>
  <c r="H1078" i="250" s="1"/>
  <c r="E1076" i="250"/>
  <c r="E1084" i="250"/>
  <c r="G1084" i="250" s="1"/>
  <c r="F1011" i="250"/>
  <c r="F1019" i="250"/>
  <c r="H1019" i="250" s="1"/>
  <c r="E1012" i="250"/>
  <c r="G1012" i="250" s="1"/>
  <c r="E1020" i="250"/>
  <c r="G1020" i="250" s="1"/>
  <c r="F1041" i="250"/>
  <c r="H1041" i="250" s="1"/>
  <c r="E1039" i="250"/>
  <c r="G1039" i="250" s="1"/>
  <c r="F1056" i="250"/>
  <c r="F1064" i="250"/>
  <c r="H1064" i="250" s="1"/>
  <c r="E1062" i="250"/>
  <c r="G1062" i="250" s="1"/>
  <c r="F1079" i="250"/>
  <c r="H1079" i="250" s="1"/>
  <c r="E1077" i="250"/>
  <c r="G1077" i="250" s="1"/>
  <c r="E1085" i="250"/>
  <c r="G1085" i="250" s="1"/>
  <c r="F1012" i="250"/>
  <c r="H1012" i="250" s="1"/>
  <c r="F1020" i="250"/>
  <c r="H1020" i="250" s="1"/>
  <c r="E1013" i="250"/>
  <c r="G1013" i="250" s="1"/>
  <c r="E1021" i="250"/>
  <c r="G1021" i="250" s="1"/>
  <c r="F1042" i="250"/>
  <c r="H1042" i="250" s="1"/>
  <c r="E1040" i="250"/>
  <c r="G1040" i="250" s="1"/>
  <c r="F1057" i="250"/>
  <c r="H1057" i="250" s="1"/>
  <c r="F1065" i="250"/>
  <c r="H1065" i="250" s="1"/>
  <c r="E1063" i="250"/>
  <c r="G1063" i="250" s="1"/>
  <c r="F1080" i="250"/>
  <c r="H1080" i="250" s="1"/>
  <c r="E1078" i="250"/>
  <c r="G1078" i="250" s="1"/>
  <c r="F1013" i="250"/>
  <c r="H1013" i="250" s="1"/>
  <c r="F1021" i="250"/>
  <c r="H1021" i="250" s="1"/>
  <c r="E1014" i="250"/>
  <c r="G1014" i="250" s="1"/>
  <c r="E1022" i="250"/>
  <c r="G1022" i="250" s="1"/>
  <c r="F1043" i="250"/>
  <c r="H1043" i="250" s="1"/>
  <c r="E1041" i="250"/>
  <c r="G1041" i="250" s="1"/>
  <c r="F1058" i="250"/>
  <c r="H1058" i="250" s="1"/>
  <c r="E1056" i="250"/>
  <c r="E1064" i="250"/>
  <c r="G1064" i="250" s="1"/>
  <c r="F1081" i="250"/>
  <c r="H1081" i="250" s="1"/>
  <c r="E1079" i="250"/>
  <c r="G1079" i="250" s="1"/>
  <c r="F1014" i="250"/>
  <c r="H1014" i="250" s="1"/>
  <c r="F1022" i="250"/>
  <c r="H1022" i="250" s="1"/>
  <c r="E1015" i="250"/>
  <c r="G1015" i="250" s="1"/>
  <c r="E1023" i="250"/>
  <c r="G1023" i="250" s="1"/>
  <c r="F1036" i="250"/>
  <c r="F1044" i="250"/>
  <c r="H1044" i="250" s="1"/>
  <c r="E1042" i="250"/>
  <c r="G1042" i="250" s="1"/>
  <c r="F1059" i="250"/>
  <c r="H1059" i="250" s="1"/>
  <c r="E1057" i="250"/>
  <c r="G1057" i="250" s="1"/>
  <c r="E1065" i="250"/>
  <c r="G1065" i="250" s="1"/>
  <c r="F1082" i="250"/>
  <c r="H1082" i="250" s="1"/>
  <c r="E1080" i="250"/>
  <c r="G1080" i="250" s="1"/>
  <c r="F1015" i="250"/>
  <c r="H1015" i="250" s="1"/>
  <c r="F1023" i="250"/>
  <c r="H1023" i="250" s="1"/>
  <c r="E1016" i="250"/>
  <c r="G1016" i="250" s="1"/>
  <c r="E1024" i="250"/>
  <c r="G1024" i="250" s="1"/>
  <c r="F1037" i="250"/>
  <c r="H1037" i="250" s="1"/>
  <c r="F1045" i="250"/>
  <c r="H1045" i="250" s="1"/>
  <c r="E1043" i="250"/>
  <c r="G1043" i="250" s="1"/>
  <c r="F1060" i="250"/>
  <c r="H1060" i="250" s="1"/>
  <c r="E1058" i="250"/>
  <c r="G1058" i="250" s="1"/>
  <c r="F1083" i="250"/>
  <c r="H1083" i="250" s="1"/>
  <c r="E1081" i="250"/>
  <c r="G1081" i="250" s="1"/>
  <c r="F1016" i="250"/>
  <c r="H1016" i="250" s="1"/>
  <c r="F1024" i="250"/>
  <c r="H1024" i="250" s="1"/>
  <c r="E1017" i="250"/>
  <c r="G1017" i="250" s="1"/>
  <c r="E1025" i="250"/>
  <c r="G1025" i="250" s="1"/>
  <c r="F1038" i="250"/>
  <c r="H1038" i="250" s="1"/>
  <c r="E1036" i="250"/>
  <c r="E1044" i="250"/>
  <c r="G1044" i="250" s="1"/>
  <c r="F1061" i="250"/>
  <c r="H1061" i="250" s="1"/>
  <c r="E1059" i="250"/>
  <c r="G1059" i="250" s="1"/>
  <c r="F1076" i="250"/>
  <c r="F1084" i="250"/>
  <c r="H1084" i="250" s="1"/>
  <c r="E1082" i="250"/>
  <c r="G1082" i="250" s="1"/>
  <c r="B687" i="251"/>
  <c r="C356" i="309" s="1"/>
  <c r="B678" i="251"/>
  <c r="C355" i="309" s="1"/>
  <c r="B952" i="251"/>
  <c r="C523" i="309" s="1"/>
  <c r="B961" i="251"/>
  <c r="C524" i="309" s="1"/>
  <c r="B1280" i="251"/>
  <c r="C603" i="309" s="1"/>
  <c r="H581" i="329" s="1"/>
  <c r="B1290" i="251"/>
  <c r="C604" i="309" s="1"/>
  <c r="H593" i="329" s="1"/>
  <c r="J95" i="285"/>
  <c r="J100" i="285"/>
  <c r="K95" i="285"/>
  <c r="L100" i="285"/>
  <c r="M95" i="285"/>
  <c r="M100" i="285"/>
  <c r="N95" i="285"/>
  <c r="L95" i="285"/>
  <c r="K100" i="285"/>
  <c r="N100" i="285"/>
  <c r="M100" i="284"/>
  <c r="N95" i="284"/>
  <c r="N100" i="284"/>
  <c r="J95" i="284"/>
  <c r="K100" i="284"/>
  <c r="L95" i="284"/>
  <c r="K95" i="284"/>
  <c r="M95" i="284"/>
  <c r="J100" i="284"/>
  <c r="L100" i="284"/>
  <c r="J58" i="286"/>
  <c r="J63" i="286"/>
  <c r="K58" i="286"/>
  <c r="L63" i="286"/>
  <c r="M58" i="286"/>
  <c r="M63" i="286"/>
  <c r="N58" i="286"/>
  <c r="K63" i="286"/>
  <c r="N63" i="286"/>
  <c r="L58" i="286"/>
  <c r="M63" i="247"/>
  <c r="N58" i="247"/>
  <c r="N63" i="247"/>
  <c r="J58" i="247"/>
  <c r="K63" i="247"/>
  <c r="L58" i="247"/>
  <c r="J63" i="247"/>
  <c r="L63" i="247"/>
  <c r="K58" i="247"/>
  <c r="M58" i="247"/>
  <c r="J90" i="336"/>
  <c r="J95" i="336"/>
  <c r="K90" i="336"/>
  <c r="L95" i="336"/>
  <c r="M90" i="336"/>
  <c r="M95" i="336"/>
  <c r="N90" i="336"/>
  <c r="L90" i="336"/>
  <c r="K95" i="336"/>
  <c r="N95" i="336"/>
  <c r="M182" i="286"/>
  <c r="N177" i="286"/>
  <c r="N182" i="286"/>
  <c r="J177" i="286"/>
  <c r="K182" i="286"/>
  <c r="L177" i="286"/>
  <c r="K177" i="286"/>
  <c r="M177" i="286"/>
  <c r="J182" i="286"/>
  <c r="L182" i="286"/>
  <c r="J220" i="286"/>
  <c r="J225" i="286"/>
  <c r="K220" i="286"/>
  <c r="L225" i="286"/>
  <c r="M220" i="286"/>
  <c r="M225" i="286"/>
  <c r="N220" i="286"/>
  <c r="L220" i="286"/>
  <c r="K225" i="286"/>
  <c r="N225" i="286"/>
  <c r="J273" i="301"/>
  <c r="J278" i="301"/>
  <c r="K273" i="301"/>
  <c r="L278" i="301"/>
  <c r="M273" i="301"/>
  <c r="M278" i="301"/>
  <c r="N273" i="301"/>
  <c r="L273" i="301"/>
  <c r="K278" i="301"/>
  <c r="N278" i="301"/>
  <c r="M302" i="301"/>
  <c r="N297" i="301"/>
  <c r="N302" i="301"/>
  <c r="J297" i="301"/>
  <c r="K302" i="301"/>
  <c r="L297" i="301"/>
  <c r="K297" i="301"/>
  <c r="M297" i="301"/>
  <c r="J302" i="301"/>
  <c r="L302" i="301"/>
  <c r="M219" i="247"/>
  <c r="N214" i="247"/>
  <c r="N219" i="247"/>
  <c r="J214" i="247"/>
  <c r="K219" i="247"/>
  <c r="L214" i="247"/>
  <c r="L219" i="247"/>
  <c r="M214" i="247"/>
  <c r="K214" i="247"/>
  <c r="J219" i="247"/>
  <c r="J257" i="247"/>
  <c r="J262" i="247"/>
  <c r="K257" i="247"/>
  <c r="L262" i="247"/>
  <c r="M257" i="247"/>
  <c r="M262" i="247"/>
  <c r="N257" i="247"/>
  <c r="K262" i="247"/>
  <c r="N262" i="247"/>
  <c r="L257" i="247"/>
  <c r="J168" i="336"/>
  <c r="J173" i="336"/>
  <c r="K168" i="336"/>
  <c r="L173" i="336"/>
  <c r="M168" i="336"/>
  <c r="M173" i="336"/>
  <c r="N168" i="336"/>
  <c r="L168" i="336"/>
  <c r="K173" i="336"/>
  <c r="N173" i="336"/>
  <c r="B102" i="309"/>
  <c r="M63" i="283"/>
  <c r="N58" i="283"/>
  <c r="N63" i="283"/>
  <c r="J58" i="283"/>
  <c r="K63" i="283"/>
  <c r="L58" i="283"/>
  <c r="J63" i="283"/>
  <c r="L63" i="283"/>
  <c r="K58" i="283"/>
  <c r="M58" i="283"/>
  <c r="B158" i="309"/>
  <c r="J58" i="284"/>
  <c r="J63" i="284"/>
  <c r="K58" i="284"/>
  <c r="L63" i="284"/>
  <c r="M58" i="284"/>
  <c r="M63" i="284"/>
  <c r="N58" i="284"/>
  <c r="L58" i="284"/>
  <c r="K63" i="284"/>
  <c r="N63" i="284"/>
  <c r="M100" i="286"/>
  <c r="N95" i="286"/>
  <c r="N100" i="286"/>
  <c r="J95" i="286"/>
  <c r="K100" i="286"/>
  <c r="L95" i="286"/>
  <c r="M95" i="286"/>
  <c r="K95" i="286"/>
  <c r="J100" i="286"/>
  <c r="L100" i="286"/>
  <c r="J95" i="247"/>
  <c r="J100" i="247"/>
  <c r="K95" i="247"/>
  <c r="L100" i="247"/>
  <c r="M95" i="247"/>
  <c r="M100" i="247"/>
  <c r="N95" i="247"/>
  <c r="K100" i="247"/>
  <c r="N100" i="247"/>
  <c r="L95" i="247"/>
  <c r="M60" i="336"/>
  <c r="N55" i="336"/>
  <c r="N60" i="336"/>
  <c r="J55" i="336"/>
  <c r="K60" i="336"/>
  <c r="L55" i="336"/>
  <c r="M55" i="336"/>
  <c r="J60" i="336"/>
  <c r="K55" i="336"/>
  <c r="L60" i="336"/>
  <c r="J177" i="285"/>
  <c r="J182" i="285"/>
  <c r="K177" i="285"/>
  <c r="L182" i="285"/>
  <c r="M177" i="285"/>
  <c r="M182" i="285"/>
  <c r="N177" i="285"/>
  <c r="N182" i="285"/>
  <c r="L177" i="285"/>
  <c r="K182" i="285"/>
  <c r="M225" i="285"/>
  <c r="N220" i="285"/>
  <c r="N225" i="285"/>
  <c r="J220" i="285"/>
  <c r="K225" i="285"/>
  <c r="L220" i="285"/>
  <c r="L225" i="285"/>
  <c r="K220" i="285"/>
  <c r="M220" i="285"/>
  <c r="J225" i="285"/>
  <c r="M63" i="285"/>
  <c r="N58" i="285"/>
  <c r="N63" i="285"/>
  <c r="J58" i="285"/>
  <c r="K63" i="285"/>
  <c r="L58" i="285"/>
  <c r="L63" i="285"/>
  <c r="K58" i="285"/>
  <c r="M58" i="285"/>
  <c r="J63" i="285"/>
  <c r="F2673" i="250"/>
  <c r="H2673" i="250" s="1"/>
  <c r="F2613" i="250"/>
  <c r="H2613" i="250" s="1"/>
  <c r="F2621" i="250"/>
  <c r="H2621" i="250" s="1"/>
  <c r="E2614" i="250"/>
  <c r="G2614" i="250" s="1"/>
  <c r="F2614" i="250"/>
  <c r="H2614" i="250" s="1"/>
  <c r="E2607" i="250"/>
  <c r="E2615" i="250"/>
  <c r="G2615" i="250" s="1"/>
  <c r="F2607" i="250"/>
  <c r="F2615" i="250"/>
  <c r="H2615" i="250" s="1"/>
  <c r="E2608" i="250"/>
  <c r="G2608" i="250" s="1"/>
  <c r="E2616" i="250"/>
  <c r="G2616" i="250" s="1"/>
  <c r="F2608" i="250"/>
  <c r="H2608" i="250" s="1"/>
  <c r="F2616" i="250"/>
  <c r="H2616" i="250" s="1"/>
  <c r="E2609" i="250"/>
  <c r="G2609" i="250" s="1"/>
  <c r="E2617" i="250"/>
  <c r="G2617" i="250" s="1"/>
  <c r="F2609" i="250"/>
  <c r="H2609" i="250" s="1"/>
  <c r="F2617" i="250"/>
  <c r="H2617" i="250" s="1"/>
  <c r="E2610" i="250"/>
  <c r="G2610" i="250" s="1"/>
  <c r="E2618" i="250"/>
  <c r="G2618" i="250" s="1"/>
  <c r="F2610" i="250"/>
  <c r="H2610" i="250" s="1"/>
  <c r="F2618" i="250"/>
  <c r="H2618" i="250" s="1"/>
  <c r="E2611" i="250"/>
  <c r="G2611" i="250" s="1"/>
  <c r="E2619" i="250"/>
  <c r="G2619" i="250" s="1"/>
  <c r="F2611" i="250"/>
  <c r="H2611" i="250" s="1"/>
  <c r="F2619" i="250"/>
  <c r="H2619" i="250" s="1"/>
  <c r="E2612" i="250"/>
  <c r="G2612" i="250" s="1"/>
  <c r="E2620" i="250"/>
  <c r="G2620" i="250" s="1"/>
  <c r="F2612" i="250"/>
  <c r="H2612" i="250" s="1"/>
  <c r="F2620" i="250"/>
  <c r="H2620" i="250" s="1"/>
  <c r="E2613" i="250"/>
  <c r="G2613" i="250" s="1"/>
  <c r="E2621" i="250"/>
  <c r="G2621" i="250" s="1"/>
  <c r="F2589" i="250"/>
  <c r="H2589" i="250" s="1"/>
  <c r="F2529" i="250"/>
  <c r="H2529" i="250" s="1"/>
  <c r="F2537" i="250"/>
  <c r="H2537" i="250" s="1"/>
  <c r="E2530" i="250"/>
  <c r="G2530" i="250" s="1"/>
  <c r="F2534" i="250"/>
  <c r="H2534" i="250" s="1"/>
  <c r="F2530" i="250"/>
  <c r="H2530" i="250" s="1"/>
  <c r="E2523" i="250"/>
  <c r="E2531" i="250"/>
  <c r="G2531" i="250" s="1"/>
  <c r="F2523" i="250"/>
  <c r="F2531" i="250"/>
  <c r="H2531" i="250" s="1"/>
  <c r="E2524" i="250"/>
  <c r="G2524" i="250" s="1"/>
  <c r="E2532" i="250"/>
  <c r="G2532" i="250" s="1"/>
  <c r="F2526" i="250"/>
  <c r="H2526" i="250" s="1"/>
  <c r="E2535" i="250"/>
  <c r="G2535" i="250" s="1"/>
  <c r="F2524" i="250"/>
  <c r="H2524" i="250" s="1"/>
  <c r="F2532" i="250"/>
  <c r="H2532" i="250" s="1"/>
  <c r="E2525" i="250"/>
  <c r="G2525" i="250" s="1"/>
  <c r="E2533" i="250"/>
  <c r="G2533" i="250" s="1"/>
  <c r="F2525" i="250"/>
  <c r="H2525" i="250" s="1"/>
  <c r="F2533" i="250"/>
  <c r="H2533" i="250" s="1"/>
  <c r="E2526" i="250"/>
  <c r="G2526" i="250" s="1"/>
  <c r="E2534" i="250"/>
  <c r="G2534" i="250" s="1"/>
  <c r="E2527" i="250"/>
  <c r="G2527" i="250" s="1"/>
  <c r="F2527" i="250"/>
  <c r="H2527" i="250" s="1"/>
  <c r="F2535" i="250"/>
  <c r="H2535" i="250" s="1"/>
  <c r="E2528" i="250"/>
  <c r="G2528" i="250" s="1"/>
  <c r="E2536" i="250"/>
  <c r="G2536" i="250" s="1"/>
  <c r="F2528" i="250"/>
  <c r="H2528" i="250" s="1"/>
  <c r="F2536" i="250"/>
  <c r="H2536" i="250" s="1"/>
  <c r="E2529" i="250"/>
  <c r="G2529" i="250" s="1"/>
  <c r="E2537" i="250"/>
  <c r="G2537" i="250" s="1"/>
  <c r="F2087" i="250"/>
  <c r="H2087" i="250" s="1"/>
  <c r="F2025" i="250"/>
  <c r="H2025" i="250" s="1"/>
  <c r="F2033" i="250"/>
  <c r="H2033" i="250" s="1"/>
  <c r="E2026" i="250"/>
  <c r="G2026" i="250" s="1"/>
  <c r="F2032" i="250"/>
  <c r="H2032" i="250" s="1"/>
  <c r="F2026" i="250"/>
  <c r="H2026" i="250" s="1"/>
  <c r="E2019" i="250"/>
  <c r="E2027" i="250"/>
  <c r="G2027" i="250" s="1"/>
  <c r="F2024" i="250"/>
  <c r="H2024" i="250" s="1"/>
  <c r="F2019" i="250"/>
  <c r="F2027" i="250"/>
  <c r="H2027" i="250" s="1"/>
  <c r="E2020" i="250"/>
  <c r="G2020" i="250" s="1"/>
  <c r="E2028" i="250"/>
  <c r="G2028" i="250" s="1"/>
  <c r="F2020" i="250"/>
  <c r="H2020" i="250" s="1"/>
  <c r="F2028" i="250"/>
  <c r="H2028" i="250" s="1"/>
  <c r="E2021" i="250"/>
  <c r="G2021" i="250" s="1"/>
  <c r="E2029" i="250"/>
  <c r="G2029" i="250" s="1"/>
  <c r="E2025" i="250"/>
  <c r="G2025" i="250" s="1"/>
  <c r="F2021" i="250"/>
  <c r="H2021" i="250" s="1"/>
  <c r="F2029" i="250"/>
  <c r="H2029" i="250" s="1"/>
  <c r="E2022" i="250"/>
  <c r="G2022" i="250" s="1"/>
  <c r="E2030" i="250"/>
  <c r="G2030" i="250" s="1"/>
  <c r="F2022" i="250"/>
  <c r="H2022" i="250" s="1"/>
  <c r="F2030" i="250"/>
  <c r="H2030" i="250" s="1"/>
  <c r="E2023" i="250"/>
  <c r="G2023" i="250" s="1"/>
  <c r="E2031" i="250"/>
  <c r="G2031" i="250" s="1"/>
  <c r="F2023" i="250"/>
  <c r="H2023" i="250" s="1"/>
  <c r="F2031" i="250"/>
  <c r="H2031" i="250" s="1"/>
  <c r="E2024" i="250"/>
  <c r="G2024" i="250" s="1"/>
  <c r="E2032" i="250"/>
  <c r="G2032" i="250" s="1"/>
  <c r="E2033" i="250"/>
  <c r="G2033" i="250" s="1"/>
  <c r="F2004" i="250"/>
  <c r="H2004" i="250" s="1"/>
  <c r="F1941" i="250"/>
  <c r="H1941" i="250" s="1"/>
  <c r="F1949" i="250"/>
  <c r="H1949" i="250" s="1"/>
  <c r="E1942" i="250"/>
  <c r="G1942" i="250" s="1"/>
  <c r="E1941" i="250"/>
  <c r="G1941" i="250" s="1"/>
  <c r="F1942" i="250"/>
  <c r="H1942" i="250" s="1"/>
  <c r="E1935" i="250"/>
  <c r="E1943" i="250"/>
  <c r="G1943" i="250" s="1"/>
  <c r="F1940" i="250"/>
  <c r="H1940" i="250" s="1"/>
  <c r="F1935" i="250"/>
  <c r="F1943" i="250"/>
  <c r="H1943" i="250" s="1"/>
  <c r="E1936" i="250"/>
  <c r="G1936" i="250" s="1"/>
  <c r="E1944" i="250"/>
  <c r="G1944" i="250" s="1"/>
  <c r="F1936" i="250"/>
  <c r="H1936" i="250" s="1"/>
  <c r="F1944" i="250"/>
  <c r="H1944" i="250" s="1"/>
  <c r="E1937" i="250"/>
  <c r="G1937" i="250" s="1"/>
  <c r="E1945" i="250"/>
  <c r="G1945" i="250" s="1"/>
  <c r="E1949" i="250"/>
  <c r="G1949" i="250" s="1"/>
  <c r="F1937" i="250"/>
  <c r="H1937" i="250" s="1"/>
  <c r="F1945" i="250"/>
  <c r="H1945" i="250" s="1"/>
  <c r="E1938" i="250"/>
  <c r="G1938" i="250" s="1"/>
  <c r="E1946" i="250"/>
  <c r="G1946" i="250" s="1"/>
  <c r="F1938" i="250"/>
  <c r="H1938" i="250" s="1"/>
  <c r="F1946" i="250"/>
  <c r="H1946" i="250" s="1"/>
  <c r="E1939" i="250"/>
  <c r="G1939" i="250" s="1"/>
  <c r="E1947" i="250"/>
  <c r="G1947" i="250" s="1"/>
  <c r="F1939" i="250"/>
  <c r="H1939" i="250" s="1"/>
  <c r="F1947" i="250"/>
  <c r="H1947" i="250" s="1"/>
  <c r="E1940" i="250"/>
  <c r="G1940" i="250" s="1"/>
  <c r="E1948" i="250"/>
  <c r="G1948" i="250" s="1"/>
  <c r="F1948" i="250"/>
  <c r="H1948" i="250" s="1"/>
  <c r="F1418" i="250"/>
  <c r="H1418" i="250" s="1"/>
  <c r="F1353" i="250"/>
  <c r="H1353" i="250" s="1"/>
  <c r="F1361" i="250"/>
  <c r="H1361" i="250" s="1"/>
  <c r="E1354" i="250"/>
  <c r="G1354" i="250" s="1"/>
  <c r="F1351" i="250"/>
  <c r="H1351" i="250" s="1"/>
  <c r="F1360" i="250"/>
  <c r="H1360" i="250" s="1"/>
  <c r="F1354" i="250"/>
  <c r="H1354" i="250" s="1"/>
  <c r="E1347" i="250"/>
  <c r="E1355" i="250"/>
  <c r="G1355" i="250" s="1"/>
  <c r="F1359" i="250"/>
  <c r="H1359" i="250" s="1"/>
  <c r="E1353" i="250"/>
  <c r="G1353" i="250" s="1"/>
  <c r="F1347" i="250"/>
  <c r="F1355" i="250"/>
  <c r="H1355" i="250" s="1"/>
  <c r="E1348" i="250"/>
  <c r="G1348" i="250" s="1"/>
  <c r="E1356" i="250"/>
  <c r="G1356" i="250" s="1"/>
  <c r="E1352" i="250"/>
  <c r="G1352" i="250" s="1"/>
  <c r="F1352" i="250"/>
  <c r="H1352" i="250" s="1"/>
  <c r="F1348" i="250"/>
  <c r="H1348" i="250" s="1"/>
  <c r="F1356" i="250"/>
  <c r="H1356" i="250" s="1"/>
  <c r="E1349" i="250"/>
  <c r="G1349" i="250" s="1"/>
  <c r="E1357" i="250"/>
  <c r="G1357" i="250" s="1"/>
  <c r="E1360" i="250"/>
  <c r="G1360" i="250" s="1"/>
  <c r="E1361" i="250"/>
  <c r="G1361" i="250" s="1"/>
  <c r="F1349" i="250"/>
  <c r="H1349" i="250" s="1"/>
  <c r="F1357" i="250"/>
  <c r="H1357" i="250" s="1"/>
  <c r="E1350" i="250"/>
  <c r="G1350" i="250" s="1"/>
  <c r="E1358" i="250"/>
  <c r="G1358" i="250" s="1"/>
  <c r="F1350" i="250"/>
  <c r="H1350" i="250" s="1"/>
  <c r="F1358" i="250"/>
  <c r="H1358" i="250" s="1"/>
  <c r="E1351" i="250"/>
  <c r="G1351" i="250" s="1"/>
  <c r="E1359" i="250"/>
  <c r="G1359" i="250" s="1"/>
  <c r="F1335" i="250"/>
  <c r="H1335" i="250" s="1"/>
  <c r="F1269" i="250"/>
  <c r="H1269" i="250" s="1"/>
  <c r="F1277" i="250"/>
  <c r="H1277" i="250" s="1"/>
  <c r="E1270" i="250"/>
  <c r="G1270" i="250" s="1"/>
  <c r="F1268" i="250"/>
  <c r="H1268" i="250" s="1"/>
  <c r="F1270" i="250"/>
  <c r="H1270" i="250" s="1"/>
  <c r="E1263" i="250"/>
  <c r="E1271" i="250"/>
  <c r="G1271" i="250" s="1"/>
  <c r="F1276" i="250"/>
  <c r="H1276" i="250" s="1"/>
  <c r="F1263" i="250"/>
  <c r="F1271" i="250"/>
  <c r="H1271" i="250" s="1"/>
  <c r="E1264" i="250"/>
  <c r="G1264" i="250" s="1"/>
  <c r="E1272" i="250"/>
  <c r="G1272" i="250" s="1"/>
  <c r="E1269" i="250"/>
  <c r="G1269" i="250" s="1"/>
  <c r="F1264" i="250"/>
  <c r="H1264" i="250" s="1"/>
  <c r="F1272" i="250"/>
  <c r="H1272" i="250" s="1"/>
  <c r="E1265" i="250"/>
  <c r="G1265" i="250" s="1"/>
  <c r="E1273" i="250"/>
  <c r="G1273" i="250" s="1"/>
  <c r="F1265" i="250"/>
  <c r="H1265" i="250" s="1"/>
  <c r="F1273" i="250"/>
  <c r="H1273" i="250" s="1"/>
  <c r="E1266" i="250"/>
  <c r="G1266" i="250" s="1"/>
  <c r="E1274" i="250"/>
  <c r="G1274" i="250" s="1"/>
  <c r="F1266" i="250"/>
  <c r="H1266" i="250" s="1"/>
  <c r="F1274" i="250"/>
  <c r="H1274" i="250" s="1"/>
  <c r="E1267" i="250"/>
  <c r="G1267" i="250" s="1"/>
  <c r="E1275" i="250"/>
  <c r="G1275" i="250" s="1"/>
  <c r="F1267" i="250"/>
  <c r="H1267" i="250" s="1"/>
  <c r="F1275" i="250"/>
  <c r="H1275" i="250" s="1"/>
  <c r="E1268" i="250"/>
  <c r="G1268" i="250" s="1"/>
  <c r="E1276" i="250"/>
  <c r="G1276" i="250" s="1"/>
  <c r="E1277" i="250"/>
  <c r="G1277" i="250" s="1"/>
  <c r="F910" i="250"/>
  <c r="H910" i="250" s="1"/>
  <c r="F849" i="250"/>
  <c r="H849" i="250" s="1"/>
  <c r="F857" i="250"/>
  <c r="H857" i="250" s="1"/>
  <c r="E850" i="250"/>
  <c r="G850" i="250" s="1"/>
  <c r="F848" i="250"/>
  <c r="H848" i="250" s="1"/>
  <c r="F850" i="250"/>
  <c r="H850" i="250" s="1"/>
  <c r="E843" i="250"/>
  <c r="E851" i="250"/>
  <c r="G851" i="250" s="1"/>
  <c r="F843" i="250"/>
  <c r="F851" i="250"/>
  <c r="H851" i="250" s="1"/>
  <c r="E844" i="250"/>
  <c r="G844" i="250" s="1"/>
  <c r="E852" i="250"/>
  <c r="G852" i="250" s="1"/>
  <c r="F844" i="250"/>
  <c r="H844" i="250" s="1"/>
  <c r="F852" i="250"/>
  <c r="H852" i="250" s="1"/>
  <c r="E845" i="250"/>
  <c r="G845" i="250" s="1"/>
  <c r="E853" i="250"/>
  <c r="G853" i="250" s="1"/>
  <c r="E849" i="250"/>
  <c r="G849" i="250" s="1"/>
  <c r="F845" i="250"/>
  <c r="H845" i="250" s="1"/>
  <c r="F853" i="250"/>
  <c r="H853" i="250" s="1"/>
  <c r="E846" i="250"/>
  <c r="G846" i="250" s="1"/>
  <c r="E854" i="250"/>
  <c r="G854" i="250" s="1"/>
  <c r="E857" i="250"/>
  <c r="G857" i="250" s="1"/>
  <c r="F846" i="250"/>
  <c r="H846" i="250" s="1"/>
  <c r="F854" i="250"/>
  <c r="H854" i="250" s="1"/>
  <c r="E847" i="250"/>
  <c r="G847" i="250" s="1"/>
  <c r="E855" i="250"/>
  <c r="G855" i="250" s="1"/>
  <c r="F847" i="250"/>
  <c r="H847" i="250" s="1"/>
  <c r="F855" i="250"/>
  <c r="H855" i="250" s="1"/>
  <c r="E848" i="250"/>
  <c r="G848" i="250" s="1"/>
  <c r="E856" i="250"/>
  <c r="G856" i="250" s="1"/>
  <c r="F856" i="250"/>
  <c r="H856" i="250" s="1"/>
  <c r="F830" i="250"/>
  <c r="H830" i="250" s="1"/>
  <c r="F765" i="250"/>
  <c r="H765" i="250" s="1"/>
  <c r="F773" i="250"/>
  <c r="H773" i="250" s="1"/>
  <c r="E766" i="250"/>
  <c r="G766" i="250" s="1"/>
  <c r="F771" i="250"/>
  <c r="H771" i="250" s="1"/>
  <c r="E765" i="250"/>
  <c r="G765" i="250" s="1"/>
  <c r="F766" i="250"/>
  <c r="H766" i="250" s="1"/>
  <c r="E759" i="250"/>
  <c r="E767" i="250"/>
  <c r="G767" i="250" s="1"/>
  <c r="F763" i="250"/>
  <c r="H763" i="250" s="1"/>
  <c r="F772" i="250"/>
  <c r="H772" i="250" s="1"/>
  <c r="F759" i="250"/>
  <c r="F767" i="250"/>
  <c r="H767" i="250" s="1"/>
  <c r="E760" i="250"/>
  <c r="G760" i="250" s="1"/>
  <c r="E768" i="250"/>
  <c r="G768" i="250" s="1"/>
  <c r="E773" i="250"/>
  <c r="G773" i="250" s="1"/>
  <c r="F760" i="250"/>
  <c r="H760" i="250" s="1"/>
  <c r="F768" i="250"/>
  <c r="H768" i="250" s="1"/>
  <c r="E761" i="250"/>
  <c r="G761" i="250" s="1"/>
  <c r="E769" i="250"/>
  <c r="G769" i="250" s="1"/>
  <c r="E772" i="250"/>
  <c r="G772" i="250" s="1"/>
  <c r="F764" i="250"/>
  <c r="H764" i="250" s="1"/>
  <c r="F761" i="250"/>
  <c r="H761" i="250" s="1"/>
  <c r="F769" i="250"/>
  <c r="H769" i="250" s="1"/>
  <c r="E762" i="250"/>
  <c r="G762" i="250" s="1"/>
  <c r="E770" i="250"/>
  <c r="G770" i="250" s="1"/>
  <c r="F762" i="250"/>
  <c r="H762" i="250" s="1"/>
  <c r="F770" i="250"/>
  <c r="H770" i="250" s="1"/>
  <c r="E763" i="250"/>
  <c r="G763" i="250" s="1"/>
  <c r="E771" i="250"/>
  <c r="G771" i="250" s="1"/>
  <c r="E764" i="250"/>
  <c r="G764" i="250" s="1"/>
  <c r="F572" i="250"/>
  <c r="H572" i="250" s="1"/>
  <c r="F513" i="250"/>
  <c r="H513" i="250" s="1"/>
  <c r="F521" i="250"/>
  <c r="H521" i="250" s="1"/>
  <c r="E514" i="250"/>
  <c r="G514" i="250" s="1"/>
  <c r="E509" i="250"/>
  <c r="G509" i="250" s="1"/>
  <c r="F514" i="250"/>
  <c r="H514" i="250" s="1"/>
  <c r="E507" i="250"/>
  <c r="E515" i="250"/>
  <c r="G515" i="250" s="1"/>
  <c r="F508" i="250"/>
  <c r="H508" i="250" s="1"/>
  <c r="E517" i="250"/>
  <c r="G517" i="250" s="1"/>
  <c r="F507" i="250"/>
  <c r="F515" i="250"/>
  <c r="H515" i="250" s="1"/>
  <c r="E508" i="250"/>
  <c r="G508" i="250" s="1"/>
  <c r="E516" i="250"/>
  <c r="G516" i="250" s="1"/>
  <c r="F516" i="250"/>
  <c r="H516" i="250" s="1"/>
  <c r="F509" i="250"/>
  <c r="H509" i="250" s="1"/>
  <c r="F517" i="250"/>
  <c r="H517" i="250" s="1"/>
  <c r="E510" i="250"/>
  <c r="G510" i="250" s="1"/>
  <c r="E518" i="250"/>
  <c r="G518" i="250" s="1"/>
  <c r="F518" i="250"/>
  <c r="H518" i="250" s="1"/>
  <c r="E513" i="250"/>
  <c r="G513" i="250" s="1"/>
  <c r="F510" i="250"/>
  <c r="H510" i="250" s="1"/>
  <c r="E511" i="250"/>
  <c r="G511" i="250" s="1"/>
  <c r="E519" i="250"/>
  <c r="G519" i="250" s="1"/>
  <c r="F512" i="250"/>
  <c r="H512" i="250" s="1"/>
  <c r="F511" i="250"/>
  <c r="H511" i="250" s="1"/>
  <c r="F519" i="250"/>
  <c r="H519" i="250" s="1"/>
  <c r="E512" i="250"/>
  <c r="G512" i="250" s="1"/>
  <c r="E520" i="250"/>
  <c r="G520" i="250" s="1"/>
  <c r="F520" i="250"/>
  <c r="H520" i="250" s="1"/>
  <c r="E521" i="250"/>
  <c r="G521" i="250" s="1"/>
  <c r="F491" i="250"/>
  <c r="H491" i="250" s="1"/>
  <c r="F429" i="250"/>
  <c r="H429" i="250" s="1"/>
  <c r="F437" i="250"/>
  <c r="H437" i="250" s="1"/>
  <c r="E430" i="250"/>
  <c r="G430" i="250" s="1"/>
  <c r="F430" i="250"/>
  <c r="H430" i="250" s="1"/>
  <c r="E423" i="250"/>
  <c r="E431" i="250"/>
  <c r="G431" i="250" s="1"/>
  <c r="E436" i="250"/>
  <c r="G436" i="250" s="1"/>
  <c r="E437" i="250"/>
  <c r="G437" i="250" s="1"/>
  <c r="F423" i="250"/>
  <c r="F431" i="250"/>
  <c r="H431" i="250" s="1"/>
  <c r="E424" i="250"/>
  <c r="G424" i="250" s="1"/>
  <c r="E432" i="250"/>
  <c r="G432" i="250" s="1"/>
  <c r="E428" i="250"/>
  <c r="G428" i="250" s="1"/>
  <c r="E429" i="250"/>
  <c r="G429" i="250" s="1"/>
  <c r="F424" i="250"/>
  <c r="H424" i="250" s="1"/>
  <c r="F432" i="250"/>
  <c r="H432" i="250" s="1"/>
  <c r="E425" i="250"/>
  <c r="G425" i="250" s="1"/>
  <c r="E433" i="250"/>
  <c r="G433" i="250" s="1"/>
  <c r="F425" i="250"/>
  <c r="H425" i="250" s="1"/>
  <c r="F433" i="250"/>
  <c r="H433" i="250" s="1"/>
  <c r="E426" i="250"/>
  <c r="G426" i="250" s="1"/>
  <c r="E434" i="250"/>
  <c r="G434" i="250" s="1"/>
  <c r="F435" i="250"/>
  <c r="H435" i="250" s="1"/>
  <c r="F428" i="250"/>
  <c r="H428" i="250" s="1"/>
  <c r="F426" i="250"/>
  <c r="H426" i="250" s="1"/>
  <c r="F434" i="250"/>
  <c r="H434" i="250" s="1"/>
  <c r="E427" i="250"/>
  <c r="G427" i="250" s="1"/>
  <c r="E435" i="250"/>
  <c r="G435" i="250" s="1"/>
  <c r="F427" i="250"/>
  <c r="H427" i="250" s="1"/>
  <c r="F436" i="250"/>
  <c r="H436" i="250" s="1"/>
  <c r="F158" i="250"/>
  <c r="H158" i="250" s="1"/>
  <c r="F93" i="250"/>
  <c r="H93" i="250" s="1"/>
  <c r="F101" i="250"/>
  <c r="H101" i="250" s="1"/>
  <c r="E94" i="250"/>
  <c r="G94" i="250" s="1"/>
  <c r="F100" i="250"/>
  <c r="H100" i="250" s="1"/>
  <c r="F94" i="250"/>
  <c r="H94" i="250" s="1"/>
  <c r="E87" i="250"/>
  <c r="E95" i="250"/>
  <c r="G95" i="250" s="1"/>
  <c r="F92" i="250"/>
  <c r="H92" i="250" s="1"/>
  <c r="F87" i="250"/>
  <c r="F95" i="250"/>
  <c r="H95" i="250" s="1"/>
  <c r="E88" i="250"/>
  <c r="G88" i="250" s="1"/>
  <c r="E96" i="250"/>
  <c r="G96" i="250" s="1"/>
  <c r="E93" i="250"/>
  <c r="G93" i="250" s="1"/>
  <c r="F88" i="250"/>
  <c r="H88" i="250" s="1"/>
  <c r="F96" i="250"/>
  <c r="H96" i="250" s="1"/>
  <c r="E89" i="250"/>
  <c r="G89" i="250" s="1"/>
  <c r="E97" i="250"/>
  <c r="G97" i="250" s="1"/>
  <c r="E101" i="250"/>
  <c r="G101" i="250" s="1"/>
  <c r="F89" i="250"/>
  <c r="H89" i="250" s="1"/>
  <c r="F97" i="250"/>
  <c r="H97" i="250" s="1"/>
  <c r="E90" i="250"/>
  <c r="G90" i="250" s="1"/>
  <c r="E98" i="250"/>
  <c r="G98" i="250" s="1"/>
  <c r="F90" i="250"/>
  <c r="H90" i="250" s="1"/>
  <c r="F98" i="250"/>
  <c r="H98" i="250" s="1"/>
  <c r="E91" i="250"/>
  <c r="G91" i="250" s="1"/>
  <c r="E99" i="250"/>
  <c r="G99" i="250" s="1"/>
  <c r="F91" i="250"/>
  <c r="H91" i="250" s="1"/>
  <c r="F99" i="250"/>
  <c r="H99" i="250" s="1"/>
  <c r="E92" i="250"/>
  <c r="G92" i="250" s="1"/>
  <c r="E100" i="250"/>
  <c r="G100" i="250" s="1"/>
  <c r="D572" i="309"/>
  <c r="E564" i="329"/>
  <c r="D558" i="309"/>
  <c r="E562" i="329"/>
  <c r="E568" i="329"/>
  <c r="D487" i="329"/>
  <c r="D486" i="329"/>
  <c r="D460" i="309"/>
  <c r="D482" i="329"/>
  <c r="D474" i="309"/>
  <c r="D483" i="329"/>
  <c r="E323" i="311"/>
  <c r="F264" i="286" s="1"/>
  <c r="D292" i="309"/>
  <c r="E331" i="329"/>
  <c r="D306" i="309"/>
  <c r="E333" i="329"/>
  <c r="E339" i="329"/>
  <c r="E337" i="329"/>
  <c r="F339" i="311"/>
  <c r="F308" i="286" s="1"/>
  <c r="D208" i="309"/>
  <c r="E252" i="329"/>
  <c r="D222" i="309"/>
  <c r="E254" i="329"/>
  <c r="E260" i="329"/>
  <c r="H323" i="311"/>
  <c r="E2555" i="250"/>
  <c r="G2555" i="250" s="1"/>
  <c r="F2557" i="250"/>
  <c r="H2557" i="250" s="1"/>
  <c r="E2569" i="250"/>
  <c r="G2569" i="250" s="1"/>
  <c r="F323" i="311"/>
  <c r="F265" i="286" s="1"/>
  <c r="F2639" i="250"/>
  <c r="H2639" i="250" s="1"/>
  <c r="F2572" i="250"/>
  <c r="H2572" i="250" s="1"/>
  <c r="E2552" i="250"/>
  <c r="G2552" i="250" s="1"/>
  <c r="F2549" i="250"/>
  <c r="H2549" i="250" s="1"/>
  <c r="E60" i="311"/>
  <c r="F141" i="283" s="1"/>
  <c r="E339" i="311"/>
  <c r="F307" i="286" s="1"/>
  <c r="H60" i="311"/>
  <c r="G323" i="311"/>
  <c r="D96" i="309"/>
  <c r="E117" i="329"/>
  <c r="F2554" i="250"/>
  <c r="H2554" i="250" s="1"/>
  <c r="E2051" i="250"/>
  <c r="G2051" i="250" s="1"/>
  <c r="E2577" i="250"/>
  <c r="G2577" i="250" s="1"/>
  <c r="E2049" i="250"/>
  <c r="G2049" i="250" s="1"/>
  <c r="H339" i="311"/>
  <c r="G60" i="311"/>
  <c r="F60" i="311"/>
  <c r="F142" i="283" s="1"/>
  <c r="E2554" i="250"/>
  <c r="G2554" i="250" s="1"/>
  <c r="F2556" i="250"/>
  <c r="H2556" i="250" s="1"/>
  <c r="F2576" i="250"/>
  <c r="H2576" i="250" s="1"/>
  <c r="E2001" i="250"/>
  <c r="G2001" i="250" s="1"/>
  <c r="E2553" i="250"/>
  <c r="G2553" i="250" s="1"/>
  <c r="F2555" i="250"/>
  <c r="H2555" i="250" s="1"/>
  <c r="F2575" i="250"/>
  <c r="H2575" i="250" s="1"/>
  <c r="F2571" i="250"/>
  <c r="H2571" i="250" s="1"/>
  <c r="H399" i="311"/>
  <c r="F2553" i="250"/>
  <c r="H2553" i="250" s="1"/>
  <c r="E789" i="250"/>
  <c r="G789" i="250" s="1"/>
  <c r="E2550" i="250"/>
  <c r="G2550" i="250" s="1"/>
  <c r="F2552" i="250"/>
  <c r="H2552" i="250" s="1"/>
  <c r="E2575" i="250"/>
  <c r="G2575" i="250" s="1"/>
  <c r="F2569" i="250"/>
  <c r="H2569" i="250" s="1"/>
  <c r="G339" i="311"/>
  <c r="E2576" i="250"/>
  <c r="G2576" i="250" s="1"/>
  <c r="E2557" i="250"/>
  <c r="G2557" i="250" s="1"/>
  <c r="E2549" i="250"/>
  <c r="G2549" i="250" s="1"/>
  <c r="F2551" i="250"/>
  <c r="H2551" i="250" s="1"/>
  <c r="E2574" i="250"/>
  <c r="G2574" i="250" s="1"/>
  <c r="E2551" i="250"/>
  <c r="G2551" i="250" s="1"/>
  <c r="F788" i="250"/>
  <c r="H788" i="250" s="1"/>
  <c r="E1985" i="250"/>
  <c r="G1985" i="250" s="1"/>
  <c r="E2556" i="250"/>
  <c r="G2556" i="250" s="1"/>
  <c r="E2548" i="250"/>
  <c r="G2548" i="250" s="1"/>
  <c r="F2550" i="250"/>
  <c r="H2550" i="250" s="1"/>
  <c r="E2572" i="250"/>
  <c r="G2572" i="250" s="1"/>
  <c r="F1292" i="250"/>
  <c r="H1292" i="250" s="1"/>
  <c r="F2051" i="250"/>
  <c r="H2051" i="250" s="1"/>
  <c r="E399" i="311"/>
  <c r="F133" i="247" s="1"/>
  <c r="F1288" i="250"/>
  <c r="H1288" i="250" s="1"/>
  <c r="F2044" i="250"/>
  <c r="H2044" i="250" s="1"/>
  <c r="E2637" i="250"/>
  <c r="G2637" i="250" s="1"/>
  <c r="E2659" i="250"/>
  <c r="G2659" i="250" s="1"/>
  <c r="E2635" i="250"/>
  <c r="G2635" i="250" s="1"/>
  <c r="E2655" i="250"/>
  <c r="G2655" i="250" s="1"/>
  <c r="F2637" i="250"/>
  <c r="H2637" i="250" s="1"/>
  <c r="E2633" i="250"/>
  <c r="G2633" i="250" s="1"/>
  <c r="F2641" i="250"/>
  <c r="H2641" i="250" s="1"/>
  <c r="E2047" i="250"/>
  <c r="G2047" i="250" s="1"/>
  <c r="E2070" i="250"/>
  <c r="G2070" i="250" s="1"/>
  <c r="E1308" i="250"/>
  <c r="G1308" i="250" s="1"/>
  <c r="E2046" i="250"/>
  <c r="G2046" i="250" s="1"/>
  <c r="F2064" i="250"/>
  <c r="H2064" i="250" s="1"/>
  <c r="E1294" i="250"/>
  <c r="G1294" i="250" s="1"/>
  <c r="F2050" i="250"/>
  <c r="H2050" i="250" s="1"/>
  <c r="F1296" i="250"/>
  <c r="H1296" i="250" s="1"/>
  <c r="F2049" i="250"/>
  <c r="H2049" i="250" s="1"/>
  <c r="E2048" i="250"/>
  <c r="G2048" i="250" s="1"/>
  <c r="E2068" i="250"/>
  <c r="G2068" i="250" s="1"/>
  <c r="F2048" i="250"/>
  <c r="H2048" i="250" s="1"/>
  <c r="F2053" i="250"/>
  <c r="H2053" i="250" s="1"/>
  <c r="E2071" i="250"/>
  <c r="G2071" i="250" s="1"/>
  <c r="E1292" i="250"/>
  <c r="G1292" i="250" s="1"/>
  <c r="F1312" i="250"/>
  <c r="H1312" i="250" s="1"/>
  <c r="G399" i="311"/>
  <c r="E1290" i="250"/>
  <c r="G1290" i="250" s="1"/>
  <c r="F812" i="250"/>
  <c r="H812" i="250" s="1"/>
  <c r="E1288" i="250"/>
  <c r="G1288" i="250" s="1"/>
  <c r="E1316" i="250"/>
  <c r="G1316" i="250" s="1"/>
  <c r="E1314" i="250"/>
  <c r="G1314" i="250" s="1"/>
  <c r="E1330" i="250"/>
  <c r="G1330" i="250" s="1"/>
  <c r="F897" i="250"/>
  <c r="H897" i="250" s="1"/>
  <c r="F1294" i="250"/>
  <c r="H1294" i="250" s="1"/>
  <c r="E1312" i="250"/>
  <c r="G1312" i="250" s="1"/>
  <c r="F793" i="250"/>
  <c r="H793" i="250" s="1"/>
  <c r="E1296" i="250"/>
  <c r="G1296" i="250" s="1"/>
  <c r="F1290" i="250"/>
  <c r="H1290" i="250" s="1"/>
  <c r="F1316" i="250"/>
  <c r="H1316" i="250" s="1"/>
  <c r="F1314" i="250"/>
  <c r="H1314" i="250" s="1"/>
  <c r="F399" i="311"/>
  <c r="F134" i="247" s="1"/>
  <c r="F2661" i="250"/>
  <c r="H2661" i="250" s="1"/>
  <c r="F2657" i="250"/>
  <c r="H2657" i="250" s="1"/>
  <c r="E2053" i="250"/>
  <c r="G2053" i="250" s="1"/>
  <c r="E2045" i="250"/>
  <c r="G2045" i="250" s="1"/>
  <c r="F2047" i="250"/>
  <c r="H2047" i="250" s="1"/>
  <c r="E2064" i="250"/>
  <c r="G2064" i="250" s="1"/>
  <c r="E2641" i="250"/>
  <c r="G2641" i="250" s="1"/>
  <c r="F2635" i="250"/>
  <c r="H2635" i="250" s="1"/>
  <c r="F2653" i="250"/>
  <c r="H2653" i="250" s="1"/>
  <c r="F2548" i="250"/>
  <c r="H2548" i="250" s="1"/>
  <c r="E2571" i="250"/>
  <c r="G2571" i="250" s="1"/>
  <c r="E2052" i="250"/>
  <c r="G2052" i="250" s="1"/>
  <c r="E2044" i="250"/>
  <c r="G2044" i="250" s="1"/>
  <c r="F2046" i="250"/>
  <c r="H2046" i="250" s="1"/>
  <c r="F2070" i="250"/>
  <c r="H2070" i="250" s="1"/>
  <c r="E2639" i="250"/>
  <c r="G2639" i="250" s="1"/>
  <c r="F2633" i="250"/>
  <c r="H2633" i="250" s="1"/>
  <c r="E2570" i="250"/>
  <c r="G2570" i="250" s="1"/>
  <c r="E2050" i="250"/>
  <c r="G2050" i="250" s="1"/>
  <c r="F2052" i="250"/>
  <c r="H2052" i="250" s="1"/>
  <c r="E2680" i="250"/>
  <c r="G2680" i="250" s="1"/>
  <c r="F2681" i="250"/>
  <c r="H2681" i="250" s="1"/>
  <c r="E2066" i="250"/>
  <c r="G2066" i="250" s="1"/>
  <c r="E2073" i="250"/>
  <c r="G2073" i="250" s="1"/>
  <c r="F2073" i="250"/>
  <c r="H2073" i="250" s="1"/>
  <c r="E2092" i="250"/>
  <c r="G2092" i="250" s="1"/>
  <c r="E2072" i="250"/>
  <c r="G2072" i="250" s="1"/>
  <c r="F2072" i="250"/>
  <c r="H2072" i="250" s="1"/>
  <c r="E2091" i="250"/>
  <c r="G2091" i="250" s="1"/>
  <c r="F2071" i="250"/>
  <c r="H2071" i="250" s="1"/>
  <c r="F2045" i="250"/>
  <c r="H2045" i="250" s="1"/>
  <c r="E2069" i="250"/>
  <c r="G2069" i="250" s="1"/>
  <c r="F2068" i="250"/>
  <c r="H2068" i="250" s="1"/>
  <c r="E2634" i="250"/>
  <c r="G2634" i="250" s="1"/>
  <c r="F2636" i="250"/>
  <c r="H2636" i="250" s="1"/>
  <c r="E2660" i="250"/>
  <c r="G2660" i="250" s="1"/>
  <c r="E2652" i="250"/>
  <c r="G2652" i="250" s="1"/>
  <c r="F2654" i="250"/>
  <c r="H2654" i="250" s="1"/>
  <c r="E2675" i="250"/>
  <c r="G2675" i="250" s="1"/>
  <c r="E2640" i="250"/>
  <c r="G2640" i="250" s="1"/>
  <c r="E2632" i="250"/>
  <c r="G2632" i="250" s="1"/>
  <c r="F2634" i="250"/>
  <c r="H2634" i="250" s="1"/>
  <c r="E2658" i="250"/>
  <c r="G2658" i="250" s="1"/>
  <c r="F2660" i="250"/>
  <c r="H2660" i="250" s="1"/>
  <c r="F2652" i="250"/>
  <c r="H2652" i="250" s="1"/>
  <c r="F2679" i="250"/>
  <c r="H2679" i="250" s="1"/>
  <c r="E2657" i="250"/>
  <c r="G2657" i="250" s="1"/>
  <c r="F2659" i="250"/>
  <c r="H2659" i="250" s="1"/>
  <c r="F2678" i="250"/>
  <c r="H2678" i="250" s="1"/>
  <c r="E2638" i="250"/>
  <c r="G2638" i="250" s="1"/>
  <c r="F2640" i="250"/>
  <c r="H2640" i="250" s="1"/>
  <c r="F2632" i="250"/>
  <c r="H2632" i="250" s="1"/>
  <c r="E2656" i="250"/>
  <c r="G2656" i="250" s="1"/>
  <c r="F2658" i="250"/>
  <c r="H2658" i="250" s="1"/>
  <c r="F2675" i="250"/>
  <c r="H2675" i="250" s="1"/>
  <c r="E2636" i="250"/>
  <c r="G2636" i="250" s="1"/>
  <c r="F2638" i="250"/>
  <c r="H2638" i="250" s="1"/>
  <c r="E2654" i="250"/>
  <c r="G2654" i="250" s="1"/>
  <c r="F2656" i="250"/>
  <c r="H2656" i="250" s="1"/>
  <c r="E2679" i="250"/>
  <c r="G2679" i="250" s="1"/>
  <c r="E2661" i="250"/>
  <c r="G2661" i="250" s="1"/>
  <c r="E2653" i="250"/>
  <c r="G2653" i="250" s="1"/>
  <c r="F2655" i="250"/>
  <c r="H2655" i="250" s="1"/>
  <c r="E2678" i="250"/>
  <c r="G2678" i="250" s="1"/>
  <c r="E1334" i="250"/>
  <c r="G1334" i="250" s="1"/>
  <c r="F1328" i="250"/>
  <c r="H1328" i="250" s="1"/>
  <c r="E1332" i="250"/>
  <c r="G1332" i="250" s="1"/>
  <c r="F1310" i="250"/>
  <c r="H1310" i="250" s="1"/>
  <c r="E1328" i="250"/>
  <c r="G1328" i="250" s="1"/>
  <c r="F1308" i="250"/>
  <c r="H1308" i="250" s="1"/>
  <c r="F1336" i="250"/>
  <c r="H1336" i="250" s="1"/>
  <c r="F1334" i="250"/>
  <c r="H1334" i="250" s="1"/>
  <c r="E1310" i="250"/>
  <c r="G1310" i="250" s="1"/>
  <c r="F1332" i="250"/>
  <c r="H1332" i="250" s="1"/>
  <c r="E1336" i="250"/>
  <c r="G1336" i="250" s="1"/>
  <c r="F1330" i="250"/>
  <c r="H1330" i="250" s="1"/>
  <c r="F1399" i="250"/>
  <c r="H1399" i="250" s="1"/>
  <c r="E1295" i="250"/>
  <c r="G1295" i="250" s="1"/>
  <c r="F1297" i="250"/>
  <c r="H1297" i="250" s="1"/>
  <c r="F1289" i="250"/>
  <c r="H1289" i="250" s="1"/>
  <c r="E1313" i="250"/>
  <c r="G1313" i="250" s="1"/>
  <c r="F1315" i="250"/>
  <c r="H1315" i="250" s="1"/>
  <c r="E1331" i="250"/>
  <c r="G1331" i="250" s="1"/>
  <c r="F1333" i="250"/>
  <c r="H1333" i="250" s="1"/>
  <c r="E1379" i="250"/>
  <c r="G1379" i="250" s="1"/>
  <c r="E1293" i="250"/>
  <c r="G1293" i="250" s="1"/>
  <c r="F1295" i="250"/>
  <c r="H1295" i="250" s="1"/>
  <c r="E1311" i="250"/>
  <c r="G1311" i="250" s="1"/>
  <c r="F1313" i="250"/>
  <c r="H1313" i="250" s="1"/>
  <c r="E1337" i="250"/>
  <c r="G1337" i="250" s="1"/>
  <c r="E1329" i="250"/>
  <c r="G1329" i="250" s="1"/>
  <c r="F1331" i="250"/>
  <c r="H1331" i="250" s="1"/>
  <c r="F1381" i="250"/>
  <c r="H1381" i="250" s="1"/>
  <c r="E1415" i="250"/>
  <c r="G1415" i="250" s="1"/>
  <c r="F1373" i="250"/>
  <c r="H1373" i="250" s="1"/>
  <c r="E1291" i="250"/>
  <c r="G1291" i="250" s="1"/>
  <c r="F1293" i="250"/>
  <c r="H1293" i="250" s="1"/>
  <c r="E1317" i="250"/>
  <c r="G1317" i="250" s="1"/>
  <c r="E1309" i="250"/>
  <c r="G1309" i="250" s="1"/>
  <c r="F1311" i="250"/>
  <c r="H1311" i="250" s="1"/>
  <c r="E1335" i="250"/>
  <c r="G1335" i="250" s="1"/>
  <c r="F1337" i="250"/>
  <c r="H1337" i="250" s="1"/>
  <c r="F1329" i="250"/>
  <c r="H1329" i="250" s="1"/>
  <c r="E1297" i="250"/>
  <c r="G1297" i="250" s="1"/>
  <c r="E1289" i="250"/>
  <c r="G1289" i="250" s="1"/>
  <c r="F1291" i="250"/>
  <c r="H1291" i="250" s="1"/>
  <c r="E1315" i="250"/>
  <c r="G1315" i="250" s="1"/>
  <c r="F1317" i="250"/>
  <c r="H1317" i="250" s="1"/>
  <c r="F1309" i="250"/>
  <c r="H1309" i="250" s="1"/>
  <c r="E1333" i="250"/>
  <c r="G1333" i="250" s="1"/>
  <c r="E1397" i="250"/>
  <c r="G1397" i="250" s="1"/>
  <c r="F1417" i="250"/>
  <c r="H1417" i="250" s="1"/>
  <c r="E1378" i="250"/>
  <c r="G1378" i="250" s="1"/>
  <c r="F1380" i="250"/>
  <c r="H1380" i="250" s="1"/>
  <c r="F1372" i="250"/>
  <c r="H1372" i="250" s="1"/>
  <c r="E1396" i="250"/>
  <c r="G1396" i="250" s="1"/>
  <c r="F1398" i="250"/>
  <c r="H1398" i="250" s="1"/>
  <c r="E1414" i="250"/>
  <c r="G1414" i="250" s="1"/>
  <c r="F1416" i="250"/>
  <c r="H1416" i="250" s="1"/>
  <c r="E1377" i="250"/>
  <c r="G1377" i="250" s="1"/>
  <c r="F1379" i="250"/>
  <c r="H1379" i="250" s="1"/>
  <c r="E1395" i="250"/>
  <c r="G1395" i="250" s="1"/>
  <c r="F1397" i="250"/>
  <c r="H1397" i="250" s="1"/>
  <c r="E1421" i="250"/>
  <c r="G1421" i="250" s="1"/>
  <c r="E1413" i="250"/>
  <c r="G1413" i="250" s="1"/>
  <c r="F1415" i="250"/>
  <c r="H1415" i="250" s="1"/>
  <c r="E1376" i="250"/>
  <c r="G1376" i="250" s="1"/>
  <c r="F1378" i="250"/>
  <c r="H1378" i="250" s="1"/>
  <c r="E1394" i="250"/>
  <c r="G1394" i="250" s="1"/>
  <c r="F1396" i="250"/>
  <c r="H1396" i="250" s="1"/>
  <c r="E1420" i="250"/>
  <c r="G1420" i="250" s="1"/>
  <c r="E1412" i="250"/>
  <c r="G1412" i="250" s="1"/>
  <c r="F1414" i="250"/>
  <c r="H1414" i="250" s="1"/>
  <c r="E1375" i="250"/>
  <c r="G1375" i="250" s="1"/>
  <c r="F1377" i="250"/>
  <c r="H1377" i="250" s="1"/>
  <c r="E1401" i="250"/>
  <c r="G1401" i="250" s="1"/>
  <c r="E1393" i="250"/>
  <c r="G1393" i="250" s="1"/>
  <c r="F1395" i="250"/>
  <c r="H1395" i="250" s="1"/>
  <c r="E1419" i="250"/>
  <c r="G1419" i="250" s="1"/>
  <c r="F1421" i="250"/>
  <c r="H1421" i="250" s="1"/>
  <c r="F1413" i="250"/>
  <c r="H1413" i="250" s="1"/>
  <c r="E1374" i="250"/>
  <c r="G1374" i="250" s="1"/>
  <c r="F1376" i="250"/>
  <c r="H1376" i="250" s="1"/>
  <c r="E1400" i="250"/>
  <c r="G1400" i="250" s="1"/>
  <c r="E1392" i="250"/>
  <c r="G1392" i="250" s="1"/>
  <c r="F1394" i="250"/>
  <c r="H1394" i="250" s="1"/>
  <c r="E1418" i="250"/>
  <c r="G1418" i="250" s="1"/>
  <c r="F1420" i="250"/>
  <c r="H1420" i="250" s="1"/>
  <c r="F1412" i="250"/>
  <c r="H1412" i="250" s="1"/>
  <c r="E1381" i="250"/>
  <c r="G1381" i="250" s="1"/>
  <c r="E1373" i="250"/>
  <c r="G1373" i="250" s="1"/>
  <c r="F1375" i="250"/>
  <c r="H1375" i="250" s="1"/>
  <c r="E1399" i="250"/>
  <c r="G1399" i="250" s="1"/>
  <c r="F1401" i="250"/>
  <c r="H1401" i="250" s="1"/>
  <c r="F1393" i="250"/>
  <c r="H1393" i="250" s="1"/>
  <c r="E1417" i="250"/>
  <c r="G1417" i="250" s="1"/>
  <c r="F1419" i="250"/>
  <c r="H1419" i="250" s="1"/>
  <c r="E1380" i="250"/>
  <c r="G1380" i="250" s="1"/>
  <c r="E1372" i="250"/>
  <c r="G1372" i="250" s="1"/>
  <c r="F1374" i="250"/>
  <c r="H1374" i="250" s="1"/>
  <c r="E1398" i="250"/>
  <c r="G1398" i="250" s="1"/>
  <c r="F1400" i="250"/>
  <c r="H1400" i="250" s="1"/>
  <c r="F1392" i="250"/>
  <c r="H1392" i="250" s="1"/>
  <c r="E1416" i="250"/>
  <c r="G1416" i="250" s="1"/>
  <c r="E830" i="250"/>
  <c r="G830" i="250" s="1"/>
  <c r="E810" i="250"/>
  <c r="G810" i="250" s="1"/>
  <c r="E788" i="250"/>
  <c r="G788" i="250" s="1"/>
  <c r="E787" i="250"/>
  <c r="G787" i="250" s="1"/>
  <c r="F785" i="250"/>
  <c r="H785" i="250" s="1"/>
  <c r="F804" i="250"/>
  <c r="H804" i="250" s="1"/>
  <c r="F787" i="250"/>
  <c r="H787" i="250" s="1"/>
  <c r="E786" i="250"/>
  <c r="G786" i="250" s="1"/>
  <c r="E785" i="250"/>
  <c r="G785" i="250" s="1"/>
  <c r="E793" i="250"/>
  <c r="G793" i="250" s="1"/>
  <c r="F791" i="250"/>
  <c r="H791" i="250" s="1"/>
  <c r="E808" i="250"/>
  <c r="G808" i="250" s="1"/>
  <c r="E791" i="250"/>
  <c r="G791" i="250" s="1"/>
  <c r="F789" i="250"/>
  <c r="H789" i="250" s="1"/>
  <c r="E804" i="250"/>
  <c r="G804" i="250" s="1"/>
  <c r="F808" i="250"/>
  <c r="H808" i="250" s="1"/>
  <c r="E812" i="250"/>
  <c r="G812" i="250" s="1"/>
  <c r="F829" i="250"/>
  <c r="H829" i="250" s="1"/>
  <c r="E448" i="250"/>
  <c r="G448" i="250" s="1"/>
  <c r="F537" i="250"/>
  <c r="H537" i="250" s="1"/>
  <c r="E556" i="250"/>
  <c r="G556" i="250" s="1"/>
  <c r="E541" i="250"/>
  <c r="G541" i="250" s="1"/>
  <c r="E555" i="250"/>
  <c r="G555" i="250" s="1"/>
  <c r="E539" i="250"/>
  <c r="G539" i="250" s="1"/>
  <c r="E553" i="250"/>
  <c r="G553" i="250" s="1"/>
  <c r="F541" i="250"/>
  <c r="H541" i="250" s="1"/>
  <c r="F540" i="250"/>
  <c r="H540" i="250" s="1"/>
  <c r="E533" i="250"/>
  <c r="G533" i="250" s="1"/>
  <c r="E537" i="250"/>
  <c r="G537" i="250" s="1"/>
  <c r="F535" i="250"/>
  <c r="H535" i="250" s="1"/>
  <c r="F555" i="250"/>
  <c r="H555" i="250" s="1"/>
  <c r="E536" i="250"/>
  <c r="G536" i="250" s="1"/>
  <c r="F533" i="250"/>
  <c r="H533" i="250" s="1"/>
  <c r="F553" i="250"/>
  <c r="H553" i="250" s="1"/>
  <c r="E535" i="250"/>
  <c r="G535" i="250" s="1"/>
  <c r="F532" i="250"/>
  <c r="H532" i="250" s="1"/>
  <c r="E534" i="250"/>
  <c r="G534" i="250" s="1"/>
  <c r="E557" i="250"/>
  <c r="G557" i="250" s="1"/>
  <c r="F557" i="250"/>
  <c r="H557" i="250" s="1"/>
  <c r="E468" i="250"/>
  <c r="G468" i="250" s="1"/>
  <c r="E538" i="250"/>
  <c r="G538" i="250" s="1"/>
  <c r="F539" i="250"/>
  <c r="H539" i="250" s="1"/>
  <c r="E552" i="250"/>
  <c r="G552" i="250" s="1"/>
  <c r="F538" i="250"/>
  <c r="H538" i="250" s="1"/>
  <c r="E561" i="250"/>
  <c r="G561" i="250" s="1"/>
  <c r="F561" i="250"/>
  <c r="H561" i="250" s="1"/>
  <c r="E576" i="250"/>
  <c r="G576" i="250" s="1"/>
  <c r="E560" i="250"/>
  <c r="G560" i="250" s="1"/>
  <c r="F559" i="250"/>
  <c r="H559" i="250" s="1"/>
  <c r="E573" i="250"/>
  <c r="G573" i="250" s="1"/>
  <c r="F536" i="250"/>
  <c r="H536" i="250" s="1"/>
  <c r="E559" i="250"/>
  <c r="G559" i="250" s="1"/>
  <c r="F558" i="250"/>
  <c r="H558" i="250" s="1"/>
  <c r="E572" i="250"/>
  <c r="G572" i="250" s="1"/>
  <c r="E577" i="250"/>
  <c r="G577" i="250" s="1"/>
  <c r="F552" i="250"/>
  <c r="H552" i="250" s="1"/>
  <c r="F581" i="250"/>
  <c r="H581" i="250" s="1"/>
  <c r="F577" i="250"/>
  <c r="H577" i="250" s="1"/>
  <c r="F576" i="250"/>
  <c r="H576" i="250" s="1"/>
  <c r="E580" i="250"/>
  <c r="G580" i="250" s="1"/>
  <c r="F574" i="250"/>
  <c r="H574" i="250" s="1"/>
  <c r="E575" i="250"/>
  <c r="G575" i="250" s="1"/>
  <c r="F573" i="250"/>
  <c r="H573" i="250" s="1"/>
  <c r="E581" i="250"/>
  <c r="G581" i="250" s="1"/>
  <c r="F578" i="250"/>
  <c r="H578" i="250" s="1"/>
  <c r="E540" i="250"/>
  <c r="G540" i="250" s="1"/>
  <c r="E532" i="250"/>
  <c r="G532" i="250" s="1"/>
  <c r="F534" i="250"/>
  <c r="H534" i="250" s="1"/>
  <c r="E558" i="250"/>
  <c r="G558" i="250" s="1"/>
  <c r="F560" i="250"/>
  <c r="H560" i="250" s="1"/>
  <c r="E574" i="250"/>
  <c r="G574" i="250" s="1"/>
  <c r="F575" i="250"/>
  <c r="H575" i="250" s="1"/>
  <c r="E554" i="250"/>
  <c r="G554" i="250" s="1"/>
  <c r="F556" i="250"/>
  <c r="H556" i="250" s="1"/>
  <c r="E579" i="250"/>
  <c r="G579" i="250" s="1"/>
  <c r="F579" i="250"/>
  <c r="H579" i="250" s="1"/>
  <c r="F554" i="250"/>
  <c r="H554" i="250" s="1"/>
  <c r="E578" i="250"/>
  <c r="G578" i="250" s="1"/>
  <c r="F580" i="250"/>
  <c r="H580" i="250" s="1"/>
  <c r="G168" i="336"/>
  <c r="F90" i="336"/>
  <c r="F55" i="336"/>
  <c r="G90" i="336"/>
  <c r="G55" i="336"/>
  <c r="F168" i="336"/>
  <c r="F257" i="247"/>
  <c r="F95" i="247"/>
  <c r="F214" i="247"/>
  <c r="G257" i="247"/>
  <c r="G95" i="247"/>
  <c r="G214" i="247"/>
  <c r="F58" i="247"/>
  <c r="B466" i="309"/>
  <c r="G58" i="247"/>
  <c r="B298" i="309"/>
  <c r="G58" i="286"/>
  <c r="G220" i="286"/>
  <c r="G95" i="286"/>
  <c r="F177" i="286"/>
  <c r="B308" i="309"/>
  <c r="F95" i="286"/>
  <c r="G177" i="286"/>
  <c r="F58" i="286"/>
  <c r="B214" i="309"/>
  <c r="G58" i="285"/>
  <c r="F95" i="285"/>
  <c r="G220" i="285"/>
  <c r="B228" i="309"/>
  <c r="G95" i="285"/>
  <c r="F177" i="285"/>
  <c r="F58" i="285"/>
  <c r="G177" i="285"/>
  <c r="F297" i="301"/>
  <c r="G297" i="301"/>
  <c r="G95" i="284"/>
  <c r="F95" i="284"/>
  <c r="F138" i="250"/>
  <c r="H138" i="250" s="1"/>
  <c r="E118" i="250"/>
  <c r="G118" i="250" s="1"/>
  <c r="F120" i="250"/>
  <c r="H120" i="250" s="1"/>
  <c r="E153" i="250"/>
  <c r="G153" i="250" s="1"/>
  <c r="F112" i="250"/>
  <c r="H112" i="250" s="1"/>
  <c r="F154" i="250"/>
  <c r="H154" i="250" s="1"/>
  <c r="E136" i="250"/>
  <c r="G136" i="250" s="1"/>
  <c r="E497" i="250"/>
  <c r="G497" i="250" s="1"/>
  <c r="E457" i="250"/>
  <c r="G457" i="250" s="1"/>
  <c r="F457" i="250"/>
  <c r="H457" i="250" s="1"/>
  <c r="F477" i="250"/>
  <c r="H477" i="250" s="1"/>
  <c r="E495" i="250"/>
  <c r="G495" i="250" s="1"/>
  <c r="E456" i="250"/>
  <c r="G456" i="250" s="1"/>
  <c r="F455" i="250"/>
  <c r="H455" i="250" s="1"/>
  <c r="E477" i="250"/>
  <c r="G477" i="250" s="1"/>
  <c r="F475" i="250"/>
  <c r="H475" i="250" s="1"/>
  <c r="E494" i="250"/>
  <c r="G494" i="250" s="1"/>
  <c r="E455" i="250"/>
  <c r="G455" i="250" s="1"/>
  <c r="F453" i="250"/>
  <c r="H453" i="250" s="1"/>
  <c r="E476" i="250"/>
  <c r="G476" i="250" s="1"/>
  <c r="F473" i="250"/>
  <c r="H473" i="250" s="1"/>
  <c r="E493" i="250"/>
  <c r="G493" i="250" s="1"/>
  <c r="E453" i="250"/>
  <c r="G453" i="250" s="1"/>
  <c r="F452" i="250"/>
  <c r="H452" i="250" s="1"/>
  <c r="E475" i="250"/>
  <c r="G475" i="250" s="1"/>
  <c r="F471" i="250"/>
  <c r="H471" i="250" s="1"/>
  <c r="E491" i="250"/>
  <c r="G491" i="250" s="1"/>
  <c r="E451" i="250"/>
  <c r="G451" i="250" s="1"/>
  <c r="F451" i="250"/>
  <c r="H451" i="250" s="1"/>
  <c r="E474" i="250"/>
  <c r="G474" i="250" s="1"/>
  <c r="F470" i="250"/>
  <c r="H470" i="250" s="1"/>
  <c r="F497" i="250"/>
  <c r="H497" i="250" s="1"/>
  <c r="E450" i="250"/>
  <c r="G450" i="250" s="1"/>
  <c r="F450" i="250"/>
  <c r="H450" i="250" s="1"/>
  <c r="E473" i="250"/>
  <c r="G473" i="250" s="1"/>
  <c r="E449" i="250"/>
  <c r="G449" i="250" s="1"/>
  <c r="F449" i="250"/>
  <c r="H449" i="250" s="1"/>
  <c r="E469" i="250"/>
  <c r="G469" i="250" s="1"/>
  <c r="E471" i="250"/>
  <c r="G471" i="250" s="1"/>
  <c r="F469" i="250"/>
  <c r="H469" i="250" s="1"/>
  <c r="E489" i="250"/>
  <c r="G489" i="250" s="1"/>
  <c r="F493" i="250"/>
  <c r="H493" i="250" s="1"/>
  <c r="F495" i="250"/>
  <c r="H495" i="250" s="1"/>
  <c r="F490" i="250"/>
  <c r="H490" i="250" s="1"/>
  <c r="G58" i="284"/>
  <c r="F58" i="284"/>
  <c r="E454" i="250"/>
  <c r="G454" i="250" s="1"/>
  <c r="F456" i="250"/>
  <c r="H456" i="250" s="1"/>
  <c r="F448" i="250"/>
  <c r="H448" i="250" s="1"/>
  <c r="E472" i="250"/>
  <c r="G472" i="250" s="1"/>
  <c r="F474" i="250"/>
  <c r="H474" i="250" s="1"/>
  <c r="E490" i="250"/>
  <c r="G490" i="250" s="1"/>
  <c r="F492" i="250"/>
  <c r="H492" i="250" s="1"/>
  <c r="E452" i="250"/>
  <c r="G452" i="250" s="1"/>
  <c r="F454" i="250"/>
  <c r="H454" i="250" s="1"/>
  <c r="E470" i="250"/>
  <c r="G470" i="250" s="1"/>
  <c r="F472" i="250"/>
  <c r="H472" i="250" s="1"/>
  <c r="E496" i="250"/>
  <c r="G496" i="250" s="1"/>
  <c r="E488" i="250"/>
  <c r="G488" i="250" s="1"/>
  <c r="F488" i="250"/>
  <c r="H488" i="250" s="1"/>
  <c r="F496" i="250"/>
  <c r="H496" i="250" s="1"/>
  <c r="F476" i="250"/>
  <c r="H476" i="250" s="1"/>
  <c r="F468" i="250"/>
  <c r="H468" i="250" s="1"/>
  <c r="E492" i="250"/>
  <c r="G492" i="250" s="1"/>
  <c r="F494" i="250"/>
  <c r="H494" i="250" s="1"/>
  <c r="E117" i="250"/>
  <c r="G117" i="250" s="1"/>
  <c r="F119" i="250"/>
  <c r="H119" i="250" s="1"/>
  <c r="E135" i="250"/>
  <c r="G135" i="250" s="1"/>
  <c r="F137" i="250"/>
  <c r="H137" i="250" s="1"/>
  <c r="E161" i="250"/>
  <c r="G161" i="250" s="1"/>
  <c r="E152" i="250"/>
  <c r="G152" i="250" s="1"/>
  <c r="F153" i="250"/>
  <c r="H153" i="250" s="1"/>
  <c r="G58" i="283"/>
  <c r="E116" i="250"/>
  <c r="G116" i="250" s="1"/>
  <c r="F118" i="250"/>
  <c r="H118" i="250" s="1"/>
  <c r="E134" i="250"/>
  <c r="G134" i="250" s="1"/>
  <c r="F136" i="250"/>
  <c r="H136" i="250" s="1"/>
  <c r="E160" i="250"/>
  <c r="G160" i="250" s="1"/>
  <c r="F161" i="250"/>
  <c r="H161" i="250" s="1"/>
  <c r="F152" i="250"/>
  <c r="H152" i="250" s="1"/>
  <c r="F58" i="283"/>
  <c r="E115" i="250"/>
  <c r="G115" i="250" s="1"/>
  <c r="F117" i="250"/>
  <c r="H117" i="250" s="1"/>
  <c r="E141" i="250"/>
  <c r="G141" i="250" s="1"/>
  <c r="E133" i="250"/>
  <c r="G133" i="250" s="1"/>
  <c r="F135" i="250"/>
  <c r="H135" i="250" s="1"/>
  <c r="E159" i="250"/>
  <c r="G159" i="250" s="1"/>
  <c r="F160" i="250"/>
  <c r="H160" i="250" s="1"/>
  <c r="E140" i="250"/>
  <c r="G140" i="250" s="1"/>
  <c r="E132" i="250"/>
  <c r="G132" i="250" s="1"/>
  <c r="F134" i="250"/>
  <c r="H134" i="250" s="1"/>
  <c r="E158" i="250"/>
  <c r="G158" i="250" s="1"/>
  <c r="F159" i="250"/>
  <c r="H159" i="250" s="1"/>
  <c r="F116" i="250"/>
  <c r="H116" i="250" s="1"/>
  <c r="E121" i="250"/>
  <c r="G121" i="250" s="1"/>
  <c r="E113" i="250"/>
  <c r="G113" i="250" s="1"/>
  <c r="F115" i="250"/>
  <c r="H115" i="250" s="1"/>
  <c r="E139" i="250"/>
  <c r="G139" i="250" s="1"/>
  <c r="F141" i="250"/>
  <c r="H141" i="250" s="1"/>
  <c r="F133" i="250"/>
  <c r="H133" i="250" s="1"/>
  <c r="E157" i="250"/>
  <c r="G157" i="250" s="1"/>
  <c r="F157" i="250"/>
  <c r="H157" i="250" s="1"/>
  <c r="E120" i="250"/>
  <c r="G120" i="250" s="1"/>
  <c r="E112" i="250"/>
  <c r="G112" i="250" s="1"/>
  <c r="F114" i="250"/>
  <c r="H114" i="250" s="1"/>
  <c r="E138" i="250"/>
  <c r="G138" i="250" s="1"/>
  <c r="F140" i="250"/>
  <c r="H140" i="250" s="1"/>
  <c r="F132" i="250"/>
  <c r="H132" i="250" s="1"/>
  <c r="E155" i="250"/>
  <c r="G155" i="250" s="1"/>
  <c r="F156" i="250"/>
  <c r="H156" i="250" s="1"/>
  <c r="E114" i="250"/>
  <c r="G114" i="250" s="1"/>
  <c r="E119" i="250"/>
  <c r="G119" i="250" s="1"/>
  <c r="F121" i="250"/>
  <c r="H121" i="250" s="1"/>
  <c r="F113" i="250"/>
  <c r="H113" i="250" s="1"/>
  <c r="E137" i="250"/>
  <c r="G137" i="250" s="1"/>
  <c r="F139" i="250"/>
  <c r="H139" i="250" s="1"/>
  <c r="E154" i="250"/>
  <c r="G154" i="250" s="1"/>
  <c r="F155" i="250"/>
  <c r="H155" i="250" s="1"/>
  <c r="E156" i="250"/>
  <c r="G156" i="250" s="1"/>
  <c r="G273" i="301"/>
  <c r="F273" i="301"/>
  <c r="J171" i="279"/>
  <c r="K62" i="9" s="1"/>
  <c r="M62" i="9" s="1"/>
  <c r="J189" i="279"/>
  <c r="K63" i="9" s="1"/>
  <c r="M63" i="9" s="1"/>
  <c r="J153" i="279"/>
  <c r="K61" i="9" s="1"/>
  <c r="M61" i="9" s="1"/>
  <c r="F489" i="250"/>
  <c r="H489" i="250" s="1"/>
  <c r="J176" i="280"/>
  <c r="K78" i="9" s="1"/>
  <c r="M78" i="9" s="1"/>
  <c r="J194" i="280"/>
  <c r="K79" i="9" s="1"/>
  <c r="M79" i="9" s="1"/>
  <c r="J255" i="280"/>
  <c r="K81" i="9" s="1"/>
  <c r="M81" i="9" s="1"/>
  <c r="J273" i="280"/>
  <c r="K82" i="9" s="1"/>
  <c r="M82" i="9" s="1"/>
  <c r="J158" i="280"/>
  <c r="K77" i="9" s="1"/>
  <c r="M77" i="9" s="1"/>
  <c r="J291" i="280"/>
  <c r="K83" i="9" s="1"/>
  <c r="M83" i="9" s="1"/>
  <c r="J261" i="307"/>
  <c r="K97" i="9" s="1"/>
  <c r="M97" i="9" s="1"/>
  <c r="J162" i="307"/>
  <c r="K93" i="9" s="1"/>
  <c r="M93" i="9" s="1"/>
  <c r="J279" i="307"/>
  <c r="K98" i="9" s="1"/>
  <c r="M98" i="9" s="1"/>
  <c r="J180" i="307"/>
  <c r="K94" i="9" s="1"/>
  <c r="M94" i="9" s="1"/>
  <c r="J297" i="307"/>
  <c r="K99" i="9" s="1"/>
  <c r="M99" i="9" s="1"/>
  <c r="J198" i="307"/>
  <c r="K95" i="9" s="1"/>
  <c r="M95" i="9" s="1"/>
  <c r="J552" i="281"/>
  <c r="K125" i="9" s="1"/>
  <c r="M125" i="9" s="1"/>
  <c r="J471" i="281"/>
  <c r="K122" i="9" s="1"/>
  <c r="M122" i="9" s="1"/>
  <c r="J489" i="281"/>
  <c r="K123" i="9" s="1"/>
  <c r="M123" i="9" s="1"/>
  <c r="B270" i="309"/>
  <c r="J453" i="281"/>
  <c r="K121" i="9" s="1"/>
  <c r="M121" i="9" s="1"/>
  <c r="B266" i="309"/>
  <c r="J570" i="281"/>
  <c r="K126" i="9" s="1"/>
  <c r="M126" i="9" s="1"/>
  <c r="J588" i="281"/>
  <c r="K127" i="9" s="1"/>
  <c r="M127" i="9" s="1"/>
  <c r="D264" i="309"/>
  <c r="D250" i="309"/>
  <c r="B256" i="309"/>
  <c r="B252" i="309"/>
  <c r="F889" i="250"/>
  <c r="H889" i="250" s="1"/>
  <c r="E877" i="250"/>
  <c r="G877" i="250" s="1"/>
  <c r="E869" i="250"/>
  <c r="G869" i="250" s="1"/>
  <c r="F871" i="250"/>
  <c r="H871" i="250" s="1"/>
  <c r="E913" i="250"/>
  <c r="G913" i="250" s="1"/>
  <c r="F915" i="250"/>
  <c r="H915" i="250" s="1"/>
  <c r="E895" i="250"/>
  <c r="G895" i="250" s="1"/>
  <c r="E876" i="250"/>
  <c r="G876" i="250" s="1"/>
  <c r="E868" i="250"/>
  <c r="G868" i="250" s="1"/>
  <c r="F870" i="250"/>
  <c r="H870" i="250" s="1"/>
  <c r="E894" i="250"/>
  <c r="G894" i="250" s="1"/>
  <c r="F896" i="250"/>
  <c r="H896" i="250" s="1"/>
  <c r="F888" i="250"/>
  <c r="H888" i="250" s="1"/>
  <c r="E912" i="250"/>
  <c r="G912" i="250" s="1"/>
  <c r="F914" i="250"/>
  <c r="H914" i="250" s="1"/>
  <c r="E875" i="250"/>
  <c r="G875" i="250" s="1"/>
  <c r="F877" i="250"/>
  <c r="H877" i="250" s="1"/>
  <c r="F869" i="250"/>
  <c r="H869" i="250" s="1"/>
  <c r="E893" i="250"/>
  <c r="G893" i="250" s="1"/>
  <c r="F895" i="250"/>
  <c r="H895" i="250" s="1"/>
  <c r="E911" i="250"/>
  <c r="G911" i="250" s="1"/>
  <c r="F912" i="250"/>
  <c r="H912" i="250" s="1"/>
  <c r="E874" i="250"/>
  <c r="G874" i="250" s="1"/>
  <c r="F876" i="250"/>
  <c r="H876" i="250" s="1"/>
  <c r="F868" i="250"/>
  <c r="H868" i="250" s="1"/>
  <c r="E892" i="250"/>
  <c r="G892" i="250" s="1"/>
  <c r="F894" i="250"/>
  <c r="H894" i="250" s="1"/>
  <c r="E910" i="250"/>
  <c r="G910" i="250" s="1"/>
  <c r="F911" i="250"/>
  <c r="H911" i="250" s="1"/>
  <c r="E873" i="250"/>
  <c r="G873" i="250" s="1"/>
  <c r="F875" i="250"/>
  <c r="H875" i="250" s="1"/>
  <c r="E891" i="250"/>
  <c r="G891" i="250" s="1"/>
  <c r="F893" i="250"/>
  <c r="H893" i="250" s="1"/>
  <c r="E917" i="250"/>
  <c r="G917" i="250" s="1"/>
  <c r="E909" i="250"/>
  <c r="G909" i="250" s="1"/>
  <c r="F909" i="250"/>
  <c r="H909" i="250" s="1"/>
  <c r="E872" i="250"/>
  <c r="G872" i="250" s="1"/>
  <c r="F874" i="250"/>
  <c r="H874" i="250" s="1"/>
  <c r="E890" i="250"/>
  <c r="G890" i="250" s="1"/>
  <c r="F892" i="250"/>
  <c r="H892" i="250" s="1"/>
  <c r="E916" i="250"/>
  <c r="G916" i="250" s="1"/>
  <c r="E908" i="250"/>
  <c r="G908" i="250" s="1"/>
  <c r="F908" i="250"/>
  <c r="E871" i="250"/>
  <c r="G871" i="250" s="1"/>
  <c r="F873" i="250"/>
  <c r="H873" i="250" s="1"/>
  <c r="E897" i="250"/>
  <c r="G897" i="250" s="1"/>
  <c r="E889" i="250"/>
  <c r="G889" i="250" s="1"/>
  <c r="F891" i="250"/>
  <c r="H891" i="250" s="1"/>
  <c r="E915" i="250"/>
  <c r="G915" i="250" s="1"/>
  <c r="F917" i="250"/>
  <c r="H917" i="250" s="1"/>
  <c r="E870" i="250"/>
  <c r="G870" i="250" s="1"/>
  <c r="F872" i="250"/>
  <c r="H872" i="250" s="1"/>
  <c r="E896" i="250"/>
  <c r="G896" i="250" s="1"/>
  <c r="E888" i="250"/>
  <c r="G888" i="250" s="1"/>
  <c r="F890" i="250"/>
  <c r="H890" i="250" s="1"/>
  <c r="E914" i="250"/>
  <c r="G914" i="250" s="1"/>
  <c r="F916" i="250"/>
  <c r="H916" i="250" s="1"/>
  <c r="E824" i="250"/>
  <c r="G824" i="250" s="1"/>
  <c r="E792" i="250"/>
  <c r="G792" i="250" s="1"/>
  <c r="E784" i="250"/>
  <c r="G784" i="250" s="1"/>
  <c r="F786" i="250"/>
  <c r="H786" i="250" s="1"/>
  <c r="E809" i="250"/>
  <c r="G809" i="250" s="1"/>
  <c r="F806" i="250"/>
  <c r="H806" i="250" s="1"/>
  <c r="F832" i="250"/>
  <c r="H832" i="250" s="1"/>
  <c r="F913" i="250"/>
  <c r="H913" i="250" s="1"/>
  <c r="E790" i="250"/>
  <c r="G790" i="250" s="1"/>
  <c r="F792" i="250"/>
  <c r="H792" i="250" s="1"/>
  <c r="F784" i="250"/>
  <c r="H784" i="250" s="1"/>
  <c r="E806" i="250"/>
  <c r="G806" i="250" s="1"/>
  <c r="F825" i="250"/>
  <c r="H825" i="250" s="1"/>
  <c r="F790" i="250"/>
  <c r="H790" i="250" s="1"/>
  <c r="F813" i="250"/>
  <c r="H813" i="250" s="1"/>
  <c r="E832" i="250"/>
  <c r="G832" i="250" s="1"/>
  <c r="E811" i="250"/>
  <c r="G811" i="250" s="1"/>
  <c r="F810" i="250"/>
  <c r="H810" i="250" s="1"/>
  <c r="E828" i="250"/>
  <c r="G828" i="250" s="1"/>
  <c r="E826" i="250"/>
  <c r="G826" i="250" s="1"/>
  <c r="F827" i="250"/>
  <c r="H827" i="250" s="1"/>
  <c r="E807" i="250"/>
  <c r="G807" i="250" s="1"/>
  <c r="F809" i="250"/>
  <c r="H809" i="250" s="1"/>
  <c r="E833" i="250"/>
  <c r="G833" i="250" s="1"/>
  <c r="E825" i="250"/>
  <c r="G825" i="250" s="1"/>
  <c r="F826" i="250"/>
  <c r="H826" i="250" s="1"/>
  <c r="E813" i="250"/>
  <c r="G813" i="250" s="1"/>
  <c r="E805" i="250"/>
  <c r="G805" i="250" s="1"/>
  <c r="F807" i="250"/>
  <c r="H807" i="250" s="1"/>
  <c r="E831" i="250"/>
  <c r="G831" i="250" s="1"/>
  <c r="F833" i="250"/>
  <c r="H833" i="250" s="1"/>
  <c r="F824" i="250"/>
  <c r="H824" i="250" s="1"/>
  <c r="F805" i="250"/>
  <c r="H805" i="250" s="1"/>
  <c r="E829" i="250"/>
  <c r="G829" i="250" s="1"/>
  <c r="F831" i="250"/>
  <c r="H831" i="250" s="1"/>
  <c r="F811" i="250"/>
  <c r="H811" i="250" s="1"/>
  <c r="E827" i="250"/>
  <c r="G827" i="250" s="1"/>
  <c r="F828" i="250"/>
  <c r="H828" i="250" s="1"/>
  <c r="J273" i="281"/>
  <c r="K114" i="9" s="1"/>
  <c r="M114" i="9" s="1"/>
  <c r="J158" i="281"/>
  <c r="K109" i="9" s="1"/>
  <c r="M109" i="9" s="1"/>
  <c r="J291" i="281"/>
  <c r="K115" i="9" s="1"/>
  <c r="M115" i="9" s="1"/>
  <c r="J176" i="281"/>
  <c r="K110" i="9" s="1"/>
  <c r="M110" i="9" s="1"/>
  <c r="J194" i="281"/>
  <c r="K111" i="9" s="1"/>
  <c r="M111" i="9" s="1"/>
  <c r="J255" i="281"/>
  <c r="K113" i="9" s="1"/>
  <c r="M113" i="9" s="1"/>
  <c r="J255" i="282"/>
  <c r="K137" i="9" s="1"/>
  <c r="M137" i="9" s="1"/>
  <c r="J471" i="282"/>
  <c r="K146" i="9" s="1"/>
  <c r="M146" i="9" s="1"/>
  <c r="J570" i="282"/>
  <c r="K150" i="9" s="1"/>
  <c r="M150" i="9" s="1"/>
  <c r="J273" i="282"/>
  <c r="K138" i="9" s="1"/>
  <c r="M138" i="9" s="1"/>
  <c r="J489" i="282"/>
  <c r="K147" i="9" s="1"/>
  <c r="M147" i="9" s="1"/>
  <c r="J158" i="282"/>
  <c r="K133" i="9" s="1"/>
  <c r="M133" i="9" s="1"/>
  <c r="J588" i="282"/>
  <c r="K151" i="9" s="1"/>
  <c r="M151" i="9" s="1"/>
  <c r="J291" i="282"/>
  <c r="K139" i="9" s="1"/>
  <c r="M139" i="9" s="1"/>
  <c r="J176" i="282"/>
  <c r="K134" i="9" s="1"/>
  <c r="M134" i="9" s="1"/>
  <c r="J453" i="282"/>
  <c r="K145" i="9" s="1"/>
  <c r="M145" i="9" s="1"/>
  <c r="J194" i="282"/>
  <c r="K135" i="9" s="1"/>
  <c r="M135" i="9" s="1"/>
  <c r="J552" i="282"/>
  <c r="K149" i="9" s="1"/>
  <c r="M149" i="9" s="1"/>
  <c r="E2086" i="250"/>
  <c r="G2086" i="250" s="1"/>
  <c r="E2067" i="250"/>
  <c r="G2067" i="250" s="1"/>
  <c r="F2069" i="250"/>
  <c r="H2069" i="250" s="1"/>
  <c r="E2090" i="250"/>
  <c r="G2090" i="250" s="1"/>
  <c r="E2065" i="250"/>
  <c r="G2065" i="250" s="1"/>
  <c r="F2065" i="250"/>
  <c r="H2065" i="250" s="1"/>
  <c r="F2093" i="250"/>
  <c r="H2093" i="250" s="1"/>
  <c r="E2009" i="250"/>
  <c r="G2009" i="250" s="1"/>
  <c r="F2067" i="250"/>
  <c r="H2067" i="250" s="1"/>
  <c r="E2088" i="250"/>
  <c r="G2088" i="250" s="1"/>
  <c r="E2003" i="250"/>
  <c r="G2003" i="250" s="1"/>
  <c r="E1967" i="250"/>
  <c r="G1967" i="250" s="1"/>
  <c r="E1983" i="250"/>
  <c r="G1983" i="250" s="1"/>
  <c r="F2005" i="250"/>
  <c r="H2005" i="250" s="1"/>
  <c r="E2084" i="250"/>
  <c r="G2084" i="250" s="1"/>
  <c r="E1965" i="250"/>
  <c r="G1965" i="250" s="1"/>
  <c r="F1987" i="250"/>
  <c r="H1987" i="250" s="1"/>
  <c r="F2002" i="250"/>
  <c r="H2002" i="250" s="1"/>
  <c r="F1969" i="250"/>
  <c r="H1969" i="250" s="1"/>
  <c r="F1985" i="250"/>
  <c r="H1985" i="250" s="1"/>
  <c r="F2090" i="250"/>
  <c r="H2090" i="250" s="1"/>
  <c r="F1967" i="250"/>
  <c r="H1967" i="250" s="1"/>
  <c r="F1961" i="250"/>
  <c r="H1961" i="250" s="1"/>
  <c r="F2092" i="250"/>
  <c r="H2092" i="250" s="1"/>
  <c r="F2086" i="250"/>
  <c r="H2086" i="250" s="1"/>
  <c r="F2066" i="250"/>
  <c r="H2066" i="250" s="1"/>
  <c r="E2089" i="250"/>
  <c r="G2089" i="250" s="1"/>
  <c r="F2089" i="250"/>
  <c r="H2089" i="250" s="1"/>
  <c r="E2087" i="250"/>
  <c r="G2087" i="250" s="1"/>
  <c r="F2084" i="250"/>
  <c r="H2084" i="250" s="1"/>
  <c r="F2088" i="250"/>
  <c r="H2088" i="250" s="1"/>
  <c r="F2085" i="250"/>
  <c r="H2085" i="250" s="1"/>
  <c r="F2091" i="250"/>
  <c r="H2091" i="250" s="1"/>
  <c r="E2093" i="250"/>
  <c r="G2093" i="250" s="1"/>
  <c r="E2085" i="250"/>
  <c r="G2085" i="250" s="1"/>
  <c r="E1966" i="250"/>
  <c r="G1966" i="250" s="1"/>
  <c r="F1968" i="250"/>
  <c r="H1968" i="250" s="1"/>
  <c r="F1960" i="250"/>
  <c r="H1960" i="250" s="1"/>
  <c r="E1984" i="250"/>
  <c r="G1984" i="250" s="1"/>
  <c r="F1986" i="250"/>
  <c r="H1986" i="250" s="1"/>
  <c r="E2002" i="250"/>
  <c r="G2002" i="250" s="1"/>
  <c r="F2003" i="250"/>
  <c r="H2003" i="250" s="1"/>
  <c r="E1964" i="250"/>
  <c r="G1964" i="250" s="1"/>
  <c r="F1966" i="250"/>
  <c r="H1966" i="250" s="1"/>
  <c r="E1982" i="250"/>
  <c r="G1982" i="250" s="1"/>
  <c r="F1984" i="250"/>
  <c r="H1984" i="250" s="1"/>
  <c r="E2008" i="250"/>
  <c r="G2008" i="250" s="1"/>
  <c r="E2000" i="250"/>
  <c r="G2000" i="250" s="1"/>
  <c r="F2001" i="250"/>
  <c r="H2001" i="250" s="1"/>
  <c r="E1963" i="250"/>
  <c r="G1963" i="250" s="1"/>
  <c r="F1965" i="250"/>
  <c r="H1965" i="250" s="1"/>
  <c r="E1989" i="250"/>
  <c r="G1989" i="250" s="1"/>
  <c r="E1981" i="250"/>
  <c r="G1981" i="250" s="1"/>
  <c r="F1983" i="250"/>
  <c r="H1983" i="250" s="1"/>
  <c r="E2007" i="250"/>
  <c r="G2007" i="250" s="1"/>
  <c r="F2009" i="250"/>
  <c r="H2009" i="250" s="1"/>
  <c r="F2000" i="250"/>
  <c r="H2000" i="250" s="1"/>
  <c r="E1962" i="250"/>
  <c r="G1962" i="250" s="1"/>
  <c r="F1964" i="250"/>
  <c r="H1964" i="250" s="1"/>
  <c r="E1988" i="250"/>
  <c r="G1988" i="250" s="1"/>
  <c r="E1980" i="250"/>
  <c r="G1980" i="250" s="1"/>
  <c r="F1982" i="250"/>
  <c r="H1982" i="250" s="1"/>
  <c r="E2006" i="250"/>
  <c r="G2006" i="250" s="1"/>
  <c r="F2008" i="250"/>
  <c r="H2008" i="250" s="1"/>
  <c r="E1969" i="250"/>
  <c r="G1969" i="250" s="1"/>
  <c r="E1961" i="250"/>
  <c r="G1961" i="250" s="1"/>
  <c r="F1963" i="250"/>
  <c r="H1963" i="250" s="1"/>
  <c r="E1987" i="250"/>
  <c r="G1987" i="250" s="1"/>
  <c r="F1989" i="250"/>
  <c r="H1989" i="250" s="1"/>
  <c r="F1981" i="250"/>
  <c r="H1981" i="250" s="1"/>
  <c r="E2005" i="250"/>
  <c r="G2005" i="250" s="1"/>
  <c r="F2007" i="250"/>
  <c r="H2007" i="250" s="1"/>
  <c r="E1968" i="250"/>
  <c r="G1968" i="250" s="1"/>
  <c r="E1960" i="250"/>
  <c r="G1960" i="250" s="1"/>
  <c r="F1962" i="250"/>
  <c r="H1962" i="250" s="1"/>
  <c r="E1986" i="250"/>
  <c r="G1986" i="250" s="1"/>
  <c r="F1988" i="250"/>
  <c r="H1988" i="250" s="1"/>
  <c r="F1980" i="250"/>
  <c r="H1980" i="250" s="1"/>
  <c r="E2004" i="250"/>
  <c r="G2004" i="250" s="1"/>
  <c r="F2006" i="250"/>
  <c r="H2006" i="250" s="1"/>
  <c r="J586" i="246"/>
  <c r="K183" i="9" s="1"/>
  <c r="M183" i="9" s="1"/>
  <c r="J158" i="246"/>
  <c r="K165" i="9" s="1"/>
  <c r="M165" i="9" s="1"/>
  <c r="J273" i="246"/>
  <c r="K170" i="9" s="1"/>
  <c r="M170" i="9" s="1"/>
  <c r="J176" i="246"/>
  <c r="K166" i="9" s="1"/>
  <c r="M166" i="9" s="1"/>
  <c r="J667" i="246"/>
  <c r="K186" i="9" s="1"/>
  <c r="M186" i="9" s="1"/>
  <c r="J291" i="246"/>
  <c r="K171" i="9" s="1"/>
  <c r="M171" i="9" s="1"/>
  <c r="J194" i="246"/>
  <c r="K167" i="9" s="1"/>
  <c r="M167" i="9" s="1"/>
  <c r="J550" i="246"/>
  <c r="K181" i="9" s="1"/>
  <c r="M181" i="9" s="1"/>
  <c r="J568" i="246"/>
  <c r="K182" i="9" s="1"/>
  <c r="M182" i="9" s="1"/>
  <c r="J255" i="246"/>
  <c r="K169" i="9" s="1"/>
  <c r="M169" i="9" s="1"/>
  <c r="F2568" i="250"/>
  <c r="H2568" i="250" s="1"/>
  <c r="F2577" i="250"/>
  <c r="H2577" i="250" s="1"/>
  <c r="E2595" i="250"/>
  <c r="G2595" i="250" s="1"/>
  <c r="E2573" i="250"/>
  <c r="G2573" i="250" s="1"/>
  <c r="F2573" i="250"/>
  <c r="H2573" i="250" s="1"/>
  <c r="E2594" i="250"/>
  <c r="G2594" i="250" s="1"/>
  <c r="E2672" i="250"/>
  <c r="G2672" i="250" s="1"/>
  <c r="E2677" i="250"/>
  <c r="G2677" i="250" s="1"/>
  <c r="F2672" i="250"/>
  <c r="H2672" i="250" s="1"/>
  <c r="E2681" i="250"/>
  <c r="G2681" i="250" s="1"/>
  <c r="F2680" i="250"/>
  <c r="H2680" i="250" s="1"/>
  <c r="F2574" i="250"/>
  <c r="H2574" i="250" s="1"/>
  <c r="E2590" i="250"/>
  <c r="G2590" i="250" s="1"/>
  <c r="E2568" i="250"/>
  <c r="G2568" i="250" s="1"/>
  <c r="F2570" i="250"/>
  <c r="H2570" i="250" s="1"/>
  <c r="E2589" i="250"/>
  <c r="G2589" i="250" s="1"/>
  <c r="E2592" i="250"/>
  <c r="G2592" i="250" s="1"/>
  <c r="F2597" i="250"/>
  <c r="H2597" i="250" s="1"/>
  <c r="F2596" i="250"/>
  <c r="H2596" i="250" s="1"/>
  <c r="E2597" i="250"/>
  <c r="G2597" i="250" s="1"/>
  <c r="F2595" i="250"/>
  <c r="H2595" i="250" s="1"/>
  <c r="E2593" i="250"/>
  <c r="G2593" i="250" s="1"/>
  <c r="F2592" i="250"/>
  <c r="H2592" i="250" s="1"/>
  <c r="F2590" i="250"/>
  <c r="H2590" i="250" s="1"/>
  <c r="E2591" i="250"/>
  <c r="G2591" i="250" s="1"/>
  <c r="F2588" i="250"/>
  <c r="H2588" i="250" s="1"/>
  <c r="F2594" i="250"/>
  <c r="H2594" i="250" s="1"/>
  <c r="E2596" i="250"/>
  <c r="G2596" i="250" s="1"/>
  <c r="E2588" i="250"/>
  <c r="G2588" i="250" s="1"/>
  <c r="E2676" i="250"/>
  <c r="G2676" i="250" s="1"/>
  <c r="F2677" i="250"/>
  <c r="H2677" i="250" s="1"/>
  <c r="E2673" i="250"/>
  <c r="G2673" i="250" s="1"/>
  <c r="F2674" i="250"/>
  <c r="H2674" i="250" s="1"/>
  <c r="J194" i="337"/>
  <c r="K195" i="9" s="1"/>
  <c r="M195" i="9" s="1"/>
  <c r="F2593" i="250"/>
  <c r="H2593" i="250" s="1"/>
  <c r="J158" i="337"/>
  <c r="K193" i="9" s="1"/>
  <c r="M193" i="9" s="1"/>
  <c r="J471" i="337"/>
  <c r="K206" i="9" s="1"/>
  <c r="M206" i="9" s="1"/>
  <c r="J176" i="337"/>
  <c r="K194" i="9" s="1"/>
  <c r="M194" i="9" s="1"/>
  <c r="J489" i="337"/>
  <c r="K207" i="9" s="1"/>
  <c r="M207" i="9" s="1"/>
  <c r="J255" i="337"/>
  <c r="K197" i="9" s="1"/>
  <c r="M197" i="9" s="1"/>
  <c r="J291" i="337"/>
  <c r="K199" i="9" s="1"/>
  <c r="M199" i="9" s="1"/>
  <c r="J273" i="337"/>
  <c r="K198" i="9" s="1"/>
  <c r="M198" i="9" s="1"/>
  <c r="J453" i="337"/>
  <c r="K205" i="9" s="1"/>
  <c r="M205" i="9" s="1"/>
  <c r="E2674" i="250"/>
  <c r="G2674" i="250" s="1"/>
  <c r="F2676" i="250"/>
  <c r="H2676" i="250" s="1"/>
  <c r="F2591" i="250"/>
  <c r="H2591" i="250" s="1"/>
  <c r="D600" i="309"/>
  <c r="B606" i="309"/>
  <c r="H583" i="311"/>
  <c r="B602" i="309"/>
  <c r="B1203" i="251"/>
  <c r="C566" i="309" s="1"/>
  <c r="B564" i="309"/>
  <c r="B1195" i="251"/>
  <c r="C565" i="309" s="1"/>
  <c r="B560" i="309"/>
  <c r="B1187" i="251"/>
  <c r="C562" i="309" s="1"/>
  <c r="H590" i="329" s="1"/>
  <c r="B1179" i="251"/>
  <c r="C561" i="309" s="1"/>
  <c r="H578" i="329" s="1"/>
  <c r="B1211" i="251"/>
  <c r="C575" i="309" s="1"/>
  <c r="H579" i="329" s="1"/>
  <c r="B1235" i="251"/>
  <c r="C580" i="309" s="1"/>
  <c r="B578" i="309"/>
  <c r="B1227" i="251"/>
  <c r="C579" i="309" s="1"/>
  <c r="B574" i="309"/>
  <c r="B1219" i="251"/>
  <c r="C576" i="309" s="1"/>
  <c r="H591" i="329" s="1"/>
  <c r="J685" i="246"/>
  <c r="K187" i="9" s="1"/>
  <c r="M187" i="9" s="1"/>
  <c r="J649" i="246"/>
  <c r="K185" i="9" s="1"/>
  <c r="M185" i="9" s="1"/>
  <c r="D530" i="309"/>
  <c r="B536" i="309"/>
  <c r="B532" i="309"/>
  <c r="D516" i="309"/>
  <c r="B522" i="309"/>
  <c r="B518" i="309"/>
  <c r="B858" i="251"/>
  <c r="C482" i="309" s="1"/>
  <c r="B480" i="309"/>
  <c r="B850" i="251"/>
  <c r="C481" i="309" s="1"/>
  <c r="B476" i="309"/>
  <c r="B842" i="251"/>
  <c r="C478" i="309" s="1"/>
  <c r="H513" i="329" s="1"/>
  <c r="B834" i="251"/>
  <c r="C477" i="309" s="1"/>
  <c r="B818" i="251"/>
  <c r="C467" i="309" s="1"/>
  <c r="B462" i="309"/>
  <c r="B810" i="251"/>
  <c r="C464" i="309" s="1"/>
  <c r="H512" i="329" s="1"/>
  <c r="B802" i="251"/>
  <c r="C463" i="309" s="1"/>
  <c r="B826" i="251"/>
  <c r="C468" i="309" s="1"/>
  <c r="B424" i="309"/>
  <c r="B420" i="309"/>
  <c r="B410" i="309"/>
  <c r="B406" i="309"/>
  <c r="B350" i="309"/>
  <c r="D348" i="309"/>
  <c r="B354" i="309"/>
  <c r="D334" i="309"/>
  <c r="B340" i="309"/>
  <c r="B336" i="309"/>
  <c r="B561" i="251"/>
  <c r="C310" i="309" s="1"/>
  <c r="H370" i="329" s="1"/>
  <c r="B553" i="251"/>
  <c r="C309" i="309" s="1"/>
  <c r="H355" i="329" s="1"/>
  <c r="B577" i="251"/>
  <c r="C314" i="309" s="1"/>
  <c r="B312" i="309"/>
  <c r="B569" i="251"/>
  <c r="C313" i="309" s="1"/>
  <c r="B537" i="251"/>
  <c r="C299" i="309" s="1"/>
  <c r="B294" i="309"/>
  <c r="B529" i="251"/>
  <c r="C296" i="309" s="1"/>
  <c r="H369" i="329" s="1"/>
  <c r="B521" i="251"/>
  <c r="C295" i="309" s="1"/>
  <c r="H354" i="329" s="1"/>
  <c r="B545" i="251"/>
  <c r="C300" i="309" s="1"/>
  <c r="B221" i="251"/>
  <c r="C170" i="309" s="1"/>
  <c r="H212" i="329" s="1"/>
  <c r="B213" i="251"/>
  <c r="C169" i="309" s="1"/>
  <c r="H201" i="329" s="1"/>
  <c r="B237" i="251"/>
  <c r="C174" i="309" s="1"/>
  <c r="B172" i="309"/>
  <c r="B229" i="251"/>
  <c r="C173" i="309" s="1"/>
  <c r="B197" i="251"/>
  <c r="C159" i="309" s="1"/>
  <c r="B154" i="309"/>
  <c r="B189" i="251"/>
  <c r="C156" i="309" s="1"/>
  <c r="H211" i="329" s="1"/>
  <c r="B181" i="251"/>
  <c r="C155" i="309" s="1"/>
  <c r="H200" i="329" s="1"/>
  <c r="B205" i="251"/>
  <c r="C160" i="309" s="1"/>
  <c r="B362" i="251"/>
  <c r="C229" i="309" s="1"/>
  <c r="B224" i="309"/>
  <c r="B354" i="251"/>
  <c r="C226" i="309" s="1"/>
  <c r="H285" i="329" s="1"/>
  <c r="B346" i="251"/>
  <c r="C225" i="309" s="1"/>
  <c r="H272" i="329" s="1"/>
  <c r="B370" i="251"/>
  <c r="C230" i="309" s="1"/>
  <c r="B330" i="251"/>
  <c r="C215" i="309" s="1"/>
  <c r="B210" i="309"/>
  <c r="B322" i="251"/>
  <c r="C212" i="309" s="1"/>
  <c r="H284" i="329" s="1"/>
  <c r="B314" i="251"/>
  <c r="C211" i="309" s="1"/>
  <c r="H271" i="329" s="1"/>
  <c r="B338" i="251"/>
  <c r="C216" i="309" s="1"/>
  <c r="B59" i="251"/>
  <c r="C103" i="309" s="1"/>
  <c r="B98" i="309"/>
  <c r="B51" i="251"/>
  <c r="C100" i="309" s="1"/>
  <c r="B43" i="251"/>
  <c r="C99" i="309" s="1"/>
  <c r="B67" i="251"/>
  <c r="C104" i="309" s="1"/>
  <c r="G3062" i="250" l="1"/>
  <c r="G492" i="311" s="1"/>
  <c r="G2958" i="250"/>
  <c r="G491" i="311" s="1"/>
  <c r="H3062" i="250"/>
  <c r="H492" i="311" s="1"/>
  <c r="M436" i="251"/>
  <c r="M437" i="251" s="1"/>
  <c r="M257" i="309" s="1"/>
  <c r="M418" i="251"/>
  <c r="M253" i="309" s="1"/>
  <c r="K1000" i="251"/>
  <c r="K1001" i="251" s="1"/>
  <c r="K538" i="309" s="1"/>
  <c r="K983" i="251"/>
  <c r="K534" i="309" s="1"/>
  <c r="E2370" i="250"/>
  <c r="E443" i="311" s="1"/>
  <c r="G2355" i="250"/>
  <c r="G2370" i="250" s="1"/>
  <c r="G443" i="311" s="1"/>
  <c r="E2390" i="250"/>
  <c r="E444" i="311" s="1"/>
  <c r="G2380" i="250"/>
  <c r="G2390" i="250" s="1"/>
  <c r="G444" i="311" s="1"/>
  <c r="M482" i="251"/>
  <c r="M483" i="251" s="1"/>
  <c r="M272" i="309" s="1"/>
  <c r="M465" i="251"/>
  <c r="M268" i="309" s="1"/>
  <c r="G3018" i="250"/>
  <c r="G478" i="311" s="1"/>
  <c r="H3042" i="250"/>
  <c r="H475" i="311" s="1"/>
  <c r="N643" i="251"/>
  <c r="N644" i="251" s="1"/>
  <c r="N341" i="309" s="1"/>
  <c r="N625" i="251"/>
  <c r="N337" i="309" s="1"/>
  <c r="F1590" i="250"/>
  <c r="F290" i="311" s="1"/>
  <c r="H1580" i="250"/>
  <c r="H1590" i="250" s="1"/>
  <c r="H290" i="311" s="1"/>
  <c r="E1570" i="250"/>
  <c r="E289" i="311" s="1"/>
  <c r="G1560" i="250"/>
  <c r="G1570" i="250" s="1"/>
  <c r="G289" i="311" s="1"/>
  <c r="J1293" i="251"/>
  <c r="J604" i="309" s="1"/>
  <c r="J1310" i="251"/>
  <c r="J1311" i="251" s="1"/>
  <c r="J608" i="309" s="1"/>
  <c r="F2830" i="250"/>
  <c r="F586" i="311" s="1"/>
  <c r="H2820" i="250"/>
  <c r="H2830" i="250" s="1"/>
  <c r="H586" i="311" s="1"/>
  <c r="D433" i="329"/>
  <c r="M954" i="251"/>
  <c r="M955" i="251" s="1"/>
  <c r="M523" i="309" s="1"/>
  <c r="M937" i="251"/>
  <c r="M519" i="309" s="1"/>
  <c r="L680" i="251"/>
  <c r="L681" i="251" s="1"/>
  <c r="L355" i="309" s="1"/>
  <c r="L662" i="251"/>
  <c r="L351" i="309" s="1"/>
  <c r="G1644" i="250"/>
  <c r="G1654" i="250" s="1"/>
  <c r="G305" i="311" s="1"/>
  <c r="E1654" i="250"/>
  <c r="E305" i="311" s="1"/>
  <c r="L445" i="251"/>
  <c r="L446" i="251" s="1"/>
  <c r="L258" i="309" s="1"/>
  <c r="L428" i="251"/>
  <c r="L254" i="309" s="1"/>
  <c r="H1011" i="250"/>
  <c r="H1026" i="250" s="1"/>
  <c r="H194" i="311" s="1"/>
  <c r="F1026" i="250"/>
  <c r="F194" i="311" s="1"/>
  <c r="N991" i="251"/>
  <c r="N992" i="251" s="1"/>
  <c r="N537" i="309" s="1"/>
  <c r="N973" i="251"/>
  <c r="N533" i="309" s="1"/>
  <c r="J991" i="251"/>
  <c r="J992" i="251" s="1"/>
  <c r="J537" i="309" s="1"/>
  <c r="J973" i="251"/>
  <c r="J533" i="309" s="1"/>
  <c r="H3167" i="250"/>
  <c r="H494" i="311" s="1"/>
  <c r="M455" i="251"/>
  <c r="M267" i="309" s="1"/>
  <c r="M473" i="251"/>
  <c r="M474" i="251" s="1"/>
  <c r="M271" i="309" s="1"/>
  <c r="N652" i="251"/>
  <c r="N653" i="251" s="1"/>
  <c r="N342" i="309" s="1"/>
  <c r="N635" i="251"/>
  <c r="N338" i="309" s="1"/>
  <c r="E1590" i="250"/>
  <c r="E290" i="311" s="1"/>
  <c r="G1580" i="250"/>
  <c r="G1590" i="250" s="1"/>
  <c r="G290" i="311" s="1"/>
  <c r="G1515" i="250"/>
  <c r="G1530" i="250" s="1"/>
  <c r="G287" i="311" s="1"/>
  <c r="E1530" i="250"/>
  <c r="E287" i="311" s="1"/>
  <c r="J1301" i="251"/>
  <c r="J1302" i="251" s="1"/>
  <c r="J607" i="309" s="1"/>
  <c r="J1283" i="251"/>
  <c r="J603" i="309" s="1"/>
  <c r="G2775" i="250"/>
  <c r="G2790" i="250" s="1"/>
  <c r="G584" i="311" s="1"/>
  <c r="E2790" i="250"/>
  <c r="E584" i="311" s="1"/>
  <c r="D444" i="329"/>
  <c r="M963" i="251"/>
  <c r="M964" i="251" s="1"/>
  <c r="M524" i="309" s="1"/>
  <c r="M946" i="251"/>
  <c r="M520" i="309" s="1"/>
  <c r="G2296" i="250"/>
  <c r="G2306" i="250" s="1"/>
  <c r="G428" i="311" s="1"/>
  <c r="E2306" i="250"/>
  <c r="E428" i="311" s="1"/>
  <c r="L689" i="251"/>
  <c r="L690" i="251" s="1"/>
  <c r="L356" i="309" s="1"/>
  <c r="L672" i="251"/>
  <c r="L352" i="309" s="1"/>
  <c r="L436" i="251"/>
  <c r="L437" i="251" s="1"/>
  <c r="L257" i="309" s="1"/>
  <c r="L418" i="251"/>
  <c r="L253" i="309" s="1"/>
  <c r="E1026" i="250"/>
  <c r="E194" i="311" s="1"/>
  <c r="G1011" i="250"/>
  <c r="G1026" i="250" s="1"/>
  <c r="G194" i="311" s="1"/>
  <c r="N1000" i="251"/>
  <c r="N1001" i="251" s="1"/>
  <c r="N538" i="309" s="1"/>
  <c r="N983" i="251"/>
  <c r="N534" i="309" s="1"/>
  <c r="J1000" i="251"/>
  <c r="J1001" i="251" s="1"/>
  <c r="J538" i="309" s="1"/>
  <c r="J983" i="251"/>
  <c r="J534" i="309" s="1"/>
  <c r="L482" i="251"/>
  <c r="L483" i="251" s="1"/>
  <c r="L272" i="309" s="1"/>
  <c r="L465" i="251"/>
  <c r="L268" i="309" s="1"/>
  <c r="G3042" i="250"/>
  <c r="G475" i="311" s="1"/>
  <c r="H2978" i="250"/>
  <c r="H476" i="311" s="1"/>
  <c r="M643" i="251"/>
  <c r="M644" i="251" s="1"/>
  <c r="M341" i="309" s="1"/>
  <c r="M625" i="251"/>
  <c r="M337" i="309" s="1"/>
  <c r="F1530" i="250"/>
  <c r="F287" i="311" s="1"/>
  <c r="H1515" i="250"/>
  <c r="H1530" i="250" s="1"/>
  <c r="H287" i="311" s="1"/>
  <c r="N1310" i="251"/>
  <c r="N1311" i="251" s="1"/>
  <c r="N608" i="309" s="1"/>
  <c r="N1293" i="251"/>
  <c r="N604" i="309" s="1"/>
  <c r="L954" i="251"/>
  <c r="L955" i="251" s="1"/>
  <c r="L523" i="309" s="1"/>
  <c r="L937" i="251"/>
  <c r="L519" i="309" s="1"/>
  <c r="J680" i="251"/>
  <c r="J681" i="251" s="1"/>
  <c r="J355" i="309" s="1"/>
  <c r="J662" i="251"/>
  <c r="J351" i="309" s="1"/>
  <c r="K680" i="251"/>
  <c r="K681" i="251" s="1"/>
  <c r="K355" i="309" s="1"/>
  <c r="K662" i="251"/>
  <c r="K351" i="309" s="1"/>
  <c r="J445" i="251"/>
  <c r="J446" i="251" s="1"/>
  <c r="J258" i="309" s="1"/>
  <c r="J428" i="251"/>
  <c r="J254" i="309" s="1"/>
  <c r="K445" i="251"/>
  <c r="K446" i="251" s="1"/>
  <c r="K258" i="309" s="1"/>
  <c r="K428" i="251"/>
  <c r="K254" i="309" s="1"/>
  <c r="E1046" i="250"/>
  <c r="E195" i="311" s="1"/>
  <c r="G1036" i="250"/>
  <c r="G1046" i="250" s="1"/>
  <c r="G195" i="311" s="1"/>
  <c r="F1046" i="250"/>
  <c r="F195" i="311" s="1"/>
  <c r="H1036" i="250"/>
  <c r="H1046" i="250" s="1"/>
  <c r="H195" i="311" s="1"/>
  <c r="G1056" i="250"/>
  <c r="G1066" i="250" s="1"/>
  <c r="G196" i="311" s="1"/>
  <c r="E1066" i="250"/>
  <c r="E196" i="311" s="1"/>
  <c r="H1056" i="250"/>
  <c r="H1066" i="250" s="1"/>
  <c r="H196" i="311" s="1"/>
  <c r="F1066" i="250"/>
  <c r="F196" i="311" s="1"/>
  <c r="G1076" i="250"/>
  <c r="G1086" i="250" s="1"/>
  <c r="G197" i="311" s="1"/>
  <c r="E1086" i="250"/>
  <c r="E197" i="311" s="1"/>
  <c r="M991" i="251"/>
  <c r="M992" i="251" s="1"/>
  <c r="M537" i="309" s="1"/>
  <c r="M973" i="251"/>
  <c r="M533" i="309" s="1"/>
  <c r="L473" i="251"/>
  <c r="L474" i="251" s="1"/>
  <c r="L271" i="309" s="1"/>
  <c r="L455" i="251"/>
  <c r="L267" i="309" s="1"/>
  <c r="F1170" i="250"/>
  <c r="F213" i="311" s="1"/>
  <c r="H1160" i="250"/>
  <c r="H1170" i="250" s="1"/>
  <c r="H213" i="311" s="1"/>
  <c r="M652" i="251"/>
  <c r="M653" i="251" s="1"/>
  <c r="M342" i="309" s="1"/>
  <c r="M635" i="251"/>
  <c r="M338" i="309" s="1"/>
  <c r="F1570" i="250"/>
  <c r="F289" i="311" s="1"/>
  <c r="H1560" i="250"/>
  <c r="H1570" i="250" s="1"/>
  <c r="H289" i="311" s="1"/>
  <c r="N1283" i="251"/>
  <c r="N603" i="309" s="1"/>
  <c r="N1301" i="251"/>
  <c r="N1302" i="251" s="1"/>
  <c r="N607" i="309" s="1"/>
  <c r="F2810" i="250"/>
  <c r="F585" i="311" s="1"/>
  <c r="H2800" i="250"/>
  <c r="H2810" i="250" s="1"/>
  <c r="H585" i="311" s="1"/>
  <c r="L963" i="251"/>
  <c r="L964" i="251" s="1"/>
  <c r="L524" i="309" s="1"/>
  <c r="L946" i="251"/>
  <c r="L520" i="309" s="1"/>
  <c r="J689" i="251"/>
  <c r="J690" i="251" s="1"/>
  <c r="J356" i="309" s="1"/>
  <c r="J672" i="251"/>
  <c r="J352" i="309" s="1"/>
  <c r="K689" i="251"/>
  <c r="K690" i="251" s="1"/>
  <c r="K356" i="309" s="1"/>
  <c r="K672" i="251"/>
  <c r="K352" i="309" s="1"/>
  <c r="E1634" i="250"/>
  <c r="E304" i="311" s="1"/>
  <c r="G1624" i="250"/>
  <c r="G1634" i="250" s="1"/>
  <c r="G304" i="311" s="1"/>
  <c r="H1624" i="250"/>
  <c r="H1634" i="250" s="1"/>
  <c r="H304" i="311" s="1"/>
  <c r="F1634" i="250"/>
  <c r="F304" i="311" s="1"/>
  <c r="J436" i="251"/>
  <c r="J437" i="251" s="1"/>
  <c r="J257" i="309" s="1"/>
  <c r="J418" i="251"/>
  <c r="J253" i="309" s="1"/>
  <c r="K436" i="251"/>
  <c r="K437" i="251" s="1"/>
  <c r="K257" i="309" s="1"/>
  <c r="K418" i="251"/>
  <c r="K253" i="309" s="1"/>
  <c r="M1000" i="251"/>
  <c r="M1001" i="251" s="1"/>
  <c r="M538" i="309" s="1"/>
  <c r="M983" i="251"/>
  <c r="M534" i="309" s="1"/>
  <c r="F2430" i="250"/>
  <c r="F446" i="311" s="1"/>
  <c r="H2420" i="250"/>
  <c r="H2430" i="250" s="1"/>
  <c r="H446" i="311" s="1"/>
  <c r="G3127" i="250"/>
  <c r="G493" i="311" s="1"/>
  <c r="J482" i="251"/>
  <c r="J483" i="251" s="1"/>
  <c r="J272" i="309" s="1"/>
  <c r="J465" i="251"/>
  <c r="J268" i="309" s="1"/>
  <c r="K482" i="251"/>
  <c r="K483" i="251" s="1"/>
  <c r="K272" i="309" s="1"/>
  <c r="K465" i="251"/>
  <c r="K268" i="309" s="1"/>
  <c r="H3018" i="250"/>
  <c r="H478" i="311" s="1"/>
  <c r="H2998" i="250"/>
  <c r="H477" i="311" s="1"/>
  <c r="L643" i="251"/>
  <c r="L644" i="251" s="1"/>
  <c r="L341" i="309" s="1"/>
  <c r="L625" i="251"/>
  <c r="L337" i="309" s="1"/>
  <c r="G1540" i="250"/>
  <c r="G1550" i="250" s="1"/>
  <c r="G288" i="311" s="1"/>
  <c r="E1550" i="250"/>
  <c r="E288" i="311" s="1"/>
  <c r="L1310" i="251"/>
  <c r="L1311" i="251" s="1"/>
  <c r="L608" i="309" s="1"/>
  <c r="L1293" i="251"/>
  <c r="L604" i="309" s="1"/>
  <c r="M1293" i="251"/>
  <c r="M604" i="309" s="1"/>
  <c r="M1310" i="251"/>
  <c r="M1311" i="251" s="1"/>
  <c r="M608" i="309" s="1"/>
  <c r="G2840" i="250"/>
  <c r="G2850" i="250" s="1"/>
  <c r="G587" i="311" s="1"/>
  <c r="E2850" i="250"/>
  <c r="E587" i="311" s="1"/>
  <c r="H2840" i="250"/>
  <c r="H2850" i="250" s="1"/>
  <c r="H587" i="311" s="1"/>
  <c r="F2850" i="250"/>
  <c r="F587" i="311" s="1"/>
  <c r="K954" i="251"/>
  <c r="K955" i="251" s="1"/>
  <c r="K523" i="309" s="1"/>
  <c r="K937" i="251"/>
  <c r="K519" i="309" s="1"/>
  <c r="N680" i="251"/>
  <c r="N681" i="251" s="1"/>
  <c r="N355" i="309" s="1"/>
  <c r="N662" i="251"/>
  <c r="N351" i="309" s="1"/>
  <c r="G1599" i="250"/>
  <c r="G1614" i="250" s="1"/>
  <c r="G303" i="311" s="1"/>
  <c r="E1614" i="250"/>
  <c r="E303" i="311" s="1"/>
  <c r="N445" i="251"/>
  <c r="N446" i="251" s="1"/>
  <c r="N258" i="309" s="1"/>
  <c r="N428" i="251"/>
  <c r="N254" i="309" s="1"/>
  <c r="L991" i="251"/>
  <c r="L992" i="251" s="1"/>
  <c r="L537" i="309" s="1"/>
  <c r="L973" i="251"/>
  <c r="L533" i="309" s="1"/>
  <c r="H2380" i="250"/>
  <c r="H2390" i="250" s="1"/>
  <c r="H444" i="311" s="1"/>
  <c r="F2390" i="250"/>
  <c r="F444" i="311" s="1"/>
  <c r="E2410" i="250"/>
  <c r="E445" i="311" s="1"/>
  <c r="G2400" i="250"/>
  <c r="G2410" i="250" s="1"/>
  <c r="G445" i="311" s="1"/>
  <c r="F2410" i="250"/>
  <c r="F445" i="311" s="1"/>
  <c r="H2400" i="250"/>
  <c r="H2410" i="250" s="1"/>
  <c r="H445" i="311" s="1"/>
  <c r="E2430" i="250"/>
  <c r="E446" i="311" s="1"/>
  <c r="G2420" i="250"/>
  <c r="G2430" i="250" s="1"/>
  <c r="G446" i="311" s="1"/>
  <c r="G3167" i="250"/>
  <c r="G494" i="311" s="1"/>
  <c r="D445" i="329"/>
  <c r="J455" i="251"/>
  <c r="J267" i="309" s="1"/>
  <c r="J473" i="251"/>
  <c r="J474" i="251" s="1"/>
  <c r="J271" i="309" s="1"/>
  <c r="K455" i="251"/>
  <c r="K267" i="309" s="1"/>
  <c r="K473" i="251"/>
  <c r="K474" i="251" s="1"/>
  <c r="K271" i="309" s="1"/>
  <c r="L652" i="251"/>
  <c r="L653" i="251" s="1"/>
  <c r="L342" i="309" s="1"/>
  <c r="L635" i="251"/>
  <c r="L338" i="309" s="1"/>
  <c r="L1301" i="251"/>
  <c r="L1302" i="251" s="1"/>
  <c r="L607" i="309" s="1"/>
  <c r="L1283" i="251"/>
  <c r="L603" i="309" s="1"/>
  <c r="M1283" i="251"/>
  <c r="M603" i="309" s="1"/>
  <c r="M1301" i="251"/>
  <c r="M1302" i="251" s="1"/>
  <c r="M607" i="309" s="1"/>
  <c r="K963" i="251"/>
  <c r="K964" i="251" s="1"/>
  <c r="K524" i="309" s="1"/>
  <c r="K946" i="251"/>
  <c r="K520" i="309" s="1"/>
  <c r="H2271" i="250"/>
  <c r="H2286" i="250" s="1"/>
  <c r="H427" i="311" s="1"/>
  <c r="F2286" i="250"/>
  <c r="F427" i="311" s="1"/>
  <c r="H2336" i="250"/>
  <c r="H2346" i="250" s="1"/>
  <c r="H430" i="311" s="1"/>
  <c r="F2346" i="250"/>
  <c r="F430" i="311" s="1"/>
  <c r="N689" i="251"/>
  <c r="N690" i="251" s="1"/>
  <c r="N356" i="309" s="1"/>
  <c r="N672" i="251"/>
  <c r="N352" i="309" s="1"/>
  <c r="G1664" i="250"/>
  <c r="G1674" i="250" s="1"/>
  <c r="G306" i="311" s="1"/>
  <c r="E1674" i="250"/>
  <c r="E306" i="311" s="1"/>
  <c r="N436" i="251"/>
  <c r="N437" i="251" s="1"/>
  <c r="N257" i="309" s="1"/>
  <c r="N418" i="251"/>
  <c r="N253" i="309" s="1"/>
  <c r="L1000" i="251"/>
  <c r="L1001" i="251" s="1"/>
  <c r="L538" i="309" s="1"/>
  <c r="L983" i="251"/>
  <c r="L534" i="309" s="1"/>
  <c r="F2370" i="250"/>
  <c r="F443" i="311" s="1"/>
  <c r="H2355" i="250"/>
  <c r="H2370" i="250" s="1"/>
  <c r="H443" i="311" s="1"/>
  <c r="H2958" i="250"/>
  <c r="H491" i="311" s="1"/>
  <c r="D434" i="329"/>
  <c r="N465" i="251"/>
  <c r="N268" i="309" s="1"/>
  <c r="N482" i="251"/>
  <c r="N483" i="251" s="1"/>
  <c r="N272" i="309" s="1"/>
  <c r="H1120" i="250"/>
  <c r="H1130" i="250" s="1"/>
  <c r="H211" i="311" s="1"/>
  <c r="F1130" i="250"/>
  <c r="F211" i="311" s="1"/>
  <c r="E1150" i="250"/>
  <c r="E212" i="311" s="1"/>
  <c r="G1140" i="250"/>
  <c r="G1150" i="250" s="1"/>
  <c r="G212" i="311" s="1"/>
  <c r="F1150" i="250"/>
  <c r="F212" i="311" s="1"/>
  <c r="H1140" i="250"/>
  <c r="H1150" i="250" s="1"/>
  <c r="H212" i="311" s="1"/>
  <c r="E1170" i="250"/>
  <c r="E213" i="311" s="1"/>
  <c r="G1160" i="250"/>
  <c r="G1170" i="250" s="1"/>
  <c r="G213" i="311" s="1"/>
  <c r="J643" i="251"/>
  <c r="J644" i="251" s="1"/>
  <c r="J341" i="309" s="1"/>
  <c r="J625" i="251"/>
  <c r="J337" i="309" s="1"/>
  <c r="K643" i="251"/>
  <c r="K644" i="251" s="1"/>
  <c r="K341" i="309" s="1"/>
  <c r="K625" i="251"/>
  <c r="K337" i="309" s="1"/>
  <c r="K1310" i="251"/>
  <c r="K1311" i="251" s="1"/>
  <c r="K608" i="309" s="1"/>
  <c r="K1293" i="251"/>
  <c r="K604" i="309" s="1"/>
  <c r="G2800" i="250"/>
  <c r="G2810" i="250" s="1"/>
  <c r="G585" i="311" s="1"/>
  <c r="E2810" i="250"/>
  <c r="E585" i="311" s="1"/>
  <c r="N954" i="251"/>
  <c r="N955" i="251" s="1"/>
  <c r="N523" i="309" s="1"/>
  <c r="N937" i="251"/>
  <c r="N519" i="309" s="1"/>
  <c r="J954" i="251"/>
  <c r="J955" i="251" s="1"/>
  <c r="J523" i="309" s="1"/>
  <c r="J937" i="251"/>
  <c r="J519" i="309" s="1"/>
  <c r="E2286" i="250"/>
  <c r="E427" i="311" s="1"/>
  <c r="G2271" i="250"/>
  <c r="G2286" i="250" s="1"/>
  <c r="G427" i="311" s="1"/>
  <c r="M680" i="251"/>
  <c r="M681" i="251" s="1"/>
  <c r="M355" i="309" s="1"/>
  <c r="M662" i="251"/>
  <c r="M351" i="309" s="1"/>
  <c r="H1664" i="250"/>
  <c r="H1674" i="250" s="1"/>
  <c r="H306" i="311" s="1"/>
  <c r="F1674" i="250"/>
  <c r="F306" i="311" s="1"/>
  <c r="M445" i="251"/>
  <c r="M446" i="251" s="1"/>
  <c r="M258" i="309" s="1"/>
  <c r="M428" i="251"/>
  <c r="M254" i="309" s="1"/>
  <c r="H1076" i="250"/>
  <c r="H1086" i="250" s="1"/>
  <c r="H197" i="311" s="1"/>
  <c r="F1086" i="250"/>
  <c r="F197" i="311" s="1"/>
  <c r="K991" i="251"/>
  <c r="K992" i="251" s="1"/>
  <c r="K537" i="309" s="1"/>
  <c r="K973" i="251"/>
  <c r="K533" i="309" s="1"/>
  <c r="H3127" i="250"/>
  <c r="H493" i="311" s="1"/>
  <c r="N473" i="251"/>
  <c r="N474" i="251" s="1"/>
  <c r="N271" i="309" s="1"/>
  <c r="N455" i="251"/>
  <c r="N267" i="309" s="1"/>
  <c r="E1110" i="250"/>
  <c r="E210" i="311" s="1"/>
  <c r="G1095" i="250"/>
  <c r="G1110" i="250" s="1"/>
  <c r="G210" i="311" s="1"/>
  <c r="G1120" i="250"/>
  <c r="G1130" i="250" s="1"/>
  <c r="G211" i="311" s="1"/>
  <c r="E1130" i="250"/>
  <c r="E211" i="311" s="1"/>
  <c r="F1110" i="250"/>
  <c r="F210" i="311" s="1"/>
  <c r="H1095" i="250"/>
  <c r="H1110" i="250" s="1"/>
  <c r="H210" i="311" s="1"/>
  <c r="G2998" i="250"/>
  <c r="G477" i="311" s="1"/>
  <c r="G2978" i="250"/>
  <c r="G476" i="311" s="1"/>
  <c r="J652" i="251"/>
  <c r="J653" i="251" s="1"/>
  <c r="J342" i="309" s="1"/>
  <c r="J635" i="251"/>
  <c r="J338" i="309" s="1"/>
  <c r="K652" i="251"/>
  <c r="K653" i="251" s="1"/>
  <c r="K342" i="309" s="1"/>
  <c r="K635" i="251"/>
  <c r="K338" i="309" s="1"/>
  <c r="H1540" i="250"/>
  <c r="H1550" i="250" s="1"/>
  <c r="H288" i="311" s="1"/>
  <c r="F1550" i="250"/>
  <c r="F288" i="311" s="1"/>
  <c r="K1301" i="251"/>
  <c r="K1302" i="251" s="1"/>
  <c r="K607" i="309" s="1"/>
  <c r="K1283" i="251"/>
  <c r="K603" i="309" s="1"/>
  <c r="E2830" i="250"/>
  <c r="E586" i="311" s="1"/>
  <c r="G2820" i="250"/>
  <c r="G2830" i="250" s="1"/>
  <c r="G586" i="311" s="1"/>
  <c r="H2775" i="250"/>
  <c r="H2790" i="250" s="1"/>
  <c r="H584" i="311" s="1"/>
  <c r="F2790" i="250"/>
  <c r="F584" i="311" s="1"/>
  <c r="N963" i="251"/>
  <c r="N964" i="251" s="1"/>
  <c r="N524" i="309" s="1"/>
  <c r="N946" i="251"/>
  <c r="N520" i="309" s="1"/>
  <c r="J963" i="251"/>
  <c r="J964" i="251" s="1"/>
  <c r="J524" i="309" s="1"/>
  <c r="J946" i="251"/>
  <c r="J520" i="309" s="1"/>
  <c r="H2296" i="250"/>
  <c r="H2306" i="250" s="1"/>
  <c r="H428" i="311" s="1"/>
  <c r="F2306" i="250"/>
  <c r="F428" i="311" s="1"/>
  <c r="G2316" i="250"/>
  <c r="G2326" i="250" s="1"/>
  <c r="G429" i="311" s="1"/>
  <c r="E2326" i="250"/>
  <c r="E429" i="311" s="1"/>
  <c r="H2316" i="250"/>
  <c r="H2326" i="250" s="1"/>
  <c r="H429" i="311" s="1"/>
  <c r="F2326" i="250"/>
  <c r="F429" i="311" s="1"/>
  <c r="G2336" i="250"/>
  <c r="G2346" i="250" s="1"/>
  <c r="G430" i="311" s="1"/>
  <c r="E2346" i="250"/>
  <c r="E430" i="311" s="1"/>
  <c r="M689" i="251"/>
  <c r="M690" i="251" s="1"/>
  <c r="M356" i="309" s="1"/>
  <c r="M672" i="251"/>
  <c r="M352" i="309" s="1"/>
  <c r="F1654" i="250"/>
  <c r="F305" i="311" s="1"/>
  <c r="H1644" i="250"/>
  <c r="H1654" i="250" s="1"/>
  <c r="H305" i="311" s="1"/>
  <c r="H1599" i="250"/>
  <c r="H1614" i="250" s="1"/>
  <c r="H303" i="311" s="1"/>
  <c r="F1614" i="250"/>
  <c r="F303" i="311" s="1"/>
  <c r="G265" i="286"/>
  <c r="K265" i="286"/>
  <c r="L265" i="286"/>
  <c r="N265" i="286"/>
  <c r="M265" i="286"/>
  <c r="J265" i="286"/>
  <c r="J307" i="286"/>
  <c r="K307" i="286"/>
  <c r="M307" i="286"/>
  <c r="L307" i="286"/>
  <c r="N307" i="286"/>
  <c r="G133" i="247"/>
  <c r="K133" i="247"/>
  <c r="L133" i="247"/>
  <c r="N133" i="247"/>
  <c r="J133" i="247"/>
  <c r="M133" i="247"/>
  <c r="K141" i="283"/>
  <c r="L141" i="283"/>
  <c r="N141" i="283"/>
  <c r="M141" i="283"/>
  <c r="J141" i="283"/>
  <c r="G308" i="286"/>
  <c r="L308" i="286"/>
  <c r="M308" i="286"/>
  <c r="J308" i="286"/>
  <c r="K308" i="286"/>
  <c r="N308" i="286"/>
  <c r="K264" i="286"/>
  <c r="L264" i="286"/>
  <c r="N264" i="286"/>
  <c r="M264" i="286"/>
  <c r="J264" i="286"/>
  <c r="K134" i="247"/>
  <c r="L134" i="247"/>
  <c r="N134" i="247"/>
  <c r="J134" i="247"/>
  <c r="M134" i="247"/>
  <c r="K142" i="283"/>
  <c r="L142" i="283"/>
  <c r="N142" i="283"/>
  <c r="J142" i="283"/>
  <c r="M142" i="283"/>
  <c r="F2622" i="250"/>
  <c r="F552" i="311" s="1"/>
  <c r="H2607" i="250"/>
  <c r="H2622" i="250" s="1"/>
  <c r="H552" i="311" s="1"/>
  <c r="E2622" i="250"/>
  <c r="E552" i="311" s="1"/>
  <c r="G2607" i="250"/>
  <c r="G2622" i="250" s="1"/>
  <c r="G552" i="311" s="1"/>
  <c r="E2538" i="250"/>
  <c r="E537" i="311" s="1"/>
  <c r="G2523" i="250"/>
  <c r="G2538" i="250" s="1"/>
  <c r="G537" i="311" s="1"/>
  <c r="F2538" i="250"/>
  <c r="F537" i="311" s="1"/>
  <c r="H2523" i="250"/>
  <c r="H2538" i="250" s="1"/>
  <c r="H537" i="311" s="1"/>
  <c r="E2034" i="250"/>
  <c r="E380" i="311" s="1"/>
  <c r="G2019" i="250"/>
  <c r="G2034" i="250" s="1"/>
  <c r="G380" i="311" s="1"/>
  <c r="F2034" i="250"/>
  <c r="F380" i="311" s="1"/>
  <c r="H2019" i="250"/>
  <c r="H2034" i="250" s="1"/>
  <c r="H380" i="311" s="1"/>
  <c r="E1950" i="250"/>
  <c r="E365" i="311" s="1"/>
  <c r="G1935" i="250"/>
  <c r="G1950" i="250" s="1"/>
  <c r="G365" i="311" s="1"/>
  <c r="F1950" i="250"/>
  <c r="F365" i="311" s="1"/>
  <c r="H1935" i="250"/>
  <c r="H1950" i="250" s="1"/>
  <c r="H365" i="311" s="1"/>
  <c r="E1362" i="250"/>
  <c r="E255" i="311" s="1"/>
  <c r="G1347" i="250"/>
  <c r="G1362" i="250" s="1"/>
  <c r="G255" i="311" s="1"/>
  <c r="F1362" i="250"/>
  <c r="F255" i="311" s="1"/>
  <c r="H1347" i="250"/>
  <c r="H1362" i="250" s="1"/>
  <c r="H255" i="311" s="1"/>
  <c r="E1278" i="250"/>
  <c r="E240" i="311" s="1"/>
  <c r="G1263" i="250"/>
  <c r="G1278" i="250" s="1"/>
  <c r="G240" i="311" s="1"/>
  <c r="F1278" i="250"/>
  <c r="F240" i="311" s="1"/>
  <c r="H1263" i="250"/>
  <c r="H1278" i="250" s="1"/>
  <c r="H240" i="311" s="1"/>
  <c r="G307" i="286"/>
  <c r="E858" i="250"/>
  <c r="E162" i="311" s="1"/>
  <c r="G843" i="250"/>
  <c r="G858" i="250" s="1"/>
  <c r="G162" i="311" s="1"/>
  <c r="F858" i="250"/>
  <c r="F162" i="311" s="1"/>
  <c r="H843" i="250"/>
  <c r="H858" i="250" s="1"/>
  <c r="H162" i="311" s="1"/>
  <c r="F774" i="250"/>
  <c r="F147" i="311" s="1"/>
  <c r="H759" i="250"/>
  <c r="H774" i="250" s="1"/>
  <c r="H147" i="311" s="1"/>
  <c r="E774" i="250"/>
  <c r="E147" i="311" s="1"/>
  <c r="G759" i="250"/>
  <c r="G774" i="250" s="1"/>
  <c r="G147" i="311" s="1"/>
  <c r="E522" i="250"/>
  <c r="E101" i="311" s="1"/>
  <c r="G507" i="250"/>
  <c r="G522" i="250" s="1"/>
  <c r="G101" i="311" s="1"/>
  <c r="F522" i="250"/>
  <c r="F101" i="311" s="1"/>
  <c r="H507" i="250"/>
  <c r="H522" i="250" s="1"/>
  <c r="H101" i="311" s="1"/>
  <c r="E438" i="250"/>
  <c r="E86" i="311" s="1"/>
  <c r="G423" i="250"/>
  <c r="G438" i="250" s="1"/>
  <c r="G86" i="311" s="1"/>
  <c r="F438" i="250"/>
  <c r="F86" i="311" s="1"/>
  <c r="H423" i="250"/>
  <c r="H438" i="250" s="1"/>
  <c r="H86" i="311" s="1"/>
  <c r="E102" i="250"/>
  <c r="E24" i="311" s="1"/>
  <c r="G87" i="250"/>
  <c r="G102" i="250" s="1"/>
  <c r="G24" i="311" s="1"/>
  <c r="F102" i="250"/>
  <c r="F24" i="311" s="1"/>
  <c r="H87" i="250"/>
  <c r="H102" i="250" s="1"/>
  <c r="H24" i="311" s="1"/>
  <c r="G264" i="286"/>
  <c r="G2558" i="250"/>
  <c r="G538" i="311" s="1"/>
  <c r="G141" i="283"/>
  <c r="F2558" i="250"/>
  <c r="F538" i="311" s="1"/>
  <c r="H2558" i="250"/>
  <c r="H538" i="311" s="1"/>
  <c r="G142" i="283"/>
  <c r="G134" i="247"/>
  <c r="G2642" i="250"/>
  <c r="G553" i="311" s="1"/>
  <c r="E2642" i="250"/>
  <c r="E553" i="311" s="1"/>
  <c r="H2054" i="250"/>
  <c r="H381" i="311" s="1"/>
  <c r="E2054" i="250"/>
  <c r="E381" i="311" s="1"/>
  <c r="G2662" i="250"/>
  <c r="G554" i="311" s="1"/>
  <c r="E2662" i="250"/>
  <c r="E554" i="311" s="1"/>
  <c r="G2054" i="250"/>
  <c r="G381" i="311" s="1"/>
  <c r="F2054" i="250"/>
  <c r="F381" i="311" s="1"/>
  <c r="E2558" i="250"/>
  <c r="E538" i="311" s="1"/>
  <c r="H2642" i="250"/>
  <c r="H553" i="311" s="1"/>
  <c r="G1298" i="250"/>
  <c r="G241" i="311" s="1"/>
  <c r="F2642" i="250"/>
  <c r="F553" i="311" s="1"/>
  <c r="H2662" i="250"/>
  <c r="H554" i="311" s="1"/>
  <c r="F2662" i="250"/>
  <c r="F554" i="311" s="1"/>
  <c r="E2074" i="250"/>
  <c r="E382" i="311" s="1"/>
  <c r="E2578" i="250"/>
  <c r="E539" i="311" s="1"/>
  <c r="H142" i="250"/>
  <c r="H26" i="311" s="1"/>
  <c r="E1298" i="250"/>
  <c r="E241" i="311" s="1"/>
  <c r="H1338" i="250"/>
  <c r="H243" i="311" s="1"/>
  <c r="H1318" i="250"/>
  <c r="H242" i="311" s="1"/>
  <c r="E162" i="250"/>
  <c r="E27" i="311" s="1"/>
  <c r="F1338" i="250"/>
  <c r="F243" i="311" s="1"/>
  <c r="G1318" i="250"/>
  <c r="G242" i="311" s="1"/>
  <c r="H1298" i="250"/>
  <c r="H241" i="311" s="1"/>
  <c r="E1318" i="250"/>
  <c r="E242" i="311" s="1"/>
  <c r="F1318" i="250"/>
  <c r="F242" i="311" s="1"/>
  <c r="E1338" i="250"/>
  <c r="E243" i="311" s="1"/>
  <c r="F1298" i="250"/>
  <c r="F241" i="311" s="1"/>
  <c r="G1338" i="250"/>
  <c r="G243" i="311" s="1"/>
  <c r="H1382" i="250"/>
  <c r="H256" i="311" s="1"/>
  <c r="G1382" i="250"/>
  <c r="G256" i="311" s="1"/>
  <c r="G1402" i="250"/>
  <c r="G257" i="311" s="1"/>
  <c r="F1382" i="250"/>
  <c r="F256" i="311" s="1"/>
  <c r="E1422" i="250"/>
  <c r="E258" i="311" s="1"/>
  <c r="F1422" i="250"/>
  <c r="F258" i="311" s="1"/>
  <c r="H1422" i="250"/>
  <c r="H258" i="311" s="1"/>
  <c r="E1402" i="250"/>
  <c r="E257" i="311" s="1"/>
  <c r="E1382" i="250"/>
  <c r="E256" i="311" s="1"/>
  <c r="G1422" i="250"/>
  <c r="G258" i="311" s="1"/>
  <c r="H1402" i="250"/>
  <c r="H257" i="311" s="1"/>
  <c r="F1402" i="250"/>
  <c r="F257" i="311" s="1"/>
  <c r="F542" i="250"/>
  <c r="F102" i="311" s="1"/>
  <c r="H542" i="250"/>
  <c r="H102" i="311" s="1"/>
  <c r="E582" i="250"/>
  <c r="E104" i="311" s="1"/>
  <c r="H562" i="250"/>
  <c r="H103" i="311" s="1"/>
  <c r="E542" i="250"/>
  <c r="E102" i="311" s="1"/>
  <c r="G562" i="250"/>
  <c r="G103" i="311" s="1"/>
  <c r="G542" i="250"/>
  <c r="G102" i="311" s="1"/>
  <c r="G582" i="250"/>
  <c r="G104" i="311" s="1"/>
  <c r="F582" i="250"/>
  <c r="F104" i="311" s="1"/>
  <c r="E562" i="250"/>
  <c r="E103" i="311" s="1"/>
  <c r="F562" i="250"/>
  <c r="F103" i="311" s="1"/>
  <c r="H582" i="250"/>
  <c r="H104" i="311" s="1"/>
  <c r="G122" i="250"/>
  <c r="G25" i="311" s="1"/>
  <c r="F142" i="250"/>
  <c r="F26" i="311" s="1"/>
  <c r="E122" i="250"/>
  <c r="E25" i="311" s="1"/>
  <c r="G142" i="250"/>
  <c r="G26" i="311" s="1"/>
  <c r="G2578" i="250"/>
  <c r="G539" i="311" s="1"/>
  <c r="H122" i="250"/>
  <c r="H25" i="311" s="1"/>
  <c r="F122" i="250"/>
  <c r="F25" i="311" s="1"/>
  <c r="H162" i="250"/>
  <c r="H27" i="311" s="1"/>
  <c r="G162" i="250"/>
  <c r="G27" i="311" s="1"/>
  <c r="E142" i="250"/>
  <c r="E26" i="311" s="1"/>
  <c r="F162" i="250"/>
  <c r="F27" i="311" s="1"/>
  <c r="G2074" i="250"/>
  <c r="G382" i="311" s="1"/>
  <c r="H458" i="250"/>
  <c r="H87" i="311" s="1"/>
  <c r="E498" i="250"/>
  <c r="E89" i="311" s="1"/>
  <c r="G478" i="250"/>
  <c r="G88" i="311" s="1"/>
  <c r="F458" i="250"/>
  <c r="F87" i="311" s="1"/>
  <c r="E478" i="250"/>
  <c r="E88" i="311" s="1"/>
  <c r="G498" i="250"/>
  <c r="G89" i="311" s="1"/>
  <c r="G458" i="250"/>
  <c r="G87" i="311" s="1"/>
  <c r="H498" i="250"/>
  <c r="H89" i="311" s="1"/>
  <c r="E458" i="250"/>
  <c r="E87" i="311" s="1"/>
  <c r="F498" i="250"/>
  <c r="F89" i="311" s="1"/>
  <c r="H478" i="250"/>
  <c r="H88" i="311" s="1"/>
  <c r="F478" i="250"/>
  <c r="F88" i="311" s="1"/>
  <c r="G2682" i="250"/>
  <c r="G555" i="311" s="1"/>
  <c r="H2682" i="250"/>
  <c r="H555" i="311" s="1"/>
  <c r="E2682" i="250"/>
  <c r="E555" i="311" s="1"/>
  <c r="F814" i="250"/>
  <c r="F149" i="311" s="1"/>
  <c r="G2094" i="250"/>
  <c r="G383" i="311" s="1"/>
  <c r="G2598" i="250"/>
  <c r="G540" i="311" s="1"/>
  <c r="H2578" i="250"/>
  <c r="H539" i="311" s="1"/>
  <c r="F2598" i="250"/>
  <c r="F540" i="311" s="1"/>
  <c r="E2598" i="250"/>
  <c r="E540" i="311" s="1"/>
  <c r="H814" i="250"/>
  <c r="H149" i="311" s="1"/>
  <c r="H878" i="250"/>
  <c r="H163" i="311" s="1"/>
  <c r="E2094" i="250"/>
  <c r="E383" i="311" s="1"/>
  <c r="F2682" i="250"/>
  <c r="F555" i="311" s="1"/>
  <c r="F2578" i="250"/>
  <c r="F539" i="311" s="1"/>
  <c r="F878" i="250"/>
  <c r="F163" i="311" s="1"/>
  <c r="E918" i="250"/>
  <c r="E165" i="311" s="1"/>
  <c r="H794" i="250"/>
  <c r="H148" i="311" s="1"/>
  <c r="G794" i="250"/>
  <c r="G148" i="311" s="1"/>
  <c r="F918" i="250"/>
  <c r="F165" i="311" s="1"/>
  <c r="H898" i="250"/>
  <c r="H164" i="311" s="1"/>
  <c r="E898" i="250"/>
  <c r="E164" i="311" s="1"/>
  <c r="E878" i="250"/>
  <c r="E163" i="311" s="1"/>
  <c r="H908" i="250"/>
  <c r="H918" i="250" s="1"/>
  <c r="H165" i="311" s="1"/>
  <c r="G898" i="250"/>
  <c r="G164" i="311" s="1"/>
  <c r="G918" i="250"/>
  <c r="G165" i="311" s="1"/>
  <c r="E834" i="250"/>
  <c r="E150" i="311" s="1"/>
  <c r="F898" i="250"/>
  <c r="F164" i="311" s="1"/>
  <c r="F794" i="250"/>
  <c r="F148" i="311" s="1"/>
  <c r="E794" i="250"/>
  <c r="E148" i="311" s="1"/>
  <c r="G878" i="250"/>
  <c r="G163" i="311" s="1"/>
  <c r="G834" i="250"/>
  <c r="G150" i="311" s="1"/>
  <c r="F834" i="250"/>
  <c r="F150" i="311" s="1"/>
  <c r="G814" i="250"/>
  <c r="G149" i="311" s="1"/>
  <c r="E814" i="250"/>
  <c r="E149" i="311" s="1"/>
  <c r="H834" i="250"/>
  <c r="H150" i="311" s="1"/>
  <c r="F2074" i="250"/>
  <c r="F382" i="311" s="1"/>
  <c r="H2074" i="250"/>
  <c r="H382" i="311" s="1"/>
  <c r="F2094" i="250"/>
  <c r="F383" i="311" s="1"/>
  <c r="H2094" i="250"/>
  <c r="H383" i="311" s="1"/>
  <c r="H1970" i="250"/>
  <c r="H366" i="311" s="1"/>
  <c r="F1970" i="250"/>
  <c r="F366" i="311" s="1"/>
  <c r="E2010" i="250"/>
  <c r="E368" i="311" s="1"/>
  <c r="G2010" i="250"/>
  <c r="G368" i="311" s="1"/>
  <c r="G1970" i="250"/>
  <c r="G366" i="311" s="1"/>
  <c r="H1990" i="250"/>
  <c r="H367" i="311" s="1"/>
  <c r="E1970" i="250"/>
  <c r="E366" i="311" s="1"/>
  <c r="F2010" i="250"/>
  <c r="F368" i="311" s="1"/>
  <c r="F1990" i="250"/>
  <c r="F367" i="311" s="1"/>
  <c r="E1990" i="250"/>
  <c r="E367" i="311" s="1"/>
  <c r="H2010" i="250"/>
  <c r="H368" i="311" s="1"/>
  <c r="G1990" i="250"/>
  <c r="G367" i="311" s="1"/>
  <c r="H2598" i="250"/>
  <c r="H540" i="311" s="1"/>
  <c r="M892" i="251" l="1"/>
  <c r="M496" i="309" s="1"/>
  <c r="M514" i="329"/>
  <c r="J892" i="251"/>
  <c r="J496" i="309" s="1"/>
  <c r="J514" i="329"/>
  <c r="N500" i="329"/>
  <c r="N884" i="251"/>
  <c r="N495" i="309" s="1"/>
  <c r="N514" i="329"/>
  <c r="N892" i="251"/>
  <c r="N496" i="309" s="1"/>
  <c r="L884" i="251"/>
  <c r="L495" i="309" s="1"/>
  <c r="L500" i="329"/>
  <c r="L892" i="251"/>
  <c r="L496" i="309" s="1"/>
  <c r="L514" i="329"/>
  <c r="K884" i="251"/>
  <c r="K495" i="309" s="1"/>
  <c r="K500" i="329"/>
  <c r="K892" i="251"/>
  <c r="K496" i="309" s="1"/>
  <c r="K514" i="329"/>
  <c r="J884" i="251"/>
  <c r="J495" i="309" s="1"/>
  <c r="J500" i="329"/>
  <c r="M884" i="251"/>
  <c r="M495" i="309" s="1"/>
  <c r="M500" i="329"/>
  <c r="F556" i="311"/>
  <c r="F92" i="336" s="1"/>
  <c r="G588" i="311"/>
  <c r="H495" i="311"/>
  <c r="H431" i="311"/>
  <c r="E556" i="311"/>
  <c r="F91" i="336" s="1"/>
  <c r="E431" i="311"/>
  <c r="F215" i="247" s="1"/>
  <c r="G307" i="311"/>
  <c r="G447" i="311"/>
  <c r="F588" i="311"/>
  <c r="F170" i="336" s="1"/>
  <c r="E541" i="311"/>
  <c r="F56" i="336" s="1"/>
  <c r="E447" i="311"/>
  <c r="F258" i="247" s="1"/>
  <c r="F431" i="311"/>
  <c r="F216" i="247" s="1"/>
  <c r="G556" i="311"/>
  <c r="F479" i="311"/>
  <c r="F275" i="301" s="1"/>
  <c r="F495" i="311"/>
  <c r="F299" i="301" s="1"/>
  <c r="E495" i="311"/>
  <c r="F298" i="301" s="1"/>
  <c r="F447" i="311"/>
  <c r="F259" i="247" s="1"/>
  <c r="G479" i="311"/>
  <c r="G495" i="311"/>
  <c r="E384" i="311"/>
  <c r="F96" i="247" s="1"/>
  <c r="H447" i="311"/>
  <c r="G431" i="311"/>
  <c r="E479" i="311"/>
  <c r="F274" i="301" s="1"/>
  <c r="F244" i="311"/>
  <c r="F60" i="286" s="1"/>
  <c r="H479" i="311"/>
  <c r="H556" i="311"/>
  <c r="H588" i="311"/>
  <c r="H244" i="311"/>
  <c r="E244" i="311"/>
  <c r="F59" i="286" s="1"/>
  <c r="E307" i="311"/>
  <c r="F221" i="286" s="1"/>
  <c r="H105" i="311"/>
  <c r="G541" i="311"/>
  <c r="H541" i="311"/>
  <c r="G214" i="311"/>
  <c r="G384" i="311"/>
  <c r="H291" i="311"/>
  <c r="E291" i="311"/>
  <c r="F178" i="286" s="1"/>
  <c r="H259" i="311"/>
  <c r="H307" i="311"/>
  <c r="G244" i="311"/>
  <c r="F291" i="311"/>
  <c r="F179" i="286" s="1"/>
  <c r="E259" i="311"/>
  <c r="F96" i="286" s="1"/>
  <c r="F307" i="311"/>
  <c r="F222" i="286" s="1"/>
  <c r="G291" i="311"/>
  <c r="G259" i="311"/>
  <c r="F259" i="311"/>
  <c r="F97" i="286" s="1"/>
  <c r="E214" i="311"/>
  <c r="F221" i="285" s="1"/>
  <c r="F214" i="311"/>
  <c r="F222" i="285" s="1"/>
  <c r="H214" i="311"/>
  <c r="E105" i="311"/>
  <c r="F96" i="284" s="1"/>
  <c r="G105" i="311"/>
  <c r="F105" i="311"/>
  <c r="F97" i="284" s="1"/>
  <c r="G28" i="311"/>
  <c r="H28" i="311"/>
  <c r="E28" i="311"/>
  <c r="F59" i="283" s="1"/>
  <c r="F28" i="311"/>
  <c r="F60" i="283" s="1"/>
  <c r="F384" i="311"/>
  <c r="F97" i="247" s="1"/>
  <c r="F541" i="311"/>
  <c r="F57" i="336" s="1"/>
  <c r="G90" i="311"/>
  <c r="F90" i="311"/>
  <c r="F60" i="284" s="1"/>
  <c r="E90" i="311"/>
  <c r="F59" i="284" s="1"/>
  <c r="H90" i="311"/>
  <c r="H198" i="311"/>
  <c r="G198" i="311"/>
  <c r="E198" i="311"/>
  <c r="F178" i="285" s="1"/>
  <c r="F198" i="311"/>
  <c r="F179" i="285" s="1"/>
  <c r="E166" i="311"/>
  <c r="F96" i="285" s="1"/>
  <c r="F166" i="311"/>
  <c r="F97" i="285" s="1"/>
  <c r="G166" i="311"/>
  <c r="E588" i="311"/>
  <c r="F169" i="336" s="1"/>
  <c r="G151" i="311"/>
  <c r="E151" i="311"/>
  <c r="F59" i="285" s="1"/>
  <c r="H166" i="311"/>
  <c r="H151" i="311"/>
  <c r="F151" i="311"/>
  <c r="F60" i="285" s="1"/>
  <c r="H384" i="311"/>
  <c r="H369" i="311"/>
  <c r="F369" i="311"/>
  <c r="F60" i="247" s="1"/>
  <c r="E369" i="311"/>
  <c r="F59" i="247" s="1"/>
  <c r="G369" i="311"/>
  <c r="I514" i="329" l="1"/>
  <c r="I500" i="329"/>
  <c r="M359" i="329"/>
  <c r="K359" i="329"/>
  <c r="M360" i="329"/>
  <c r="J360" i="329"/>
  <c r="L375" i="329"/>
  <c r="J359" i="329"/>
  <c r="L134" i="329"/>
  <c r="K375" i="329"/>
  <c r="N374" i="329"/>
  <c r="N375" i="329"/>
  <c r="L374" i="329"/>
  <c r="M374" i="329"/>
  <c r="J145" i="329"/>
  <c r="L359" i="329"/>
  <c r="L145" i="329"/>
  <c r="L360" i="329"/>
  <c r="J374" i="329"/>
  <c r="N359" i="329"/>
  <c r="M375" i="329"/>
  <c r="N145" i="329"/>
  <c r="K374" i="329"/>
  <c r="M134" i="329"/>
  <c r="J134" i="329"/>
  <c r="N360" i="329"/>
  <c r="K360" i="329"/>
  <c r="K134" i="329"/>
  <c r="K59" i="247"/>
  <c r="L59" i="247"/>
  <c r="N59" i="247"/>
  <c r="J59" i="247"/>
  <c r="M59" i="247"/>
  <c r="K59" i="285"/>
  <c r="L59" i="285"/>
  <c r="N59" i="285"/>
  <c r="J59" i="285"/>
  <c r="M59" i="285"/>
  <c r="L179" i="285"/>
  <c r="M179" i="285"/>
  <c r="J179" i="285"/>
  <c r="K179" i="285"/>
  <c r="N179" i="285"/>
  <c r="K221" i="285"/>
  <c r="L221" i="285"/>
  <c r="N221" i="285"/>
  <c r="J221" i="285"/>
  <c r="M221" i="285"/>
  <c r="G60" i="286"/>
  <c r="L60" i="286"/>
  <c r="M60" i="286"/>
  <c r="J60" i="286"/>
  <c r="K60" i="286"/>
  <c r="N60" i="286"/>
  <c r="G215" i="247"/>
  <c r="K215" i="247"/>
  <c r="L215" i="247"/>
  <c r="N215" i="247"/>
  <c r="J215" i="247"/>
  <c r="M215" i="247"/>
  <c r="J258" i="247"/>
  <c r="K258" i="247"/>
  <c r="M258" i="247"/>
  <c r="L258" i="247"/>
  <c r="N258" i="247"/>
  <c r="J375" i="329"/>
  <c r="N134" i="329"/>
  <c r="G96" i="247"/>
  <c r="J96" i="247"/>
  <c r="K96" i="247"/>
  <c r="M96" i="247"/>
  <c r="L96" i="247"/>
  <c r="N96" i="247"/>
  <c r="G222" i="285"/>
  <c r="K222" i="285"/>
  <c r="L222" i="285"/>
  <c r="N222" i="285"/>
  <c r="J222" i="285"/>
  <c r="M222" i="285"/>
  <c r="G57" i="336"/>
  <c r="K57" i="336"/>
  <c r="L57" i="336"/>
  <c r="N57" i="336"/>
  <c r="J57" i="336"/>
  <c r="M57" i="336"/>
  <c r="G170" i="336"/>
  <c r="L170" i="336"/>
  <c r="M170" i="336"/>
  <c r="J170" i="336"/>
  <c r="K170" i="336"/>
  <c r="N170" i="336"/>
  <c r="G259" i="247"/>
  <c r="L259" i="247"/>
  <c r="M259" i="247"/>
  <c r="J259" i="247"/>
  <c r="K259" i="247"/>
  <c r="N259" i="247"/>
  <c r="J221" i="286"/>
  <c r="K221" i="286"/>
  <c r="M221" i="286"/>
  <c r="N221" i="286"/>
  <c r="L221" i="286"/>
  <c r="K60" i="247"/>
  <c r="L60" i="247"/>
  <c r="N60" i="247"/>
  <c r="M60" i="247"/>
  <c r="J60" i="247"/>
  <c r="J96" i="285"/>
  <c r="K96" i="285"/>
  <c r="M96" i="285"/>
  <c r="L96" i="285"/>
  <c r="N96" i="285"/>
  <c r="L60" i="284"/>
  <c r="L191" i="251" s="1"/>
  <c r="L156" i="309" s="1"/>
  <c r="M60" i="284"/>
  <c r="M191" i="251" s="1"/>
  <c r="M156" i="309" s="1"/>
  <c r="J60" i="284"/>
  <c r="J191" i="251" s="1"/>
  <c r="J156" i="309" s="1"/>
  <c r="N60" i="284"/>
  <c r="N191" i="251" s="1"/>
  <c r="N156" i="309" s="1"/>
  <c r="K60" i="284"/>
  <c r="K191" i="251" s="1"/>
  <c r="K156" i="309" s="1"/>
  <c r="J59" i="286"/>
  <c r="K59" i="286"/>
  <c r="M59" i="286"/>
  <c r="L59" i="286"/>
  <c r="N59" i="286"/>
  <c r="K56" i="336"/>
  <c r="L56" i="336"/>
  <c r="N56" i="336"/>
  <c r="J56" i="336"/>
  <c r="M56" i="336"/>
  <c r="G92" i="336"/>
  <c r="L92" i="336"/>
  <c r="M92" i="336"/>
  <c r="J92" i="336"/>
  <c r="K92" i="336"/>
  <c r="N92" i="336"/>
  <c r="K145" i="329"/>
  <c r="M145" i="329"/>
  <c r="L97" i="247"/>
  <c r="M97" i="247"/>
  <c r="J97" i="247"/>
  <c r="K97" i="247"/>
  <c r="N97" i="247"/>
  <c r="K60" i="283"/>
  <c r="K100" i="309" s="1"/>
  <c r="L60" i="283"/>
  <c r="L100" i="309" s="1"/>
  <c r="N60" i="283"/>
  <c r="N100" i="309" s="1"/>
  <c r="M60" i="283"/>
  <c r="M100" i="309" s="1"/>
  <c r="J60" i="283"/>
  <c r="J100" i="309" s="1"/>
  <c r="G222" i="286"/>
  <c r="L222" i="286"/>
  <c r="M222" i="286"/>
  <c r="J222" i="286"/>
  <c r="K222" i="286"/>
  <c r="N222" i="286"/>
  <c r="G97" i="284"/>
  <c r="K97" i="284"/>
  <c r="L97" i="284"/>
  <c r="N97" i="284"/>
  <c r="J97" i="284"/>
  <c r="M97" i="284"/>
  <c r="L275" i="301"/>
  <c r="L1056" i="251" s="1"/>
  <c r="M275" i="301"/>
  <c r="M1056" i="251" s="1"/>
  <c r="J275" i="301"/>
  <c r="J1056" i="251" s="1"/>
  <c r="K275" i="301"/>
  <c r="K1056" i="251" s="1"/>
  <c r="N275" i="301"/>
  <c r="N1056" i="251" s="1"/>
  <c r="K298" i="301"/>
  <c r="K1083" i="251" s="1"/>
  <c r="L298" i="301"/>
  <c r="L1083" i="251" s="1"/>
  <c r="N298" i="301"/>
  <c r="N1083" i="251" s="1"/>
  <c r="M298" i="301"/>
  <c r="M1083" i="251" s="1"/>
  <c r="J298" i="301"/>
  <c r="J1083" i="251" s="1"/>
  <c r="J91" i="336"/>
  <c r="K91" i="336"/>
  <c r="M91" i="336"/>
  <c r="L91" i="336"/>
  <c r="N91" i="336"/>
  <c r="J178" i="285"/>
  <c r="K178" i="285"/>
  <c r="M178" i="285"/>
  <c r="L178" i="285"/>
  <c r="N178" i="285"/>
  <c r="G59" i="283"/>
  <c r="K59" i="283"/>
  <c r="L59" i="283"/>
  <c r="N59" i="283"/>
  <c r="J59" i="283"/>
  <c r="M59" i="283"/>
  <c r="K97" i="286"/>
  <c r="L97" i="286"/>
  <c r="N97" i="286"/>
  <c r="J97" i="286"/>
  <c r="M97" i="286"/>
  <c r="G216" i="247"/>
  <c r="K216" i="247"/>
  <c r="L216" i="247"/>
  <c r="N216" i="247"/>
  <c r="J216" i="247"/>
  <c r="M216" i="247"/>
  <c r="G59" i="284"/>
  <c r="J59" i="284"/>
  <c r="J183" i="251" s="1"/>
  <c r="J155" i="309" s="1"/>
  <c r="K59" i="284"/>
  <c r="K183" i="251" s="1"/>
  <c r="K155" i="309" s="1"/>
  <c r="M59" i="284"/>
  <c r="M183" i="251" s="1"/>
  <c r="M155" i="309" s="1"/>
  <c r="N59" i="284"/>
  <c r="N183" i="251" s="1"/>
  <c r="N155" i="309" s="1"/>
  <c r="L59" i="284"/>
  <c r="L183" i="251" s="1"/>
  <c r="L155" i="309" s="1"/>
  <c r="K96" i="286"/>
  <c r="L96" i="286"/>
  <c r="N96" i="286"/>
  <c r="M96" i="286"/>
  <c r="J96" i="286"/>
  <c r="G299" i="301"/>
  <c r="K299" i="301"/>
  <c r="K1091" i="251" s="1"/>
  <c r="L299" i="301"/>
  <c r="L1091" i="251" s="1"/>
  <c r="N299" i="301"/>
  <c r="N1091" i="251" s="1"/>
  <c r="M299" i="301"/>
  <c r="M1091" i="251" s="1"/>
  <c r="J299" i="301"/>
  <c r="J1091" i="251" s="1"/>
  <c r="K60" i="285"/>
  <c r="L60" i="285"/>
  <c r="N60" i="285"/>
  <c r="M60" i="285"/>
  <c r="J60" i="285"/>
  <c r="L97" i="285"/>
  <c r="M97" i="285"/>
  <c r="J97" i="285"/>
  <c r="K97" i="285"/>
  <c r="N97" i="285"/>
  <c r="K96" i="284"/>
  <c r="L96" i="284"/>
  <c r="N96" i="284"/>
  <c r="M96" i="284"/>
  <c r="J96" i="284"/>
  <c r="K178" i="286"/>
  <c r="L178" i="286"/>
  <c r="N178" i="286"/>
  <c r="J178" i="286"/>
  <c r="M178" i="286"/>
  <c r="K179" i="286"/>
  <c r="L179" i="286"/>
  <c r="N179" i="286"/>
  <c r="M179" i="286"/>
  <c r="J179" i="286"/>
  <c r="G274" i="301"/>
  <c r="J274" i="301"/>
  <c r="J1047" i="251" s="1"/>
  <c r="K274" i="301"/>
  <c r="K1047" i="251" s="1"/>
  <c r="M274" i="301"/>
  <c r="M1047" i="251" s="1"/>
  <c r="N274" i="301"/>
  <c r="N1047" i="251" s="1"/>
  <c r="L274" i="301"/>
  <c r="L1047" i="251" s="1"/>
  <c r="J169" i="336"/>
  <c r="K169" i="336"/>
  <c r="M169" i="336"/>
  <c r="N169" i="336"/>
  <c r="L169" i="336"/>
  <c r="G169" i="336"/>
  <c r="G221" i="286"/>
  <c r="G258" i="247"/>
  <c r="G298" i="301"/>
  <c r="G91" i="336"/>
  <c r="G275" i="301"/>
  <c r="G221" i="285"/>
  <c r="G56" i="336"/>
  <c r="G179" i="286"/>
  <c r="G97" i="286"/>
  <c r="G96" i="286"/>
  <c r="G59" i="286"/>
  <c r="G178" i="286"/>
  <c r="G96" i="284"/>
  <c r="G60" i="283"/>
  <c r="G60" i="284"/>
  <c r="G60" i="247"/>
  <c r="G97" i="285"/>
  <c r="G97" i="247"/>
  <c r="G59" i="285"/>
  <c r="G59" i="247"/>
  <c r="G96" i="285"/>
  <c r="G178" i="285"/>
  <c r="G60" i="285"/>
  <c r="G179" i="285"/>
  <c r="D158" i="324"/>
  <c r="D156" i="324"/>
  <c r="D13" i="326" s="1"/>
  <c r="D155" i="324"/>
  <c r="D12" i="326" s="1"/>
  <c r="I360" i="329" l="1"/>
  <c r="I359" i="329"/>
  <c r="I374" i="329"/>
  <c r="I375" i="329"/>
  <c r="I134" i="329"/>
  <c r="I145" i="329"/>
  <c r="N62" i="324"/>
  <c r="L73" i="324"/>
  <c r="L77" i="324" s="1"/>
  <c r="K73" i="324"/>
  <c r="K77" i="324" s="1"/>
  <c r="J62" i="324"/>
  <c r="M62" i="324"/>
  <c r="L84" i="324"/>
  <c r="L89" i="324" s="1"/>
  <c r="J73" i="324"/>
  <c r="N73" i="324"/>
  <c r="N77" i="324" s="1"/>
  <c r="L62" i="324"/>
  <c r="K84" i="324"/>
  <c r="K89" i="324" s="1"/>
  <c r="M84" i="324"/>
  <c r="M89" i="324" s="1"/>
  <c r="N84" i="324"/>
  <c r="N89" i="324" s="1"/>
  <c r="M73" i="324"/>
  <c r="M77" i="324" s="1"/>
  <c r="K62" i="324"/>
  <c r="J84" i="324"/>
  <c r="K1107" i="251"/>
  <c r="M1107" i="251"/>
  <c r="N1107" i="251"/>
  <c r="L1107" i="251"/>
  <c r="J1099" i="251"/>
  <c r="M1099" i="251"/>
  <c r="N1099" i="251"/>
  <c r="L1099" i="251"/>
  <c r="J1107" i="251"/>
  <c r="K1099" i="251"/>
  <c r="K74" i="324"/>
  <c r="K78" i="324" s="1"/>
  <c r="L85" i="324"/>
  <c r="L90" i="324" s="1"/>
  <c r="K63" i="324"/>
  <c r="K67" i="324" s="1"/>
  <c r="J63" i="324"/>
  <c r="N74" i="324"/>
  <c r="N78" i="324" s="1"/>
  <c r="J85" i="324"/>
  <c r="K85" i="324"/>
  <c r="K90" i="324" s="1"/>
  <c r="M63" i="324"/>
  <c r="M67" i="324" s="1"/>
  <c r="M74" i="324"/>
  <c r="M78" i="324" s="1"/>
  <c r="J74" i="324"/>
  <c r="M85" i="324"/>
  <c r="M90" i="324" s="1"/>
  <c r="L74" i="324"/>
  <c r="L78" i="324" s="1"/>
  <c r="L63" i="324"/>
  <c r="L67" i="324" s="1"/>
  <c r="N63" i="324"/>
  <c r="N67" i="324" s="1"/>
  <c r="N85" i="324"/>
  <c r="N90" i="324" s="1"/>
  <c r="J571" i="251"/>
  <c r="J313" i="309" s="1"/>
  <c r="J355" i="329"/>
  <c r="N69" i="251"/>
  <c r="N104" i="309" s="1"/>
  <c r="N143" i="329"/>
  <c r="J512" i="329"/>
  <c r="J828" i="251"/>
  <c r="J468" i="309" s="1"/>
  <c r="K1205" i="251"/>
  <c r="K566" i="309" s="1"/>
  <c r="K590" i="329"/>
  <c r="M369" i="329"/>
  <c r="M547" i="251"/>
  <c r="M300" i="309" s="1"/>
  <c r="L201" i="329"/>
  <c r="L231" i="251"/>
  <c r="L173" i="309" s="1"/>
  <c r="M340" i="251"/>
  <c r="M216" i="309" s="1"/>
  <c r="M284" i="329"/>
  <c r="M571" i="251"/>
  <c r="M313" i="309" s="1"/>
  <c r="M355" i="329"/>
  <c r="J200" i="329"/>
  <c r="J199" i="251"/>
  <c r="J159" i="309" s="1"/>
  <c r="M370" i="329"/>
  <c r="M579" i="251"/>
  <c r="M314" i="309" s="1"/>
  <c r="L61" i="251"/>
  <c r="L103" i="309" s="1"/>
  <c r="L132" i="329"/>
  <c r="L69" i="251"/>
  <c r="L104" i="309" s="1"/>
  <c r="L143" i="329"/>
  <c r="M1237" i="251"/>
  <c r="M580" i="309" s="1"/>
  <c r="M591" i="329"/>
  <c r="N354" i="329"/>
  <c r="N539" i="251"/>
  <c r="N299" i="309" s="1"/>
  <c r="M207" i="251"/>
  <c r="M160" i="309" s="1"/>
  <c r="M211" i="329"/>
  <c r="M828" i="251"/>
  <c r="M468" i="309" s="1"/>
  <c r="M512" i="329"/>
  <c r="N852" i="251"/>
  <c r="N481" i="309" s="1"/>
  <c r="N499" i="329"/>
  <c r="L369" i="329"/>
  <c r="L547" i="251"/>
  <c r="L300" i="309" s="1"/>
  <c r="K578" i="329"/>
  <c r="K1197" i="251"/>
  <c r="K565" i="309" s="1"/>
  <c r="N571" i="251"/>
  <c r="N313" i="309" s="1"/>
  <c r="N355" i="329"/>
  <c r="L207" i="251"/>
  <c r="L160" i="309" s="1"/>
  <c r="L211" i="329"/>
  <c r="L852" i="251"/>
  <c r="L481" i="309" s="1"/>
  <c r="L499" i="329"/>
  <c r="M271" i="329"/>
  <c r="M332" i="251"/>
  <c r="M215" i="309" s="1"/>
  <c r="N372" i="251"/>
  <c r="N230" i="309" s="1"/>
  <c r="N285" i="329"/>
  <c r="L340" i="251"/>
  <c r="L216" i="309" s="1"/>
  <c r="L284" i="329"/>
  <c r="L571" i="251"/>
  <c r="L313" i="309" s="1"/>
  <c r="L355" i="329"/>
  <c r="N370" i="329"/>
  <c r="N579" i="251"/>
  <c r="N314" i="309" s="1"/>
  <c r="N579" i="329"/>
  <c r="N1229" i="251"/>
  <c r="N579" i="309" s="1"/>
  <c r="J212" i="329"/>
  <c r="J239" i="251"/>
  <c r="J174" i="309" s="1"/>
  <c r="N513" i="329"/>
  <c r="N860" i="251"/>
  <c r="N482" i="309" s="1"/>
  <c r="M354" i="329"/>
  <c r="M539" i="251"/>
  <c r="M299" i="309" s="1"/>
  <c r="N272" i="329"/>
  <c r="N364" i="251"/>
  <c r="N229" i="309" s="1"/>
  <c r="L512" i="329"/>
  <c r="L828" i="251"/>
  <c r="L468" i="309" s="1"/>
  <c r="M852" i="251"/>
  <c r="M481" i="309" s="1"/>
  <c r="M499" i="329"/>
  <c r="J332" i="251"/>
  <c r="J215" i="309" s="1"/>
  <c r="J271" i="329"/>
  <c r="M820" i="251"/>
  <c r="M467" i="309" s="1"/>
  <c r="M498" i="329"/>
  <c r="K200" i="329"/>
  <c r="K199" i="251"/>
  <c r="K159" i="309" s="1"/>
  <c r="N340" i="251"/>
  <c r="N216" i="309" s="1"/>
  <c r="N284" i="329"/>
  <c r="M239" i="251"/>
  <c r="M174" i="309" s="1"/>
  <c r="M212" i="329"/>
  <c r="L591" i="329"/>
  <c r="L1237" i="251"/>
  <c r="L580" i="309" s="1"/>
  <c r="K285" i="329"/>
  <c r="K372" i="251"/>
  <c r="K230" i="309" s="1"/>
  <c r="K284" i="329"/>
  <c r="K340" i="251"/>
  <c r="K216" i="309" s="1"/>
  <c r="K571" i="251"/>
  <c r="K313" i="309" s="1"/>
  <c r="K355" i="329"/>
  <c r="L579" i="251"/>
  <c r="L314" i="309" s="1"/>
  <c r="L370" i="329"/>
  <c r="L579" i="329"/>
  <c r="L1229" i="251"/>
  <c r="L579" i="309" s="1"/>
  <c r="N239" i="251"/>
  <c r="N174" i="309" s="1"/>
  <c r="N212" i="329"/>
  <c r="K860" i="251"/>
  <c r="K482" i="309" s="1"/>
  <c r="K513" i="329"/>
  <c r="M1197" i="251"/>
  <c r="M565" i="309" s="1"/>
  <c r="M578" i="329"/>
  <c r="K539" i="251"/>
  <c r="K299" i="309" s="1"/>
  <c r="K354" i="329"/>
  <c r="L364" i="251"/>
  <c r="L229" i="309" s="1"/>
  <c r="L272" i="329"/>
  <c r="K512" i="329"/>
  <c r="K828" i="251"/>
  <c r="K468" i="309" s="1"/>
  <c r="M1205" i="251"/>
  <c r="M566" i="309" s="1"/>
  <c r="M590" i="329"/>
  <c r="K499" i="329"/>
  <c r="K852" i="251"/>
  <c r="K481" i="309" s="1"/>
  <c r="N332" i="251"/>
  <c r="N215" i="309" s="1"/>
  <c r="N271" i="329"/>
  <c r="J820" i="251"/>
  <c r="J467" i="309" s="1"/>
  <c r="J498" i="329"/>
  <c r="L539" i="251"/>
  <c r="L299" i="309" s="1"/>
  <c r="L354" i="329"/>
  <c r="M579" i="329"/>
  <c r="M1229" i="251"/>
  <c r="M579" i="309" s="1"/>
  <c r="L239" i="251"/>
  <c r="L174" i="309" s="1"/>
  <c r="L212" i="329"/>
  <c r="J860" i="251"/>
  <c r="J482" i="309" s="1"/>
  <c r="J513" i="329"/>
  <c r="J578" i="329"/>
  <c r="J1197" i="251"/>
  <c r="J565" i="309" s="1"/>
  <c r="J539" i="251"/>
  <c r="J299" i="309" s="1"/>
  <c r="J354" i="329"/>
  <c r="M272" i="329"/>
  <c r="M364" i="251"/>
  <c r="M229" i="309" s="1"/>
  <c r="J590" i="329"/>
  <c r="J1205" i="251"/>
  <c r="J566" i="309" s="1"/>
  <c r="J499" i="329"/>
  <c r="J852" i="251"/>
  <c r="J481" i="309" s="1"/>
  <c r="N547" i="251"/>
  <c r="N300" i="309" s="1"/>
  <c r="N369" i="329"/>
  <c r="L271" i="329"/>
  <c r="L332" i="251"/>
  <c r="L215" i="309" s="1"/>
  <c r="N820" i="251"/>
  <c r="N467" i="309" s="1"/>
  <c r="N498" i="329"/>
  <c r="J284" i="329"/>
  <c r="J340" i="251"/>
  <c r="J216" i="309" s="1"/>
  <c r="N61" i="251"/>
  <c r="N103" i="309" s="1"/>
  <c r="N132" i="329"/>
  <c r="J591" i="329"/>
  <c r="J1237" i="251"/>
  <c r="J580" i="309" s="1"/>
  <c r="K201" i="329"/>
  <c r="K231" i="251"/>
  <c r="K173" i="309" s="1"/>
  <c r="J579" i="251"/>
  <c r="J314" i="309" s="1"/>
  <c r="J370" i="329"/>
  <c r="N828" i="251"/>
  <c r="N468" i="309" s="1"/>
  <c r="N512" i="329"/>
  <c r="J372" i="251"/>
  <c r="J230" i="309" s="1"/>
  <c r="J285" i="329"/>
  <c r="L199" i="251"/>
  <c r="L159" i="309" s="1"/>
  <c r="L200" i="329"/>
  <c r="M285" i="329"/>
  <c r="M372" i="251"/>
  <c r="M230" i="309" s="1"/>
  <c r="N199" i="251"/>
  <c r="N159" i="309" s="1"/>
  <c r="N200" i="329"/>
  <c r="M61" i="251"/>
  <c r="M103" i="309" s="1"/>
  <c r="M132" i="329"/>
  <c r="K1229" i="251"/>
  <c r="K579" i="309" s="1"/>
  <c r="K579" i="329"/>
  <c r="K212" i="329"/>
  <c r="K239" i="251"/>
  <c r="K174" i="309" s="1"/>
  <c r="J69" i="251"/>
  <c r="J104" i="309" s="1"/>
  <c r="J143" i="329"/>
  <c r="M513" i="329"/>
  <c r="M860" i="251"/>
  <c r="M482" i="309" s="1"/>
  <c r="N1237" i="251"/>
  <c r="N580" i="309" s="1"/>
  <c r="N591" i="329"/>
  <c r="N1197" i="251"/>
  <c r="N565" i="309" s="1"/>
  <c r="N578" i="329"/>
  <c r="K207" i="251"/>
  <c r="K160" i="309" s="1"/>
  <c r="K211" i="329"/>
  <c r="K364" i="251"/>
  <c r="K229" i="309" s="1"/>
  <c r="K272" i="329"/>
  <c r="N1205" i="251"/>
  <c r="N566" i="309" s="1"/>
  <c r="N590" i="329"/>
  <c r="K369" i="329"/>
  <c r="K547" i="251"/>
  <c r="K300" i="309" s="1"/>
  <c r="K271" i="329"/>
  <c r="K332" i="251"/>
  <c r="K215" i="309" s="1"/>
  <c r="L820" i="251"/>
  <c r="L467" i="309" s="1"/>
  <c r="L498" i="329"/>
  <c r="N231" i="251"/>
  <c r="N173" i="309" s="1"/>
  <c r="N201" i="329"/>
  <c r="J207" i="251"/>
  <c r="J160" i="309" s="1"/>
  <c r="J211" i="329"/>
  <c r="K132" i="329"/>
  <c r="K61" i="251"/>
  <c r="K103" i="309" s="1"/>
  <c r="K69" i="251"/>
  <c r="K104" i="309" s="1"/>
  <c r="K143" i="329"/>
  <c r="K579" i="251"/>
  <c r="K314" i="309" s="1"/>
  <c r="K370" i="329"/>
  <c r="J231" i="251"/>
  <c r="J173" i="309" s="1"/>
  <c r="J201" i="329"/>
  <c r="M201" i="329"/>
  <c r="M231" i="251"/>
  <c r="M173" i="309" s="1"/>
  <c r="L285" i="329"/>
  <c r="L372" i="251"/>
  <c r="L230" i="309" s="1"/>
  <c r="M199" i="251"/>
  <c r="M159" i="309" s="1"/>
  <c r="M200" i="329"/>
  <c r="J132" i="329"/>
  <c r="J61" i="251"/>
  <c r="J103" i="309" s="1"/>
  <c r="J1229" i="251"/>
  <c r="J579" i="309" s="1"/>
  <c r="J579" i="329"/>
  <c r="M69" i="251"/>
  <c r="M104" i="309" s="1"/>
  <c r="M143" i="329"/>
  <c r="L513" i="329"/>
  <c r="L860" i="251"/>
  <c r="L482" i="309" s="1"/>
  <c r="K591" i="329"/>
  <c r="K1237" i="251"/>
  <c r="K580" i="309" s="1"/>
  <c r="L578" i="329"/>
  <c r="L1197" i="251"/>
  <c r="L565" i="309" s="1"/>
  <c r="N207" i="251"/>
  <c r="N160" i="309" s="1"/>
  <c r="N211" i="329"/>
  <c r="J364" i="251"/>
  <c r="J229" i="309" s="1"/>
  <c r="J272" i="329"/>
  <c r="L1205" i="251"/>
  <c r="L566" i="309" s="1"/>
  <c r="L590" i="329"/>
  <c r="J547" i="251"/>
  <c r="J300" i="309" s="1"/>
  <c r="J369" i="329"/>
  <c r="K820" i="251"/>
  <c r="K467" i="309" s="1"/>
  <c r="K498" i="329"/>
  <c r="D76" i="324"/>
  <c r="G23" i="324"/>
  <c r="G22" i="324"/>
  <c r="G18" i="324"/>
  <c r="G24" i="324"/>
  <c r="G19" i="324"/>
  <c r="G17" i="324"/>
  <c r="D72" i="324"/>
  <c r="D83" i="324"/>
  <c r="C107" i="327"/>
  <c r="D61" i="324"/>
  <c r="D88" i="324"/>
  <c r="D65" i="324"/>
  <c r="C72" i="327"/>
  <c r="C13" i="309"/>
  <c r="C80" i="327"/>
  <c r="C31" i="309"/>
  <c r="C116" i="327"/>
  <c r="C45" i="327"/>
  <c r="D48" i="327" s="1"/>
  <c r="C36" i="327"/>
  <c r="D39" i="327" s="1"/>
  <c r="D36" i="338"/>
  <c r="D26" i="340" s="1"/>
  <c r="D35" i="338"/>
  <c r="D25" i="340" s="1"/>
  <c r="D30" i="338"/>
  <c r="D19" i="340" s="1"/>
  <c r="D97" i="321" s="1"/>
  <c r="D29" i="338"/>
  <c r="D18" i="340" s="1"/>
  <c r="B21" i="321" s="1"/>
  <c r="E21" i="338"/>
  <c r="M169" i="329" s="1"/>
  <c r="E19" i="338"/>
  <c r="E18" i="338"/>
  <c r="D198" i="321" l="1"/>
  <c r="D149" i="321"/>
  <c r="D174" i="321"/>
  <c r="D262" i="321"/>
  <c r="D132" i="321"/>
  <c r="D226" i="321"/>
  <c r="D122" i="321"/>
  <c r="D65" i="301" s="1"/>
  <c r="D39" i="301" s="1"/>
  <c r="D258" i="321"/>
  <c r="D127" i="321"/>
  <c r="D117" i="301" s="1"/>
  <c r="D92" i="301" s="1"/>
  <c r="D254" i="321"/>
  <c r="D119" i="327"/>
  <c r="D42" i="309" s="1"/>
  <c r="D74" i="327"/>
  <c r="D21" i="309" s="1"/>
  <c r="D110" i="327"/>
  <c r="D25" i="309" s="1"/>
  <c r="D204" i="321"/>
  <c r="D153" i="321"/>
  <c r="D232" i="321"/>
  <c r="D263" i="321"/>
  <c r="D179" i="321"/>
  <c r="D133" i="321"/>
  <c r="D255" i="321"/>
  <c r="D128" i="321"/>
  <c r="D123" i="321"/>
  <c r="D259" i="321"/>
  <c r="D25" i="321"/>
  <c r="B193" i="321"/>
  <c r="B15" i="9" s="1"/>
  <c r="D71" i="321"/>
  <c r="B67" i="321"/>
  <c r="B142" i="321"/>
  <c r="D83" i="327"/>
  <c r="D38" i="309" s="1"/>
  <c r="D99" i="321"/>
  <c r="D48" i="321"/>
  <c r="B221" i="321"/>
  <c r="B16" i="9" s="1"/>
  <c r="B167" i="321"/>
  <c r="B44" i="321"/>
  <c r="B93" i="321"/>
  <c r="D73" i="321"/>
  <c r="D44" i="323" s="1"/>
  <c r="D106" i="321"/>
  <c r="J167" i="329"/>
  <c r="L167" i="329"/>
  <c r="L169" i="329"/>
  <c r="N169" i="329"/>
  <c r="K169" i="329"/>
  <c r="J169" i="329"/>
  <c r="M167" i="329"/>
  <c r="K167" i="329"/>
  <c r="N167" i="329"/>
  <c r="I369" i="329"/>
  <c r="I272" i="329"/>
  <c r="I579" i="329"/>
  <c r="I284" i="329"/>
  <c r="I499" i="329"/>
  <c r="I513" i="329"/>
  <c r="I498" i="329"/>
  <c r="I271" i="329"/>
  <c r="I590" i="329"/>
  <c r="I512" i="329"/>
  <c r="I285" i="329"/>
  <c r="I591" i="329"/>
  <c r="I354" i="329"/>
  <c r="I355" i="329"/>
  <c r="I212" i="329"/>
  <c r="I200" i="329"/>
  <c r="I201" i="329"/>
  <c r="I211" i="329"/>
  <c r="I370" i="329"/>
  <c r="I578" i="329"/>
  <c r="I143" i="329"/>
  <c r="I132" i="329"/>
  <c r="N372" i="329"/>
  <c r="N403" i="329" s="1"/>
  <c r="K503" i="329"/>
  <c r="K533" i="329" s="1"/>
  <c r="J288" i="329"/>
  <c r="L593" i="329"/>
  <c r="L618" i="329" s="1"/>
  <c r="J503" i="329"/>
  <c r="K358" i="329"/>
  <c r="K390" i="329" s="1"/>
  <c r="L287" i="329"/>
  <c r="L314" i="329" s="1"/>
  <c r="L358" i="329"/>
  <c r="L390" i="329" s="1"/>
  <c r="L357" i="329"/>
  <c r="L389" i="329" s="1"/>
  <c r="L275" i="329"/>
  <c r="L303" i="329" s="1"/>
  <c r="N593" i="329"/>
  <c r="N618" i="329" s="1"/>
  <c r="L503" i="329"/>
  <c r="L533" i="329" s="1"/>
  <c r="N358" i="329"/>
  <c r="N390" i="329" s="1"/>
  <c r="N502" i="329"/>
  <c r="N532" i="329" s="1"/>
  <c r="J581" i="329"/>
  <c r="N287" i="329"/>
  <c r="N314" i="329" s="1"/>
  <c r="N517" i="329"/>
  <c r="N546" i="329" s="1"/>
  <c r="N581" i="329"/>
  <c r="N607" i="329" s="1"/>
  <c r="N503" i="329"/>
  <c r="N533" i="329" s="1"/>
  <c r="K287" i="329"/>
  <c r="K314" i="329" s="1"/>
  <c r="L517" i="329"/>
  <c r="L546" i="329" s="1"/>
  <c r="M593" i="329"/>
  <c r="M618" i="329" s="1"/>
  <c r="J275" i="329"/>
  <c r="M503" i="329"/>
  <c r="M533" i="329" s="1"/>
  <c r="N288" i="329"/>
  <c r="N315" i="329" s="1"/>
  <c r="J373" i="329"/>
  <c r="L581" i="329"/>
  <c r="L607" i="329" s="1"/>
  <c r="J357" i="329"/>
  <c r="L516" i="329"/>
  <c r="L545" i="329" s="1"/>
  <c r="K502" i="329"/>
  <c r="K532" i="329" s="1"/>
  <c r="J516" i="329"/>
  <c r="J517" i="329"/>
  <c r="M372" i="329"/>
  <c r="M403" i="329" s="1"/>
  <c r="K581" i="329"/>
  <c r="K607" i="329" s="1"/>
  <c r="J593" i="329"/>
  <c r="J274" i="329"/>
  <c r="N357" i="329"/>
  <c r="N389" i="329" s="1"/>
  <c r="K516" i="329"/>
  <c r="K545" i="329" s="1"/>
  <c r="M274" i="329"/>
  <c r="M302" i="329" s="1"/>
  <c r="M357" i="329"/>
  <c r="M389" i="329" s="1"/>
  <c r="L372" i="329"/>
  <c r="L403" i="329" s="1"/>
  <c r="L288" i="329"/>
  <c r="L315" i="329" s="1"/>
  <c r="M517" i="329"/>
  <c r="M546" i="329" s="1"/>
  <c r="K288" i="329"/>
  <c r="K315" i="329" s="1"/>
  <c r="J89" i="324"/>
  <c r="K66" i="324"/>
  <c r="J78" i="324"/>
  <c r="J66" i="324"/>
  <c r="J90" i="324"/>
  <c r="L66" i="324"/>
  <c r="M66" i="324"/>
  <c r="N66" i="324"/>
  <c r="J67" i="324"/>
  <c r="J77" i="324"/>
  <c r="J502" i="329"/>
  <c r="L373" i="329"/>
  <c r="L404" i="329" s="1"/>
  <c r="K357" i="329"/>
  <c r="K389" i="329" s="1"/>
  <c r="K517" i="329"/>
  <c r="K546" i="329" s="1"/>
  <c r="M373" i="329"/>
  <c r="M404" i="329" s="1"/>
  <c r="N275" i="329"/>
  <c r="N303" i="329" s="1"/>
  <c r="K274" i="329"/>
  <c r="K302" i="329" s="1"/>
  <c r="M275" i="329"/>
  <c r="M303" i="329" s="1"/>
  <c r="N516" i="329"/>
  <c r="N545" i="329" s="1"/>
  <c r="K275" i="329"/>
  <c r="K303" i="329" s="1"/>
  <c r="L274" i="329"/>
  <c r="L302" i="329" s="1"/>
  <c r="N274" i="329"/>
  <c r="N302" i="329" s="1"/>
  <c r="M581" i="329"/>
  <c r="M607" i="329" s="1"/>
  <c r="J372" i="329"/>
  <c r="M287" i="329"/>
  <c r="M314" i="329" s="1"/>
  <c r="K373" i="329"/>
  <c r="K404" i="329" s="1"/>
  <c r="K593" i="329"/>
  <c r="K618" i="329" s="1"/>
  <c r="J358" i="329"/>
  <c r="M516" i="329"/>
  <c r="M545" i="329" s="1"/>
  <c r="M615" i="329"/>
  <c r="M234" i="329"/>
  <c r="M387" i="329"/>
  <c r="M391" i="329"/>
  <c r="N300" i="329"/>
  <c r="J405" i="329"/>
  <c r="M528" i="329"/>
  <c r="M529" i="329"/>
  <c r="J616" i="329"/>
  <c r="N528" i="329"/>
  <c r="N387" i="329"/>
  <c r="L406" i="329"/>
  <c r="N405" i="329"/>
  <c r="K159" i="329"/>
  <c r="K616" i="329"/>
  <c r="M392" i="329"/>
  <c r="L224" i="329"/>
  <c r="J529" i="329"/>
  <c r="J604" i="329"/>
  <c r="L391" i="329"/>
  <c r="K541" i="329"/>
  <c r="K542" i="329"/>
  <c r="N406" i="329"/>
  <c r="K311" i="329"/>
  <c r="N392" i="329"/>
  <c r="N311" i="329"/>
  <c r="J235" i="329"/>
  <c r="M311" i="329"/>
  <c r="J299" i="329"/>
  <c r="M386" i="329"/>
  <c r="N401" i="329"/>
  <c r="L157" i="329"/>
  <c r="J541" i="329"/>
  <c r="J530" i="329"/>
  <c r="K543" i="329"/>
  <c r="L543" i="329"/>
  <c r="N530" i="329"/>
  <c r="J543" i="329"/>
  <c r="K530" i="329"/>
  <c r="M530" i="329"/>
  <c r="L530" i="329"/>
  <c r="N543" i="329"/>
  <c r="M543" i="329"/>
  <c r="L300" i="329"/>
  <c r="K387" i="329"/>
  <c r="L542" i="329"/>
  <c r="M225" i="329"/>
  <c r="K157" i="329"/>
  <c r="N615" i="329"/>
  <c r="M405" i="329"/>
  <c r="N616" i="329"/>
  <c r="N224" i="329"/>
  <c r="M159" i="329"/>
  <c r="J312" i="329"/>
  <c r="J401" i="329"/>
  <c r="L299" i="329"/>
  <c r="K529" i="329"/>
  <c r="K312" i="329"/>
  <c r="M288" i="329"/>
  <c r="M315" i="329" s="1"/>
  <c r="L311" i="329"/>
  <c r="M299" i="329"/>
  <c r="L234" i="329"/>
  <c r="K372" i="329"/>
  <c r="K403" i="329" s="1"/>
  <c r="M406" i="329"/>
  <c r="N386" i="329"/>
  <c r="M358" i="329"/>
  <c r="M390" i="329" s="1"/>
  <c r="J234" i="329"/>
  <c r="L405" i="329"/>
  <c r="N157" i="329"/>
  <c r="J542" i="329"/>
  <c r="M605" i="329"/>
  <c r="N299" i="329"/>
  <c r="K386" i="329"/>
  <c r="L605" i="329"/>
  <c r="L616" i="329"/>
  <c r="K224" i="329"/>
  <c r="K391" i="329"/>
  <c r="N542" i="329"/>
  <c r="M616" i="329"/>
  <c r="L225" i="329"/>
  <c r="N604" i="329"/>
  <c r="K299" i="329"/>
  <c r="N400" i="329"/>
  <c r="J528" i="329"/>
  <c r="N234" i="329"/>
  <c r="M224" i="329"/>
  <c r="N225" i="329"/>
  <c r="K300" i="329"/>
  <c r="N541" i="329"/>
  <c r="M300" i="329"/>
  <c r="L392" i="329"/>
  <c r="J392" i="329"/>
  <c r="L401" i="329"/>
  <c r="N312" i="329"/>
  <c r="L529" i="329"/>
  <c r="J159" i="329"/>
  <c r="M401" i="329"/>
  <c r="L159" i="329"/>
  <c r="L502" i="329"/>
  <c r="L532" i="329" s="1"/>
  <c r="J157" i="329"/>
  <c r="L312" i="329"/>
  <c r="J225" i="329"/>
  <c r="K528" i="329"/>
  <c r="L615" i="329"/>
  <c r="K400" i="329"/>
  <c r="L386" i="329"/>
  <c r="J287" i="329"/>
  <c r="K401" i="329"/>
  <c r="K405" i="329"/>
  <c r="J406" i="329"/>
  <c r="M542" i="329"/>
  <c r="K605" i="329"/>
  <c r="M157" i="329"/>
  <c r="K225" i="329"/>
  <c r="J386" i="329"/>
  <c r="L235" i="329"/>
  <c r="M604" i="329"/>
  <c r="N235" i="329"/>
  <c r="M235" i="329"/>
  <c r="N373" i="329"/>
  <c r="N404" i="329" s="1"/>
  <c r="L541" i="329"/>
  <c r="N605" i="329"/>
  <c r="L387" i="329"/>
  <c r="N529" i="329"/>
  <c r="M541" i="329"/>
  <c r="K406" i="329"/>
  <c r="K392" i="329"/>
  <c r="K615" i="329"/>
  <c r="J387" i="329"/>
  <c r="J605" i="329"/>
  <c r="J400" i="329"/>
  <c r="J300" i="329"/>
  <c r="K235" i="329"/>
  <c r="M502" i="329"/>
  <c r="M532" i="329" s="1"/>
  <c r="L604" i="329"/>
  <c r="L528" i="329"/>
  <c r="N159" i="329"/>
  <c r="K234" i="329"/>
  <c r="M312" i="329"/>
  <c r="J311" i="329"/>
  <c r="J615" i="329"/>
  <c r="J391" i="329"/>
  <c r="N391" i="329"/>
  <c r="K604" i="329"/>
  <c r="L400" i="329"/>
  <c r="J224" i="329"/>
  <c r="M400" i="329"/>
  <c r="I21" i="5"/>
  <c r="D565" i="329"/>
  <c r="D617" i="329" s="1"/>
  <c r="D559" i="329"/>
  <c r="D614" i="329" s="1"/>
  <c r="E550" i="309"/>
  <c r="E546" i="309"/>
  <c r="E592" i="309"/>
  <c r="E588" i="309"/>
  <c r="B542" i="309"/>
  <c r="B584" i="309"/>
  <c r="B4" i="337"/>
  <c r="E22" i="337"/>
  <c r="D20" i="337"/>
  <c r="D13" i="339" s="1"/>
  <c r="D19" i="337"/>
  <c r="B12" i="337"/>
  <c r="B24" i="337"/>
  <c r="D2457" i="250" s="1"/>
  <c r="J60" i="337"/>
  <c r="J59" i="337"/>
  <c r="J58" i="337"/>
  <c r="J57" i="337"/>
  <c r="J56" i="337"/>
  <c r="J55" i="337"/>
  <c r="J54" i="337"/>
  <c r="J53" i="337"/>
  <c r="J52" i="337"/>
  <c r="J51" i="337"/>
  <c r="B47" i="337"/>
  <c r="D2477" i="250" s="1"/>
  <c r="J78" i="337"/>
  <c r="J77" i="337"/>
  <c r="J76" i="337"/>
  <c r="J75" i="337"/>
  <c r="J74" i="337"/>
  <c r="J73" i="337"/>
  <c r="J72" i="337"/>
  <c r="J71" i="337"/>
  <c r="J70" i="337"/>
  <c r="J69" i="337"/>
  <c r="B65" i="337"/>
  <c r="D2497" i="250" s="1"/>
  <c r="J96" i="337"/>
  <c r="J95" i="337"/>
  <c r="J94" i="337"/>
  <c r="J93" i="337"/>
  <c r="J92" i="337"/>
  <c r="J91" i="337"/>
  <c r="J90" i="337"/>
  <c r="J89" i="337"/>
  <c r="J88" i="337"/>
  <c r="J87" i="337"/>
  <c r="B83" i="337"/>
  <c r="D2516" i="250" s="1"/>
  <c r="E315" i="337"/>
  <c r="D118" i="339"/>
  <c r="B304" i="337"/>
  <c r="B295" i="337"/>
  <c r="B317" i="337"/>
  <c r="D2709" i="250" s="1"/>
  <c r="J353" i="337"/>
  <c r="J352" i="337"/>
  <c r="J351" i="337"/>
  <c r="J350" i="337"/>
  <c r="J349" i="337"/>
  <c r="J348" i="337"/>
  <c r="J347" i="337"/>
  <c r="J346" i="337"/>
  <c r="J345" i="337"/>
  <c r="J344" i="337"/>
  <c r="B340" i="337"/>
  <c r="D2729" i="250" s="1"/>
  <c r="J371" i="337"/>
  <c r="J370" i="337"/>
  <c r="J369" i="337"/>
  <c r="J368" i="337"/>
  <c r="J367" i="337"/>
  <c r="J366" i="337"/>
  <c r="J365" i="337"/>
  <c r="J364" i="337"/>
  <c r="J363" i="337"/>
  <c r="J362" i="337"/>
  <c r="B358" i="337"/>
  <c r="D2749" i="250" s="1"/>
  <c r="J389" i="337"/>
  <c r="J388" i="337"/>
  <c r="J387" i="337"/>
  <c r="J386" i="337"/>
  <c r="J385" i="337"/>
  <c r="J384" i="337"/>
  <c r="J383" i="337"/>
  <c r="J382" i="337"/>
  <c r="J381" i="337"/>
  <c r="J380" i="337"/>
  <c r="B376" i="337"/>
  <c r="D2768" i="250" s="1"/>
  <c r="D120" i="336"/>
  <c r="D525" i="311"/>
  <c r="D524" i="311"/>
  <c r="D523" i="311"/>
  <c r="D522" i="311"/>
  <c r="E1173" i="251"/>
  <c r="D1173" i="251"/>
  <c r="B1170" i="251"/>
  <c r="B1169" i="251" s="1"/>
  <c r="E1165" i="251"/>
  <c r="D1165" i="251"/>
  <c r="B1162" i="251"/>
  <c r="B1161" i="251" s="1"/>
  <c r="E1157" i="251"/>
  <c r="D1157" i="251"/>
  <c r="B1154" i="251"/>
  <c r="B1153" i="251" s="1"/>
  <c r="E1149" i="251"/>
  <c r="D1149" i="251"/>
  <c r="B1146" i="251"/>
  <c r="B1145" i="251" s="1"/>
  <c r="C2502" i="250"/>
  <c r="C2482" i="250"/>
  <c r="C2462" i="250"/>
  <c r="C2437" i="250"/>
  <c r="D2504" i="250"/>
  <c r="D2505" i="250"/>
  <c r="D2506" i="250"/>
  <c r="D2507" i="250"/>
  <c r="D2508" i="250"/>
  <c r="D2509" i="250"/>
  <c r="D2510" i="250"/>
  <c r="D2511" i="250"/>
  <c r="D2512" i="250"/>
  <c r="D2513" i="250"/>
  <c r="D2484" i="250"/>
  <c r="D2485" i="250"/>
  <c r="D2486" i="250"/>
  <c r="D2487" i="250"/>
  <c r="D2488" i="250"/>
  <c r="D2489" i="250"/>
  <c r="D2490" i="250"/>
  <c r="D2491" i="250"/>
  <c r="D2492" i="250"/>
  <c r="D2493" i="250"/>
  <c r="D2464" i="250"/>
  <c r="D2465" i="250"/>
  <c r="D2466" i="250"/>
  <c r="D2467" i="250"/>
  <c r="D2468" i="250"/>
  <c r="D2469" i="250"/>
  <c r="D2470" i="250"/>
  <c r="D2471" i="250"/>
  <c r="D2472" i="250"/>
  <c r="D2473" i="250"/>
  <c r="F2483" i="250" l="1"/>
  <c r="E2463" i="250"/>
  <c r="F2503" i="250"/>
  <c r="E2483" i="250"/>
  <c r="E2503" i="250"/>
  <c r="F2438" i="250"/>
  <c r="F2463" i="250"/>
  <c r="E2438" i="250"/>
  <c r="F521" i="311"/>
  <c r="E521" i="311"/>
  <c r="B11" i="9"/>
  <c r="B10" i="9"/>
  <c r="B12" i="9"/>
  <c r="E2715" i="250"/>
  <c r="F2755" i="250"/>
  <c r="E2735" i="250"/>
  <c r="F2690" i="250"/>
  <c r="F2715" i="250"/>
  <c r="E2755" i="250"/>
  <c r="F2735" i="250"/>
  <c r="F567" i="311"/>
  <c r="E2690" i="250"/>
  <c r="E567" i="311"/>
  <c r="B13" i="9"/>
  <c r="B14" i="9"/>
  <c r="D100" i="321"/>
  <c r="D103" i="321"/>
  <c r="D74" i="321"/>
  <c r="D77" i="321"/>
  <c r="B201" i="9"/>
  <c r="B191" i="9"/>
  <c r="B202" i="9"/>
  <c r="B188" i="9"/>
  <c r="B203" i="9"/>
  <c r="B189" i="9"/>
  <c r="B200" i="9"/>
  <c r="B190" i="9"/>
  <c r="E125" i="336"/>
  <c r="E19" i="336"/>
  <c r="I167" i="329"/>
  <c r="I169" i="329"/>
  <c r="I224" i="329"/>
  <c r="I311" i="329"/>
  <c r="I300" i="329"/>
  <c r="I386" i="329"/>
  <c r="I605" i="329"/>
  <c r="J390" i="329"/>
  <c r="I390" i="329" s="1"/>
  <c r="I358" i="329"/>
  <c r="J546" i="329"/>
  <c r="I546" i="329" s="1"/>
  <c r="I517" i="329"/>
  <c r="J532" i="329"/>
  <c r="I532" i="329" s="1"/>
  <c r="I502" i="329"/>
  <c r="J545" i="329"/>
  <c r="I545" i="329" s="1"/>
  <c r="I516" i="329"/>
  <c r="J303" i="329"/>
  <c r="I303" i="329" s="1"/>
  <c r="I275" i="329"/>
  <c r="J607" i="329"/>
  <c r="I607" i="329" s="1"/>
  <c r="I581" i="329"/>
  <c r="J533" i="329"/>
  <c r="I533" i="329" s="1"/>
  <c r="I503" i="329"/>
  <c r="J314" i="329"/>
  <c r="I314" i="329" s="1"/>
  <c r="I287" i="329"/>
  <c r="J403" i="329"/>
  <c r="I403" i="329" s="1"/>
  <c r="I372" i="329"/>
  <c r="J302" i="329"/>
  <c r="I302" i="329" s="1"/>
  <c r="I274" i="329"/>
  <c r="J389" i="329"/>
  <c r="I389" i="329" s="1"/>
  <c r="I357" i="329"/>
  <c r="J618" i="329"/>
  <c r="I618" i="329" s="1"/>
  <c r="I593" i="329"/>
  <c r="J315" i="329"/>
  <c r="I315" i="329" s="1"/>
  <c r="I288" i="329"/>
  <c r="J404" i="329"/>
  <c r="I404" i="329" s="1"/>
  <c r="I373" i="329"/>
  <c r="I391" i="329"/>
  <c r="I406" i="329"/>
  <c r="I225" i="329"/>
  <c r="I542" i="329"/>
  <c r="I312" i="329"/>
  <c r="I543" i="329"/>
  <c r="I405" i="329"/>
  <c r="I615" i="329"/>
  <c r="I299" i="329"/>
  <c r="I157" i="329"/>
  <c r="I392" i="329"/>
  <c r="I528" i="329"/>
  <c r="I400" i="329"/>
  <c r="I234" i="329"/>
  <c r="I235" i="329"/>
  <c r="I604" i="329"/>
  <c r="I530" i="329"/>
  <c r="I529" i="329"/>
  <c r="I387" i="329"/>
  <c r="I541" i="329"/>
  <c r="I616" i="329"/>
  <c r="I159" i="329"/>
  <c r="I401" i="329"/>
  <c r="K1255" i="251"/>
  <c r="N1245" i="251"/>
  <c r="L1255" i="251"/>
  <c r="M1255" i="251"/>
  <c r="J1245" i="251"/>
  <c r="N1255" i="251"/>
  <c r="J1255" i="251"/>
  <c r="K1245" i="251"/>
  <c r="M1245" i="251"/>
  <c r="L1245" i="251"/>
  <c r="E2509" i="250"/>
  <c r="G2509" i="250" s="1"/>
  <c r="M1157" i="251"/>
  <c r="M548" i="309" s="1"/>
  <c r="L1149" i="251"/>
  <c r="L547" i="309" s="1"/>
  <c r="N1157" i="251"/>
  <c r="N548" i="309" s="1"/>
  <c r="L1157" i="251"/>
  <c r="L548" i="309" s="1"/>
  <c r="J1149" i="251"/>
  <c r="J547" i="309" s="1"/>
  <c r="K1149" i="251"/>
  <c r="K547" i="309" s="1"/>
  <c r="J1157" i="251"/>
  <c r="J548" i="309" s="1"/>
  <c r="M1149" i="251"/>
  <c r="M547" i="309" s="1"/>
  <c r="K1157" i="251"/>
  <c r="K548" i="309" s="1"/>
  <c r="N1149" i="251"/>
  <c r="N547" i="309" s="1"/>
  <c r="B1253" i="251"/>
  <c r="C590" i="309" s="1"/>
  <c r="H592" i="329" s="1"/>
  <c r="B1243" i="251"/>
  <c r="C589" i="309" s="1"/>
  <c r="H580" i="329" s="1"/>
  <c r="F2697" i="250"/>
  <c r="H2697" i="250" s="1"/>
  <c r="F2705" i="250"/>
  <c r="H2705" i="250" s="1"/>
  <c r="E2698" i="250"/>
  <c r="G2698" i="250" s="1"/>
  <c r="F2718" i="250"/>
  <c r="H2718" i="250" s="1"/>
  <c r="E2716" i="250"/>
  <c r="E2724" i="250"/>
  <c r="G2724" i="250" s="1"/>
  <c r="F2740" i="250"/>
  <c r="H2740" i="250" s="1"/>
  <c r="E2738" i="250"/>
  <c r="G2738" i="250" s="1"/>
  <c r="F2762" i="250"/>
  <c r="H2762" i="250" s="1"/>
  <c r="E2760" i="250"/>
  <c r="G2760" i="250" s="1"/>
  <c r="F2698" i="250"/>
  <c r="H2698" i="250" s="1"/>
  <c r="E2691" i="250"/>
  <c r="E2699" i="250"/>
  <c r="G2699" i="250" s="1"/>
  <c r="F2719" i="250"/>
  <c r="H2719" i="250" s="1"/>
  <c r="E2717" i="250"/>
  <c r="G2717" i="250" s="1"/>
  <c r="E2725" i="250"/>
  <c r="G2725" i="250" s="1"/>
  <c r="F2741" i="250"/>
  <c r="H2741" i="250" s="1"/>
  <c r="E2739" i="250"/>
  <c r="G2739" i="250" s="1"/>
  <c r="F2763" i="250"/>
  <c r="H2763" i="250" s="1"/>
  <c r="E2761" i="250"/>
  <c r="G2761" i="250" s="1"/>
  <c r="F2691" i="250"/>
  <c r="F2699" i="250"/>
  <c r="H2699" i="250" s="1"/>
  <c r="E2692" i="250"/>
  <c r="G2692" i="250" s="1"/>
  <c r="E2700" i="250"/>
  <c r="G2700" i="250" s="1"/>
  <c r="F2720" i="250"/>
  <c r="H2720" i="250" s="1"/>
  <c r="E2718" i="250"/>
  <c r="G2718" i="250" s="1"/>
  <c r="F2742" i="250"/>
  <c r="H2742" i="250" s="1"/>
  <c r="E2740" i="250"/>
  <c r="G2740" i="250" s="1"/>
  <c r="F2756" i="250"/>
  <c r="F2764" i="250"/>
  <c r="H2764" i="250" s="1"/>
  <c r="E2762" i="250"/>
  <c r="G2762" i="250" s="1"/>
  <c r="F2692" i="250"/>
  <c r="H2692" i="250" s="1"/>
  <c r="F2700" i="250"/>
  <c r="H2700" i="250" s="1"/>
  <c r="E2693" i="250"/>
  <c r="G2693" i="250" s="1"/>
  <c r="E2701" i="250"/>
  <c r="G2701" i="250" s="1"/>
  <c r="F2721" i="250"/>
  <c r="H2721" i="250" s="1"/>
  <c r="E2719" i="250"/>
  <c r="G2719" i="250" s="1"/>
  <c r="F2743" i="250"/>
  <c r="H2743" i="250" s="1"/>
  <c r="E2741" i="250"/>
  <c r="G2741" i="250" s="1"/>
  <c r="F2757" i="250"/>
  <c r="H2757" i="250" s="1"/>
  <c r="F2765" i="250"/>
  <c r="H2765" i="250" s="1"/>
  <c r="E2763" i="250"/>
  <c r="G2763" i="250" s="1"/>
  <c r="F2693" i="250"/>
  <c r="H2693" i="250" s="1"/>
  <c r="F2701" i="250"/>
  <c r="H2701" i="250" s="1"/>
  <c r="E2694" i="250"/>
  <c r="G2694" i="250" s="1"/>
  <c r="E2702" i="250"/>
  <c r="G2702" i="250" s="1"/>
  <c r="F2722" i="250"/>
  <c r="H2722" i="250" s="1"/>
  <c r="E2720" i="250"/>
  <c r="G2720" i="250" s="1"/>
  <c r="F2736" i="250"/>
  <c r="F2744" i="250"/>
  <c r="H2744" i="250" s="1"/>
  <c r="E2742" i="250"/>
  <c r="G2742" i="250" s="1"/>
  <c r="F2758" i="250"/>
  <c r="H2758" i="250" s="1"/>
  <c r="E2756" i="250"/>
  <c r="E2764" i="250"/>
  <c r="G2764" i="250" s="1"/>
  <c r="F2694" i="250"/>
  <c r="H2694" i="250" s="1"/>
  <c r="F2702" i="250"/>
  <c r="H2702" i="250" s="1"/>
  <c r="E2695" i="250"/>
  <c r="G2695" i="250" s="1"/>
  <c r="E2703" i="250"/>
  <c r="G2703" i="250" s="1"/>
  <c r="F2723" i="250"/>
  <c r="H2723" i="250" s="1"/>
  <c r="E2721" i="250"/>
  <c r="G2721" i="250" s="1"/>
  <c r="F2737" i="250"/>
  <c r="H2737" i="250" s="1"/>
  <c r="F2745" i="250"/>
  <c r="H2745" i="250" s="1"/>
  <c r="E2743" i="250"/>
  <c r="G2743" i="250" s="1"/>
  <c r="F2759" i="250"/>
  <c r="H2759" i="250" s="1"/>
  <c r="E2757" i="250"/>
  <c r="G2757" i="250" s="1"/>
  <c r="F2695" i="250"/>
  <c r="H2695" i="250" s="1"/>
  <c r="F2703" i="250"/>
  <c r="H2703" i="250" s="1"/>
  <c r="E2696" i="250"/>
  <c r="G2696" i="250" s="1"/>
  <c r="E2704" i="250"/>
  <c r="G2704" i="250" s="1"/>
  <c r="F2716" i="250"/>
  <c r="F2724" i="250"/>
  <c r="H2724" i="250" s="1"/>
  <c r="E2722" i="250"/>
  <c r="G2722" i="250" s="1"/>
  <c r="F2738" i="250"/>
  <c r="H2738" i="250" s="1"/>
  <c r="E2736" i="250"/>
  <c r="E2744" i="250"/>
  <c r="G2744" i="250" s="1"/>
  <c r="F2760" i="250"/>
  <c r="H2760" i="250" s="1"/>
  <c r="E2758" i="250"/>
  <c r="G2758" i="250" s="1"/>
  <c r="F2696" i="250"/>
  <c r="H2696" i="250" s="1"/>
  <c r="F2704" i="250"/>
  <c r="H2704" i="250" s="1"/>
  <c r="E2697" i="250"/>
  <c r="G2697" i="250" s="1"/>
  <c r="E2705" i="250"/>
  <c r="G2705" i="250" s="1"/>
  <c r="F2717" i="250"/>
  <c r="H2717" i="250" s="1"/>
  <c r="F2725" i="250"/>
  <c r="H2725" i="250" s="1"/>
  <c r="E2723" i="250"/>
  <c r="G2723" i="250" s="1"/>
  <c r="F2739" i="250"/>
  <c r="H2739" i="250" s="1"/>
  <c r="E2737" i="250"/>
  <c r="G2737" i="250" s="1"/>
  <c r="E2745" i="250"/>
  <c r="G2745" i="250" s="1"/>
  <c r="F2761" i="250"/>
  <c r="H2761" i="250" s="1"/>
  <c r="E2759" i="250"/>
  <c r="G2759" i="250" s="1"/>
  <c r="E2765" i="250"/>
  <c r="G2765" i="250" s="1"/>
  <c r="E2491" i="250"/>
  <c r="G2491" i="250" s="1"/>
  <c r="F2493" i="250"/>
  <c r="H2493" i="250" s="1"/>
  <c r="F2486" i="250"/>
  <c r="H2486" i="250" s="1"/>
  <c r="F2468" i="250"/>
  <c r="H2468" i="250" s="1"/>
  <c r="E2473" i="250"/>
  <c r="G2473" i="250" s="1"/>
  <c r="E2465" i="250"/>
  <c r="G2465" i="250" s="1"/>
  <c r="F2511" i="250"/>
  <c r="H2511" i="250" s="1"/>
  <c r="F2504" i="250"/>
  <c r="H2504" i="250" s="1"/>
  <c r="F2505" i="250"/>
  <c r="H2505" i="250" s="1"/>
  <c r="F2445" i="250"/>
  <c r="H2445" i="250" s="1"/>
  <c r="F2453" i="250"/>
  <c r="H2453" i="250" s="1"/>
  <c r="E2446" i="250"/>
  <c r="G2446" i="250" s="1"/>
  <c r="F2444" i="250"/>
  <c r="H2444" i="250" s="1"/>
  <c r="F2446" i="250"/>
  <c r="H2446" i="250" s="1"/>
  <c r="E2439" i="250"/>
  <c r="E2447" i="250"/>
  <c r="G2447" i="250" s="1"/>
  <c r="E2453" i="250"/>
  <c r="G2453" i="250" s="1"/>
  <c r="F2439" i="250"/>
  <c r="F2447" i="250"/>
  <c r="H2447" i="250" s="1"/>
  <c r="E2440" i="250"/>
  <c r="G2440" i="250" s="1"/>
  <c r="E2448" i="250"/>
  <c r="G2448" i="250" s="1"/>
  <c r="F2440" i="250"/>
  <c r="H2440" i="250" s="1"/>
  <c r="F2448" i="250"/>
  <c r="H2448" i="250" s="1"/>
  <c r="E2441" i="250"/>
  <c r="G2441" i="250" s="1"/>
  <c r="E2449" i="250"/>
  <c r="G2449" i="250" s="1"/>
  <c r="F2441" i="250"/>
  <c r="H2441" i="250" s="1"/>
  <c r="F2449" i="250"/>
  <c r="H2449" i="250" s="1"/>
  <c r="E2442" i="250"/>
  <c r="G2442" i="250" s="1"/>
  <c r="E2450" i="250"/>
  <c r="G2450" i="250" s="1"/>
  <c r="F2452" i="250"/>
  <c r="H2452" i="250" s="1"/>
  <c r="F2442" i="250"/>
  <c r="H2442" i="250" s="1"/>
  <c r="F2450" i="250"/>
  <c r="H2450" i="250" s="1"/>
  <c r="E2443" i="250"/>
  <c r="G2443" i="250" s="1"/>
  <c r="E2451" i="250"/>
  <c r="G2451" i="250" s="1"/>
  <c r="F2443" i="250"/>
  <c r="H2443" i="250" s="1"/>
  <c r="F2451" i="250"/>
  <c r="H2451" i="250" s="1"/>
  <c r="E2444" i="250"/>
  <c r="G2444" i="250" s="1"/>
  <c r="E2452" i="250"/>
  <c r="G2452" i="250" s="1"/>
  <c r="E2445" i="250"/>
  <c r="G2445" i="250" s="1"/>
  <c r="D589" i="329"/>
  <c r="D603" i="329"/>
  <c r="D592" i="329"/>
  <c r="D606" i="329"/>
  <c r="D580" i="329"/>
  <c r="D577" i="329"/>
  <c r="D586" i="309"/>
  <c r="D544" i="309"/>
  <c r="F2467" i="250"/>
  <c r="H2467" i="250" s="1"/>
  <c r="F2485" i="250"/>
  <c r="H2485" i="250" s="1"/>
  <c r="E2492" i="250"/>
  <c r="G2492" i="250" s="1"/>
  <c r="E2510" i="250"/>
  <c r="G2510" i="250" s="1"/>
  <c r="E2466" i="250"/>
  <c r="G2466" i="250" s="1"/>
  <c r="E2484" i="250"/>
  <c r="G2484" i="250" s="1"/>
  <c r="F2512" i="250"/>
  <c r="H2512" i="250" s="1"/>
  <c r="E2472" i="250"/>
  <c r="G2472" i="250" s="1"/>
  <c r="E2464" i="250"/>
  <c r="G2464" i="250" s="1"/>
  <c r="F2466" i="250"/>
  <c r="H2466" i="250" s="1"/>
  <c r="E2490" i="250"/>
  <c r="G2490" i="250" s="1"/>
  <c r="F2492" i="250"/>
  <c r="H2492" i="250" s="1"/>
  <c r="F2484" i="250"/>
  <c r="H2484" i="250" s="1"/>
  <c r="E2508" i="250"/>
  <c r="G2508" i="250" s="1"/>
  <c r="F2510" i="250"/>
  <c r="H2510" i="250" s="1"/>
  <c r="E2471" i="250"/>
  <c r="G2471" i="250" s="1"/>
  <c r="F2473" i="250"/>
  <c r="H2473" i="250" s="1"/>
  <c r="F2465" i="250"/>
  <c r="H2465" i="250" s="1"/>
  <c r="E2489" i="250"/>
  <c r="G2489" i="250" s="1"/>
  <c r="F2491" i="250"/>
  <c r="H2491" i="250" s="1"/>
  <c r="E2507" i="250"/>
  <c r="G2507" i="250" s="1"/>
  <c r="F2509" i="250"/>
  <c r="H2509" i="250" s="1"/>
  <c r="E2470" i="250"/>
  <c r="G2470" i="250" s="1"/>
  <c r="F2472" i="250"/>
  <c r="H2472" i="250" s="1"/>
  <c r="F2464" i="250"/>
  <c r="H2464" i="250" s="1"/>
  <c r="E2488" i="250"/>
  <c r="G2488" i="250" s="1"/>
  <c r="F2490" i="250"/>
  <c r="H2490" i="250" s="1"/>
  <c r="E2506" i="250"/>
  <c r="G2506" i="250" s="1"/>
  <c r="F2508" i="250"/>
  <c r="H2508" i="250" s="1"/>
  <c r="E2469" i="250"/>
  <c r="G2469" i="250" s="1"/>
  <c r="E2487" i="250"/>
  <c r="G2487" i="250" s="1"/>
  <c r="F2489" i="250"/>
  <c r="H2489" i="250" s="1"/>
  <c r="E2513" i="250"/>
  <c r="G2513" i="250" s="1"/>
  <c r="E2505" i="250"/>
  <c r="G2505" i="250" s="1"/>
  <c r="F2507" i="250"/>
  <c r="H2507" i="250" s="1"/>
  <c r="F2471" i="250"/>
  <c r="H2471" i="250" s="1"/>
  <c r="E2468" i="250"/>
  <c r="G2468" i="250" s="1"/>
  <c r="F2470" i="250"/>
  <c r="H2470" i="250" s="1"/>
  <c r="E2486" i="250"/>
  <c r="G2486" i="250" s="1"/>
  <c r="F2488" i="250"/>
  <c r="H2488" i="250" s="1"/>
  <c r="E2512" i="250"/>
  <c r="G2512" i="250" s="1"/>
  <c r="E2504" i="250"/>
  <c r="G2504" i="250" s="1"/>
  <c r="F2506" i="250"/>
  <c r="H2506" i="250" s="1"/>
  <c r="E2467" i="250"/>
  <c r="G2467" i="250" s="1"/>
  <c r="F2469" i="250"/>
  <c r="H2469" i="250" s="1"/>
  <c r="E2493" i="250"/>
  <c r="G2493" i="250" s="1"/>
  <c r="E2485" i="250"/>
  <c r="G2485" i="250" s="1"/>
  <c r="F2487" i="250"/>
  <c r="H2487" i="250" s="1"/>
  <c r="E2511" i="250"/>
  <c r="G2511" i="250" s="1"/>
  <c r="F2513" i="250"/>
  <c r="H2513" i="250" s="1"/>
  <c r="D12" i="339"/>
  <c r="D117" i="339"/>
  <c r="J354" i="337"/>
  <c r="K201" i="9" s="1"/>
  <c r="M201" i="9" s="1"/>
  <c r="E560" i="329"/>
  <c r="B546" i="309"/>
  <c r="E566" i="329"/>
  <c r="F21" i="336"/>
  <c r="J390" i="337"/>
  <c r="K203" i="9" s="1"/>
  <c r="M203" i="9" s="1"/>
  <c r="J79" i="337"/>
  <c r="K190" i="9" s="1"/>
  <c r="M190" i="9" s="1"/>
  <c r="J372" i="337"/>
  <c r="K202" i="9" s="1"/>
  <c r="M202" i="9" s="1"/>
  <c r="J97" i="337"/>
  <c r="K191" i="9" s="1"/>
  <c r="M191" i="9" s="1"/>
  <c r="J61" i="337"/>
  <c r="K189" i="9" s="1"/>
  <c r="M189" i="9" s="1"/>
  <c r="B588" i="309"/>
  <c r="F127" i="336"/>
  <c r="B1155" i="251"/>
  <c r="C548" i="309" s="1"/>
  <c r="B1147" i="251"/>
  <c r="C547" i="309" s="1"/>
  <c r="D27" i="254"/>
  <c r="D21" i="254"/>
  <c r="D16" i="254"/>
  <c r="D15" i="254"/>
  <c r="D10" i="254"/>
  <c r="D9" i="254"/>
  <c r="D21" i="244"/>
  <c r="D20" i="244"/>
  <c r="D15" i="244"/>
  <c r="D14" i="244"/>
  <c r="D83" i="11"/>
  <c r="D82" i="11"/>
  <c r="D81" i="11"/>
  <c r="D80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E796" i="251"/>
  <c r="D796" i="251"/>
  <c r="B793" i="251"/>
  <c r="B792" i="251" s="1"/>
  <c r="E788" i="251"/>
  <c r="D788" i="251"/>
  <c r="B785" i="251"/>
  <c r="B784" i="251" s="1"/>
  <c r="E780" i="251"/>
  <c r="D780" i="251"/>
  <c r="B777" i="251"/>
  <c r="B776" i="251" s="1"/>
  <c r="E772" i="251"/>
  <c r="D772" i="251"/>
  <c r="B769" i="251"/>
  <c r="B768" i="251" s="1"/>
  <c r="E515" i="251"/>
  <c r="D515" i="251"/>
  <c r="B512" i="251"/>
  <c r="B511" i="251" s="1"/>
  <c r="E507" i="251"/>
  <c r="D507" i="251"/>
  <c r="B504" i="251"/>
  <c r="B503" i="251" s="1"/>
  <c r="E499" i="251"/>
  <c r="D499" i="251"/>
  <c r="B496" i="251"/>
  <c r="B495" i="251" s="1"/>
  <c r="E491" i="251"/>
  <c r="D491" i="251"/>
  <c r="B488" i="251"/>
  <c r="B487" i="251" s="1"/>
  <c r="E308" i="251"/>
  <c r="D308" i="251"/>
  <c r="B305" i="251"/>
  <c r="B304" i="251" s="1"/>
  <c r="E300" i="251"/>
  <c r="D300" i="251"/>
  <c r="B297" i="251"/>
  <c r="B296" i="251" s="1"/>
  <c r="E292" i="251"/>
  <c r="D292" i="251"/>
  <c r="B289" i="251"/>
  <c r="B288" i="251" s="1"/>
  <c r="E284" i="251"/>
  <c r="D284" i="251"/>
  <c r="B281" i="251"/>
  <c r="B280" i="251" s="1"/>
  <c r="E175" i="251"/>
  <c r="D175" i="251"/>
  <c r="B172" i="251"/>
  <c r="B171" i="251" s="1"/>
  <c r="E167" i="251"/>
  <c r="D167" i="251"/>
  <c r="B164" i="251"/>
  <c r="B163" i="251" s="1"/>
  <c r="E159" i="251"/>
  <c r="D159" i="251"/>
  <c r="B156" i="251"/>
  <c r="B155" i="251" s="1"/>
  <c r="E151" i="251"/>
  <c r="D151" i="251"/>
  <c r="B148" i="251"/>
  <c r="B147" i="251" s="1"/>
  <c r="E37" i="251"/>
  <c r="D37" i="251"/>
  <c r="B34" i="251"/>
  <c r="E29" i="251"/>
  <c r="D29" i="251"/>
  <c r="B26" i="251"/>
  <c r="E21" i="251"/>
  <c r="D21" i="251"/>
  <c r="B18" i="251"/>
  <c r="E13" i="251"/>
  <c r="D13" i="251"/>
  <c r="B10" i="251"/>
  <c r="D1925" i="250"/>
  <c r="D1924" i="250"/>
  <c r="D1923" i="250"/>
  <c r="D1922" i="250"/>
  <c r="D1921" i="250"/>
  <c r="D1920" i="250"/>
  <c r="D1919" i="250"/>
  <c r="D1918" i="250"/>
  <c r="D1917" i="250"/>
  <c r="D1916" i="250"/>
  <c r="C1914" i="250"/>
  <c r="D1905" i="250"/>
  <c r="D1904" i="250"/>
  <c r="D1903" i="250"/>
  <c r="D1902" i="250"/>
  <c r="D1901" i="250"/>
  <c r="D1900" i="250"/>
  <c r="D1899" i="250"/>
  <c r="D1898" i="250"/>
  <c r="D1897" i="250"/>
  <c r="D1896" i="250"/>
  <c r="C1894" i="250"/>
  <c r="D1885" i="250"/>
  <c r="D1884" i="250"/>
  <c r="D1883" i="250"/>
  <c r="D1882" i="250"/>
  <c r="D1881" i="250"/>
  <c r="D1880" i="250"/>
  <c r="D1879" i="250"/>
  <c r="D1878" i="250"/>
  <c r="D1877" i="250"/>
  <c r="D1876" i="250"/>
  <c r="C1874" i="250"/>
  <c r="C1849" i="250"/>
  <c r="D1253" i="250"/>
  <c r="D1252" i="250"/>
  <c r="D1251" i="250"/>
  <c r="D1250" i="250"/>
  <c r="D1249" i="250"/>
  <c r="D1248" i="250"/>
  <c r="D1247" i="250"/>
  <c r="D1246" i="250"/>
  <c r="D1245" i="250"/>
  <c r="D1244" i="250"/>
  <c r="C1242" i="250"/>
  <c r="D1233" i="250"/>
  <c r="D1232" i="250"/>
  <c r="D1231" i="250"/>
  <c r="D1230" i="250"/>
  <c r="D1229" i="250"/>
  <c r="D1228" i="250"/>
  <c r="D1227" i="250"/>
  <c r="D1226" i="250"/>
  <c r="D1225" i="250"/>
  <c r="D1224" i="250"/>
  <c r="C1222" i="250"/>
  <c r="D1213" i="250"/>
  <c r="D1212" i="250"/>
  <c r="D1211" i="250"/>
  <c r="D1210" i="250"/>
  <c r="D1209" i="250"/>
  <c r="D1208" i="250"/>
  <c r="D1207" i="250"/>
  <c r="D1206" i="250"/>
  <c r="D1205" i="250"/>
  <c r="D1204" i="250"/>
  <c r="C1202" i="250"/>
  <c r="C1177" i="250"/>
  <c r="D749" i="250"/>
  <c r="D748" i="250"/>
  <c r="D747" i="250"/>
  <c r="D746" i="250"/>
  <c r="D745" i="250"/>
  <c r="D744" i="250"/>
  <c r="D743" i="250"/>
  <c r="D742" i="250"/>
  <c r="D741" i="250"/>
  <c r="D740" i="250"/>
  <c r="C738" i="250"/>
  <c r="D729" i="250"/>
  <c r="D728" i="250"/>
  <c r="D727" i="250"/>
  <c r="D726" i="250"/>
  <c r="D725" i="250"/>
  <c r="D724" i="250"/>
  <c r="D723" i="250"/>
  <c r="D722" i="250"/>
  <c r="D721" i="250"/>
  <c r="D720" i="250"/>
  <c r="C718" i="250"/>
  <c r="D709" i="250"/>
  <c r="D708" i="250"/>
  <c r="D707" i="250"/>
  <c r="D706" i="250"/>
  <c r="D705" i="250"/>
  <c r="D704" i="250"/>
  <c r="D703" i="250"/>
  <c r="D702" i="250"/>
  <c r="D701" i="250"/>
  <c r="D700" i="250"/>
  <c r="C698" i="250"/>
  <c r="C673" i="250"/>
  <c r="D413" i="250"/>
  <c r="D412" i="250"/>
  <c r="D411" i="250"/>
  <c r="D410" i="250"/>
  <c r="D409" i="250"/>
  <c r="D408" i="250"/>
  <c r="D407" i="250"/>
  <c r="D406" i="250"/>
  <c r="D405" i="250"/>
  <c r="D404" i="250"/>
  <c r="C402" i="250"/>
  <c r="D393" i="250"/>
  <c r="D392" i="250"/>
  <c r="D391" i="250"/>
  <c r="D390" i="250"/>
  <c r="D389" i="250"/>
  <c r="D388" i="250"/>
  <c r="D387" i="250"/>
  <c r="D386" i="250"/>
  <c r="D385" i="250"/>
  <c r="D384" i="250"/>
  <c r="C382" i="250"/>
  <c r="D373" i="250"/>
  <c r="D372" i="250"/>
  <c r="D371" i="250"/>
  <c r="D370" i="250"/>
  <c r="D369" i="250"/>
  <c r="D368" i="250"/>
  <c r="D367" i="250"/>
  <c r="D366" i="250"/>
  <c r="D365" i="250"/>
  <c r="D364" i="250"/>
  <c r="C362" i="250"/>
  <c r="C337" i="250"/>
  <c r="D77" i="250"/>
  <c r="D76" i="250"/>
  <c r="D75" i="250"/>
  <c r="D74" i="250"/>
  <c r="D73" i="250"/>
  <c r="D72" i="250"/>
  <c r="D71" i="250"/>
  <c r="D70" i="250"/>
  <c r="D69" i="250"/>
  <c r="D68" i="250"/>
  <c r="C66" i="250"/>
  <c r="D57" i="250"/>
  <c r="D56" i="250"/>
  <c r="D55" i="250"/>
  <c r="D54" i="250"/>
  <c r="D53" i="250"/>
  <c r="D52" i="250"/>
  <c r="D51" i="250"/>
  <c r="D50" i="250"/>
  <c r="D49" i="250"/>
  <c r="D48" i="250"/>
  <c r="C46" i="250"/>
  <c r="D37" i="250"/>
  <c r="D36" i="250"/>
  <c r="D35" i="250"/>
  <c r="D34" i="250"/>
  <c r="D33" i="250"/>
  <c r="D32" i="250"/>
  <c r="D31" i="250"/>
  <c r="D30" i="250"/>
  <c r="D29" i="250"/>
  <c r="D28" i="250"/>
  <c r="C26" i="250"/>
  <c r="C6" i="250"/>
  <c r="J486" i="246"/>
  <c r="J485" i="246"/>
  <c r="J484" i="246"/>
  <c r="J483" i="246"/>
  <c r="J482" i="246"/>
  <c r="J481" i="246"/>
  <c r="J480" i="246"/>
  <c r="J479" i="246"/>
  <c r="J478" i="246"/>
  <c r="J477" i="246"/>
  <c r="B473" i="246"/>
  <c r="D2264" i="250" s="1"/>
  <c r="J468" i="246"/>
  <c r="J467" i="246"/>
  <c r="J466" i="246"/>
  <c r="J465" i="246"/>
  <c r="J464" i="246"/>
  <c r="J463" i="246"/>
  <c r="J462" i="246"/>
  <c r="J461" i="246"/>
  <c r="J460" i="246"/>
  <c r="J459" i="246"/>
  <c r="B455" i="246"/>
  <c r="D2245" i="250" s="1"/>
  <c r="J450" i="246"/>
  <c r="J449" i="246"/>
  <c r="J448" i="246"/>
  <c r="J447" i="246"/>
  <c r="J446" i="246"/>
  <c r="J445" i="246"/>
  <c r="J444" i="246"/>
  <c r="J443" i="246"/>
  <c r="J442" i="246"/>
  <c r="J441" i="246"/>
  <c r="B437" i="246"/>
  <c r="D2225" i="250" s="1"/>
  <c r="B414" i="246"/>
  <c r="D2205" i="250" s="1"/>
  <c r="E412" i="246"/>
  <c r="D410" i="246"/>
  <c r="D153" i="315" s="1"/>
  <c r="D409" i="246"/>
  <c r="D152" i="315" s="1"/>
  <c r="B401" i="246"/>
  <c r="B392" i="246"/>
  <c r="J96" i="246"/>
  <c r="J95" i="246"/>
  <c r="J94" i="246"/>
  <c r="J93" i="246"/>
  <c r="J92" i="246"/>
  <c r="J91" i="246"/>
  <c r="J90" i="246"/>
  <c r="J89" i="246"/>
  <c r="J88" i="246"/>
  <c r="J87" i="246"/>
  <c r="B83" i="246"/>
  <c r="D1928" i="250" s="1"/>
  <c r="J78" i="246"/>
  <c r="J77" i="246"/>
  <c r="J76" i="246"/>
  <c r="J75" i="246"/>
  <c r="J74" i="246"/>
  <c r="J73" i="246"/>
  <c r="J72" i="246"/>
  <c r="J71" i="246"/>
  <c r="J70" i="246"/>
  <c r="J69" i="246"/>
  <c r="B65" i="246"/>
  <c r="D1909" i="250" s="1"/>
  <c r="J60" i="246"/>
  <c r="J59" i="246"/>
  <c r="J58" i="246"/>
  <c r="J57" i="246"/>
  <c r="J56" i="246"/>
  <c r="J55" i="246"/>
  <c r="J54" i="246"/>
  <c r="J53" i="246"/>
  <c r="J52" i="246"/>
  <c r="J51" i="246"/>
  <c r="B47" i="246"/>
  <c r="D1889" i="250" s="1"/>
  <c r="B24" i="246"/>
  <c r="D1869" i="250" s="1"/>
  <c r="D20" i="246"/>
  <c r="D13" i="315" s="1"/>
  <c r="D19" i="246"/>
  <c r="D12" i="315" s="1"/>
  <c r="B12" i="246"/>
  <c r="B4" i="246"/>
  <c r="J389" i="282"/>
  <c r="J388" i="282"/>
  <c r="J387" i="282"/>
  <c r="J386" i="282"/>
  <c r="J385" i="282"/>
  <c r="J384" i="282"/>
  <c r="J383" i="282"/>
  <c r="J382" i="282"/>
  <c r="J381" i="282"/>
  <c r="J380" i="282"/>
  <c r="B376" i="282"/>
  <c r="D1508" i="250" s="1"/>
  <c r="J371" i="282"/>
  <c r="J370" i="282"/>
  <c r="J369" i="282"/>
  <c r="J368" i="282"/>
  <c r="J367" i="282"/>
  <c r="J366" i="282"/>
  <c r="J365" i="282"/>
  <c r="J364" i="282"/>
  <c r="J363" i="282"/>
  <c r="J362" i="282"/>
  <c r="B358" i="282"/>
  <c r="D1489" i="250" s="1"/>
  <c r="J353" i="282"/>
  <c r="J352" i="282"/>
  <c r="J351" i="282"/>
  <c r="J350" i="282"/>
  <c r="J349" i="282"/>
  <c r="J348" i="282"/>
  <c r="J347" i="282"/>
  <c r="J346" i="282"/>
  <c r="J345" i="282"/>
  <c r="J344" i="282"/>
  <c r="B340" i="282"/>
  <c r="D1469" i="250" s="1"/>
  <c r="B317" i="282"/>
  <c r="D1449" i="250" s="1"/>
  <c r="E315" i="282"/>
  <c r="D313" i="282"/>
  <c r="D118" i="313" s="1"/>
  <c r="D312" i="282"/>
  <c r="D117" i="313" s="1"/>
  <c r="B304" i="282"/>
  <c r="B295" i="282"/>
  <c r="J96" i="282"/>
  <c r="J95" i="282"/>
  <c r="J94" i="282"/>
  <c r="J93" i="282"/>
  <c r="J92" i="282"/>
  <c r="J91" i="282"/>
  <c r="J90" i="282"/>
  <c r="J89" i="282"/>
  <c r="J88" i="282"/>
  <c r="J87" i="282"/>
  <c r="B83" i="282"/>
  <c r="D1256" i="250" s="1"/>
  <c r="J78" i="282"/>
  <c r="J77" i="282"/>
  <c r="J76" i="282"/>
  <c r="J75" i="282"/>
  <c r="J74" i="282"/>
  <c r="J73" i="282"/>
  <c r="J72" i="282"/>
  <c r="J71" i="282"/>
  <c r="J70" i="282"/>
  <c r="J69" i="282"/>
  <c r="B65" i="282"/>
  <c r="D1237" i="250" s="1"/>
  <c r="J60" i="282"/>
  <c r="J59" i="282"/>
  <c r="J58" i="282"/>
  <c r="J57" i="282"/>
  <c r="J56" i="282"/>
  <c r="J55" i="282"/>
  <c r="J54" i="282"/>
  <c r="J53" i="282"/>
  <c r="J52" i="282"/>
  <c r="J51" i="282"/>
  <c r="B47" i="282"/>
  <c r="D1217" i="250" s="1"/>
  <c r="B24" i="282"/>
  <c r="D1197" i="250" s="1"/>
  <c r="E22" i="282"/>
  <c r="D20" i="282"/>
  <c r="D13" i="313" s="1"/>
  <c r="D19" i="282"/>
  <c r="D12" i="313" s="1"/>
  <c r="B12" i="282"/>
  <c r="B4" i="282"/>
  <c r="J389" i="281"/>
  <c r="J388" i="281"/>
  <c r="J387" i="281"/>
  <c r="J386" i="281"/>
  <c r="J385" i="281"/>
  <c r="J384" i="281"/>
  <c r="J383" i="281"/>
  <c r="J382" i="281"/>
  <c r="J381" i="281"/>
  <c r="J380" i="281"/>
  <c r="B376" i="281"/>
  <c r="D1004" i="250" s="1"/>
  <c r="J371" i="281"/>
  <c r="J370" i="281"/>
  <c r="J369" i="281"/>
  <c r="J368" i="281"/>
  <c r="J367" i="281"/>
  <c r="J366" i="281"/>
  <c r="J365" i="281"/>
  <c r="J364" i="281"/>
  <c r="J363" i="281"/>
  <c r="J362" i="281"/>
  <c r="B358" i="281"/>
  <c r="D985" i="250" s="1"/>
  <c r="J353" i="281"/>
  <c r="J352" i="281"/>
  <c r="J351" i="281"/>
  <c r="J350" i="281"/>
  <c r="J349" i="281"/>
  <c r="J348" i="281"/>
  <c r="J347" i="281"/>
  <c r="J346" i="281"/>
  <c r="J345" i="281"/>
  <c r="J344" i="281"/>
  <c r="B340" i="281"/>
  <c r="D965" i="250" s="1"/>
  <c r="B317" i="281"/>
  <c r="D945" i="250" s="1"/>
  <c r="E315" i="281"/>
  <c r="D313" i="281"/>
  <c r="D118" i="312" s="1"/>
  <c r="D312" i="281"/>
  <c r="D117" i="312" s="1"/>
  <c r="B304" i="281"/>
  <c r="J96" i="281"/>
  <c r="J95" i="281"/>
  <c r="J94" i="281"/>
  <c r="J93" i="281"/>
  <c r="J92" i="281"/>
  <c r="J91" i="281"/>
  <c r="J90" i="281"/>
  <c r="J89" i="281"/>
  <c r="J88" i="281"/>
  <c r="J87" i="281"/>
  <c r="B83" i="281"/>
  <c r="D752" i="250" s="1"/>
  <c r="J78" i="281"/>
  <c r="J77" i="281"/>
  <c r="J76" i="281"/>
  <c r="J75" i="281"/>
  <c r="J74" i="281"/>
  <c r="J73" i="281"/>
  <c r="J72" i="281"/>
  <c r="J71" i="281"/>
  <c r="J70" i="281"/>
  <c r="J69" i="281"/>
  <c r="B65" i="281"/>
  <c r="D733" i="250" s="1"/>
  <c r="J60" i="281"/>
  <c r="J59" i="281"/>
  <c r="J58" i="281"/>
  <c r="J57" i="281"/>
  <c r="J56" i="281"/>
  <c r="J55" i="281"/>
  <c r="J54" i="281"/>
  <c r="J53" i="281"/>
  <c r="J52" i="281"/>
  <c r="J51" i="281"/>
  <c r="B47" i="281"/>
  <c r="D713" i="250" s="1"/>
  <c r="B24" i="281"/>
  <c r="D693" i="250" s="1"/>
  <c r="E22" i="281"/>
  <c r="D20" i="281"/>
  <c r="D13" i="312" s="1"/>
  <c r="D19" i="281"/>
  <c r="D12" i="312" s="1"/>
  <c r="B12" i="281"/>
  <c r="J98" i="307"/>
  <c r="J97" i="307"/>
  <c r="J96" i="307"/>
  <c r="J95" i="307"/>
  <c r="J94" i="307"/>
  <c r="J93" i="307"/>
  <c r="J92" i="307"/>
  <c r="J91" i="307"/>
  <c r="J90" i="307"/>
  <c r="J89" i="307"/>
  <c r="J80" i="307"/>
  <c r="J79" i="307"/>
  <c r="J78" i="307"/>
  <c r="J77" i="307"/>
  <c r="J76" i="307"/>
  <c r="J75" i="307"/>
  <c r="J74" i="307"/>
  <c r="J73" i="307"/>
  <c r="J72" i="307"/>
  <c r="J71" i="307"/>
  <c r="J62" i="307"/>
  <c r="J61" i="307"/>
  <c r="J60" i="307"/>
  <c r="J59" i="307"/>
  <c r="J58" i="307"/>
  <c r="J57" i="307"/>
  <c r="J56" i="307"/>
  <c r="J55" i="307"/>
  <c r="J54" i="307"/>
  <c r="J53" i="307"/>
  <c r="D13" i="314"/>
  <c r="D12" i="314"/>
  <c r="J389" i="280"/>
  <c r="J388" i="280"/>
  <c r="J387" i="280"/>
  <c r="J386" i="280"/>
  <c r="J385" i="280"/>
  <c r="J384" i="280"/>
  <c r="J383" i="280"/>
  <c r="J382" i="280"/>
  <c r="J381" i="280"/>
  <c r="J380" i="280"/>
  <c r="B376" i="280"/>
  <c r="D668" i="250" s="1"/>
  <c r="J371" i="280"/>
  <c r="J370" i="280"/>
  <c r="J369" i="280"/>
  <c r="J368" i="280"/>
  <c r="J367" i="280"/>
  <c r="J366" i="280"/>
  <c r="J365" i="280"/>
  <c r="J364" i="280"/>
  <c r="J363" i="280"/>
  <c r="J362" i="280"/>
  <c r="B358" i="280"/>
  <c r="D649" i="250" s="1"/>
  <c r="J353" i="280"/>
  <c r="J352" i="280"/>
  <c r="J351" i="280"/>
  <c r="J350" i="280"/>
  <c r="J349" i="280"/>
  <c r="J348" i="280"/>
  <c r="J347" i="280"/>
  <c r="J346" i="280"/>
  <c r="J345" i="280"/>
  <c r="J344" i="280"/>
  <c r="B340" i="280"/>
  <c r="D629" i="250" s="1"/>
  <c r="B317" i="280"/>
  <c r="D609" i="250" s="1"/>
  <c r="D116" i="261"/>
  <c r="D115" i="261"/>
  <c r="B304" i="280"/>
  <c r="B295" i="280"/>
  <c r="J96" i="280"/>
  <c r="J95" i="280"/>
  <c r="J94" i="280"/>
  <c r="J93" i="280"/>
  <c r="J92" i="280"/>
  <c r="J91" i="280"/>
  <c r="J90" i="280"/>
  <c r="J89" i="280"/>
  <c r="J88" i="280"/>
  <c r="J87" i="280"/>
  <c r="B83" i="280"/>
  <c r="D416" i="250" s="1"/>
  <c r="J78" i="280"/>
  <c r="J77" i="280"/>
  <c r="J76" i="280"/>
  <c r="J75" i="280"/>
  <c r="J74" i="280"/>
  <c r="J73" i="280"/>
  <c r="J72" i="280"/>
  <c r="J71" i="280"/>
  <c r="J70" i="280"/>
  <c r="J69" i="280"/>
  <c r="B65" i="280"/>
  <c r="D397" i="250" s="1"/>
  <c r="J60" i="280"/>
  <c r="J59" i="280"/>
  <c r="J58" i="280"/>
  <c r="J57" i="280"/>
  <c r="J56" i="280"/>
  <c r="J55" i="280"/>
  <c r="J54" i="280"/>
  <c r="J53" i="280"/>
  <c r="J52" i="280"/>
  <c r="J51" i="280"/>
  <c r="B47" i="280"/>
  <c r="D377" i="250" s="1"/>
  <c r="B24" i="280"/>
  <c r="D357" i="250" s="1"/>
  <c r="D11" i="261"/>
  <c r="D10" i="261"/>
  <c r="B12" i="280"/>
  <c r="B4" i="280"/>
  <c r="J287" i="279"/>
  <c r="J286" i="279"/>
  <c r="J285" i="279"/>
  <c r="J284" i="279"/>
  <c r="J283" i="279"/>
  <c r="J282" i="279"/>
  <c r="J281" i="279"/>
  <c r="J280" i="279"/>
  <c r="J279" i="279"/>
  <c r="J278" i="279"/>
  <c r="B274" i="279"/>
  <c r="D248" i="250" s="1"/>
  <c r="J269" i="279"/>
  <c r="J268" i="279"/>
  <c r="J267" i="279"/>
  <c r="J266" i="279"/>
  <c r="J265" i="279"/>
  <c r="J264" i="279"/>
  <c r="J263" i="279"/>
  <c r="J262" i="279"/>
  <c r="J261" i="279"/>
  <c r="J260" i="279"/>
  <c r="B256" i="279"/>
  <c r="D229" i="250" s="1"/>
  <c r="J251" i="279"/>
  <c r="J250" i="279"/>
  <c r="J249" i="279"/>
  <c r="J248" i="279"/>
  <c r="J247" i="279"/>
  <c r="J246" i="279"/>
  <c r="J245" i="279"/>
  <c r="J244" i="279"/>
  <c r="J243" i="279"/>
  <c r="J242" i="279"/>
  <c r="B238" i="279"/>
  <c r="D209" i="250" s="1"/>
  <c r="B215" i="279"/>
  <c r="D189" i="250" s="1"/>
  <c r="E213" i="279"/>
  <c r="D81" i="252"/>
  <c r="D80" i="252"/>
  <c r="B202" i="279"/>
  <c r="B193" i="279"/>
  <c r="J91" i="279"/>
  <c r="J90" i="279"/>
  <c r="J89" i="279"/>
  <c r="J88" i="279"/>
  <c r="J87" i="279"/>
  <c r="J86" i="279"/>
  <c r="J85" i="279"/>
  <c r="J84" i="279"/>
  <c r="J83" i="279"/>
  <c r="J82" i="279"/>
  <c r="B78" i="279"/>
  <c r="D80" i="250" s="1"/>
  <c r="J73" i="279"/>
  <c r="J72" i="279"/>
  <c r="J71" i="279"/>
  <c r="J70" i="279"/>
  <c r="J69" i="279"/>
  <c r="J68" i="279"/>
  <c r="J67" i="279"/>
  <c r="J66" i="279"/>
  <c r="J65" i="279"/>
  <c r="J64" i="279"/>
  <c r="B60" i="279"/>
  <c r="D61" i="250" s="1"/>
  <c r="J55" i="279"/>
  <c r="J54" i="279"/>
  <c r="J53" i="279"/>
  <c r="J52" i="279"/>
  <c r="J51" i="279"/>
  <c r="J50" i="279"/>
  <c r="J49" i="279"/>
  <c r="J48" i="279"/>
  <c r="J47" i="279"/>
  <c r="J46" i="279"/>
  <c r="B42" i="279"/>
  <c r="D41" i="250" s="1"/>
  <c r="B24" i="279"/>
  <c r="D21" i="250" s="1"/>
  <c r="E22" i="279"/>
  <c r="D20" i="279"/>
  <c r="D11" i="252" s="1"/>
  <c r="D19" i="279"/>
  <c r="D10" i="252" s="1"/>
  <c r="B12" i="279"/>
  <c r="B4" i="279"/>
  <c r="D353" i="311"/>
  <c r="D352" i="311"/>
  <c r="D351" i="311"/>
  <c r="D350" i="311"/>
  <c r="D228" i="311"/>
  <c r="D227" i="311"/>
  <c r="D226" i="311"/>
  <c r="D225" i="311"/>
  <c r="D135" i="311"/>
  <c r="D134" i="311"/>
  <c r="D133" i="311"/>
  <c r="D132" i="311"/>
  <c r="D74" i="311"/>
  <c r="D73" i="311"/>
  <c r="D72" i="311"/>
  <c r="D71" i="311"/>
  <c r="D12" i="311"/>
  <c r="D11" i="311"/>
  <c r="D10" i="311"/>
  <c r="D9" i="311"/>
  <c r="E508" i="309"/>
  <c r="E504" i="309"/>
  <c r="B500" i="309"/>
  <c r="E452" i="309"/>
  <c r="E448" i="309"/>
  <c r="B444" i="309"/>
  <c r="E396" i="309"/>
  <c r="E392" i="309"/>
  <c r="E326" i="309"/>
  <c r="E322" i="309"/>
  <c r="B318" i="309"/>
  <c r="E284" i="309"/>
  <c r="E280" i="309"/>
  <c r="B276" i="309"/>
  <c r="E242" i="309"/>
  <c r="E238" i="309"/>
  <c r="B234" i="309"/>
  <c r="E200" i="309"/>
  <c r="E196" i="309"/>
  <c r="B192" i="309"/>
  <c r="B178" i="309"/>
  <c r="B136" i="309"/>
  <c r="E116" i="309"/>
  <c r="E112" i="309"/>
  <c r="B108" i="309"/>
  <c r="E88" i="309"/>
  <c r="E84" i="309"/>
  <c r="B80" i="309"/>
  <c r="D164" i="247"/>
  <c r="D127" i="286"/>
  <c r="D127" i="285"/>
  <c r="D127" i="284"/>
  <c r="D90" i="283"/>
  <c r="C79" i="322"/>
  <c r="C23" i="321"/>
  <c r="D80" i="321" s="1"/>
  <c r="D173" i="321"/>
  <c r="D197" i="321"/>
  <c r="B137" i="321"/>
  <c r="D14" i="321" s="1"/>
  <c r="B16" i="321"/>
  <c r="D13" i="321" s="1"/>
  <c r="D19" i="320"/>
  <c r="D91" i="317" s="1"/>
  <c r="D18" i="320"/>
  <c r="D12" i="320"/>
  <c r="D11" i="320"/>
  <c r="H15" i="10"/>
  <c r="H12" i="10"/>
  <c r="D13" i="330"/>
  <c r="D12" i="330"/>
  <c r="I20" i="5"/>
  <c r="I19" i="5"/>
  <c r="D334" i="329"/>
  <c r="D328" i="329"/>
  <c r="I18" i="5"/>
  <c r="D255" i="329"/>
  <c r="D286" i="329" s="1"/>
  <c r="D249" i="329"/>
  <c r="D283" i="329" s="1"/>
  <c r="I17" i="5"/>
  <c r="D233" i="329"/>
  <c r="I16" i="5"/>
  <c r="D118" i="329"/>
  <c r="D114" i="329"/>
  <c r="I15" i="5"/>
  <c r="B86" i="329"/>
  <c r="I14" i="5"/>
  <c r="I13" i="5"/>
  <c r="I12" i="5"/>
  <c r="I11" i="5"/>
  <c r="C9" i="4"/>
  <c r="R30" i="310" l="1"/>
  <c r="T30" i="310"/>
  <c r="R27" i="249"/>
  <c r="T25" i="87"/>
  <c r="T27" i="249"/>
  <c r="T28" i="8"/>
  <c r="V28" i="8"/>
  <c r="R25" i="87"/>
  <c r="R19" i="87"/>
  <c r="R24" i="310"/>
  <c r="T19" i="87"/>
  <c r="T24" i="310"/>
  <c r="R21" i="249"/>
  <c r="T22" i="8"/>
  <c r="T21" i="249"/>
  <c r="V22" i="8"/>
  <c r="D144" i="317"/>
  <c r="D140" i="317"/>
  <c r="D86" i="317"/>
  <c r="D89" i="317" s="1"/>
  <c r="D94" i="317" s="1"/>
  <c r="H27" i="250"/>
  <c r="G27" i="250"/>
  <c r="H7" i="250"/>
  <c r="G47" i="250"/>
  <c r="H47" i="250"/>
  <c r="G7" i="250"/>
  <c r="G67" i="250"/>
  <c r="G27" i="279"/>
  <c r="H45" i="279"/>
  <c r="G45" i="279"/>
  <c r="H27" i="279"/>
  <c r="H67" i="250"/>
  <c r="H63" i="279"/>
  <c r="G81" i="279"/>
  <c r="G63" i="279"/>
  <c r="G8" i="311"/>
  <c r="H8" i="311"/>
  <c r="H81" i="279"/>
  <c r="E235" i="250"/>
  <c r="F215" i="250"/>
  <c r="E195" i="250"/>
  <c r="E170" i="250"/>
  <c r="F235" i="250"/>
  <c r="F195" i="250"/>
  <c r="F170" i="250"/>
  <c r="E215" i="250"/>
  <c r="H241" i="279"/>
  <c r="G241" i="279"/>
  <c r="H218" i="279"/>
  <c r="G218" i="279"/>
  <c r="G277" i="279"/>
  <c r="G259" i="279"/>
  <c r="F39" i="311"/>
  <c r="E39" i="311"/>
  <c r="H277" i="279"/>
  <c r="H259" i="279"/>
  <c r="H615" i="250"/>
  <c r="H590" i="250"/>
  <c r="H655" i="250"/>
  <c r="H635" i="250"/>
  <c r="G615" i="250"/>
  <c r="G590" i="250"/>
  <c r="G655" i="250"/>
  <c r="G635" i="250"/>
  <c r="G320" i="280"/>
  <c r="H320" i="280"/>
  <c r="H379" i="280"/>
  <c r="H343" i="280"/>
  <c r="G379" i="280"/>
  <c r="G361" i="280"/>
  <c r="H361" i="280"/>
  <c r="G343" i="280"/>
  <c r="G116" i="311"/>
  <c r="H116" i="311"/>
  <c r="H2883" i="250"/>
  <c r="G2923" i="250"/>
  <c r="G2858" i="250"/>
  <c r="H2858" i="250"/>
  <c r="H2923" i="250"/>
  <c r="H2903" i="250"/>
  <c r="G2903" i="250"/>
  <c r="G2883" i="250"/>
  <c r="G88" i="307"/>
  <c r="G70" i="307"/>
  <c r="H29" i="307"/>
  <c r="G52" i="307"/>
  <c r="H88" i="307"/>
  <c r="G458" i="311"/>
  <c r="H70" i="307"/>
  <c r="G29" i="307"/>
  <c r="H458" i="311"/>
  <c r="H52" i="307"/>
  <c r="F991" i="250"/>
  <c r="E971" i="250"/>
  <c r="F971" i="250"/>
  <c r="F926" i="250"/>
  <c r="E926" i="250"/>
  <c r="F951" i="250"/>
  <c r="E951" i="250"/>
  <c r="E991" i="250"/>
  <c r="F177" i="311"/>
  <c r="E177" i="311"/>
  <c r="H1875" i="250"/>
  <c r="G1915" i="250"/>
  <c r="G1850" i="250"/>
  <c r="H1850" i="250"/>
  <c r="G1875" i="250"/>
  <c r="H1915" i="250"/>
  <c r="H1895" i="250"/>
  <c r="G1895" i="250"/>
  <c r="H86" i="246"/>
  <c r="G86" i="246"/>
  <c r="H50" i="246"/>
  <c r="G27" i="246"/>
  <c r="H68" i="246"/>
  <c r="G349" i="311"/>
  <c r="G50" i="246"/>
  <c r="G68" i="246"/>
  <c r="H27" i="246"/>
  <c r="H349" i="311"/>
  <c r="B3" i="251"/>
  <c r="B5" i="327"/>
  <c r="B5" i="346"/>
  <c r="B5" i="323"/>
  <c r="B7" i="349"/>
  <c r="B5" i="338"/>
  <c r="D150" i="317"/>
  <c r="D146" i="317"/>
  <c r="D183" i="321"/>
  <c r="D184" i="321"/>
  <c r="E7" i="250"/>
  <c r="F7" i="250"/>
  <c r="E67" i="250"/>
  <c r="F47" i="250"/>
  <c r="E27" i="250"/>
  <c r="F67" i="250"/>
  <c r="E47" i="250"/>
  <c r="F8" i="311"/>
  <c r="E8" i="311"/>
  <c r="F27" i="250"/>
  <c r="F655" i="250"/>
  <c r="F590" i="250"/>
  <c r="E590" i="250"/>
  <c r="F615" i="250"/>
  <c r="E615" i="250"/>
  <c r="E635" i="250"/>
  <c r="F635" i="250"/>
  <c r="E655" i="250"/>
  <c r="F116" i="311"/>
  <c r="E116" i="311"/>
  <c r="F2903" i="250"/>
  <c r="E2883" i="250"/>
  <c r="F2923" i="250"/>
  <c r="F2858" i="250"/>
  <c r="F2883" i="250"/>
  <c r="E2858" i="250"/>
  <c r="E2923" i="250"/>
  <c r="F458" i="311"/>
  <c r="E2903" i="250"/>
  <c r="E458" i="311"/>
  <c r="H699" i="250"/>
  <c r="H674" i="250"/>
  <c r="H739" i="250"/>
  <c r="G699" i="250"/>
  <c r="G674" i="250"/>
  <c r="G719" i="250"/>
  <c r="H719" i="250"/>
  <c r="G739" i="250"/>
  <c r="G50" i="281"/>
  <c r="H27" i="281"/>
  <c r="G27" i="281"/>
  <c r="H86" i="281"/>
  <c r="G131" i="311"/>
  <c r="H50" i="281"/>
  <c r="H68" i="281"/>
  <c r="G86" i="281"/>
  <c r="G68" i="281"/>
  <c r="H131" i="311"/>
  <c r="H1455" i="250"/>
  <c r="H1430" i="250"/>
  <c r="H1495" i="250"/>
  <c r="G1430" i="250"/>
  <c r="G1475" i="250"/>
  <c r="H1475" i="250"/>
  <c r="G1495" i="250"/>
  <c r="G1455" i="250"/>
  <c r="H379" i="282"/>
  <c r="G343" i="282"/>
  <c r="H320" i="282"/>
  <c r="G320" i="282"/>
  <c r="H343" i="282"/>
  <c r="G270" i="311"/>
  <c r="G379" i="282"/>
  <c r="H270" i="311"/>
  <c r="H361" i="282"/>
  <c r="G361" i="282"/>
  <c r="B448" i="309"/>
  <c r="F1895" i="250"/>
  <c r="E1875" i="250"/>
  <c r="F1915" i="250"/>
  <c r="E1895" i="250"/>
  <c r="F1875" i="250"/>
  <c r="F1850" i="250"/>
  <c r="E1915" i="250"/>
  <c r="E1850" i="250"/>
  <c r="F349" i="311"/>
  <c r="E349" i="311"/>
  <c r="H2715" i="250"/>
  <c r="H2690" i="250"/>
  <c r="H2755" i="250"/>
  <c r="G2755" i="250"/>
  <c r="G2690" i="250"/>
  <c r="G2715" i="250"/>
  <c r="H2735" i="250"/>
  <c r="G343" i="337"/>
  <c r="H361" i="337"/>
  <c r="G2735" i="250"/>
  <c r="H379" i="337"/>
  <c r="H320" i="337"/>
  <c r="G361" i="337"/>
  <c r="G567" i="311"/>
  <c r="H567" i="311"/>
  <c r="G379" i="337"/>
  <c r="H343" i="337"/>
  <c r="G320" i="337"/>
  <c r="C88" i="329"/>
  <c r="D925" i="329"/>
  <c r="D937" i="329" s="1"/>
  <c r="D853" i="329"/>
  <c r="D865" i="329" s="1"/>
  <c r="D696" i="329"/>
  <c r="D708" i="329" s="1"/>
  <c r="C538" i="329"/>
  <c r="D547" i="329" s="1"/>
  <c r="C397" i="329"/>
  <c r="D407" i="329" s="1"/>
  <c r="C231" i="329"/>
  <c r="D237" i="329" s="1"/>
  <c r="E18" i="343"/>
  <c r="C154" i="329"/>
  <c r="D160" i="329" s="1"/>
  <c r="D838" i="329"/>
  <c r="D850" i="329" s="1"/>
  <c r="C525" i="329"/>
  <c r="D534" i="329" s="1"/>
  <c r="C97" i="329"/>
  <c r="D908" i="329"/>
  <c r="D920" i="329" s="1"/>
  <c r="D749" i="329"/>
  <c r="D761" i="329" s="1"/>
  <c r="C601" i="329"/>
  <c r="D608" i="329" s="1"/>
  <c r="C454" i="329"/>
  <c r="D460" i="329" s="1"/>
  <c r="C296" i="329"/>
  <c r="D304" i="329" s="1"/>
  <c r="D681" i="329"/>
  <c r="D693" i="329" s="1"/>
  <c r="C221" i="329"/>
  <c r="D227" i="329" s="1"/>
  <c r="D768" i="329"/>
  <c r="D780" i="329" s="1"/>
  <c r="C612" i="329"/>
  <c r="D619" i="329" s="1"/>
  <c r="C464" i="329"/>
  <c r="D470" i="329" s="1"/>
  <c r="C308" i="329"/>
  <c r="D316" i="329" s="1"/>
  <c r="C164" i="329"/>
  <c r="D170" i="329" s="1"/>
  <c r="F18" i="343"/>
  <c r="C383" i="329"/>
  <c r="D393" i="329" s="1"/>
  <c r="C100" i="317"/>
  <c r="D103" i="317"/>
  <c r="D51" i="317"/>
  <c r="D45" i="317"/>
  <c r="D82" i="317" s="1"/>
  <c r="D87" i="317" s="1"/>
  <c r="D92" i="317" s="1"/>
  <c r="D105" i="317"/>
  <c r="D48" i="317"/>
  <c r="D107" i="317"/>
  <c r="H363" i="250"/>
  <c r="H338" i="250"/>
  <c r="H403" i="250"/>
  <c r="G363" i="250"/>
  <c r="G338" i="250"/>
  <c r="H383" i="250"/>
  <c r="G383" i="250"/>
  <c r="G27" i="280"/>
  <c r="H50" i="280"/>
  <c r="G86" i="280"/>
  <c r="G50" i="280"/>
  <c r="G403" i="250"/>
  <c r="H68" i="280"/>
  <c r="G68" i="280"/>
  <c r="G70" i="311"/>
  <c r="H86" i="280"/>
  <c r="H27" i="280"/>
  <c r="H70" i="311"/>
  <c r="B196" i="309"/>
  <c r="E739" i="250"/>
  <c r="E699" i="250"/>
  <c r="F699" i="250"/>
  <c r="F674" i="250"/>
  <c r="E719" i="250"/>
  <c r="F131" i="311"/>
  <c r="E674" i="250"/>
  <c r="F739" i="250"/>
  <c r="E131" i="311"/>
  <c r="F719" i="250"/>
  <c r="G1203" i="250"/>
  <c r="G1178" i="250"/>
  <c r="G1243" i="250"/>
  <c r="G1223" i="250"/>
  <c r="H1178" i="250"/>
  <c r="H1223" i="250"/>
  <c r="H1243" i="250"/>
  <c r="H68" i="282"/>
  <c r="G68" i="282"/>
  <c r="H1203" i="250"/>
  <c r="H86" i="282"/>
  <c r="G86" i="282"/>
  <c r="H27" i="282"/>
  <c r="G27" i="282"/>
  <c r="G224" i="311"/>
  <c r="H224" i="311"/>
  <c r="H50" i="282"/>
  <c r="G50" i="282"/>
  <c r="F1475" i="250"/>
  <c r="E1495" i="250"/>
  <c r="E1455" i="250"/>
  <c r="F1495" i="250"/>
  <c r="F1430" i="250"/>
  <c r="E1475" i="250"/>
  <c r="E1430" i="250"/>
  <c r="F1455" i="250"/>
  <c r="F270" i="311"/>
  <c r="E270" i="311"/>
  <c r="H2211" i="250"/>
  <c r="G2251" i="250"/>
  <c r="G2186" i="250"/>
  <c r="H2186" i="250"/>
  <c r="H2251" i="250"/>
  <c r="H2231" i="250"/>
  <c r="G2211" i="250"/>
  <c r="G2231" i="250"/>
  <c r="H476" i="246"/>
  <c r="G458" i="246"/>
  <c r="H440" i="246"/>
  <c r="G476" i="246"/>
  <c r="G417" i="246"/>
  <c r="G440" i="246"/>
  <c r="H458" i="246"/>
  <c r="G410" i="311"/>
  <c r="H417" i="246"/>
  <c r="H410" i="311"/>
  <c r="H2463" i="250"/>
  <c r="H2438" i="250"/>
  <c r="H2503" i="250"/>
  <c r="G2503" i="250"/>
  <c r="H2483" i="250"/>
  <c r="G2438" i="250"/>
  <c r="G2463" i="250"/>
  <c r="H86" i="337"/>
  <c r="G27" i="337"/>
  <c r="H50" i="337"/>
  <c r="G86" i="337"/>
  <c r="G50" i="337"/>
  <c r="H68" i="337"/>
  <c r="G521" i="311"/>
  <c r="G68" i="337"/>
  <c r="G2483" i="250"/>
  <c r="H27" i="337"/>
  <c r="H521" i="311"/>
  <c r="D871" i="329"/>
  <c r="D883" i="329" s="1"/>
  <c r="D714" i="329"/>
  <c r="D726" i="329" s="1"/>
  <c r="C575" i="329"/>
  <c r="D582" i="329" s="1"/>
  <c r="C430" i="329"/>
  <c r="D436" i="329" s="1"/>
  <c r="C268" i="329"/>
  <c r="D276" i="329" s="1"/>
  <c r="C140" i="329"/>
  <c r="D146" i="329" s="1"/>
  <c r="C509" i="329"/>
  <c r="D518" i="329" s="1"/>
  <c r="D890" i="329"/>
  <c r="D902" i="329" s="1"/>
  <c r="D731" i="329"/>
  <c r="D743" i="329" s="1"/>
  <c r="C587" i="329"/>
  <c r="D594" i="329" s="1"/>
  <c r="C441" i="329"/>
  <c r="D447" i="329" s="1"/>
  <c r="C281" i="329"/>
  <c r="D289" i="329" s="1"/>
  <c r="C76" i="329"/>
  <c r="D820" i="329"/>
  <c r="D832" i="329" s="1"/>
  <c r="D663" i="329"/>
  <c r="D676" i="329" s="1"/>
  <c r="C366" i="329"/>
  <c r="D376" i="329" s="1"/>
  <c r="C208" i="329"/>
  <c r="D214" i="329" s="1"/>
  <c r="C129" i="329"/>
  <c r="D135" i="329" s="1"/>
  <c r="D806" i="329"/>
  <c r="D818" i="329" s="1"/>
  <c r="D648" i="329"/>
  <c r="D660" i="329" s="1"/>
  <c r="C495" i="329"/>
  <c r="D504" i="329" s="1"/>
  <c r="C351" i="329"/>
  <c r="D361" i="329" s="1"/>
  <c r="C197" i="329"/>
  <c r="D203" i="329" s="1"/>
  <c r="C67" i="329"/>
  <c r="D123" i="317"/>
  <c r="D69" i="317"/>
  <c r="D63" i="317"/>
  <c r="D83" i="317" s="1"/>
  <c r="D88" i="317" s="1"/>
  <c r="D93" i="317" s="1"/>
  <c r="D119" i="317"/>
  <c r="D121" i="317"/>
  <c r="D66" i="317"/>
  <c r="H215" i="250"/>
  <c r="H195" i="250"/>
  <c r="G195" i="250"/>
  <c r="H170" i="250"/>
  <c r="G170" i="250"/>
  <c r="G215" i="250"/>
  <c r="H235" i="250"/>
  <c r="G39" i="311"/>
  <c r="H39" i="311"/>
  <c r="G235" i="250"/>
  <c r="E403" i="250"/>
  <c r="E363" i="250"/>
  <c r="F363" i="250"/>
  <c r="E383" i="250"/>
  <c r="F338" i="250"/>
  <c r="E338" i="250"/>
  <c r="F403" i="250"/>
  <c r="F70" i="311"/>
  <c r="F383" i="250"/>
  <c r="E70" i="311"/>
  <c r="G951" i="250"/>
  <c r="H926" i="250"/>
  <c r="G991" i="250"/>
  <c r="G971" i="250"/>
  <c r="H951" i="250"/>
  <c r="G926" i="250"/>
  <c r="H991" i="250"/>
  <c r="H971" i="250"/>
  <c r="H379" i="281"/>
  <c r="H343" i="281"/>
  <c r="H361" i="281"/>
  <c r="G361" i="281"/>
  <c r="H320" i="281"/>
  <c r="G320" i="281"/>
  <c r="G379" i="281"/>
  <c r="G177" i="311"/>
  <c r="G343" i="281"/>
  <c r="H177" i="311"/>
  <c r="F1243" i="250"/>
  <c r="F1223" i="250"/>
  <c r="F1203" i="250"/>
  <c r="E1223" i="250"/>
  <c r="E1178" i="250"/>
  <c r="E1243" i="250"/>
  <c r="F224" i="311"/>
  <c r="E1203" i="250"/>
  <c r="F1178" i="250"/>
  <c r="E224" i="311"/>
  <c r="F2231" i="250"/>
  <c r="E2211" i="250"/>
  <c r="F2251" i="250"/>
  <c r="E2231" i="250"/>
  <c r="E2251" i="250"/>
  <c r="F2186" i="250"/>
  <c r="E2186" i="250"/>
  <c r="F2211" i="250"/>
  <c r="F410" i="311"/>
  <c r="E410" i="311"/>
  <c r="B59" i="9"/>
  <c r="B64" i="9"/>
  <c r="B66" i="9"/>
  <c r="B84" i="9"/>
  <c r="B86" i="9"/>
  <c r="B116" i="9"/>
  <c r="B118" i="9"/>
  <c r="B129" i="9"/>
  <c r="B160" i="9"/>
  <c r="B162" i="9"/>
  <c r="B177" i="9"/>
  <c r="B56" i="9"/>
  <c r="B58" i="9"/>
  <c r="B65" i="9"/>
  <c r="B75" i="9"/>
  <c r="B85" i="9"/>
  <c r="B107" i="9"/>
  <c r="B117" i="9"/>
  <c r="B143" i="9"/>
  <c r="B161" i="9"/>
  <c r="B57" i="9"/>
  <c r="B72" i="9"/>
  <c r="B74" i="9"/>
  <c r="B104" i="9"/>
  <c r="B106" i="9"/>
  <c r="B131" i="9"/>
  <c r="B140" i="9"/>
  <c r="B142" i="9"/>
  <c r="B179" i="9"/>
  <c r="B67" i="9"/>
  <c r="B73" i="9"/>
  <c r="B87" i="9"/>
  <c r="B105" i="9"/>
  <c r="B119" i="9"/>
  <c r="B128" i="9"/>
  <c r="B130" i="9"/>
  <c r="B141" i="9"/>
  <c r="B163" i="9"/>
  <c r="B176" i="9"/>
  <c r="B178" i="9"/>
  <c r="E169" i="247"/>
  <c r="E19" i="247"/>
  <c r="E132" i="286"/>
  <c r="E19" i="286"/>
  <c r="E95" i="283"/>
  <c r="E132" i="284"/>
  <c r="E19" i="284"/>
  <c r="E19" i="283"/>
  <c r="R18" i="4"/>
  <c r="T18" i="4"/>
  <c r="T12" i="4"/>
  <c r="R12" i="4"/>
  <c r="F13" i="250"/>
  <c r="H13" i="250" s="1"/>
  <c r="E11" i="250"/>
  <c r="G11" i="250" s="1"/>
  <c r="E13" i="250"/>
  <c r="G13" i="250" s="1"/>
  <c r="E12" i="250"/>
  <c r="G12" i="250" s="1"/>
  <c r="F15" i="250"/>
  <c r="H15" i="250" s="1"/>
  <c r="F8" i="250"/>
  <c r="F16" i="250"/>
  <c r="H16" i="250" s="1"/>
  <c r="E14" i="250"/>
  <c r="G14" i="250" s="1"/>
  <c r="F9" i="250"/>
  <c r="H9" i="250" s="1"/>
  <c r="F17" i="250"/>
  <c r="H17" i="250" s="1"/>
  <c r="E8" i="250"/>
  <c r="E15" i="250"/>
  <c r="G15" i="250" s="1"/>
  <c r="F10" i="250"/>
  <c r="H10" i="250" s="1"/>
  <c r="F11" i="250"/>
  <c r="H11" i="250" s="1"/>
  <c r="E9" i="250"/>
  <c r="G9" i="250" s="1"/>
  <c r="E17" i="250"/>
  <c r="G17" i="250" s="1"/>
  <c r="E16" i="250"/>
  <c r="G16" i="250" s="1"/>
  <c r="F12" i="250"/>
  <c r="H12" i="250" s="1"/>
  <c r="E10" i="250"/>
  <c r="G10" i="250" s="1"/>
  <c r="F14" i="250"/>
  <c r="H14" i="250" s="1"/>
  <c r="B907" i="329"/>
  <c r="B837" i="329"/>
  <c r="B748" i="329"/>
  <c r="B679" i="329"/>
  <c r="B805" i="329"/>
  <c r="B870" i="329"/>
  <c r="B713" i="329"/>
  <c r="B646" i="329"/>
  <c r="B573" i="329"/>
  <c r="J8" i="349"/>
  <c r="J9" i="349" s="1"/>
  <c r="J11" i="349" s="1"/>
  <c r="J7" i="349" s="1"/>
  <c r="K8" i="349"/>
  <c r="K9" i="349" s="1"/>
  <c r="K11" i="349" s="1"/>
  <c r="K7" i="349" s="1"/>
  <c r="N8" i="349"/>
  <c r="N9" i="349" s="1"/>
  <c r="N11" i="349" s="1"/>
  <c r="N7" i="349" s="1"/>
  <c r="N7" i="348"/>
  <c r="N8" i="348" s="1"/>
  <c r="N10" i="348" s="1"/>
  <c r="N6" i="348" s="1"/>
  <c r="M7" i="348"/>
  <c r="M8" i="348" s="1"/>
  <c r="M10" i="348" s="1"/>
  <c r="M6" i="348" s="1"/>
  <c r="L7" i="348"/>
  <c r="L8" i="348" s="1"/>
  <c r="L10" i="348" s="1"/>
  <c r="L6" i="348" s="1"/>
  <c r="K7" i="348"/>
  <c r="K8" i="348" s="1"/>
  <c r="K10" i="348" s="1"/>
  <c r="K6" i="348" s="1"/>
  <c r="M8" i="349"/>
  <c r="M9" i="349" s="1"/>
  <c r="M11" i="349" s="1"/>
  <c r="M7" i="349" s="1"/>
  <c r="J7" i="348"/>
  <c r="J8" i="348" s="1"/>
  <c r="J10" i="348" s="1"/>
  <c r="J6" i="348" s="1"/>
  <c r="L8" i="349"/>
  <c r="L9" i="349" s="1"/>
  <c r="L11" i="349" s="1"/>
  <c r="L7" i="349" s="1"/>
  <c r="J6" i="346"/>
  <c r="J7" i="346" s="1"/>
  <c r="J9" i="346" s="1"/>
  <c r="J5" i="346" s="1"/>
  <c r="J6" i="345"/>
  <c r="J7" i="345" s="1"/>
  <c r="J9" i="345" s="1"/>
  <c r="J5" i="345" s="1"/>
  <c r="M6" i="346"/>
  <c r="M7" i="346" s="1"/>
  <c r="M9" i="346" s="1"/>
  <c r="M5" i="346" s="1"/>
  <c r="M6" i="345"/>
  <c r="M7" i="345" s="1"/>
  <c r="M9" i="345" s="1"/>
  <c r="M5" i="345" s="1"/>
  <c r="N6" i="346"/>
  <c r="N7" i="346" s="1"/>
  <c r="N9" i="346" s="1"/>
  <c r="N5" i="346" s="1"/>
  <c r="N6" i="345"/>
  <c r="N7" i="345" s="1"/>
  <c r="N9" i="345" s="1"/>
  <c r="N5" i="345" s="1"/>
  <c r="K6" i="346"/>
  <c r="K7" i="346" s="1"/>
  <c r="K9" i="346" s="1"/>
  <c r="K5" i="346" s="1"/>
  <c r="K6" i="345"/>
  <c r="K7" i="345" s="1"/>
  <c r="K9" i="345" s="1"/>
  <c r="K5" i="345" s="1"/>
  <c r="L6" i="346"/>
  <c r="L7" i="346" s="1"/>
  <c r="L9" i="346" s="1"/>
  <c r="L5" i="346" s="1"/>
  <c r="L6" i="345"/>
  <c r="L7" i="345" s="1"/>
  <c r="L9" i="345" s="1"/>
  <c r="L5" i="345" s="1"/>
  <c r="L380" i="251"/>
  <c r="J390" i="251"/>
  <c r="M380" i="251"/>
  <c r="K390" i="251"/>
  <c r="N380" i="251"/>
  <c r="L390" i="251"/>
  <c r="M390" i="251"/>
  <c r="N390" i="251"/>
  <c r="K380" i="251"/>
  <c r="J380" i="251"/>
  <c r="L900" i="251"/>
  <c r="J909" i="251"/>
  <c r="M900" i="251"/>
  <c r="K909" i="251"/>
  <c r="N900" i="251"/>
  <c r="M909" i="251"/>
  <c r="L909" i="251"/>
  <c r="N909" i="251"/>
  <c r="K900" i="251"/>
  <c r="J900" i="251"/>
  <c r="K292" i="251"/>
  <c r="K198" i="309" s="1"/>
  <c r="N284" i="251"/>
  <c r="N197" i="309" s="1"/>
  <c r="M284" i="251"/>
  <c r="M197" i="309" s="1"/>
  <c r="L292" i="251"/>
  <c r="L198" i="309" s="1"/>
  <c r="M292" i="251"/>
  <c r="M198" i="309" s="1"/>
  <c r="J292" i="251"/>
  <c r="J198" i="309" s="1"/>
  <c r="N292" i="251"/>
  <c r="N198" i="309" s="1"/>
  <c r="J284" i="251"/>
  <c r="J197" i="309" s="1"/>
  <c r="K284" i="251"/>
  <c r="K197" i="309" s="1"/>
  <c r="L284" i="251"/>
  <c r="L197" i="309" s="1"/>
  <c r="J587" i="251"/>
  <c r="K587" i="251"/>
  <c r="L587" i="251"/>
  <c r="K597" i="251"/>
  <c r="J597" i="251"/>
  <c r="M587" i="251"/>
  <c r="N587" i="251"/>
  <c r="N597" i="251"/>
  <c r="L597" i="251"/>
  <c r="M597" i="251"/>
  <c r="J77" i="251"/>
  <c r="K77" i="251"/>
  <c r="N87" i="251"/>
  <c r="L77" i="251"/>
  <c r="K87" i="251"/>
  <c r="J87" i="251"/>
  <c r="M77" i="251"/>
  <c r="N77" i="251"/>
  <c r="L87" i="251"/>
  <c r="M87" i="251"/>
  <c r="L491" i="251"/>
  <c r="L281" i="309" s="1"/>
  <c r="M499" i="251"/>
  <c r="M282" i="309" s="1"/>
  <c r="J499" i="251"/>
  <c r="J282" i="309" s="1"/>
  <c r="M491" i="251"/>
  <c r="M281" i="309" s="1"/>
  <c r="K499" i="251"/>
  <c r="K282" i="309" s="1"/>
  <c r="N491" i="251"/>
  <c r="N281" i="309" s="1"/>
  <c r="L499" i="251"/>
  <c r="L282" i="309" s="1"/>
  <c r="N499" i="251"/>
  <c r="N282" i="309" s="1"/>
  <c r="J491" i="251"/>
  <c r="J281" i="309" s="1"/>
  <c r="K491" i="251"/>
  <c r="K281" i="309" s="1"/>
  <c r="D13" i="322"/>
  <c r="D131" i="323"/>
  <c r="G249" i="301"/>
  <c r="B1025" i="251"/>
  <c r="C397" i="309" s="1"/>
  <c r="B1036" i="251"/>
  <c r="C398" i="309" s="1"/>
  <c r="B406" i="251"/>
  <c r="C244" i="309" s="1"/>
  <c r="B397" i="251"/>
  <c r="C243" i="309" s="1"/>
  <c r="F1434" i="250"/>
  <c r="H1434" i="250" s="1"/>
  <c r="F1442" i="250"/>
  <c r="H1442" i="250" s="1"/>
  <c r="E1435" i="250"/>
  <c r="G1435" i="250" s="1"/>
  <c r="E1443" i="250"/>
  <c r="G1443" i="250" s="1"/>
  <c r="F1461" i="250"/>
  <c r="H1461" i="250" s="1"/>
  <c r="E1459" i="250"/>
  <c r="G1459" i="250" s="1"/>
  <c r="F1478" i="250"/>
  <c r="H1478" i="250" s="1"/>
  <c r="E1476" i="250"/>
  <c r="E1484" i="250"/>
  <c r="G1484" i="250" s="1"/>
  <c r="F1435" i="250"/>
  <c r="H1435" i="250" s="1"/>
  <c r="F1443" i="250"/>
  <c r="H1443" i="250" s="1"/>
  <c r="E1436" i="250"/>
  <c r="G1436" i="250" s="1"/>
  <c r="E1444" i="250"/>
  <c r="G1444" i="250" s="1"/>
  <c r="F1462" i="250"/>
  <c r="H1462" i="250" s="1"/>
  <c r="E1460" i="250"/>
  <c r="G1460" i="250" s="1"/>
  <c r="F1479" i="250"/>
  <c r="H1479" i="250" s="1"/>
  <c r="E1477" i="250"/>
  <c r="G1477" i="250" s="1"/>
  <c r="E1485" i="250"/>
  <c r="G1485" i="250" s="1"/>
  <c r="F1436" i="250"/>
  <c r="H1436" i="250" s="1"/>
  <c r="F1444" i="250"/>
  <c r="H1444" i="250" s="1"/>
  <c r="E1437" i="250"/>
  <c r="G1437" i="250" s="1"/>
  <c r="E1445" i="250"/>
  <c r="G1445" i="250" s="1"/>
  <c r="F1463" i="250"/>
  <c r="H1463" i="250" s="1"/>
  <c r="E1461" i="250"/>
  <c r="G1461" i="250" s="1"/>
  <c r="F1480" i="250"/>
  <c r="H1480" i="250" s="1"/>
  <c r="E1478" i="250"/>
  <c r="G1478" i="250" s="1"/>
  <c r="F1437" i="250"/>
  <c r="H1437" i="250" s="1"/>
  <c r="F1445" i="250"/>
  <c r="H1445" i="250" s="1"/>
  <c r="E1438" i="250"/>
  <c r="G1438" i="250" s="1"/>
  <c r="F1456" i="250"/>
  <c r="F1464" i="250"/>
  <c r="H1464" i="250" s="1"/>
  <c r="E1462" i="250"/>
  <c r="G1462" i="250" s="1"/>
  <c r="F1481" i="250"/>
  <c r="H1481" i="250" s="1"/>
  <c r="E1479" i="250"/>
  <c r="G1479" i="250" s="1"/>
  <c r="F1438" i="250"/>
  <c r="H1438" i="250" s="1"/>
  <c r="E1431" i="250"/>
  <c r="E1439" i="250"/>
  <c r="G1439" i="250" s="1"/>
  <c r="F1457" i="250"/>
  <c r="H1457" i="250" s="1"/>
  <c r="F1465" i="250"/>
  <c r="H1465" i="250" s="1"/>
  <c r="E1463" i="250"/>
  <c r="G1463" i="250" s="1"/>
  <c r="F1431" i="250"/>
  <c r="F1439" i="250"/>
  <c r="H1439" i="250" s="1"/>
  <c r="E1432" i="250"/>
  <c r="G1432" i="250" s="1"/>
  <c r="E1440" i="250"/>
  <c r="G1440" i="250" s="1"/>
  <c r="F1458" i="250"/>
  <c r="H1458" i="250" s="1"/>
  <c r="E1456" i="250"/>
  <c r="E1464" i="250"/>
  <c r="G1464" i="250" s="1"/>
  <c r="F1483" i="250"/>
  <c r="H1483" i="250" s="1"/>
  <c r="E1481" i="250"/>
  <c r="G1481" i="250" s="1"/>
  <c r="F1432" i="250"/>
  <c r="H1432" i="250" s="1"/>
  <c r="F1440" i="250"/>
  <c r="H1440" i="250" s="1"/>
  <c r="E1433" i="250"/>
  <c r="G1433" i="250" s="1"/>
  <c r="E1441" i="250"/>
  <c r="G1441" i="250" s="1"/>
  <c r="F1459" i="250"/>
  <c r="H1459" i="250" s="1"/>
  <c r="E1457" i="250"/>
  <c r="G1457" i="250" s="1"/>
  <c r="E1465" i="250"/>
  <c r="G1465" i="250" s="1"/>
  <c r="F1476" i="250"/>
  <c r="F1484" i="250"/>
  <c r="H1484" i="250" s="1"/>
  <c r="E1482" i="250"/>
  <c r="G1482" i="250" s="1"/>
  <c r="F1433" i="250"/>
  <c r="H1433" i="250" s="1"/>
  <c r="F1441" i="250"/>
  <c r="H1441" i="250" s="1"/>
  <c r="E1434" i="250"/>
  <c r="G1434" i="250" s="1"/>
  <c r="E1442" i="250"/>
  <c r="G1442" i="250" s="1"/>
  <c r="F1460" i="250"/>
  <c r="H1460" i="250" s="1"/>
  <c r="E1458" i="250"/>
  <c r="G1458" i="250" s="1"/>
  <c r="F1477" i="250"/>
  <c r="H1477" i="250" s="1"/>
  <c r="F1485" i="250"/>
  <c r="H1485" i="250" s="1"/>
  <c r="E1483" i="250"/>
  <c r="G1483" i="250" s="1"/>
  <c r="F1501" i="250"/>
  <c r="H1501" i="250" s="1"/>
  <c r="E1499" i="250"/>
  <c r="G1499" i="250" s="1"/>
  <c r="F1502" i="250"/>
  <c r="H1502" i="250" s="1"/>
  <c r="E1500" i="250"/>
  <c r="G1500" i="250" s="1"/>
  <c r="F1482" i="250"/>
  <c r="H1482" i="250" s="1"/>
  <c r="F1503" i="250"/>
  <c r="H1503" i="250" s="1"/>
  <c r="E1501" i="250"/>
  <c r="G1501" i="250" s="1"/>
  <c r="E1480" i="250"/>
  <c r="G1480" i="250" s="1"/>
  <c r="F1496" i="250"/>
  <c r="F1504" i="250"/>
  <c r="H1504" i="250" s="1"/>
  <c r="E1502" i="250"/>
  <c r="G1502" i="250" s="1"/>
  <c r="F1497" i="250"/>
  <c r="H1497" i="250" s="1"/>
  <c r="F1505" i="250"/>
  <c r="H1505" i="250" s="1"/>
  <c r="E1503" i="250"/>
  <c r="G1503" i="250" s="1"/>
  <c r="F1498" i="250"/>
  <c r="H1498" i="250" s="1"/>
  <c r="E1496" i="250"/>
  <c r="E1504" i="250"/>
  <c r="G1504" i="250" s="1"/>
  <c r="F1499" i="250"/>
  <c r="H1499" i="250" s="1"/>
  <c r="E1497" i="250"/>
  <c r="G1497" i="250" s="1"/>
  <c r="E1505" i="250"/>
  <c r="G1505" i="250" s="1"/>
  <c r="F1500" i="250"/>
  <c r="H1500" i="250" s="1"/>
  <c r="E1498" i="250"/>
  <c r="G1498" i="250" s="1"/>
  <c r="N1264" i="251"/>
  <c r="N1265" i="251" s="1"/>
  <c r="N593" i="309" s="1"/>
  <c r="N1246" i="251"/>
  <c r="E2766" i="250"/>
  <c r="E571" i="311" s="1"/>
  <c r="G2756" i="250"/>
  <c r="G2766" i="250" s="1"/>
  <c r="G571" i="311" s="1"/>
  <c r="H2756" i="250"/>
  <c r="H2766" i="250" s="1"/>
  <c r="H571" i="311" s="1"/>
  <c r="F2766" i="250"/>
  <c r="F571" i="311" s="1"/>
  <c r="H2691" i="250"/>
  <c r="H2706" i="250" s="1"/>
  <c r="H568" i="311" s="1"/>
  <c r="F2706" i="250"/>
  <c r="F568" i="311" s="1"/>
  <c r="E2726" i="250"/>
  <c r="E569" i="311" s="1"/>
  <c r="G2716" i="250"/>
  <c r="G2726" i="250" s="1"/>
  <c r="G569" i="311" s="1"/>
  <c r="G592" i="250"/>
  <c r="G596" i="250"/>
  <c r="G601" i="250"/>
  <c r="G605" i="250"/>
  <c r="H618" i="250"/>
  <c r="G623" i="250"/>
  <c r="G636" i="250"/>
  <c r="H640" i="250"/>
  <c r="H592" i="250"/>
  <c r="H596" i="250"/>
  <c r="H601" i="250"/>
  <c r="G619" i="250"/>
  <c r="H623" i="250"/>
  <c r="H636" i="250"/>
  <c r="G641" i="250"/>
  <c r="G593" i="250"/>
  <c r="G597" i="250"/>
  <c r="G602" i="250"/>
  <c r="H619" i="250"/>
  <c r="G624" i="250"/>
  <c r="G637" i="250"/>
  <c r="H593" i="250"/>
  <c r="H598" i="250"/>
  <c r="H602" i="250"/>
  <c r="G616" i="250"/>
  <c r="G620" i="250"/>
  <c r="H624" i="250"/>
  <c r="G638" i="250"/>
  <c r="G594" i="250"/>
  <c r="G599" i="250"/>
  <c r="G603" i="250"/>
  <c r="H616" i="250"/>
  <c r="H620" i="250"/>
  <c r="G625" i="250"/>
  <c r="H638" i="250"/>
  <c r="H642" i="250"/>
  <c r="H656" i="250"/>
  <c r="G661" i="250"/>
  <c r="H665" i="250"/>
  <c r="H594" i="250"/>
  <c r="H599" i="250"/>
  <c r="H603" i="250"/>
  <c r="G617" i="250"/>
  <c r="G621" i="250"/>
  <c r="H625" i="250"/>
  <c r="G639" i="250"/>
  <c r="H643" i="250"/>
  <c r="G657" i="250"/>
  <c r="H661" i="250"/>
  <c r="G591" i="250"/>
  <c r="G595" i="250"/>
  <c r="G600" i="250"/>
  <c r="G604" i="250"/>
  <c r="H617" i="250"/>
  <c r="H621" i="250"/>
  <c r="H639" i="250"/>
  <c r="G644" i="250"/>
  <c r="H657" i="250"/>
  <c r="G662" i="250"/>
  <c r="H591" i="250"/>
  <c r="H595" i="250"/>
  <c r="H600" i="250"/>
  <c r="H604" i="250"/>
  <c r="G618" i="250"/>
  <c r="H622" i="250"/>
  <c r="G640" i="250"/>
  <c r="H644" i="250"/>
  <c r="G658" i="250"/>
  <c r="H662" i="250"/>
  <c r="G665" i="250"/>
  <c r="G659" i="250"/>
  <c r="H659" i="250"/>
  <c r="H641" i="250"/>
  <c r="G660" i="250"/>
  <c r="G642" i="250"/>
  <c r="H660" i="250"/>
  <c r="G645" i="250"/>
  <c r="G663" i="250"/>
  <c r="H663" i="250"/>
  <c r="H664" i="250"/>
  <c r="G664" i="250"/>
  <c r="G598" i="250"/>
  <c r="H605" i="250"/>
  <c r="G656" i="250"/>
  <c r="H658" i="250"/>
  <c r="H597" i="250"/>
  <c r="G643" i="250"/>
  <c r="H645" i="250"/>
  <c r="H637" i="250"/>
  <c r="G622" i="250"/>
  <c r="B1007" i="251"/>
  <c r="C393" i="309" s="1"/>
  <c r="B1016" i="251"/>
  <c r="C394" i="309" s="1"/>
  <c r="B378" i="251"/>
  <c r="C239" i="309" s="1"/>
  <c r="B388" i="251"/>
  <c r="C240" i="309" s="1"/>
  <c r="L1273" i="251"/>
  <c r="L1274" i="251" s="1"/>
  <c r="L594" i="309" s="1"/>
  <c r="L1256" i="251"/>
  <c r="M1256" i="251"/>
  <c r="M1273" i="251"/>
  <c r="M1274" i="251" s="1"/>
  <c r="M594" i="309" s="1"/>
  <c r="E2706" i="250"/>
  <c r="E568" i="311" s="1"/>
  <c r="G2691" i="250"/>
  <c r="G2706" i="250" s="1"/>
  <c r="G568" i="311" s="1"/>
  <c r="G2860" i="250"/>
  <c r="G2864" i="250"/>
  <c r="G2868" i="250"/>
  <c r="G2872" i="250"/>
  <c r="H2886" i="250"/>
  <c r="H2890" i="250"/>
  <c r="G2907" i="250"/>
  <c r="G2911" i="250"/>
  <c r="H2927" i="250"/>
  <c r="H2931" i="250"/>
  <c r="H2860" i="250"/>
  <c r="H2864" i="250"/>
  <c r="H2868" i="250"/>
  <c r="H2872" i="250"/>
  <c r="G2887" i="250"/>
  <c r="G2891" i="250"/>
  <c r="H2907" i="250"/>
  <c r="H2911" i="250"/>
  <c r="G2924" i="250"/>
  <c r="G2928" i="250"/>
  <c r="G2932" i="250"/>
  <c r="G2861" i="250"/>
  <c r="G2865" i="250"/>
  <c r="G2869" i="250"/>
  <c r="G2873" i="250"/>
  <c r="H2887" i="250"/>
  <c r="H2891" i="250"/>
  <c r="G2904" i="250"/>
  <c r="G2908" i="250"/>
  <c r="G2912" i="250"/>
  <c r="H2924" i="250"/>
  <c r="H2928" i="250"/>
  <c r="H2932" i="250"/>
  <c r="H2861" i="250"/>
  <c r="H2865" i="250"/>
  <c r="H2869" i="250"/>
  <c r="H2873" i="250"/>
  <c r="G2884" i="250"/>
  <c r="G2888" i="250"/>
  <c r="G2892" i="250"/>
  <c r="H2904" i="250"/>
  <c r="H2908" i="250"/>
  <c r="H2912" i="250"/>
  <c r="G2925" i="250"/>
  <c r="G2929" i="250"/>
  <c r="G2933" i="250"/>
  <c r="G2862" i="250"/>
  <c r="G2866" i="250"/>
  <c r="G2870" i="250"/>
  <c r="H2884" i="250"/>
  <c r="H2888" i="250"/>
  <c r="H2892" i="250"/>
  <c r="G2905" i="250"/>
  <c r="G2909" i="250"/>
  <c r="G2913" i="250"/>
  <c r="H2925" i="250"/>
  <c r="H2929" i="250"/>
  <c r="H2933" i="250"/>
  <c r="H2862" i="250"/>
  <c r="H2866" i="250"/>
  <c r="H2870" i="250"/>
  <c r="G2885" i="250"/>
  <c r="G2889" i="250"/>
  <c r="G2893" i="250"/>
  <c r="H2905" i="250"/>
  <c r="H2909" i="250"/>
  <c r="H2913" i="250"/>
  <c r="G2926" i="250"/>
  <c r="G2930" i="250"/>
  <c r="G2859" i="250"/>
  <c r="G2863" i="250"/>
  <c r="G2867" i="250"/>
  <c r="G2871" i="250"/>
  <c r="H2885" i="250"/>
  <c r="H2889" i="250"/>
  <c r="H2893" i="250"/>
  <c r="G2906" i="250"/>
  <c r="G2910" i="250"/>
  <c r="H2926" i="250"/>
  <c r="H2930" i="250"/>
  <c r="H2859" i="250"/>
  <c r="H2863" i="250"/>
  <c r="H2867" i="250"/>
  <c r="H2871" i="250"/>
  <c r="G2886" i="250"/>
  <c r="G2890" i="250"/>
  <c r="H2906" i="250"/>
  <c r="H2910" i="250"/>
  <c r="G2927" i="250"/>
  <c r="G2931" i="250"/>
  <c r="F931" i="250"/>
  <c r="H931" i="250" s="1"/>
  <c r="F939" i="250"/>
  <c r="H939" i="250" s="1"/>
  <c r="E932" i="250"/>
  <c r="G932" i="250" s="1"/>
  <c r="E940" i="250"/>
  <c r="G940" i="250" s="1"/>
  <c r="F954" i="250"/>
  <c r="H954" i="250" s="1"/>
  <c r="E952" i="250"/>
  <c r="E960" i="250"/>
  <c r="G960" i="250" s="1"/>
  <c r="F977" i="250"/>
  <c r="H977" i="250" s="1"/>
  <c r="E975" i="250"/>
  <c r="G975" i="250" s="1"/>
  <c r="F992" i="250"/>
  <c r="F1000" i="250"/>
  <c r="H1000" i="250" s="1"/>
  <c r="E998" i="250"/>
  <c r="G998" i="250" s="1"/>
  <c r="F932" i="250"/>
  <c r="H932" i="250" s="1"/>
  <c r="F940" i="250"/>
  <c r="H940" i="250" s="1"/>
  <c r="E933" i="250"/>
  <c r="G933" i="250" s="1"/>
  <c r="E941" i="250"/>
  <c r="G941" i="250" s="1"/>
  <c r="F955" i="250"/>
  <c r="H955" i="250" s="1"/>
  <c r="E953" i="250"/>
  <c r="G953" i="250" s="1"/>
  <c r="E961" i="250"/>
  <c r="G961" i="250" s="1"/>
  <c r="F978" i="250"/>
  <c r="H978" i="250" s="1"/>
  <c r="E976" i="250"/>
  <c r="G976" i="250" s="1"/>
  <c r="F993" i="250"/>
  <c r="H993" i="250" s="1"/>
  <c r="F1001" i="250"/>
  <c r="H1001" i="250" s="1"/>
  <c r="E999" i="250"/>
  <c r="G999" i="250" s="1"/>
  <c r="F933" i="250"/>
  <c r="H933" i="250" s="1"/>
  <c r="F941" i="250"/>
  <c r="H941" i="250" s="1"/>
  <c r="E934" i="250"/>
  <c r="G934" i="250" s="1"/>
  <c r="F956" i="250"/>
  <c r="H956" i="250" s="1"/>
  <c r="E954" i="250"/>
  <c r="G954" i="250" s="1"/>
  <c r="F979" i="250"/>
  <c r="H979" i="250" s="1"/>
  <c r="E977" i="250"/>
  <c r="G977" i="250" s="1"/>
  <c r="F994" i="250"/>
  <c r="H994" i="250" s="1"/>
  <c r="E992" i="250"/>
  <c r="E1000" i="250"/>
  <c r="G1000" i="250" s="1"/>
  <c r="F934" i="250"/>
  <c r="H934" i="250" s="1"/>
  <c r="E927" i="250"/>
  <c r="E935" i="250"/>
  <c r="G935" i="250" s="1"/>
  <c r="F957" i="250"/>
  <c r="H957" i="250" s="1"/>
  <c r="E955" i="250"/>
  <c r="G955" i="250" s="1"/>
  <c r="F972" i="250"/>
  <c r="F980" i="250"/>
  <c r="H980" i="250" s="1"/>
  <c r="E978" i="250"/>
  <c r="G978" i="250" s="1"/>
  <c r="F995" i="250"/>
  <c r="H995" i="250" s="1"/>
  <c r="E993" i="250"/>
  <c r="G993" i="250" s="1"/>
  <c r="E1001" i="250"/>
  <c r="G1001" i="250" s="1"/>
  <c r="F927" i="250"/>
  <c r="F935" i="250"/>
  <c r="H935" i="250" s="1"/>
  <c r="E928" i="250"/>
  <c r="G928" i="250" s="1"/>
  <c r="E936" i="250"/>
  <c r="G936" i="250" s="1"/>
  <c r="F958" i="250"/>
  <c r="H958" i="250" s="1"/>
  <c r="E956" i="250"/>
  <c r="G956" i="250" s="1"/>
  <c r="F973" i="250"/>
  <c r="H973" i="250" s="1"/>
  <c r="F981" i="250"/>
  <c r="H981" i="250" s="1"/>
  <c r="E979" i="250"/>
  <c r="G979" i="250" s="1"/>
  <c r="F996" i="250"/>
  <c r="H996" i="250" s="1"/>
  <c r="E994" i="250"/>
  <c r="G994" i="250" s="1"/>
  <c r="F928" i="250"/>
  <c r="H928" i="250" s="1"/>
  <c r="F936" i="250"/>
  <c r="H936" i="250" s="1"/>
  <c r="E929" i="250"/>
  <c r="G929" i="250" s="1"/>
  <c r="E937" i="250"/>
  <c r="G937" i="250" s="1"/>
  <c r="F959" i="250"/>
  <c r="H959" i="250" s="1"/>
  <c r="E957" i="250"/>
  <c r="G957" i="250" s="1"/>
  <c r="F974" i="250"/>
  <c r="H974" i="250" s="1"/>
  <c r="E972" i="250"/>
  <c r="E980" i="250"/>
  <c r="G980" i="250" s="1"/>
  <c r="F997" i="250"/>
  <c r="H997" i="250" s="1"/>
  <c r="E995" i="250"/>
  <c r="G995" i="250" s="1"/>
  <c r="F929" i="250"/>
  <c r="H929" i="250" s="1"/>
  <c r="F937" i="250"/>
  <c r="H937" i="250" s="1"/>
  <c r="E930" i="250"/>
  <c r="G930" i="250" s="1"/>
  <c r="E938" i="250"/>
  <c r="G938" i="250" s="1"/>
  <c r="F952" i="250"/>
  <c r="F960" i="250"/>
  <c r="H960" i="250" s="1"/>
  <c r="E958" i="250"/>
  <c r="G958" i="250" s="1"/>
  <c r="F975" i="250"/>
  <c r="H975" i="250" s="1"/>
  <c r="E973" i="250"/>
  <c r="G973" i="250" s="1"/>
  <c r="E981" i="250"/>
  <c r="G981" i="250" s="1"/>
  <c r="F998" i="250"/>
  <c r="H998" i="250" s="1"/>
  <c r="E996" i="250"/>
  <c r="G996" i="250" s="1"/>
  <c r="F930" i="250"/>
  <c r="H930" i="250" s="1"/>
  <c r="F938" i="250"/>
  <c r="H938" i="250" s="1"/>
  <c r="E931" i="250"/>
  <c r="G931" i="250" s="1"/>
  <c r="E939" i="250"/>
  <c r="G939" i="250" s="1"/>
  <c r="F953" i="250"/>
  <c r="H953" i="250" s="1"/>
  <c r="F961" i="250"/>
  <c r="H961" i="250" s="1"/>
  <c r="E959" i="250"/>
  <c r="G959" i="250" s="1"/>
  <c r="F976" i="250"/>
  <c r="H976" i="250" s="1"/>
  <c r="E974" i="250"/>
  <c r="G974" i="250" s="1"/>
  <c r="F999" i="250"/>
  <c r="H999" i="250" s="1"/>
  <c r="E997" i="250"/>
  <c r="G997" i="250" s="1"/>
  <c r="L1246" i="251"/>
  <c r="L1264" i="251"/>
  <c r="L1265" i="251" s="1"/>
  <c r="L593" i="309" s="1"/>
  <c r="M1246" i="251"/>
  <c r="M1264" i="251"/>
  <c r="M1265" i="251" s="1"/>
  <c r="M593" i="309" s="1"/>
  <c r="H171" i="250"/>
  <c r="G174" i="250"/>
  <c r="G178" i="250"/>
  <c r="G183" i="250"/>
  <c r="H174" i="250"/>
  <c r="H179" i="250"/>
  <c r="H183" i="250"/>
  <c r="H173" i="250"/>
  <c r="H180" i="250"/>
  <c r="H185" i="250"/>
  <c r="H196" i="250"/>
  <c r="G201" i="250"/>
  <c r="H205" i="250"/>
  <c r="H216" i="250"/>
  <c r="G221" i="250"/>
  <c r="H225" i="250"/>
  <c r="H237" i="250"/>
  <c r="G242" i="250"/>
  <c r="G175" i="250"/>
  <c r="G181" i="250"/>
  <c r="H197" i="250"/>
  <c r="H201" i="250"/>
  <c r="G217" i="250"/>
  <c r="G222" i="250"/>
  <c r="G238" i="250"/>
  <c r="H242" i="250"/>
  <c r="H175" i="250"/>
  <c r="H181" i="250"/>
  <c r="G198" i="250"/>
  <c r="G202" i="250"/>
  <c r="H217" i="250"/>
  <c r="H222" i="250"/>
  <c r="H238" i="250"/>
  <c r="G243" i="250"/>
  <c r="G176" i="250"/>
  <c r="G182" i="250"/>
  <c r="H198" i="250"/>
  <c r="H202" i="250"/>
  <c r="G218" i="250"/>
  <c r="G223" i="250"/>
  <c r="G239" i="250"/>
  <c r="G244" i="250"/>
  <c r="H176" i="250"/>
  <c r="H182" i="250"/>
  <c r="G199" i="250"/>
  <c r="G203" i="250"/>
  <c r="H218" i="250"/>
  <c r="H223" i="250"/>
  <c r="H239" i="250"/>
  <c r="H244" i="250"/>
  <c r="G172" i="250"/>
  <c r="G177" i="250"/>
  <c r="G184" i="250"/>
  <c r="H199" i="250"/>
  <c r="H203" i="250"/>
  <c r="H219" i="250"/>
  <c r="G224" i="250"/>
  <c r="G236" i="250"/>
  <c r="G240" i="250"/>
  <c r="G245" i="250"/>
  <c r="H172" i="250"/>
  <c r="H177" i="250"/>
  <c r="H184" i="250"/>
  <c r="G200" i="250"/>
  <c r="G204" i="250"/>
  <c r="G220" i="250"/>
  <c r="H224" i="250"/>
  <c r="H236" i="250"/>
  <c r="H240" i="250"/>
  <c r="H245" i="250"/>
  <c r="G173" i="250"/>
  <c r="G180" i="250"/>
  <c r="G185" i="250"/>
  <c r="G196" i="250"/>
  <c r="H200" i="250"/>
  <c r="H204" i="250"/>
  <c r="G216" i="250"/>
  <c r="H220" i="250"/>
  <c r="G225" i="250"/>
  <c r="G237" i="250"/>
  <c r="H241" i="250"/>
  <c r="H178" i="250"/>
  <c r="G171" i="250"/>
  <c r="H243" i="250"/>
  <c r="H221" i="250"/>
  <c r="G205" i="250"/>
  <c r="G197" i="250"/>
  <c r="G179" i="250"/>
  <c r="G219" i="250"/>
  <c r="G241" i="250"/>
  <c r="K1256" i="251"/>
  <c r="K1273" i="251"/>
  <c r="K1274" i="251" s="1"/>
  <c r="K594" i="309" s="1"/>
  <c r="G2736" i="250"/>
  <c r="G2746" i="250" s="1"/>
  <c r="G570" i="311" s="1"/>
  <c r="E2746" i="250"/>
  <c r="E570" i="311" s="1"/>
  <c r="B916" i="251"/>
  <c r="C509" i="309" s="1"/>
  <c r="B925" i="251"/>
  <c r="C510" i="309" s="1"/>
  <c r="K1246" i="251"/>
  <c r="K1264" i="251"/>
  <c r="K1265" i="251" s="1"/>
  <c r="K593" i="309" s="1"/>
  <c r="H2736" i="250"/>
  <c r="H2746" i="250" s="1"/>
  <c r="H570" i="311" s="1"/>
  <c r="F2746" i="250"/>
  <c r="F570" i="311" s="1"/>
  <c r="B907" i="251"/>
  <c r="C506" i="309" s="1"/>
  <c r="B898" i="251"/>
  <c r="C505" i="309" s="1"/>
  <c r="J1273" i="251"/>
  <c r="J1274" i="251" s="1"/>
  <c r="J594" i="309" s="1"/>
  <c r="J1256" i="251"/>
  <c r="B604" i="251"/>
  <c r="C327" i="309" s="1"/>
  <c r="B613" i="251"/>
  <c r="C328" i="309" s="1"/>
  <c r="F2189" i="250"/>
  <c r="H2189" i="250" s="1"/>
  <c r="F2197" i="250"/>
  <c r="H2197" i="250" s="1"/>
  <c r="E2190" i="250"/>
  <c r="G2190" i="250" s="1"/>
  <c r="E2198" i="250"/>
  <c r="G2198" i="250" s="1"/>
  <c r="F2212" i="250"/>
  <c r="F2220" i="250"/>
  <c r="H2220" i="250" s="1"/>
  <c r="E2218" i="250"/>
  <c r="G2218" i="250" s="1"/>
  <c r="F2235" i="250"/>
  <c r="H2235" i="250" s="1"/>
  <c r="E2233" i="250"/>
  <c r="G2233" i="250" s="1"/>
  <c r="E2241" i="250"/>
  <c r="G2241" i="250" s="1"/>
  <c r="F2258" i="250"/>
  <c r="H2258" i="250" s="1"/>
  <c r="E2256" i="250"/>
  <c r="G2256" i="250" s="1"/>
  <c r="F2190" i="250"/>
  <c r="H2190" i="250" s="1"/>
  <c r="F2198" i="250"/>
  <c r="H2198" i="250" s="1"/>
  <c r="E2191" i="250"/>
  <c r="G2191" i="250" s="1"/>
  <c r="E2199" i="250"/>
  <c r="G2199" i="250" s="1"/>
  <c r="F2213" i="250"/>
  <c r="H2213" i="250" s="1"/>
  <c r="F2221" i="250"/>
  <c r="H2221" i="250" s="1"/>
  <c r="E2219" i="250"/>
  <c r="G2219" i="250" s="1"/>
  <c r="F2236" i="250"/>
  <c r="H2236" i="250" s="1"/>
  <c r="E2234" i="250"/>
  <c r="G2234" i="250" s="1"/>
  <c r="F2259" i="250"/>
  <c r="H2259" i="250" s="1"/>
  <c r="E2257" i="250"/>
  <c r="G2257" i="250" s="1"/>
  <c r="F2191" i="250"/>
  <c r="H2191" i="250" s="1"/>
  <c r="F2199" i="250"/>
  <c r="H2199" i="250" s="1"/>
  <c r="E2192" i="250"/>
  <c r="G2192" i="250" s="1"/>
  <c r="E2200" i="250"/>
  <c r="G2200" i="250" s="1"/>
  <c r="F2214" i="250"/>
  <c r="H2214" i="250" s="1"/>
  <c r="E2212" i="250"/>
  <c r="E2220" i="250"/>
  <c r="G2220" i="250" s="1"/>
  <c r="F2237" i="250"/>
  <c r="H2237" i="250" s="1"/>
  <c r="E2235" i="250"/>
  <c r="G2235" i="250" s="1"/>
  <c r="F2252" i="250"/>
  <c r="F2260" i="250"/>
  <c r="H2260" i="250" s="1"/>
  <c r="E2258" i="250"/>
  <c r="G2258" i="250" s="1"/>
  <c r="F2192" i="250"/>
  <c r="H2192" i="250" s="1"/>
  <c r="F2200" i="250"/>
  <c r="H2200" i="250" s="1"/>
  <c r="E2193" i="250"/>
  <c r="G2193" i="250" s="1"/>
  <c r="E2201" i="250"/>
  <c r="G2201" i="250" s="1"/>
  <c r="F2215" i="250"/>
  <c r="H2215" i="250" s="1"/>
  <c r="E2213" i="250"/>
  <c r="G2213" i="250" s="1"/>
  <c r="E2221" i="250"/>
  <c r="G2221" i="250" s="1"/>
  <c r="F2238" i="250"/>
  <c r="H2238" i="250" s="1"/>
  <c r="E2236" i="250"/>
  <c r="G2236" i="250" s="1"/>
  <c r="F2253" i="250"/>
  <c r="H2253" i="250" s="1"/>
  <c r="F2261" i="250"/>
  <c r="H2261" i="250" s="1"/>
  <c r="E2259" i="250"/>
  <c r="G2259" i="250" s="1"/>
  <c r="F2193" i="250"/>
  <c r="H2193" i="250" s="1"/>
  <c r="F2201" i="250"/>
  <c r="H2201" i="250" s="1"/>
  <c r="E2194" i="250"/>
  <c r="G2194" i="250" s="1"/>
  <c r="F2216" i="250"/>
  <c r="H2216" i="250" s="1"/>
  <c r="E2214" i="250"/>
  <c r="G2214" i="250" s="1"/>
  <c r="F2239" i="250"/>
  <c r="H2239" i="250" s="1"/>
  <c r="E2237" i="250"/>
  <c r="G2237" i="250" s="1"/>
  <c r="F2254" i="250"/>
  <c r="H2254" i="250" s="1"/>
  <c r="E2252" i="250"/>
  <c r="E2260" i="250"/>
  <c r="G2260" i="250" s="1"/>
  <c r="F2194" i="250"/>
  <c r="H2194" i="250" s="1"/>
  <c r="E2187" i="250"/>
  <c r="E2195" i="250"/>
  <c r="G2195" i="250" s="1"/>
  <c r="F2217" i="250"/>
  <c r="H2217" i="250" s="1"/>
  <c r="E2215" i="250"/>
  <c r="G2215" i="250" s="1"/>
  <c r="F2232" i="250"/>
  <c r="F2240" i="250"/>
  <c r="H2240" i="250" s="1"/>
  <c r="E2238" i="250"/>
  <c r="G2238" i="250" s="1"/>
  <c r="F2255" i="250"/>
  <c r="H2255" i="250" s="1"/>
  <c r="E2253" i="250"/>
  <c r="G2253" i="250" s="1"/>
  <c r="E2261" i="250"/>
  <c r="G2261" i="250" s="1"/>
  <c r="F2187" i="250"/>
  <c r="F2195" i="250"/>
  <c r="H2195" i="250" s="1"/>
  <c r="E2188" i="250"/>
  <c r="G2188" i="250" s="1"/>
  <c r="E2196" i="250"/>
  <c r="G2196" i="250" s="1"/>
  <c r="F2218" i="250"/>
  <c r="H2218" i="250" s="1"/>
  <c r="E2216" i="250"/>
  <c r="G2216" i="250" s="1"/>
  <c r="F2233" i="250"/>
  <c r="H2233" i="250" s="1"/>
  <c r="F2241" i="250"/>
  <c r="H2241" i="250" s="1"/>
  <c r="E2239" i="250"/>
  <c r="G2239" i="250" s="1"/>
  <c r="F2256" i="250"/>
  <c r="H2256" i="250" s="1"/>
  <c r="E2254" i="250"/>
  <c r="G2254" i="250" s="1"/>
  <c r="F2188" i="250"/>
  <c r="H2188" i="250" s="1"/>
  <c r="F2196" i="250"/>
  <c r="H2196" i="250" s="1"/>
  <c r="E2189" i="250"/>
  <c r="G2189" i="250" s="1"/>
  <c r="E2197" i="250"/>
  <c r="G2197" i="250" s="1"/>
  <c r="F2219" i="250"/>
  <c r="H2219" i="250" s="1"/>
  <c r="E2217" i="250"/>
  <c r="G2217" i="250" s="1"/>
  <c r="F2234" i="250"/>
  <c r="H2234" i="250" s="1"/>
  <c r="E2232" i="250"/>
  <c r="E2240" i="250"/>
  <c r="G2240" i="250" s="1"/>
  <c r="F2257" i="250"/>
  <c r="H2257" i="250" s="1"/>
  <c r="E2255" i="250"/>
  <c r="G2255" i="250" s="1"/>
  <c r="B1271" i="251"/>
  <c r="C594" i="309" s="1"/>
  <c r="B1262" i="251"/>
  <c r="C593" i="309" s="1"/>
  <c r="J1246" i="251"/>
  <c r="J1264" i="251"/>
  <c r="J1265" i="251" s="1"/>
  <c r="J593" i="309" s="1"/>
  <c r="B595" i="251"/>
  <c r="C324" i="309" s="1"/>
  <c r="B585" i="251"/>
  <c r="C323" i="309" s="1"/>
  <c r="N1256" i="251"/>
  <c r="N1273" i="251"/>
  <c r="N1274" i="251" s="1"/>
  <c r="N594" i="309" s="1"/>
  <c r="F2726" i="250"/>
  <c r="F569" i="311" s="1"/>
  <c r="H2716" i="250"/>
  <c r="H2726" i="250" s="1"/>
  <c r="H569" i="311" s="1"/>
  <c r="B264" i="251"/>
  <c r="C187" i="309" s="1"/>
  <c r="B273" i="251"/>
  <c r="C188" i="309" s="1"/>
  <c r="B255" i="251"/>
  <c r="C184" i="309" s="1"/>
  <c r="B245" i="251"/>
  <c r="C183" i="309" s="1"/>
  <c r="B103" i="251"/>
  <c r="C118" i="309" s="1"/>
  <c r="B94" i="251"/>
  <c r="C117" i="309" s="1"/>
  <c r="B85" i="251"/>
  <c r="C114" i="309" s="1"/>
  <c r="B75" i="251"/>
  <c r="C113" i="309" s="1"/>
  <c r="J21" i="247"/>
  <c r="J26" i="247"/>
  <c r="K21" i="247"/>
  <c r="L26" i="247"/>
  <c r="M21" i="247"/>
  <c r="M26" i="247"/>
  <c r="N21" i="247"/>
  <c r="L21" i="247"/>
  <c r="N26" i="247"/>
  <c r="K26" i="247"/>
  <c r="N1165" i="251"/>
  <c r="N551" i="309" s="1"/>
  <c r="N577" i="329"/>
  <c r="K1173" i="251"/>
  <c r="K552" i="309" s="1"/>
  <c r="K589" i="329"/>
  <c r="M139" i="285"/>
  <c r="N134" i="285"/>
  <c r="N139" i="285"/>
  <c r="J134" i="285"/>
  <c r="K139" i="285"/>
  <c r="L134" i="285"/>
  <c r="M134" i="285"/>
  <c r="J139" i="285"/>
  <c r="L139" i="285"/>
  <c r="K134" i="285"/>
  <c r="J134" i="286"/>
  <c r="J139" i="286"/>
  <c r="K134" i="286"/>
  <c r="L139" i="286"/>
  <c r="M134" i="286"/>
  <c r="M139" i="286"/>
  <c r="N134" i="286"/>
  <c r="L134" i="286"/>
  <c r="N139" i="286"/>
  <c r="K139" i="286"/>
  <c r="M1165" i="251"/>
  <c r="M551" i="309" s="1"/>
  <c r="M577" i="329"/>
  <c r="J171" i="247"/>
  <c r="J176" i="247"/>
  <c r="K171" i="247"/>
  <c r="L176" i="247"/>
  <c r="M171" i="247"/>
  <c r="M176" i="247"/>
  <c r="N171" i="247"/>
  <c r="N176" i="247"/>
  <c r="L171" i="247"/>
  <c r="K176" i="247"/>
  <c r="J1173" i="251"/>
  <c r="J552" i="309" s="1"/>
  <c r="J589" i="329"/>
  <c r="J21" i="285"/>
  <c r="J26" i="285"/>
  <c r="K21" i="285"/>
  <c r="L26" i="285"/>
  <c r="M21" i="285"/>
  <c r="M26" i="285"/>
  <c r="N21" i="285"/>
  <c r="L21" i="285"/>
  <c r="K26" i="285"/>
  <c r="N26" i="285"/>
  <c r="J21" i="283"/>
  <c r="J26" i="283"/>
  <c r="K21" i="283"/>
  <c r="L26" i="283"/>
  <c r="M21" i="283"/>
  <c r="M26" i="283"/>
  <c r="N21" i="283"/>
  <c r="K26" i="283"/>
  <c r="N26" i="283"/>
  <c r="L21" i="283"/>
  <c r="M26" i="284"/>
  <c r="N21" i="284"/>
  <c r="N26" i="284"/>
  <c r="J21" i="284"/>
  <c r="K26" i="284"/>
  <c r="L21" i="284"/>
  <c r="K21" i="284"/>
  <c r="M21" i="284"/>
  <c r="L26" i="284"/>
  <c r="J26" i="284"/>
  <c r="J577" i="329"/>
  <c r="J1165" i="251"/>
  <c r="J551" i="309" s="1"/>
  <c r="L1165" i="251"/>
  <c r="L551" i="309" s="1"/>
  <c r="L577" i="329"/>
  <c r="J97" i="283"/>
  <c r="J102" i="283"/>
  <c r="K97" i="283"/>
  <c r="L102" i="283"/>
  <c r="M97" i="283"/>
  <c r="M102" i="283"/>
  <c r="N97" i="283"/>
  <c r="K102" i="283"/>
  <c r="N102" i="283"/>
  <c r="L97" i="283"/>
  <c r="M254" i="301"/>
  <c r="N249" i="301"/>
  <c r="N254" i="301"/>
  <c r="J249" i="301"/>
  <c r="K254" i="301"/>
  <c r="L249" i="301"/>
  <c r="K249" i="301"/>
  <c r="M249" i="301"/>
  <c r="J254" i="301"/>
  <c r="L254" i="301"/>
  <c r="N589" i="329"/>
  <c r="N1173" i="251"/>
  <c r="N552" i="309" s="1"/>
  <c r="K1165" i="251"/>
  <c r="K551" i="309" s="1"/>
  <c r="K577" i="329"/>
  <c r="J134" i="284"/>
  <c r="J139" i="284"/>
  <c r="K134" i="284"/>
  <c r="L139" i="284"/>
  <c r="M134" i="284"/>
  <c r="M139" i="284"/>
  <c r="N134" i="284"/>
  <c r="L134" i="284"/>
  <c r="N139" i="284"/>
  <c r="K139" i="284"/>
  <c r="M132" i="336"/>
  <c r="N127" i="336"/>
  <c r="N132" i="336"/>
  <c r="J127" i="336"/>
  <c r="K132" i="336"/>
  <c r="L127" i="336"/>
  <c r="K127" i="336"/>
  <c r="M127" i="336"/>
  <c r="J132" i="336"/>
  <c r="L132" i="336"/>
  <c r="M1173" i="251"/>
  <c r="M552" i="309" s="1"/>
  <c r="M589" i="329"/>
  <c r="M6" i="323"/>
  <c r="M7" i="323" s="1"/>
  <c r="M9" i="323" s="1"/>
  <c r="M5" i="323" s="1"/>
  <c r="M4" i="336"/>
  <c r="M5" i="336" s="1"/>
  <c r="M7" i="336" s="1"/>
  <c r="M3" i="336" s="1"/>
  <c r="K4" i="247"/>
  <c r="K5" i="247" s="1"/>
  <c r="K7" i="247" s="1"/>
  <c r="K3" i="247" s="1"/>
  <c r="K4" i="251"/>
  <c r="K5" i="251" s="1"/>
  <c r="K7" i="251" s="1"/>
  <c r="K3" i="251" s="1"/>
  <c r="K4" i="309"/>
  <c r="K5" i="309" s="1"/>
  <c r="K7" i="309" s="1"/>
  <c r="K3" i="309" s="1"/>
  <c r="M4" i="247"/>
  <c r="M5" i="247" s="1"/>
  <c r="M7" i="247" s="1"/>
  <c r="M3" i="247" s="1"/>
  <c r="K6" i="327"/>
  <c r="K7" i="327" s="1"/>
  <c r="K9" i="327" s="1"/>
  <c r="K5" i="327" s="1"/>
  <c r="K4" i="322"/>
  <c r="K5" i="322" s="1"/>
  <c r="K7" i="322" s="1"/>
  <c r="K3" i="322" s="1"/>
  <c r="K4" i="286"/>
  <c r="K5" i="286" s="1"/>
  <c r="K7" i="286" s="1"/>
  <c r="K3" i="286" s="1"/>
  <c r="K6" i="338"/>
  <c r="K7" i="338" s="1"/>
  <c r="K9" i="338" s="1"/>
  <c r="K5" i="338" s="1"/>
  <c r="M4" i="329"/>
  <c r="M5" i="329" s="1"/>
  <c r="M7" i="329" s="1"/>
  <c r="M3" i="329" s="1"/>
  <c r="M29" i="329" s="1"/>
  <c r="M6" i="327"/>
  <c r="M7" i="327" s="1"/>
  <c r="M9" i="327" s="1"/>
  <c r="M5" i="327" s="1"/>
  <c r="M4" i="322"/>
  <c r="M5" i="322" s="1"/>
  <c r="M7" i="322" s="1"/>
  <c r="M3" i="322" s="1"/>
  <c r="M4" i="286"/>
  <c r="M5" i="286" s="1"/>
  <c r="M7" i="286" s="1"/>
  <c r="M3" i="286" s="1"/>
  <c r="K4" i="283"/>
  <c r="K5" i="283" s="1"/>
  <c r="K7" i="283" s="1"/>
  <c r="K3" i="283" s="1"/>
  <c r="M6" i="338"/>
  <c r="M7" i="338" s="1"/>
  <c r="M9" i="338" s="1"/>
  <c r="M5" i="338" s="1"/>
  <c r="K4" i="284"/>
  <c r="K5" i="284" s="1"/>
  <c r="K7" i="284" s="1"/>
  <c r="K3" i="284" s="1"/>
  <c r="K4" i="321"/>
  <c r="K5" i="321" s="1"/>
  <c r="K7" i="321" s="1"/>
  <c r="K3" i="321" s="1"/>
  <c r="M4" i="317"/>
  <c r="M5" i="317" s="1"/>
  <c r="M7" i="317" s="1"/>
  <c r="M3" i="317" s="1"/>
  <c r="M4" i="284"/>
  <c r="M5" i="284" s="1"/>
  <c r="M7" i="284" s="1"/>
  <c r="M3" i="284" s="1"/>
  <c r="K4" i="324"/>
  <c r="K5" i="324" s="1"/>
  <c r="K7" i="324" s="1"/>
  <c r="K3" i="324" s="1"/>
  <c r="M4" i="321"/>
  <c r="M5" i="321" s="1"/>
  <c r="M7" i="321" s="1"/>
  <c r="M3" i="321" s="1"/>
  <c r="M4" i="285"/>
  <c r="M5" i="285" s="1"/>
  <c r="M7" i="285" s="1"/>
  <c r="M3" i="285" s="1"/>
  <c r="K4" i="301"/>
  <c r="K5" i="301" s="1"/>
  <c r="K7" i="301" s="1"/>
  <c r="K3" i="301" s="1"/>
  <c r="K4" i="285"/>
  <c r="K5" i="285" s="1"/>
  <c r="K7" i="285" s="1"/>
  <c r="K3" i="285" s="1"/>
  <c r="M4" i="301"/>
  <c r="M5" i="301" s="1"/>
  <c r="M7" i="301" s="1"/>
  <c r="M3" i="301" s="1"/>
  <c r="K4" i="329"/>
  <c r="K5" i="329" s="1"/>
  <c r="K7" i="329" s="1"/>
  <c r="K3" i="329" s="1"/>
  <c r="K29" i="329" s="1"/>
  <c r="K4" i="317"/>
  <c r="K5" i="317" s="1"/>
  <c r="K7" i="317" s="1"/>
  <c r="K3" i="317" s="1"/>
  <c r="M4" i="309"/>
  <c r="M5" i="309" s="1"/>
  <c r="M7" i="309" s="1"/>
  <c r="M3" i="309" s="1"/>
  <c r="M4" i="251"/>
  <c r="M5" i="251" s="1"/>
  <c r="M7" i="251" s="1"/>
  <c r="M3" i="251" s="1"/>
  <c r="K6" i="323"/>
  <c r="K7" i="323" s="1"/>
  <c r="K9" i="323" s="1"/>
  <c r="K5" i="323" s="1"/>
  <c r="M4" i="283"/>
  <c r="M5" i="283" s="1"/>
  <c r="M7" i="283" s="1"/>
  <c r="M3" i="283" s="1"/>
  <c r="K4" i="336"/>
  <c r="K5" i="336" s="1"/>
  <c r="K7" i="336" s="1"/>
  <c r="K3" i="336" s="1"/>
  <c r="M4" i="324"/>
  <c r="M5" i="324" s="1"/>
  <c r="M7" i="324" s="1"/>
  <c r="M3" i="324" s="1"/>
  <c r="J4" i="324"/>
  <c r="J5" i="324" s="1"/>
  <c r="J7" i="324" s="1"/>
  <c r="J3" i="324" s="1"/>
  <c r="L4" i="286"/>
  <c r="L5" i="286" s="1"/>
  <c r="L7" i="286" s="1"/>
  <c r="L3" i="286" s="1"/>
  <c r="L6" i="338"/>
  <c r="L7" i="338" s="1"/>
  <c r="L9" i="338" s="1"/>
  <c r="L5" i="338" s="1"/>
  <c r="J4" i="284"/>
  <c r="J5" i="284" s="1"/>
  <c r="J7" i="284" s="1"/>
  <c r="J3" i="284" s="1"/>
  <c r="L4" i="301"/>
  <c r="L5" i="301" s="1"/>
  <c r="L7" i="301" s="1"/>
  <c r="L3" i="301" s="1"/>
  <c r="L4" i="247"/>
  <c r="L5" i="247" s="1"/>
  <c r="L7" i="247" s="1"/>
  <c r="L3" i="247" s="1"/>
  <c r="N6" i="323"/>
  <c r="N7" i="323" s="1"/>
  <c r="N9" i="323" s="1"/>
  <c r="N5" i="323" s="1"/>
  <c r="J4" i="283"/>
  <c r="J5" i="283" s="1"/>
  <c r="J7" i="283" s="1"/>
  <c r="J3" i="283" s="1"/>
  <c r="J4" i="336"/>
  <c r="J5" i="336" s="1"/>
  <c r="J7" i="336" s="1"/>
  <c r="J3" i="336" s="1"/>
  <c r="N4" i="322"/>
  <c r="N5" i="322" s="1"/>
  <c r="N7" i="322" s="1"/>
  <c r="N3" i="322" s="1"/>
  <c r="L4" i="322"/>
  <c r="L5" i="322" s="1"/>
  <c r="L7" i="322" s="1"/>
  <c r="L3" i="322" s="1"/>
  <c r="N6" i="327"/>
  <c r="N7" i="327" s="1"/>
  <c r="N9" i="327" s="1"/>
  <c r="N5" i="327" s="1"/>
  <c r="L6" i="323"/>
  <c r="L7" i="323" s="1"/>
  <c r="L9" i="323" s="1"/>
  <c r="L5" i="323" s="1"/>
  <c r="N4" i="283"/>
  <c r="N5" i="283" s="1"/>
  <c r="N7" i="283" s="1"/>
  <c r="N3" i="283" s="1"/>
  <c r="L4" i="284"/>
  <c r="L5" i="284" s="1"/>
  <c r="L7" i="284" s="1"/>
  <c r="L3" i="284" s="1"/>
  <c r="N4" i="321"/>
  <c r="N5" i="321" s="1"/>
  <c r="N7" i="321" s="1"/>
  <c r="N3" i="321" s="1"/>
  <c r="N4" i="329"/>
  <c r="N5" i="329" s="1"/>
  <c r="N7" i="329" s="1"/>
  <c r="N3" i="329" s="1"/>
  <c r="N29" i="329" s="1"/>
  <c r="J4" i="286"/>
  <c r="J5" i="286" s="1"/>
  <c r="J7" i="286" s="1"/>
  <c r="J3" i="286" s="1"/>
  <c r="N4" i="309"/>
  <c r="N5" i="309" s="1"/>
  <c r="N7" i="309" s="1"/>
  <c r="N3" i="309" s="1"/>
  <c r="J4" i="285"/>
  <c r="J5" i="285" s="1"/>
  <c r="J7" i="285" s="1"/>
  <c r="J3" i="285" s="1"/>
  <c r="J4" i="251"/>
  <c r="J5" i="251" s="1"/>
  <c r="J7" i="251" s="1"/>
  <c r="J3" i="251" s="1"/>
  <c r="J4" i="309"/>
  <c r="J5" i="309" s="1"/>
  <c r="J7" i="309" s="1"/>
  <c r="J3" i="309" s="1"/>
  <c r="N4" i="301"/>
  <c r="N5" i="301" s="1"/>
  <c r="N7" i="301" s="1"/>
  <c r="N3" i="301" s="1"/>
  <c r="L4" i="251"/>
  <c r="L5" i="251" s="1"/>
  <c r="L7" i="251" s="1"/>
  <c r="L3" i="251" s="1"/>
  <c r="N4" i="336"/>
  <c r="N5" i="336" s="1"/>
  <c r="N7" i="336" s="1"/>
  <c r="N3" i="336" s="1"/>
  <c r="L4" i="317"/>
  <c r="L5" i="317" s="1"/>
  <c r="L7" i="317" s="1"/>
  <c r="L3" i="317" s="1"/>
  <c r="L4" i="309"/>
  <c r="L5" i="309" s="1"/>
  <c r="L7" i="309" s="1"/>
  <c r="L3" i="309" s="1"/>
  <c r="N4" i="285"/>
  <c r="N5" i="285" s="1"/>
  <c r="N7" i="285" s="1"/>
  <c r="N3" i="285" s="1"/>
  <c r="J4" i="322"/>
  <c r="J5" i="322" s="1"/>
  <c r="J7" i="322" s="1"/>
  <c r="J3" i="322" s="1"/>
  <c r="N4" i="251"/>
  <c r="N5" i="251" s="1"/>
  <c r="N7" i="251" s="1"/>
  <c r="N3" i="251" s="1"/>
  <c r="J4" i="247"/>
  <c r="J5" i="247" s="1"/>
  <c r="J7" i="247" s="1"/>
  <c r="J3" i="247" s="1"/>
  <c r="J6" i="323"/>
  <c r="J7" i="323" s="1"/>
  <c r="J9" i="323" s="1"/>
  <c r="J5" i="323" s="1"/>
  <c r="L6" i="327"/>
  <c r="L7" i="327" s="1"/>
  <c r="L9" i="327" s="1"/>
  <c r="L5" i="327" s="1"/>
  <c r="L4" i="329"/>
  <c r="L5" i="329" s="1"/>
  <c r="L7" i="329" s="1"/>
  <c r="L3" i="329" s="1"/>
  <c r="L29" i="329" s="1"/>
  <c r="N4" i="324"/>
  <c r="N5" i="324" s="1"/>
  <c r="N7" i="324" s="1"/>
  <c r="N3" i="324" s="1"/>
  <c r="J4" i="301"/>
  <c r="J5" i="301" s="1"/>
  <c r="J7" i="301" s="1"/>
  <c r="J3" i="301" s="1"/>
  <c r="J4" i="329"/>
  <c r="J5" i="329" s="1"/>
  <c r="J7" i="329" s="1"/>
  <c r="J3" i="329" s="1"/>
  <c r="J29" i="329" s="1"/>
  <c r="N6" i="338"/>
  <c r="N7" i="338" s="1"/>
  <c r="N9" i="338" s="1"/>
  <c r="N5" i="338" s="1"/>
  <c r="J4" i="321"/>
  <c r="J5" i="321" s="1"/>
  <c r="J7" i="321" s="1"/>
  <c r="J3" i="321" s="1"/>
  <c r="J6" i="327"/>
  <c r="J7" i="327" s="1"/>
  <c r="J9" i="327" s="1"/>
  <c r="J5" i="327" s="1"/>
  <c r="N4" i="317"/>
  <c r="N5" i="317" s="1"/>
  <c r="N7" i="317" s="1"/>
  <c r="N3" i="317" s="1"/>
  <c r="L4" i="285"/>
  <c r="L5" i="285" s="1"/>
  <c r="L7" i="285" s="1"/>
  <c r="L3" i="285" s="1"/>
  <c r="J4" i="317"/>
  <c r="J5" i="317" s="1"/>
  <c r="J7" i="317" s="1"/>
  <c r="J3" i="317" s="1"/>
  <c r="N4" i="247"/>
  <c r="N5" i="247" s="1"/>
  <c r="N7" i="247" s="1"/>
  <c r="N3" i="247" s="1"/>
  <c r="J6" i="338"/>
  <c r="J7" i="338" s="1"/>
  <c r="J9" i="338" s="1"/>
  <c r="J5" i="338" s="1"/>
  <c r="L4" i="324"/>
  <c r="L5" i="324" s="1"/>
  <c r="L7" i="324" s="1"/>
  <c r="L3" i="324" s="1"/>
  <c r="N4" i="286"/>
  <c r="N5" i="286" s="1"/>
  <c r="N7" i="286" s="1"/>
  <c r="N3" i="286" s="1"/>
  <c r="N4" i="284"/>
  <c r="N5" i="284" s="1"/>
  <c r="N7" i="284" s="1"/>
  <c r="N3" i="284" s="1"/>
  <c r="L4" i="283"/>
  <c r="L5" i="283" s="1"/>
  <c r="L7" i="283" s="1"/>
  <c r="L3" i="283" s="1"/>
  <c r="L4" i="336"/>
  <c r="L5" i="336" s="1"/>
  <c r="L7" i="336" s="1"/>
  <c r="L3" i="336" s="1"/>
  <c r="L4" i="321"/>
  <c r="L5" i="321" s="1"/>
  <c r="L7" i="321" s="1"/>
  <c r="L3" i="321" s="1"/>
  <c r="M26" i="286"/>
  <c r="N21" i="286"/>
  <c r="N26" i="286"/>
  <c r="J21" i="286"/>
  <c r="K26" i="286"/>
  <c r="L21" i="286"/>
  <c r="J26" i="286"/>
  <c r="L26" i="286"/>
  <c r="M21" i="286"/>
  <c r="K21" i="286"/>
  <c r="B550" i="309"/>
  <c r="J21" i="336"/>
  <c r="J26" i="336"/>
  <c r="K21" i="336"/>
  <c r="L26" i="336"/>
  <c r="M21" i="336"/>
  <c r="M26" i="336"/>
  <c r="N21" i="336"/>
  <c r="K26" i="336"/>
  <c r="N26" i="336"/>
  <c r="L21" i="336"/>
  <c r="L1173" i="251"/>
  <c r="L552" i="309" s="1"/>
  <c r="L589" i="329"/>
  <c r="E2454" i="250"/>
  <c r="E522" i="311" s="1"/>
  <c r="G2439" i="250"/>
  <c r="G2454" i="250" s="1"/>
  <c r="G522" i="311" s="1"/>
  <c r="F2454" i="250"/>
  <c r="F522" i="311" s="1"/>
  <c r="H2439" i="250"/>
  <c r="H2454" i="250" s="1"/>
  <c r="H522" i="311" s="1"/>
  <c r="F1857" i="250"/>
  <c r="H1857" i="250" s="1"/>
  <c r="F1865" i="250"/>
  <c r="H1865" i="250" s="1"/>
  <c r="E1858" i="250"/>
  <c r="G1858" i="250" s="1"/>
  <c r="F1854" i="250"/>
  <c r="H1854" i="250" s="1"/>
  <c r="F1858" i="250"/>
  <c r="H1858" i="250" s="1"/>
  <c r="E1851" i="250"/>
  <c r="E1859" i="250"/>
  <c r="G1859" i="250" s="1"/>
  <c r="F1851" i="250"/>
  <c r="F1859" i="250"/>
  <c r="H1859" i="250" s="1"/>
  <c r="E1852" i="250"/>
  <c r="G1852" i="250" s="1"/>
  <c r="E1860" i="250"/>
  <c r="G1860" i="250" s="1"/>
  <c r="E1863" i="250"/>
  <c r="G1863" i="250" s="1"/>
  <c r="F1852" i="250"/>
  <c r="H1852" i="250" s="1"/>
  <c r="F1860" i="250"/>
  <c r="H1860" i="250" s="1"/>
  <c r="E1853" i="250"/>
  <c r="G1853" i="250" s="1"/>
  <c r="E1861" i="250"/>
  <c r="G1861" i="250" s="1"/>
  <c r="F1853" i="250"/>
  <c r="H1853" i="250" s="1"/>
  <c r="F1861" i="250"/>
  <c r="H1861" i="250" s="1"/>
  <c r="E1854" i="250"/>
  <c r="G1854" i="250" s="1"/>
  <c r="E1862" i="250"/>
  <c r="G1862" i="250" s="1"/>
  <c r="F1855" i="250"/>
  <c r="H1855" i="250" s="1"/>
  <c r="F1863" i="250"/>
  <c r="H1863" i="250" s="1"/>
  <c r="E1856" i="250"/>
  <c r="G1856" i="250" s="1"/>
  <c r="E1864" i="250"/>
  <c r="G1864" i="250" s="1"/>
  <c r="F1862" i="250"/>
  <c r="H1862" i="250" s="1"/>
  <c r="F1856" i="250"/>
  <c r="H1856" i="250" s="1"/>
  <c r="F1864" i="250"/>
  <c r="H1864" i="250" s="1"/>
  <c r="E1857" i="250"/>
  <c r="G1857" i="250" s="1"/>
  <c r="E1865" i="250"/>
  <c r="G1865" i="250" s="1"/>
  <c r="E1855" i="250"/>
  <c r="G1855" i="250" s="1"/>
  <c r="F1185" i="250"/>
  <c r="H1185" i="250" s="1"/>
  <c r="F1193" i="250"/>
  <c r="H1193" i="250" s="1"/>
  <c r="E1186" i="250"/>
  <c r="G1186" i="250" s="1"/>
  <c r="F1184" i="250"/>
  <c r="H1184" i="250" s="1"/>
  <c r="F1186" i="250"/>
  <c r="H1186" i="250" s="1"/>
  <c r="E1179" i="250"/>
  <c r="E1187" i="250"/>
  <c r="G1187" i="250" s="1"/>
  <c r="F1192" i="250"/>
  <c r="H1192" i="250" s="1"/>
  <c r="F1179" i="250"/>
  <c r="F1187" i="250"/>
  <c r="H1187" i="250" s="1"/>
  <c r="E1180" i="250"/>
  <c r="G1180" i="250" s="1"/>
  <c r="E1188" i="250"/>
  <c r="G1188" i="250" s="1"/>
  <c r="F1180" i="250"/>
  <c r="H1180" i="250" s="1"/>
  <c r="F1188" i="250"/>
  <c r="H1188" i="250" s="1"/>
  <c r="E1181" i="250"/>
  <c r="G1181" i="250" s="1"/>
  <c r="E1189" i="250"/>
  <c r="G1189" i="250" s="1"/>
  <c r="F1181" i="250"/>
  <c r="H1181" i="250" s="1"/>
  <c r="F1189" i="250"/>
  <c r="H1189" i="250" s="1"/>
  <c r="E1182" i="250"/>
  <c r="G1182" i="250" s="1"/>
  <c r="E1190" i="250"/>
  <c r="G1190" i="250" s="1"/>
  <c r="E1185" i="250"/>
  <c r="G1185" i="250" s="1"/>
  <c r="F1182" i="250"/>
  <c r="H1182" i="250" s="1"/>
  <c r="F1190" i="250"/>
  <c r="H1190" i="250" s="1"/>
  <c r="E1183" i="250"/>
  <c r="G1183" i="250" s="1"/>
  <c r="E1191" i="250"/>
  <c r="G1191" i="250" s="1"/>
  <c r="F1183" i="250"/>
  <c r="H1183" i="250" s="1"/>
  <c r="F1191" i="250"/>
  <c r="H1191" i="250" s="1"/>
  <c r="E1184" i="250"/>
  <c r="G1184" i="250" s="1"/>
  <c r="E1192" i="250"/>
  <c r="G1192" i="250" s="1"/>
  <c r="E1193" i="250"/>
  <c r="G1193" i="250" s="1"/>
  <c r="F681" i="250"/>
  <c r="H681" i="250" s="1"/>
  <c r="F689" i="250"/>
  <c r="H689" i="250" s="1"/>
  <c r="E682" i="250"/>
  <c r="G682" i="250" s="1"/>
  <c r="F680" i="250"/>
  <c r="H680" i="250" s="1"/>
  <c r="F682" i="250"/>
  <c r="H682" i="250" s="1"/>
  <c r="E675" i="250"/>
  <c r="E683" i="250"/>
  <c r="G683" i="250" s="1"/>
  <c r="F688" i="250"/>
  <c r="H688" i="250" s="1"/>
  <c r="F675" i="250"/>
  <c r="F683" i="250"/>
  <c r="H683" i="250" s="1"/>
  <c r="E676" i="250"/>
  <c r="G676" i="250" s="1"/>
  <c r="E684" i="250"/>
  <c r="G684" i="250" s="1"/>
  <c r="F676" i="250"/>
  <c r="H676" i="250" s="1"/>
  <c r="F684" i="250"/>
  <c r="H684" i="250" s="1"/>
  <c r="E677" i="250"/>
  <c r="G677" i="250" s="1"/>
  <c r="E685" i="250"/>
  <c r="G685" i="250" s="1"/>
  <c r="E681" i="250"/>
  <c r="G681" i="250" s="1"/>
  <c r="F677" i="250"/>
  <c r="H677" i="250" s="1"/>
  <c r="F685" i="250"/>
  <c r="H685" i="250" s="1"/>
  <c r="E678" i="250"/>
  <c r="G678" i="250" s="1"/>
  <c r="E686" i="250"/>
  <c r="G686" i="250" s="1"/>
  <c r="F678" i="250"/>
  <c r="H678" i="250" s="1"/>
  <c r="F686" i="250"/>
  <c r="H686" i="250" s="1"/>
  <c r="E679" i="250"/>
  <c r="G679" i="250" s="1"/>
  <c r="E687" i="250"/>
  <c r="G687" i="250" s="1"/>
  <c r="F679" i="250"/>
  <c r="H679" i="250" s="1"/>
  <c r="F687" i="250"/>
  <c r="H687" i="250" s="1"/>
  <c r="E680" i="250"/>
  <c r="G680" i="250" s="1"/>
  <c r="E688" i="250"/>
  <c r="G688" i="250" s="1"/>
  <c r="E689" i="250"/>
  <c r="G689" i="250" s="1"/>
  <c r="F345" i="250"/>
  <c r="H345" i="250" s="1"/>
  <c r="F353" i="250"/>
  <c r="H353" i="250" s="1"/>
  <c r="E346" i="250"/>
  <c r="G346" i="250" s="1"/>
  <c r="F346" i="250"/>
  <c r="H346" i="250" s="1"/>
  <c r="E339" i="250"/>
  <c r="E347" i="250"/>
  <c r="G347" i="250" s="1"/>
  <c r="F350" i="250"/>
  <c r="H350" i="250" s="1"/>
  <c r="F339" i="250"/>
  <c r="F347" i="250"/>
  <c r="H347" i="250" s="1"/>
  <c r="E340" i="250"/>
  <c r="G340" i="250" s="1"/>
  <c r="E348" i="250"/>
  <c r="G348" i="250" s="1"/>
  <c r="F340" i="250"/>
  <c r="H340" i="250" s="1"/>
  <c r="F348" i="250"/>
  <c r="H348" i="250" s="1"/>
  <c r="E341" i="250"/>
  <c r="G341" i="250" s="1"/>
  <c r="E349" i="250"/>
  <c r="G349" i="250" s="1"/>
  <c r="E351" i="250"/>
  <c r="G351" i="250" s="1"/>
  <c r="F341" i="250"/>
  <c r="H341" i="250" s="1"/>
  <c r="F349" i="250"/>
  <c r="H349" i="250" s="1"/>
  <c r="E342" i="250"/>
  <c r="G342" i="250" s="1"/>
  <c r="E350" i="250"/>
  <c r="G350" i="250" s="1"/>
  <c r="F343" i="250"/>
  <c r="H343" i="250" s="1"/>
  <c r="F351" i="250"/>
  <c r="H351" i="250" s="1"/>
  <c r="E344" i="250"/>
  <c r="G344" i="250" s="1"/>
  <c r="E352" i="250"/>
  <c r="G352" i="250" s="1"/>
  <c r="F342" i="250"/>
  <c r="H342" i="250" s="1"/>
  <c r="F344" i="250"/>
  <c r="H344" i="250" s="1"/>
  <c r="F352" i="250"/>
  <c r="H352" i="250" s="1"/>
  <c r="E345" i="250"/>
  <c r="G345" i="250" s="1"/>
  <c r="E353" i="250"/>
  <c r="G353" i="250" s="1"/>
  <c r="E343" i="250"/>
  <c r="G343" i="250" s="1"/>
  <c r="F249" i="301"/>
  <c r="H577" i="329"/>
  <c r="H589" i="329"/>
  <c r="D446" i="309"/>
  <c r="H2514" i="250"/>
  <c r="H525" i="311" s="1"/>
  <c r="B1171" i="251"/>
  <c r="C552" i="309" s="1"/>
  <c r="F2514" i="250"/>
  <c r="F525" i="311" s="1"/>
  <c r="B1163" i="251"/>
  <c r="C551" i="309" s="1"/>
  <c r="D385" i="329"/>
  <c r="D399" i="329"/>
  <c r="D388" i="329"/>
  <c r="D402" i="329"/>
  <c r="D353" i="329"/>
  <c r="D368" i="329"/>
  <c r="D356" i="329"/>
  <c r="D371" i="329"/>
  <c r="G21" i="336"/>
  <c r="G2514" i="250"/>
  <c r="G525" i="311" s="1"/>
  <c r="E335" i="329"/>
  <c r="G2474" i="250"/>
  <c r="G523" i="311" s="1"/>
  <c r="D278" i="309"/>
  <c r="G2494" i="250"/>
  <c r="G524" i="311" s="1"/>
  <c r="E2474" i="250"/>
  <c r="E523" i="311" s="1"/>
  <c r="D310" i="329"/>
  <c r="D301" i="329"/>
  <c r="D313" i="329"/>
  <c r="D298" i="329"/>
  <c r="D273" i="329"/>
  <c r="D270" i="329"/>
  <c r="H2474" i="250"/>
  <c r="H523" i="311" s="1"/>
  <c r="H2494" i="250"/>
  <c r="H524" i="311" s="1"/>
  <c r="E256" i="329"/>
  <c r="F2494" i="250"/>
  <c r="F524" i="311" s="1"/>
  <c r="E2514" i="250"/>
  <c r="E525" i="311" s="1"/>
  <c r="E2494" i="250"/>
  <c r="E524" i="311" s="1"/>
  <c r="F2474" i="250"/>
  <c r="F523" i="311" s="1"/>
  <c r="D194" i="309"/>
  <c r="D226" i="329"/>
  <c r="D236" i="329"/>
  <c r="D210" i="329"/>
  <c r="D223" i="329"/>
  <c r="D202" i="329"/>
  <c r="D213" i="329"/>
  <c r="D199" i="329"/>
  <c r="D156" i="329"/>
  <c r="D166" i="329"/>
  <c r="D158" i="329"/>
  <c r="D168" i="329"/>
  <c r="D142" i="329"/>
  <c r="D131" i="329"/>
  <c r="D144" i="329"/>
  <c r="D133" i="329"/>
  <c r="E119" i="329"/>
  <c r="D82" i="309"/>
  <c r="F21" i="286"/>
  <c r="B280" i="309"/>
  <c r="G21" i="286"/>
  <c r="F21" i="247"/>
  <c r="B151" i="329"/>
  <c r="G127" i="336"/>
  <c r="B592" i="309"/>
  <c r="D485" i="329"/>
  <c r="F21" i="284"/>
  <c r="G21" i="285"/>
  <c r="B116" i="309"/>
  <c r="B392" i="309"/>
  <c r="B284" i="309"/>
  <c r="E329" i="329"/>
  <c r="D481" i="329"/>
  <c r="G21" i="247"/>
  <c r="F134" i="285"/>
  <c r="B396" i="309"/>
  <c r="F97" i="283"/>
  <c r="E115" i="329"/>
  <c r="B112" i="309"/>
  <c r="B238" i="309"/>
  <c r="B452" i="309"/>
  <c r="B84" i="309"/>
  <c r="F21" i="283"/>
  <c r="F21" i="285"/>
  <c r="G171" i="247"/>
  <c r="E250" i="329"/>
  <c r="B508" i="309"/>
  <c r="H13" i="10"/>
  <c r="G97" i="283"/>
  <c r="B140" i="309"/>
  <c r="B599" i="329"/>
  <c r="F134" i="284"/>
  <c r="B242" i="309"/>
  <c r="F134" i="286"/>
  <c r="B322" i="309"/>
  <c r="B182" i="309"/>
  <c r="B200" i="309"/>
  <c r="G134" i="285"/>
  <c r="B219" i="329"/>
  <c r="B186" i="309"/>
  <c r="B326" i="309"/>
  <c r="G134" i="284"/>
  <c r="B65" i="329"/>
  <c r="B381" i="329"/>
  <c r="B523" i="329"/>
  <c r="B452" i="329"/>
  <c r="B195" i="329"/>
  <c r="B127" i="329"/>
  <c r="B266" i="329"/>
  <c r="B88" i="309"/>
  <c r="G21" i="284"/>
  <c r="G21" i="283"/>
  <c r="F171" i="247"/>
  <c r="B144" i="309"/>
  <c r="G134" i="286"/>
  <c r="B504" i="309"/>
  <c r="C42" i="317"/>
  <c r="C60" i="317"/>
  <c r="D26" i="322" s="1"/>
  <c r="C116" i="317"/>
  <c r="J451" i="246"/>
  <c r="K177" i="9" s="1"/>
  <c r="M177" i="9" s="1"/>
  <c r="J288" i="279"/>
  <c r="K67" i="9" s="1"/>
  <c r="M67" i="9" s="1"/>
  <c r="J390" i="282"/>
  <c r="K143" i="9" s="1"/>
  <c r="M143" i="9" s="1"/>
  <c r="J79" i="246"/>
  <c r="K162" i="9" s="1"/>
  <c r="M162" i="9" s="1"/>
  <c r="D27" i="321"/>
  <c r="C223" i="321"/>
  <c r="J79" i="282"/>
  <c r="K130" i="9" s="1"/>
  <c r="M130" i="9" s="1"/>
  <c r="J372" i="280"/>
  <c r="K86" i="9" s="1"/>
  <c r="M86" i="9" s="1"/>
  <c r="J99" i="307"/>
  <c r="K91" i="9" s="1"/>
  <c r="M91" i="9" s="1"/>
  <c r="J390" i="281"/>
  <c r="K119" i="9" s="1"/>
  <c r="M119" i="9" s="1"/>
  <c r="B294" i="329"/>
  <c r="C195" i="321"/>
  <c r="D210" i="321" s="1"/>
  <c r="J56" i="279"/>
  <c r="K57" i="9" s="1"/>
  <c r="M57" i="9" s="1"/>
  <c r="J92" i="279"/>
  <c r="K59" i="9" s="1"/>
  <c r="M59" i="9" s="1"/>
  <c r="J252" i="279"/>
  <c r="K65" i="9" s="1"/>
  <c r="M65" i="9" s="1"/>
  <c r="J79" i="281"/>
  <c r="K106" i="9" s="1"/>
  <c r="M106" i="9" s="1"/>
  <c r="J97" i="282"/>
  <c r="K131" i="9" s="1"/>
  <c r="M131" i="9" s="1"/>
  <c r="J354" i="282"/>
  <c r="K141" i="9" s="1"/>
  <c r="M141" i="9" s="1"/>
  <c r="J97" i="246"/>
  <c r="K163" i="9" s="1"/>
  <c r="M163" i="9" s="1"/>
  <c r="J487" i="246"/>
  <c r="K179" i="9" s="1"/>
  <c r="M179" i="9" s="1"/>
  <c r="C69" i="321"/>
  <c r="D83" i="321" s="1"/>
  <c r="J97" i="280"/>
  <c r="K75" i="9" s="1"/>
  <c r="M75" i="9" s="1"/>
  <c r="J354" i="280"/>
  <c r="K85" i="9" s="1"/>
  <c r="M85" i="9" s="1"/>
  <c r="J81" i="307"/>
  <c r="K90" i="9" s="1"/>
  <c r="M90" i="9" s="1"/>
  <c r="J372" i="281"/>
  <c r="K118" i="9" s="1"/>
  <c r="M118" i="9" s="1"/>
  <c r="J469" i="246"/>
  <c r="K178" i="9" s="1"/>
  <c r="M178" i="9" s="1"/>
  <c r="J79" i="280"/>
  <c r="K74" i="9" s="1"/>
  <c r="M74" i="9" s="1"/>
  <c r="J390" i="280"/>
  <c r="K87" i="9" s="1"/>
  <c r="M87" i="9" s="1"/>
  <c r="J63" i="307"/>
  <c r="K89" i="9" s="1"/>
  <c r="M89" i="9" s="1"/>
  <c r="J61" i="281"/>
  <c r="K105" i="9" s="1"/>
  <c r="M105" i="9" s="1"/>
  <c r="J97" i="281"/>
  <c r="K107" i="9" s="1"/>
  <c r="M107" i="9" s="1"/>
  <c r="J354" i="281"/>
  <c r="K117" i="9" s="1"/>
  <c r="M117" i="9" s="1"/>
  <c r="J61" i="282"/>
  <c r="K129" i="9" s="1"/>
  <c r="M129" i="9" s="1"/>
  <c r="J61" i="246"/>
  <c r="K161" i="9" s="1"/>
  <c r="M161" i="9" s="1"/>
  <c r="B349" i="329"/>
  <c r="D50" i="321"/>
  <c r="C11" i="321"/>
  <c r="J270" i="279"/>
  <c r="K66" i="9" s="1"/>
  <c r="M66" i="9" s="1"/>
  <c r="J61" i="280"/>
  <c r="K73" i="9" s="1"/>
  <c r="M73" i="9" s="1"/>
  <c r="J372" i="282"/>
  <c r="K142" i="9" s="1"/>
  <c r="M142" i="9" s="1"/>
  <c r="D110" i="309"/>
  <c r="D502" i="309"/>
  <c r="C144" i="321"/>
  <c r="D236" i="309"/>
  <c r="C162" i="323"/>
  <c r="C151" i="323"/>
  <c r="C15" i="323"/>
  <c r="C118" i="323"/>
  <c r="C77" i="323"/>
  <c r="C107" i="323"/>
  <c r="C64" i="323"/>
  <c r="C30" i="323"/>
  <c r="C95" i="323"/>
  <c r="C173" i="323"/>
  <c r="C40" i="322"/>
  <c r="C46" i="321"/>
  <c r="C66" i="322"/>
  <c r="C54" i="322"/>
  <c r="D320" i="309"/>
  <c r="B428" i="329"/>
  <c r="B493" i="329"/>
  <c r="D120" i="323"/>
  <c r="D164" i="323"/>
  <c r="C95" i="321"/>
  <c r="D109" i="321" s="1"/>
  <c r="D148" i="321"/>
  <c r="D157" i="321" s="1"/>
  <c r="C100" i="322"/>
  <c r="D109" i="322" s="1"/>
  <c r="C48" i="309"/>
  <c r="C65" i="309"/>
  <c r="D225" i="321"/>
  <c r="C42" i="323"/>
  <c r="C140" i="323"/>
  <c r="C129" i="323"/>
  <c r="C53" i="323"/>
  <c r="C125" i="327"/>
  <c r="C54" i="327"/>
  <c r="C98" i="327"/>
  <c r="C89" i="327"/>
  <c r="C134" i="327"/>
  <c r="C63" i="327"/>
  <c r="C90" i="322"/>
  <c r="J74" i="279"/>
  <c r="K58" i="9" s="1"/>
  <c r="M58" i="9" s="1"/>
  <c r="D34" i="309"/>
  <c r="D17" i="309"/>
  <c r="B11" i="251"/>
  <c r="C85" i="309" s="1"/>
  <c r="B19" i="251"/>
  <c r="C86" i="309" s="1"/>
  <c r="B282" i="251"/>
  <c r="C197" i="309" s="1"/>
  <c r="B290" i="251"/>
  <c r="C198" i="309" s="1"/>
  <c r="F76" i="250"/>
  <c r="H76" i="250" s="1"/>
  <c r="E73" i="250"/>
  <c r="G73" i="250" s="1"/>
  <c r="F68" i="250"/>
  <c r="F57" i="250"/>
  <c r="H57" i="250" s="1"/>
  <c r="E54" i="250"/>
  <c r="G54" i="250" s="1"/>
  <c r="F49" i="250"/>
  <c r="H49" i="250" s="1"/>
  <c r="E35" i="250"/>
  <c r="G35" i="250" s="1"/>
  <c r="F30" i="250"/>
  <c r="H30" i="250" s="1"/>
  <c r="E76" i="250"/>
  <c r="G76" i="250" s="1"/>
  <c r="F71" i="250"/>
  <c r="H71" i="250" s="1"/>
  <c r="E68" i="250"/>
  <c r="E57" i="250"/>
  <c r="G57" i="250" s="1"/>
  <c r="F52" i="250"/>
  <c r="H52" i="250" s="1"/>
  <c r="E49" i="250"/>
  <c r="G49" i="250" s="1"/>
  <c r="F33" i="250"/>
  <c r="H33" i="250" s="1"/>
  <c r="E30" i="250"/>
  <c r="G30" i="250" s="1"/>
  <c r="F74" i="250"/>
  <c r="H74" i="250" s="1"/>
  <c r="E71" i="250"/>
  <c r="G71" i="250" s="1"/>
  <c r="F55" i="250"/>
  <c r="H55" i="250" s="1"/>
  <c r="E52" i="250"/>
  <c r="G52" i="250" s="1"/>
  <c r="F36" i="250"/>
  <c r="H36" i="250" s="1"/>
  <c r="E33" i="250"/>
  <c r="G33" i="250" s="1"/>
  <c r="F28" i="250"/>
  <c r="F77" i="250"/>
  <c r="H77" i="250" s="1"/>
  <c r="E74" i="250"/>
  <c r="G74" i="250" s="1"/>
  <c r="F69" i="250"/>
  <c r="H69" i="250" s="1"/>
  <c r="E55" i="250"/>
  <c r="G55" i="250" s="1"/>
  <c r="F50" i="250"/>
  <c r="H50" i="250" s="1"/>
  <c r="E36" i="250"/>
  <c r="G36" i="250" s="1"/>
  <c r="F31" i="250"/>
  <c r="H31" i="250" s="1"/>
  <c r="E28" i="250"/>
  <c r="E77" i="250"/>
  <c r="G77" i="250" s="1"/>
  <c r="F72" i="250"/>
  <c r="H72" i="250" s="1"/>
  <c r="E69" i="250"/>
  <c r="G69" i="250" s="1"/>
  <c r="F53" i="250"/>
  <c r="H53" i="250" s="1"/>
  <c r="E50" i="250"/>
  <c r="G50" i="250" s="1"/>
  <c r="F34" i="250"/>
  <c r="H34" i="250" s="1"/>
  <c r="E31" i="250"/>
  <c r="G31" i="250" s="1"/>
  <c r="F75" i="250"/>
  <c r="H75" i="250" s="1"/>
  <c r="E72" i="250"/>
  <c r="G72" i="250" s="1"/>
  <c r="F56" i="250"/>
  <c r="H56" i="250" s="1"/>
  <c r="E53" i="250"/>
  <c r="G53" i="250" s="1"/>
  <c r="F48" i="250"/>
  <c r="F37" i="250"/>
  <c r="H37" i="250" s="1"/>
  <c r="E34" i="250"/>
  <c r="G34" i="250" s="1"/>
  <c r="F29" i="250"/>
  <c r="H29" i="250" s="1"/>
  <c r="E75" i="250"/>
  <c r="G75" i="250" s="1"/>
  <c r="F70" i="250"/>
  <c r="H70" i="250" s="1"/>
  <c r="E56" i="250"/>
  <c r="G56" i="250" s="1"/>
  <c r="F51" i="250"/>
  <c r="H51" i="250" s="1"/>
  <c r="E48" i="250"/>
  <c r="E37" i="250"/>
  <c r="G37" i="250" s="1"/>
  <c r="F32" i="250"/>
  <c r="H32" i="250" s="1"/>
  <c r="E29" i="250"/>
  <c r="G29" i="250" s="1"/>
  <c r="F73" i="250"/>
  <c r="H73" i="250" s="1"/>
  <c r="E70" i="250"/>
  <c r="G70" i="250" s="1"/>
  <c r="F54" i="250"/>
  <c r="H54" i="250" s="1"/>
  <c r="E51" i="250"/>
  <c r="G51" i="250" s="1"/>
  <c r="F35" i="250"/>
  <c r="H35" i="250" s="1"/>
  <c r="E32" i="250"/>
  <c r="G32" i="250" s="1"/>
  <c r="E748" i="250"/>
  <c r="G748" i="250" s="1"/>
  <c r="F743" i="250"/>
  <c r="H743" i="250" s="1"/>
  <c r="E740" i="250"/>
  <c r="E729" i="250"/>
  <c r="G729" i="250" s="1"/>
  <c r="F724" i="250"/>
  <c r="H724" i="250" s="1"/>
  <c r="E721" i="250"/>
  <c r="G721" i="250" s="1"/>
  <c r="F705" i="250"/>
  <c r="H705" i="250" s="1"/>
  <c r="E702" i="250"/>
  <c r="G702" i="250" s="1"/>
  <c r="F746" i="250"/>
  <c r="H746" i="250" s="1"/>
  <c r="E743" i="250"/>
  <c r="G743" i="250" s="1"/>
  <c r="F727" i="250"/>
  <c r="H727" i="250" s="1"/>
  <c r="E724" i="250"/>
  <c r="G724" i="250" s="1"/>
  <c r="F708" i="250"/>
  <c r="H708" i="250" s="1"/>
  <c r="E705" i="250"/>
  <c r="G705" i="250" s="1"/>
  <c r="F700" i="250"/>
  <c r="F749" i="250"/>
  <c r="H749" i="250" s="1"/>
  <c r="E746" i="250"/>
  <c r="G746" i="250" s="1"/>
  <c r="F741" i="250"/>
  <c r="H741" i="250" s="1"/>
  <c r="E727" i="250"/>
  <c r="G727" i="250" s="1"/>
  <c r="F722" i="250"/>
  <c r="H722" i="250" s="1"/>
  <c r="E708" i="250"/>
  <c r="G708" i="250" s="1"/>
  <c r="F703" i="250"/>
  <c r="H703" i="250" s="1"/>
  <c r="E700" i="250"/>
  <c r="E749" i="250"/>
  <c r="G749" i="250" s="1"/>
  <c r="F744" i="250"/>
  <c r="H744" i="250" s="1"/>
  <c r="E741" i="250"/>
  <c r="G741" i="250" s="1"/>
  <c r="F725" i="250"/>
  <c r="H725" i="250" s="1"/>
  <c r="E722" i="250"/>
  <c r="G722" i="250" s="1"/>
  <c r="F706" i="250"/>
  <c r="H706" i="250" s="1"/>
  <c r="E703" i="250"/>
  <c r="G703" i="250" s="1"/>
  <c r="F747" i="250"/>
  <c r="H747" i="250" s="1"/>
  <c r="E744" i="250"/>
  <c r="G744" i="250" s="1"/>
  <c r="F728" i="250"/>
  <c r="H728" i="250" s="1"/>
  <c r="E725" i="250"/>
  <c r="G725" i="250" s="1"/>
  <c r="F720" i="250"/>
  <c r="F709" i="250"/>
  <c r="H709" i="250" s="1"/>
  <c r="E706" i="250"/>
  <c r="G706" i="250" s="1"/>
  <c r="F701" i="250"/>
  <c r="H701" i="250" s="1"/>
  <c r="E747" i="250"/>
  <c r="G747" i="250" s="1"/>
  <c r="F742" i="250"/>
  <c r="H742" i="250" s="1"/>
  <c r="E728" i="250"/>
  <c r="G728" i="250" s="1"/>
  <c r="F723" i="250"/>
  <c r="H723" i="250" s="1"/>
  <c r="E720" i="250"/>
  <c r="E709" i="250"/>
  <c r="G709" i="250" s="1"/>
  <c r="F704" i="250"/>
  <c r="H704" i="250" s="1"/>
  <c r="E701" i="250"/>
  <c r="G701" i="250" s="1"/>
  <c r="F745" i="250"/>
  <c r="H745" i="250" s="1"/>
  <c r="E742" i="250"/>
  <c r="G742" i="250" s="1"/>
  <c r="F726" i="250"/>
  <c r="H726" i="250" s="1"/>
  <c r="E723" i="250"/>
  <c r="G723" i="250" s="1"/>
  <c r="F707" i="250"/>
  <c r="H707" i="250" s="1"/>
  <c r="E704" i="250"/>
  <c r="G704" i="250" s="1"/>
  <c r="F748" i="250"/>
  <c r="H748" i="250" s="1"/>
  <c r="E745" i="250"/>
  <c r="G745" i="250" s="1"/>
  <c r="F740" i="250"/>
  <c r="F729" i="250"/>
  <c r="H729" i="250" s="1"/>
  <c r="E726" i="250"/>
  <c r="G726" i="250" s="1"/>
  <c r="F721" i="250"/>
  <c r="H721" i="250" s="1"/>
  <c r="E707" i="250"/>
  <c r="G707" i="250" s="1"/>
  <c r="F702" i="250"/>
  <c r="H702" i="250" s="1"/>
  <c r="B786" i="251"/>
  <c r="C453" i="309" s="1"/>
  <c r="B794" i="251"/>
  <c r="C454" i="309" s="1"/>
  <c r="B770" i="251"/>
  <c r="C449" i="309" s="1"/>
  <c r="B778" i="251"/>
  <c r="C450" i="309" s="1"/>
  <c r="E1923" i="250"/>
  <c r="G1923" i="250" s="1"/>
  <c r="F1918" i="250"/>
  <c r="H1918" i="250" s="1"/>
  <c r="E1904" i="250"/>
  <c r="G1904" i="250" s="1"/>
  <c r="F1899" i="250"/>
  <c r="H1899" i="250" s="1"/>
  <c r="E1896" i="250"/>
  <c r="E1885" i="250"/>
  <c r="G1885" i="250" s="1"/>
  <c r="F1880" i="250"/>
  <c r="H1880" i="250" s="1"/>
  <c r="E1877" i="250"/>
  <c r="G1877" i="250" s="1"/>
  <c r="F1924" i="250"/>
  <c r="H1924" i="250" s="1"/>
  <c r="E1921" i="250"/>
  <c r="G1921" i="250" s="1"/>
  <c r="F1916" i="250"/>
  <c r="F1905" i="250"/>
  <c r="H1905" i="250" s="1"/>
  <c r="E1902" i="250"/>
  <c r="G1902" i="250" s="1"/>
  <c r="E1924" i="250"/>
  <c r="G1924" i="250" s="1"/>
  <c r="F1919" i="250"/>
  <c r="H1919" i="250" s="1"/>
  <c r="E1916" i="250"/>
  <c r="E1905" i="250"/>
  <c r="G1905" i="250" s="1"/>
  <c r="F1900" i="250"/>
  <c r="H1900" i="250" s="1"/>
  <c r="E1897" i="250"/>
  <c r="G1897" i="250" s="1"/>
  <c r="F1922" i="250"/>
  <c r="H1922" i="250" s="1"/>
  <c r="E1919" i="250"/>
  <c r="G1919" i="250" s="1"/>
  <c r="F1925" i="250"/>
  <c r="H1925" i="250" s="1"/>
  <c r="E1922" i="250"/>
  <c r="G1922" i="250" s="1"/>
  <c r="F1917" i="250"/>
  <c r="H1917" i="250" s="1"/>
  <c r="E1925" i="250"/>
  <c r="G1925" i="250" s="1"/>
  <c r="F1920" i="250"/>
  <c r="H1920" i="250" s="1"/>
  <c r="E1917" i="250"/>
  <c r="G1917" i="250" s="1"/>
  <c r="F1901" i="250"/>
  <c r="H1901" i="250" s="1"/>
  <c r="E1898" i="250"/>
  <c r="G1898" i="250" s="1"/>
  <c r="F1882" i="250"/>
  <c r="H1882" i="250" s="1"/>
  <c r="E1879" i="250"/>
  <c r="G1879" i="250" s="1"/>
  <c r="F1923" i="250"/>
  <c r="H1923" i="250" s="1"/>
  <c r="E1920" i="250"/>
  <c r="G1920" i="250" s="1"/>
  <c r="F1904" i="250"/>
  <c r="H1904" i="250" s="1"/>
  <c r="E1901" i="250"/>
  <c r="G1901" i="250" s="1"/>
  <c r="F1896" i="250"/>
  <c r="F1885" i="250"/>
  <c r="H1885" i="250" s="1"/>
  <c r="E1882" i="250"/>
  <c r="G1882" i="250" s="1"/>
  <c r="F1877" i="250"/>
  <c r="H1877" i="250" s="1"/>
  <c r="E1899" i="250"/>
  <c r="G1899" i="250" s="1"/>
  <c r="F1883" i="250"/>
  <c r="H1883" i="250" s="1"/>
  <c r="F1881" i="250"/>
  <c r="H1881" i="250" s="1"/>
  <c r="F1921" i="250"/>
  <c r="H1921" i="250" s="1"/>
  <c r="E1883" i="250"/>
  <c r="G1883" i="250" s="1"/>
  <c r="E1881" i="250"/>
  <c r="G1881" i="250" s="1"/>
  <c r="F1876" i="250"/>
  <c r="F1878" i="250"/>
  <c r="H1878" i="250" s="1"/>
  <c r="E1876" i="250"/>
  <c r="F1898" i="250"/>
  <c r="H1898" i="250" s="1"/>
  <c r="E1880" i="250"/>
  <c r="G1880" i="250" s="1"/>
  <c r="E1878" i="250"/>
  <c r="G1878" i="250" s="1"/>
  <c r="F1903" i="250"/>
  <c r="H1903" i="250" s="1"/>
  <c r="E1903" i="250"/>
  <c r="G1903" i="250" s="1"/>
  <c r="F1884" i="250"/>
  <c r="H1884" i="250" s="1"/>
  <c r="E1918" i="250"/>
  <c r="G1918" i="250" s="1"/>
  <c r="E1900" i="250"/>
  <c r="G1900" i="250" s="1"/>
  <c r="F1897" i="250"/>
  <c r="H1897" i="250" s="1"/>
  <c r="E1884" i="250"/>
  <c r="G1884" i="250" s="1"/>
  <c r="F1902" i="250"/>
  <c r="H1902" i="250" s="1"/>
  <c r="F1879" i="250"/>
  <c r="H1879" i="250" s="1"/>
  <c r="B165" i="251"/>
  <c r="C145" i="309" s="1"/>
  <c r="B173" i="251"/>
  <c r="C146" i="309" s="1"/>
  <c r="B505" i="251"/>
  <c r="C285" i="309" s="1"/>
  <c r="B513" i="251"/>
  <c r="C286" i="309" s="1"/>
  <c r="B149" i="251"/>
  <c r="C141" i="309" s="1"/>
  <c r="B157" i="251"/>
  <c r="C142" i="309" s="1"/>
  <c r="B489" i="251"/>
  <c r="C281" i="309" s="1"/>
  <c r="B497" i="251"/>
  <c r="C282" i="309" s="1"/>
  <c r="F411" i="250"/>
  <c r="H411" i="250" s="1"/>
  <c r="E408" i="250"/>
  <c r="G408" i="250" s="1"/>
  <c r="F392" i="250"/>
  <c r="H392" i="250" s="1"/>
  <c r="E389" i="250"/>
  <c r="G389" i="250" s="1"/>
  <c r="F384" i="250"/>
  <c r="F373" i="250"/>
  <c r="H373" i="250" s="1"/>
  <c r="E370" i="250"/>
  <c r="G370" i="250" s="1"/>
  <c r="E411" i="250"/>
  <c r="G411" i="250" s="1"/>
  <c r="F406" i="250"/>
  <c r="H406" i="250" s="1"/>
  <c r="F409" i="250"/>
  <c r="H409" i="250" s="1"/>
  <c r="E406" i="250"/>
  <c r="G406" i="250" s="1"/>
  <c r="F390" i="250"/>
  <c r="H390" i="250" s="1"/>
  <c r="E387" i="250"/>
  <c r="G387" i="250" s="1"/>
  <c r="F371" i="250"/>
  <c r="H371" i="250" s="1"/>
  <c r="F412" i="250"/>
  <c r="H412" i="250" s="1"/>
  <c r="E409" i="250"/>
  <c r="G409" i="250" s="1"/>
  <c r="F404" i="250"/>
  <c r="F393" i="250"/>
  <c r="H393" i="250" s="1"/>
  <c r="E390" i="250"/>
  <c r="G390" i="250" s="1"/>
  <c r="F385" i="250"/>
  <c r="H385" i="250" s="1"/>
  <c r="E371" i="250"/>
  <c r="G371" i="250" s="1"/>
  <c r="E412" i="250"/>
  <c r="G412" i="250" s="1"/>
  <c r="F407" i="250"/>
  <c r="H407" i="250" s="1"/>
  <c r="E404" i="250"/>
  <c r="E393" i="250"/>
  <c r="G393" i="250" s="1"/>
  <c r="F388" i="250"/>
  <c r="H388" i="250" s="1"/>
  <c r="E385" i="250"/>
  <c r="G385" i="250" s="1"/>
  <c r="F410" i="250"/>
  <c r="H410" i="250" s="1"/>
  <c r="E407" i="250"/>
  <c r="G407" i="250" s="1"/>
  <c r="F413" i="250"/>
  <c r="H413" i="250" s="1"/>
  <c r="E410" i="250"/>
  <c r="G410" i="250" s="1"/>
  <c r="F405" i="250"/>
  <c r="H405" i="250" s="1"/>
  <c r="E391" i="250"/>
  <c r="G391" i="250" s="1"/>
  <c r="F386" i="250"/>
  <c r="H386" i="250" s="1"/>
  <c r="E372" i="250"/>
  <c r="G372" i="250" s="1"/>
  <c r="E413" i="250"/>
  <c r="G413" i="250" s="1"/>
  <c r="F408" i="250"/>
  <c r="H408" i="250" s="1"/>
  <c r="E405" i="250"/>
  <c r="G405" i="250" s="1"/>
  <c r="F389" i="250"/>
  <c r="H389" i="250" s="1"/>
  <c r="E386" i="250"/>
  <c r="G386" i="250" s="1"/>
  <c r="F370" i="250"/>
  <c r="H370" i="250" s="1"/>
  <c r="E369" i="250"/>
  <c r="G369" i="250" s="1"/>
  <c r="E367" i="250"/>
  <c r="G367" i="250" s="1"/>
  <c r="F391" i="250"/>
  <c r="H391" i="250" s="1"/>
  <c r="F387" i="250"/>
  <c r="H387" i="250" s="1"/>
  <c r="F365" i="250"/>
  <c r="H365" i="250" s="1"/>
  <c r="F368" i="250"/>
  <c r="H368" i="250" s="1"/>
  <c r="E365" i="250"/>
  <c r="G365" i="250" s="1"/>
  <c r="E368" i="250"/>
  <c r="G368" i="250" s="1"/>
  <c r="F366" i="250"/>
  <c r="H366" i="250" s="1"/>
  <c r="E373" i="250"/>
  <c r="G373" i="250" s="1"/>
  <c r="E366" i="250"/>
  <c r="G366" i="250" s="1"/>
  <c r="F364" i="250"/>
  <c r="E392" i="250"/>
  <c r="G392" i="250" s="1"/>
  <c r="E388" i="250"/>
  <c r="G388" i="250" s="1"/>
  <c r="E384" i="250"/>
  <c r="F372" i="250"/>
  <c r="H372" i="250" s="1"/>
  <c r="F369" i="250"/>
  <c r="H369" i="250" s="1"/>
  <c r="F367" i="250"/>
  <c r="H367" i="250" s="1"/>
  <c r="E364" i="250"/>
  <c r="F1251" i="250"/>
  <c r="H1251" i="250" s="1"/>
  <c r="E1248" i="250"/>
  <c r="G1248" i="250" s="1"/>
  <c r="F1232" i="250"/>
  <c r="H1232" i="250" s="1"/>
  <c r="E1229" i="250"/>
  <c r="G1229" i="250" s="1"/>
  <c r="F1224" i="250"/>
  <c r="F1213" i="250"/>
  <c r="H1213" i="250" s="1"/>
  <c r="E1210" i="250"/>
  <c r="G1210" i="250" s="1"/>
  <c r="F1205" i="250"/>
  <c r="H1205" i="250" s="1"/>
  <c r="E1251" i="250"/>
  <c r="G1251" i="250" s="1"/>
  <c r="F1246" i="250"/>
  <c r="H1246" i="250" s="1"/>
  <c r="E1232" i="250"/>
  <c r="G1232" i="250" s="1"/>
  <c r="F1227" i="250"/>
  <c r="H1227" i="250" s="1"/>
  <c r="E1224" i="250"/>
  <c r="E1213" i="250"/>
  <c r="G1213" i="250" s="1"/>
  <c r="F1208" i="250"/>
  <c r="H1208" i="250" s="1"/>
  <c r="E1205" i="250"/>
  <c r="G1205" i="250" s="1"/>
  <c r="F1249" i="250"/>
  <c r="H1249" i="250" s="1"/>
  <c r="E1246" i="250"/>
  <c r="G1246" i="250" s="1"/>
  <c r="F1230" i="250"/>
  <c r="H1230" i="250" s="1"/>
  <c r="E1227" i="250"/>
  <c r="G1227" i="250" s="1"/>
  <c r="F1211" i="250"/>
  <c r="H1211" i="250" s="1"/>
  <c r="E1208" i="250"/>
  <c r="G1208" i="250" s="1"/>
  <c r="F1252" i="250"/>
  <c r="H1252" i="250" s="1"/>
  <c r="E1249" i="250"/>
  <c r="G1249" i="250" s="1"/>
  <c r="F1244" i="250"/>
  <c r="F1233" i="250"/>
  <c r="H1233" i="250" s="1"/>
  <c r="E1230" i="250"/>
  <c r="G1230" i="250" s="1"/>
  <c r="F1225" i="250"/>
  <c r="H1225" i="250" s="1"/>
  <c r="E1211" i="250"/>
  <c r="G1211" i="250" s="1"/>
  <c r="F1206" i="250"/>
  <c r="H1206" i="250" s="1"/>
  <c r="E1252" i="250"/>
  <c r="G1252" i="250" s="1"/>
  <c r="F1247" i="250"/>
  <c r="H1247" i="250" s="1"/>
  <c r="E1244" i="250"/>
  <c r="E1233" i="250"/>
  <c r="G1233" i="250" s="1"/>
  <c r="F1228" i="250"/>
  <c r="H1228" i="250" s="1"/>
  <c r="E1225" i="250"/>
  <c r="G1225" i="250" s="1"/>
  <c r="F1209" i="250"/>
  <c r="H1209" i="250" s="1"/>
  <c r="E1206" i="250"/>
  <c r="G1206" i="250" s="1"/>
  <c r="F1250" i="250"/>
  <c r="H1250" i="250" s="1"/>
  <c r="E1247" i="250"/>
  <c r="G1247" i="250" s="1"/>
  <c r="F1231" i="250"/>
  <c r="H1231" i="250" s="1"/>
  <c r="E1228" i="250"/>
  <c r="G1228" i="250" s="1"/>
  <c r="F1212" i="250"/>
  <c r="H1212" i="250" s="1"/>
  <c r="E1209" i="250"/>
  <c r="G1209" i="250" s="1"/>
  <c r="F1204" i="250"/>
  <c r="F1253" i="250"/>
  <c r="H1253" i="250" s="1"/>
  <c r="E1250" i="250"/>
  <c r="G1250" i="250" s="1"/>
  <c r="F1245" i="250"/>
  <c r="H1245" i="250" s="1"/>
  <c r="E1231" i="250"/>
  <c r="G1231" i="250" s="1"/>
  <c r="F1226" i="250"/>
  <c r="H1226" i="250" s="1"/>
  <c r="E1212" i="250"/>
  <c r="G1212" i="250" s="1"/>
  <c r="F1207" i="250"/>
  <c r="H1207" i="250" s="1"/>
  <c r="E1204" i="250"/>
  <c r="E1253" i="250"/>
  <c r="G1253" i="250" s="1"/>
  <c r="F1248" i="250"/>
  <c r="H1248" i="250" s="1"/>
  <c r="E1245" i="250"/>
  <c r="G1245" i="250" s="1"/>
  <c r="F1229" i="250"/>
  <c r="H1229" i="250" s="1"/>
  <c r="E1226" i="250"/>
  <c r="G1226" i="250" s="1"/>
  <c r="F1210" i="250"/>
  <c r="H1210" i="250" s="1"/>
  <c r="E1207" i="250"/>
  <c r="G1207" i="250" s="1"/>
  <c r="B27" i="251"/>
  <c r="C89" i="309" s="1"/>
  <c r="B35" i="251"/>
  <c r="C90" i="309" s="1"/>
  <c r="B298" i="251"/>
  <c r="C201" i="309" s="1"/>
  <c r="B306" i="251"/>
  <c r="C202" i="309" s="1"/>
  <c r="K589" i="309" l="1"/>
  <c r="K580" i="329" s="1"/>
  <c r="J590" i="309"/>
  <c r="J592" i="329" s="1"/>
  <c r="J589" i="309"/>
  <c r="J580" i="329" s="1"/>
  <c r="M589" i="309"/>
  <c r="M580" i="329" s="1"/>
  <c r="L589" i="309"/>
  <c r="L580" i="329" s="1"/>
  <c r="M590" i="309"/>
  <c r="M592" i="329" s="1"/>
  <c r="L590" i="309"/>
  <c r="L592" i="329" s="1"/>
  <c r="N589" i="309"/>
  <c r="N580" i="329" s="1"/>
  <c r="N590" i="309"/>
  <c r="N592" i="329" s="1"/>
  <c r="K590" i="309"/>
  <c r="K592" i="329" s="1"/>
  <c r="H304" i="329"/>
  <c r="H621" i="329"/>
  <c r="H610" i="329"/>
  <c r="H239" i="329"/>
  <c r="D137" i="327"/>
  <c r="D76" i="309" s="1"/>
  <c r="D128" i="327"/>
  <c r="D59" i="309" s="1"/>
  <c r="D46" i="323"/>
  <c r="D47" i="323"/>
  <c r="D178" i="323"/>
  <c r="D177" i="323"/>
  <c r="D95" i="329"/>
  <c r="D93" i="329"/>
  <c r="D92" i="327"/>
  <c r="D55" i="309" s="1"/>
  <c r="D238" i="321"/>
  <c r="D237" i="321"/>
  <c r="D76" i="322"/>
  <c r="D36" i="329" s="1"/>
  <c r="D100" i="323"/>
  <c r="D99" i="323"/>
  <c r="D167" i="323"/>
  <c r="D166" i="323"/>
  <c r="D102" i="329"/>
  <c r="D104" i="329"/>
  <c r="D209" i="321"/>
  <c r="D101" i="327"/>
  <c r="D72" i="309" s="1"/>
  <c r="D134" i="323"/>
  <c r="D133" i="323"/>
  <c r="D123" i="323"/>
  <c r="D122" i="323"/>
  <c r="C20" i="322"/>
  <c r="D81" i="329"/>
  <c r="D83" i="329"/>
  <c r="D66" i="327"/>
  <c r="D68" i="309" s="1"/>
  <c r="D57" i="327"/>
  <c r="D51" i="309" s="1"/>
  <c r="D51" i="321"/>
  <c r="D60" i="322" s="1"/>
  <c r="D58" i="322"/>
  <c r="C92" i="322"/>
  <c r="D98" i="322" s="1"/>
  <c r="D54" i="321"/>
  <c r="D61" i="322" s="1"/>
  <c r="C56" i="322"/>
  <c r="D64" i="322" s="1"/>
  <c r="D58" i="321"/>
  <c r="D57" i="321"/>
  <c r="C81" i="322"/>
  <c r="D88" i="322" s="1"/>
  <c r="C42" i="322"/>
  <c r="D51" i="322" s="1"/>
  <c r="D35" i="321"/>
  <c r="D32" i="321"/>
  <c r="D48" i="322" s="1"/>
  <c r="D45" i="322"/>
  <c r="D28" i="321"/>
  <c r="D47" i="322" s="1"/>
  <c r="D34" i="321"/>
  <c r="D18" i="322"/>
  <c r="C11" i="322"/>
  <c r="D74" i="329"/>
  <c r="D72" i="329"/>
  <c r="G8" i="250"/>
  <c r="G18" i="250" s="1"/>
  <c r="G9" i="311" s="1"/>
  <c r="E18" i="250"/>
  <c r="E9" i="311" s="1"/>
  <c r="H8" i="250"/>
  <c r="H18" i="250" s="1"/>
  <c r="H9" i="311" s="1"/>
  <c r="F18" i="250"/>
  <c r="F9" i="311" s="1"/>
  <c r="I84" i="343"/>
  <c r="I90" i="343"/>
  <c r="I95" i="343"/>
  <c r="H95" i="343"/>
  <c r="H84" i="343"/>
  <c r="H90" i="343"/>
  <c r="J84" i="343"/>
  <c r="J90" i="343"/>
  <c r="J95" i="343"/>
  <c r="F95" i="343"/>
  <c r="F84" i="343"/>
  <c r="F90" i="343"/>
  <c r="G84" i="343"/>
  <c r="G90" i="343"/>
  <c r="G95" i="343"/>
  <c r="D458" i="329"/>
  <c r="D457" i="329"/>
  <c r="D456" i="329"/>
  <c r="D459" i="329"/>
  <c r="D514" i="329"/>
  <c r="D513" i="329"/>
  <c r="D512" i="329"/>
  <c r="D511" i="329"/>
  <c r="D517" i="329"/>
  <c r="D516" i="329"/>
  <c r="D515" i="329"/>
  <c r="D545" i="329"/>
  <c r="D544" i="329"/>
  <c r="D543" i="329"/>
  <c r="D542" i="329"/>
  <c r="D541" i="329"/>
  <c r="D540" i="329"/>
  <c r="D546" i="329"/>
  <c r="I577" i="329"/>
  <c r="H214" i="329"/>
  <c r="H216" i="329"/>
  <c r="I589" i="329"/>
  <c r="D499" i="329"/>
  <c r="D498" i="329"/>
  <c r="D497" i="329"/>
  <c r="D503" i="329"/>
  <c r="D502" i="329"/>
  <c r="D501" i="329"/>
  <c r="D500" i="329"/>
  <c r="D469" i="329"/>
  <c r="D468" i="329"/>
  <c r="D467" i="329"/>
  <c r="D466" i="329"/>
  <c r="D531" i="329"/>
  <c r="D530" i="329"/>
  <c r="D529" i="329"/>
  <c r="D528" i="329"/>
  <c r="D527" i="329"/>
  <c r="D533" i="329"/>
  <c r="D532" i="329"/>
  <c r="K63" i="317"/>
  <c r="K45" i="317"/>
  <c r="J63" i="317"/>
  <c r="J45" i="317"/>
  <c r="L45" i="317"/>
  <c r="L63" i="317"/>
  <c r="M45" i="317"/>
  <c r="M63" i="317"/>
  <c r="N63" i="317"/>
  <c r="N45" i="317"/>
  <c r="D105" i="322"/>
  <c r="D34" i="329" s="1"/>
  <c r="C92" i="343" s="1"/>
  <c r="D104" i="322"/>
  <c r="D31" i="329" s="1"/>
  <c r="C86" i="343" s="1"/>
  <c r="D37" i="329"/>
  <c r="D40" i="329" s="1"/>
  <c r="D71" i="322"/>
  <c r="D30" i="329" s="1"/>
  <c r="C85" i="343" s="1"/>
  <c r="D72" i="322"/>
  <c r="D33" i="329" s="1"/>
  <c r="C91" i="343" s="1"/>
  <c r="D142" i="323"/>
  <c r="D145" i="323" s="1"/>
  <c r="D55" i="323"/>
  <c r="D58" i="323" s="1"/>
  <c r="D79" i="323"/>
  <c r="D82" i="323" s="1"/>
  <c r="D66" i="323"/>
  <c r="D68" i="323" s="1"/>
  <c r="D149" i="317"/>
  <c r="D24" i="322"/>
  <c r="D19" i="329" s="1"/>
  <c r="D75" i="322"/>
  <c r="D108" i="322"/>
  <c r="D143" i="317"/>
  <c r="D23" i="322"/>
  <c r="D18" i="329" s="1"/>
  <c r="D136" i="317"/>
  <c r="D17" i="322"/>
  <c r="D15" i="329" s="1"/>
  <c r="D148" i="317"/>
  <c r="D14" i="322"/>
  <c r="D14" i="329" s="1"/>
  <c r="D137" i="317"/>
  <c r="D25" i="322"/>
  <c r="D20" i="329" s="1"/>
  <c r="D142" i="317"/>
  <c r="D13" i="329"/>
  <c r="H472" i="329"/>
  <c r="K927" i="251"/>
  <c r="K928" i="251" s="1"/>
  <c r="K510" i="309" s="1"/>
  <c r="K910" i="251"/>
  <c r="H2187" i="250"/>
  <c r="H2202" i="250" s="1"/>
  <c r="H411" i="311" s="1"/>
  <c r="F2202" i="250"/>
  <c r="F411" i="311" s="1"/>
  <c r="E2222" i="250"/>
  <c r="E412" i="311" s="1"/>
  <c r="G2212" i="250"/>
  <c r="G2222" i="250" s="1"/>
  <c r="G412" i="311" s="1"/>
  <c r="F2222" i="250"/>
  <c r="F412" i="311" s="1"/>
  <c r="H2212" i="250"/>
  <c r="H2222" i="250" s="1"/>
  <c r="H412" i="311" s="1"/>
  <c r="G246" i="250"/>
  <c r="G43" i="311" s="1"/>
  <c r="K96" i="251"/>
  <c r="K97" i="251" s="1"/>
  <c r="K117" i="309" s="1"/>
  <c r="K78" i="251"/>
  <c r="H246" i="250"/>
  <c r="H43" i="311" s="1"/>
  <c r="J408" i="251"/>
  <c r="J409" i="251" s="1"/>
  <c r="J244" i="309" s="1"/>
  <c r="J391" i="251"/>
  <c r="K408" i="251"/>
  <c r="K409" i="251" s="1"/>
  <c r="K244" i="309" s="1"/>
  <c r="K391" i="251"/>
  <c r="G927" i="250"/>
  <c r="G942" i="250" s="1"/>
  <c r="G178" i="311" s="1"/>
  <c r="E942" i="250"/>
  <c r="E178" i="311" s="1"/>
  <c r="G2874" i="250"/>
  <c r="G459" i="311" s="1"/>
  <c r="G2894" i="250"/>
  <c r="G460" i="311" s="1"/>
  <c r="D443" i="329"/>
  <c r="G666" i="250"/>
  <c r="G120" i="311" s="1"/>
  <c r="H606" i="250"/>
  <c r="H117" i="311" s="1"/>
  <c r="L606" i="251"/>
  <c r="L607" i="251" s="1"/>
  <c r="L327" i="309" s="1"/>
  <c r="L588" i="251"/>
  <c r="E1466" i="250"/>
  <c r="E272" i="311" s="1"/>
  <c r="G1456" i="250"/>
  <c r="G1466" i="250" s="1"/>
  <c r="G272" i="311" s="1"/>
  <c r="F1466" i="250"/>
  <c r="F272" i="311" s="1"/>
  <c r="H1456" i="250"/>
  <c r="H1466" i="250" s="1"/>
  <c r="H272" i="311" s="1"/>
  <c r="N918" i="251"/>
  <c r="N919" i="251" s="1"/>
  <c r="N509" i="309" s="1"/>
  <c r="N901" i="251"/>
  <c r="J918" i="251"/>
  <c r="J919" i="251" s="1"/>
  <c r="J509" i="309" s="1"/>
  <c r="J901" i="251"/>
  <c r="L105" i="251"/>
  <c r="L106" i="251" s="1"/>
  <c r="L118" i="309" s="1"/>
  <c r="L88" i="251"/>
  <c r="J96" i="251"/>
  <c r="J97" i="251" s="1"/>
  <c r="J117" i="309" s="1"/>
  <c r="J78" i="251"/>
  <c r="H206" i="250"/>
  <c r="H41" i="311" s="1"/>
  <c r="J381" i="251"/>
  <c r="J399" i="251"/>
  <c r="J400" i="251" s="1"/>
  <c r="J243" i="309" s="1"/>
  <c r="K399" i="251"/>
  <c r="K400" i="251" s="1"/>
  <c r="K243" i="309" s="1"/>
  <c r="K381" i="251"/>
  <c r="D432" i="329"/>
  <c r="L615" i="251"/>
  <c r="L616" i="251" s="1"/>
  <c r="L328" i="309" s="1"/>
  <c r="L598" i="251"/>
  <c r="H1496" i="250"/>
  <c r="H1506" i="250" s="1"/>
  <c r="H274" i="311" s="1"/>
  <c r="F1506" i="250"/>
  <c r="F274" i="311" s="1"/>
  <c r="N927" i="251"/>
  <c r="N928" i="251" s="1"/>
  <c r="N510" i="309" s="1"/>
  <c r="N910" i="251"/>
  <c r="J927" i="251"/>
  <c r="J928" i="251" s="1"/>
  <c r="J510" i="309" s="1"/>
  <c r="J910" i="251"/>
  <c r="G2187" i="250"/>
  <c r="G2202" i="250" s="1"/>
  <c r="G411" i="311" s="1"/>
  <c r="E2202" i="250"/>
  <c r="E411" i="311" s="1"/>
  <c r="K105" i="251"/>
  <c r="K106" i="251" s="1"/>
  <c r="K118" i="309" s="1"/>
  <c r="K88" i="251"/>
  <c r="N105" i="251"/>
  <c r="N106" i="251" s="1"/>
  <c r="N118" i="309" s="1"/>
  <c r="N88" i="251"/>
  <c r="G206" i="250"/>
  <c r="G41" i="311" s="1"/>
  <c r="N391" i="251"/>
  <c r="N408" i="251"/>
  <c r="N409" i="251" s="1"/>
  <c r="N244" i="309" s="1"/>
  <c r="F1002" i="250"/>
  <c r="F181" i="311" s="1"/>
  <c r="H992" i="250"/>
  <c r="H1002" i="250" s="1"/>
  <c r="H181" i="311" s="1"/>
  <c r="G2914" i="250"/>
  <c r="G461" i="311" s="1"/>
  <c r="G606" i="250"/>
  <c r="G117" i="311" s="1"/>
  <c r="J606" i="251"/>
  <c r="J607" i="251" s="1"/>
  <c r="J327" i="309" s="1"/>
  <c r="J588" i="251"/>
  <c r="K606" i="251"/>
  <c r="K607" i="251" s="1"/>
  <c r="K327" i="309" s="1"/>
  <c r="K588" i="251"/>
  <c r="G1496" i="250"/>
  <c r="G1506" i="250" s="1"/>
  <c r="G274" i="311" s="1"/>
  <c r="E1506" i="250"/>
  <c r="E274" i="311" s="1"/>
  <c r="E1446" i="250"/>
  <c r="E271" i="311" s="1"/>
  <c r="G1431" i="250"/>
  <c r="G1446" i="250" s="1"/>
  <c r="G271" i="311" s="1"/>
  <c r="M901" i="251"/>
  <c r="M918" i="251"/>
  <c r="M919" i="251" s="1"/>
  <c r="M509" i="309" s="1"/>
  <c r="M105" i="251"/>
  <c r="M106" i="251" s="1"/>
  <c r="M118" i="309" s="1"/>
  <c r="M88" i="251"/>
  <c r="H186" i="250"/>
  <c r="H40" i="311" s="1"/>
  <c r="N399" i="251"/>
  <c r="N400" i="251" s="1"/>
  <c r="N243" i="309" s="1"/>
  <c r="N381" i="251"/>
  <c r="G992" i="250"/>
  <c r="G1002" i="250" s="1"/>
  <c r="G181" i="311" s="1"/>
  <c r="E1002" i="250"/>
  <c r="E181" i="311" s="1"/>
  <c r="G2934" i="250"/>
  <c r="G462" i="311" s="1"/>
  <c r="G626" i="250"/>
  <c r="G118" i="311" s="1"/>
  <c r="J615" i="251"/>
  <c r="J616" i="251" s="1"/>
  <c r="J328" i="309" s="1"/>
  <c r="J598" i="251"/>
  <c r="K615" i="251"/>
  <c r="K616" i="251" s="1"/>
  <c r="K328" i="309" s="1"/>
  <c r="K598" i="251"/>
  <c r="M927" i="251"/>
  <c r="M928" i="251" s="1"/>
  <c r="M510" i="309" s="1"/>
  <c r="M910" i="251"/>
  <c r="F2262" i="250"/>
  <c r="F414" i="311" s="1"/>
  <c r="H2252" i="250"/>
  <c r="H2262" i="250" s="1"/>
  <c r="H414" i="311" s="1"/>
  <c r="N96" i="251"/>
  <c r="N97" i="251" s="1"/>
  <c r="N117" i="309" s="1"/>
  <c r="N78" i="251"/>
  <c r="M391" i="251"/>
  <c r="M408" i="251"/>
  <c r="M409" i="251" s="1"/>
  <c r="M244" i="309" s="1"/>
  <c r="H952" i="250"/>
  <c r="H962" i="250" s="1"/>
  <c r="H179" i="311" s="1"/>
  <c r="F962" i="250"/>
  <c r="F179" i="311" s="1"/>
  <c r="E982" i="250"/>
  <c r="E180" i="311" s="1"/>
  <c r="G972" i="250"/>
  <c r="G982" i="250" s="1"/>
  <c r="G180" i="311" s="1"/>
  <c r="F982" i="250"/>
  <c r="F180" i="311" s="1"/>
  <c r="H972" i="250"/>
  <c r="H982" i="250" s="1"/>
  <c r="H180" i="311" s="1"/>
  <c r="H2894" i="250"/>
  <c r="H460" i="311" s="1"/>
  <c r="H626" i="250"/>
  <c r="H118" i="311" s="1"/>
  <c r="N606" i="251"/>
  <c r="N607" i="251" s="1"/>
  <c r="N327" i="309" s="1"/>
  <c r="N588" i="251"/>
  <c r="L918" i="251"/>
  <c r="L919" i="251" s="1"/>
  <c r="L509" i="309" s="1"/>
  <c r="L901" i="251"/>
  <c r="G2252" i="250"/>
  <c r="G2262" i="250" s="1"/>
  <c r="G414" i="311" s="1"/>
  <c r="E2262" i="250"/>
  <c r="E414" i="311" s="1"/>
  <c r="M96" i="251"/>
  <c r="M97" i="251" s="1"/>
  <c r="M117" i="309" s="1"/>
  <c r="M78" i="251"/>
  <c r="M381" i="251"/>
  <c r="M399" i="251"/>
  <c r="M400" i="251" s="1"/>
  <c r="M243" i="309" s="1"/>
  <c r="H2874" i="250"/>
  <c r="H459" i="311" s="1"/>
  <c r="H2914" i="250"/>
  <c r="H461" i="311" s="1"/>
  <c r="G646" i="250"/>
  <c r="G119" i="311" s="1"/>
  <c r="N615" i="251"/>
  <c r="N616" i="251" s="1"/>
  <c r="N328" i="309" s="1"/>
  <c r="N598" i="251"/>
  <c r="H1476" i="250"/>
  <c r="H1486" i="250" s="1"/>
  <c r="H273" i="311" s="1"/>
  <c r="F1486" i="250"/>
  <c r="F273" i="311" s="1"/>
  <c r="F1446" i="250"/>
  <c r="F271" i="311" s="1"/>
  <c r="H1431" i="250"/>
  <c r="H1446" i="250" s="1"/>
  <c r="H271" i="311" s="1"/>
  <c r="L927" i="251"/>
  <c r="L928" i="251" s="1"/>
  <c r="L510" i="309" s="1"/>
  <c r="L910" i="251"/>
  <c r="E2242" i="250"/>
  <c r="E413" i="311" s="1"/>
  <c r="G2232" i="250"/>
  <c r="G2242" i="250" s="1"/>
  <c r="G413" i="311" s="1"/>
  <c r="F2242" i="250"/>
  <c r="F413" i="311" s="1"/>
  <c r="H2232" i="250"/>
  <c r="H2242" i="250" s="1"/>
  <c r="H413" i="311" s="1"/>
  <c r="L96" i="251"/>
  <c r="L97" i="251" s="1"/>
  <c r="L117" i="309" s="1"/>
  <c r="L78" i="251"/>
  <c r="H226" i="250"/>
  <c r="H42" i="311" s="1"/>
  <c r="L408" i="251"/>
  <c r="L409" i="251" s="1"/>
  <c r="L244" i="309" s="1"/>
  <c r="L391" i="251"/>
  <c r="H927" i="250"/>
  <c r="H942" i="250" s="1"/>
  <c r="H178" i="311" s="1"/>
  <c r="F942" i="250"/>
  <c r="F178" i="311" s="1"/>
  <c r="E962" i="250"/>
  <c r="E179" i="311" s="1"/>
  <c r="G952" i="250"/>
  <c r="G962" i="250" s="1"/>
  <c r="G179" i="311" s="1"/>
  <c r="H646" i="250"/>
  <c r="H119" i="311" s="1"/>
  <c r="M606" i="251"/>
  <c r="M607" i="251" s="1"/>
  <c r="M327" i="309" s="1"/>
  <c r="M588" i="251"/>
  <c r="G1476" i="250"/>
  <c r="G1486" i="250" s="1"/>
  <c r="G273" i="311" s="1"/>
  <c r="E1486" i="250"/>
  <c r="E273" i="311" s="1"/>
  <c r="K918" i="251"/>
  <c r="K919" i="251" s="1"/>
  <c r="K509" i="309" s="1"/>
  <c r="K901" i="251"/>
  <c r="G186" i="250"/>
  <c r="G40" i="311" s="1"/>
  <c r="J105" i="251"/>
  <c r="J106" i="251" s="1"/>
  <c r="J118" i="309" s="1"/>
  <c r="J88" i="251"/>
  <c r="G226" i="250"/>
  <c r="G42" i="311" s="1"/>
  <c r="L399" i="251"/>
  <c r="L400" i="251" s="1"/>
  <c r="L243" i="309" s="1"/>
  <c r="L381" i="251"/>
  <c r="H2934" i="250"/>
  <c r="H462" i="311" s="1"/>
  <c r="H666" i="250"/>
  <c r="H120" i="311" s="1"/>
  <c r="M615" i="251"/>
  <c r="M616" i="251" s="1"/>
  <c r="M328" i="309" s="1"/>
  <c r="M598" i="251"/>
  <c r="L308" i="251"/>
  <c r="L202" i="309" s="1"/>
  <c r="L283" i="329"/>
  <c r="L300" i="251"/>
  <c r="L201" i="309" s="1"/>
  <c r="L270" i="329"/>
  <c r="M353" i="329"/>
  <c r="M507" i="251"/>
  <c r="M285" i="309" s="1"/>
  <c r="K603" i="329"/>
  <c r="K308" i="251"/>
  <c r="K202" i="309" s="1"/>
  <c r="K283" i="329"/>
  <c r="J368" i="329"/>
  <c r="J515" i="251"/>
  <c r="J286" i="309" s="1"/>
  <c r="L614" i="329"/>
  <c r="N300" i="251"/>
  <c r="N201" i="309" s="1"/>
  <c r="N270" i="329"/>
  <c r="N507" i="251"/>
  <c r="N285" i="309" s="1"/>
  <c r="N353" i="329"/>
  <c r="L353" i="329"/>
  <c r="L507" i="251"/>
  <c r="L285" i="309" s="1"/>
  <c r="K270" i="329"/>
  <c r="K300" i="251"/>
  <c r="K201" i="309" s="1"/>
  <c r="J507" i="251"/>
  <c r="J285" i="309" s="1"/>
  <c r="J353" i="329"/>
  <c r="K353" i="329"/>
  <c r="K507" i="251"/>
  <c r="K285" i="309" s="1"/>
  <c r="N603" i="329"/>
  <c r="M614" i="329"/>
  <c r="J270" i="329"/>
  <c r="J300" i="251"/>
  <c r="J201" i="309" s="1"/>
  <c r="N515" i="251"/>
  <c r="N286" i="309" s="1"/>
  <c r="N368" i="329"/>
  <c r="J603" i="329"/>
  <c r="N614" i="329"/>
  <c r="M603" i="329"/>
  <c r="N308" i="251"/>
  <c r="N202" i="309" s="1"/>
  <c r="N283" i="329"/>
  <c r="M515" i="251"/>
  <c r="M286" i="309" s="1"/>
  <c r="M368" i="329"/>
  <c r="J614" i="329"/>
  <c r="M300" i="251"/>
  <c r="M201" i="309" s="1"/>
  <c r="M270" i="329"/>
  <c r="L515" i="251"/>
  <c r="L286" i="309" s="1"/>
  <c r="L368" i="329"/>
  <c r="L603" i="329"/>
  <c r="M308" i="251"/>
  <c r="M202" i="309" s="1"/>
  <c r="M283" i="329"/>
  <c r="J308" i="251"/>
  <c r="J202" i="309" s="1"/>
  <c r="J283" i="329"/>
  <c r="K614" i="329"/>
  <c r="K368" i="329"/>
  <c r="K515" i="251"/>
  <c r="K286" i="309" s="1"/>
  <c r="F1866" i="250"/>
  <c r="F350" i="311" s="1"/>
  <c r="H1851" i="250"/>
  <c r="H1866" i="250" s="1"/>
  <c r="H350" i="311" s="1"/>
  <c r="E1866" i="250"/>
  <c r="E350" i="311" s="1"/>
  <c r="G1851" i="250"/>
  <c r="G1866" i="250" s="1"/>
  <c r="G350" i="311" s="1"/>
  <c r="E1194" i="250"/>
  <c r="E225" i="311" s="1"/>
  <c r="G1179" i="250"/>
  <c r="G1194" i="250" s="1"/>
  <c r="G225" i="311" s="1"/>
  <c r="F1194" i="250"/>
  <c r="F225" i="311" s="1"/>
  <c r="H1179" i="250"/>
  <c r="H1194" i="250" s="1"/>
  <c r="H225" i="311" s="1"/>
  <c r="E690" i="250"/>
  <c r="E132" i="311" s="1"/>
  <c r="G675" i="250"/>
  <c r="G690" i="250" s="1"/>
  <c r="G132" i="311" s="1"/>
  <c r="F690" i="250"/>
  <c r="F132" i="311" s="1"/>
  <c r="H675" i="250"/>
  <c r="H690" i="250" s="1"/>
  <c r="H132" i="311" s="1"/>
  <c r="F354" i="250"/>
  <c r="F71" i="311" s="1"/>
  <c r="H339" i="250"/>
  <c r="H354" i="250" s="1"/>
  <c r="H71" i="311" s="1"/>
  <c r="E354" i="250"/>
  <c r="E71" i="311" s="1"/>
  <c r="G339" i="250"/>
  <c r="G354" i="250" s="1"/>
  <c r="G71" i="311" s="1"/>
  <c r="H619" i="329"/>
  <c r="H618" i="329"/>
  <c r="H614" i="329"/>
  <c r="H617" i="329"/>
  <c r="H615" i="329"/>
  <c r="H616" i="329"/>
  <c r="H608" i="329"/>
  <c r="H607" i="329"/>
  <c r="H606" i="329"/>
  <c r="H605" i="329"/>
  <c r="H604" i="329"/>
  <c r="H603" i="329"/>
  <c r="H549" i="329"/>
  <c r="H520" i="329"/>
  <c r="H518" i="329"/>
  <c r="H536" i="329"/>
  <c r="H506" i="329"/>
  <c r="H515" i="329"/>
  <c r="H511" i="329"/>
  <c r="H449" i="329"/>
  <c r="H462" i="329"/>
  <c r="H407" i="329"/>
  <c r="H409" i="329"/>
  <c r="H405" i="329"/>
  <c r="H404" i="329"/>
  <c r="H403" i="329"/>
  <c r="H406" i="329"/>
  <c r="H399" i="329"/>
  <c r="H401" i="329"/>
  <c r="H402" i="329"/>
  <c r="H400" i="329"/>
  <c r="H393" i="329"/>
  <c r="H395" i="329"/>
  <c r="H391" i="329"/>
  <c r="H390" i="329"/>
  <c r="H389" i="329"/>
  <c r="H392" i="329"/>
  <c r="H385" i="329"/>
  <c r="H388" i="329"/>
  <c r="H387" i="329"/>
  <c r="H386" i="329"/>
  <c r="H371" i="329"/>
  <c r="H368" i="329"/>
  <c r="G526" i="311"/>
  <c r="H356" i="329"/>
  <c r="H353" i="329"/>
  <c r="F526" i="311"/>
  <c r="F23" i="336" s="1"/>
  <c r="E526" i="311"/>
  <c r="F22" i="336" s="1"/>
  <c r="H526" i="311"/>
  <c r="H286" i="329"/>
  <c r="H283" i="329"/>
  <c r="H303" i="329"/>
  <c r="H302" i="329"/>
  <c r="H301" i="329"/>
  <c r="H300" i="329"/>
  <c r="H299" i="329"/>
  <c r="H298" i="329"/>
  <c r="H316" i="329"/>
  <c r="H318" i="329"/>
  <c r="H315" i="329"/>
  <c r="H314" i="329"/>
  <c r="H313" i="329"/>
  <c r="H312" i="329"/>
  <c r="H311" i="329"/>
  <c r="H310" i="329"/>
  <c r="H273" i="329"/>
  <c r="H270" i="329"/>
  <c r="H229" i="329"/>
  <c r="H227" i="329"/>
  <c r="H226" i="329"/>
  <c r="H225" i="329"/>
  <c r="H224" i="329"/>
  <c r="H237" i="329"/>
  <c r="H223" i="329"/>
  <c r="H236" i="329"/>
  <c r="H235" i="329"/>
  <c r="H234" i="329"/>
  <c r="H233" i="329"/>
  <c r="H210" i="329"/>
  <c r="H199" i="329"/>
  <c r="H213" i="329"/>
  <c r="H202" i="329"/>
  <c r="M209" i="9"/>
  <c r="J6" i="9" s="1"/>
  <c r="H162" i="329"/>
  <c r="H172" i="329"/>
  <c r="H137" i="329"/>
  <c r="F572" i="311"/>
  <c r="F129" i="336" s="1"/>
  <c r="H572" i="311"/>
  <c r="E572" i="311"/>
  <c r="F128" i="336" s="1"/>
  <c r="G572" i="311"/>
  <c r="D17" i="323"/>
  <c r="D22" i="323" s="1"/>
  <c r="H596" i="329"/>
  <c r="H594" i="329"/>
  <c r="H584" i="329"/>
  <c r="H582" i="329"/>
  <c r="D32" i="323"/>
  <c r="D35" i="323" s="1"/>
  <c r="F463" i="311"/>
  <c r="H148" i="329"/>
  <c r="E463" i="311"/>
  <c r="H306" i="329"/>
  <c r="H1244" i="250"/>
  <c r="H1254" i="250" s="1"/>
  <c r="H228" i="311" s="1"/>
  <c r="F1254" i="250"/>
  <c r="F228" i="311" s="1"/>
  <c r="G1896" i="250"/>
  <c r="G1906" i="250" s="1"/>
  <c r="G352" i="311" s="1"/>
  <c r="E1906" i="250"/>
  <c r="E352" i="311" s="1"/>
  <c r="G720" i="250"/>
  <c r="G730" i="250" s="1"/>
  <c r="G134" i="311" s="1"/>
  <c r="E730" i="250"/>
  <c r="E134" i="311" s="1"/>
  <c r="H68" i="250"/>
  <c r="H78" i="250" s="1"/>
  <c r="H12" i="311" s="1"/>
  <c r="F78" i="250"/>
  <c r="F12" i="311" s="1"/>
  <c r="H289" i="329"/>
  <c r="H291" i="329"/>
  <c r="E1234" i="250"/>
  <c r="E227" i="311" s="1"/>
  <c r="G1224" i="250"/>
  <c r="G1234" i="250" s="1"/>
  <c r="G227" i="311" s="1"/>
  <c r="E374" i="250"/>
  <c r="E72" i="311" s="1"/>
  <c r="G364" i="250"/>
  <c r="G374" i="250" s="1"/>
  <c r="G72" i="311" s="1"/>
  <c r="H384" i="250"/>
  <c r="H394" i="250" s="1"/>
  <c r="H73" i="311" s="1"/>
  <c r="F394" i="250"/>
  <c r="F73" i="311" s="1"/>
  <c r="H1916" i="250"/>
  <c r="H1926" i="250" s="1"/>
  <c r="H353" i="311" s="1"/>
  <c r="F1926" i="250"/>
  <c r="F353" i="311" s="1"/>
  <c r="G48" i="250"/>
  <c r="G58" i="250" s="1"/>
  <c r="G11" i="311" s="1"/>
  <c r="E58" i="250"/>
  <c r="E11" i="311" s="1"/>
  <c r="H276" i="329"/>
  <c r="H278" i="329"/>
  <c r="H720" i="250"/>
  <c r="H730" i="250" s="1"/>
  <c r="H134" i="311" s="1"/>
  <c r="F730" i="250"/>
  <c r="F134" i="311" s="1"/>
  <c r="H205" i="329"/>
  <c r="H203" i="329"/>
  <c r="H1224" i="250"/>
  <c r="H1234" i="250" s="1"/>
  <c r="H227" i="311" s="1"/>
  <c r="F1234" i="250"/>
  <c r="F227" i="311" s="1"/>
  <c r="F374" i="250"/>
  <c r="F72" i="311" s="1"/>
  <c r="H364" i="250"/>
  <c r="H374" i="250" s="1"/>
  <c r="H72" i="311" s="1"/>
  <c r="F1886" i="250"/>
  <c r="F351" i="311" s="1"/>
  <c r="H1876" i="250"/>
  <c r="H1886" i="250" s="1"/>
  <c r="H351" i="311" s="1"/>
  <c r="G700" i="250"/>
  <c r="G710" i="250" s="1"/>
  <c r="G133" i="311" s="1"/>
  <c r="E710" i="250"/>
  <c r="E133" i="311" s="1"/>
  <c r="H48" i="250"/>
  <c r="H58" i="250" s="1"/>
  <c r="H11" i="311" s="1"/>
  <c r="F58" i="250"/>
  <c r="F11" i="311" s="1"/>
  <c r="G1204" i="250"/>
  <c r="G1214" i="250" s="1"/>
  <c r="G226" i="311" s="1"/>
  <c r="E1214" i="250"/>
  <c r="E226" i="311" s="1"/>
  <c r="E1926" i="250"/>
  <c r="E353" i="311" s="1"/>
  <c r="G1916" i="250"/>
  <c r="G1926" i="250" s="1"/>
  <c r="G353" i="311" s="1"/>
  <c r="G740" i="250"/>
  <c r="G750" i="250" s="1"/>
  <c r="G135" i="311" s="1"/>
  <c r="E750" i="250"/>
  <c r="E135" i="311" s="1"/>
  <c r="G28" i="250"/>
  <c r="G38" i="250" s="1"/>
  <c r="G10" i="311" s="1"/>
  <c r="E38" i="250"/>
  <c r="E10" i="311" s="1"/>
  <c r="G1244" i="250"/>
  <c r="G1254" i="250" s="1"/>
  <c r="G228" i="311" s="1"/>
  <c r="E1254" i="250"/>
  <c r="E228" i="311" s="1"/>
  <c r="E394" i="250"/>
  <c r="E73" i="311" s="1"/>
  <c r="G384" i="250"/>
  <c r="G394" i="250" s="1"/>
  <c r="G73" i="311" s="1"/>
  <c r="F414" i="250"/>
  <c r="F74" i="311" s="1"/>
  <c r="H404" i="250"/>
  <c r="H414" i="250" s="1"/>
  <c r="H74" i="311" s="1"/>
  <c r="E78" i="250"/>
  <c r="E12" i="311" s="1"/>
  <c r="G68" i="250"/>
  <c r="G78" i="250" s="1"/>
  <c r="G12" i="311" s="1"/>
  <c r="G404" i="250"/>
  <c r="G414" i="250" s="1"/>
  <c r="G74" i="311" s="1"/>
  <c r="E414" i="250"/>
  <c r="E74" i="311" s="1"/>
  <c r="E1886" i="250"/>
  <c r="E351" i="311" s="1"/>
  <c r="G1876" i="250"/>
  <c r="G1886" i="250" s="1"/>
  <c r="G351" i="311" s="1"/>
  <c r="F710" i="250"/>
  <c r="F133" i="311" s="1"/>
  <c r="H700" i="250"/>
  <c r="H710" i="250" s="1"/>
  <c r="H133" i="311" s="1"/>
  <c r="D109" i="323"/>
  <c r="D111" i="323" s="1"/>
  <c r="D153" i="323"/>
  <c r="D155" i="323" s="1"/>
  <c r="H378" i="329"/>
  <c r="H376" i="329"/>
  <c r="H1204" i="250"/>
  <c r="H1214" i="250" s="1"/>
  <c r="H226" i="311" s="1"/>
  <c r="F1214" i="250"/>
  <c r="F226" i="311" s="1"/>
  <c r="F1906" i="250"/>
  <c r="F352" i="311" s="1"/>
  <c r="H1896" i="250"/>
  <c r="H1906" i="250" s="1"/>
  <c r="H352" i="311" s="1"/>
  <c r="H740" i="250"/>
  <c r="H750" i="250" s="1"/>
  <c r="H135" i="311" s="1"/>
  <c r="F750" i="250"/>
  <c r="F135" i="311" s="1"/>
  <c r="H28" i="250"/>
  <c r="H38" i="250" s="1"/>
  <c r="H10" i="311" s="1"/>
  <c r="F38" i="250"/>
  <c r="F10" i="311" s="1"/>
  <c r="H438" i="329"/>
  <c r="H363" i="329"/>
  <c r="H361" i="329"/>
  <c r="M70" i="317" l="1"/>
  <c r="M67" i="317"/>
  <c r="N67" i="317"/>
  <c r="N70" i="317"/>
  <c r="M49" i="317"/>
  <c r="M52" i="317"/>
  <c r="L67" i="317"/>
  <c r="L70" i="317"/>
  <c r="N49" i="317"/>
  <c r="N52" i="317"/>
  <c r="L49" i="317"/>
  <c r="L52" i="317"/>
  <c r="J49" i="317"/>
  <c r="J52" i="317"/>
  <c r="J70" i="317"/>
  <c r="J67" i="317"/>
  <c r="K52" i="317"/>
  <c r="K49" i="317"/>
  <c r="K70" i="317"/>
  <c r="K67" i="317"/>
  <c r="M606" i="329"/>
  <c r="M608" i="329" s="1"/>
  <c r="I303" i="352" s="1"/>
  <c r="M582" i="329"/>
  <c r="I495" i="352" s="1"/>
  <c r="N606" i="329"/>
  <c r="N608" i="329" s="1"/>
  <c r="I304" i="352" s="1"/>
  <c r="N582" i="329"/>
  <c r="I496" i="352" s="1"/>
  <c r="L617" i="329"/>
  <c r="L619" i="329" s="1"/>
  <c r="I398" i="352" s="1"/>
  <c r="L594" i="329"/>
  <c r="I590" i="352" s="1"/>
  <c r="M617" i="329"/>
  <c r="M619" i="329" s="1"/>
  <c r="I399" i="352" s="1"/>
  <c r="M594" i="329"/>
  <c r="I591" i="352" s="1"/>
  <c r="L606" i="329"/>
  <c r="L608" i="329" s="1"/>
  <c r="I302" i="352" s="1"/>
  <c r="L582" i="329"/>
  <c r="I494" i="352" s="1"/>
  <c r="K617" i="329"/>
  <c r="K619" i="329" s="1"/>
  <c r="I397" i="352" s="1"/>
  <c r="K594" i="329"/>
  <c r="I589" i="352" s="1"/>
  <c r="N617" i="329"/>
  <c r="N619" i="329" s="1"/>
  <c r="I400" i="352" s="1"/>
  <c r="N594" i="329"/>
  <c r="I592" i="352" s="1"/>
  <c r="J582" i="329"/>
  <c r="I492" i="352" s="1"/>
  <c r="J606" i="329"/>
  <c r="I580" i="329"/>
  <c r="J617" i="329"/>
  <c r="I592" i="329"/>
  <c r="J594" i="329"/>
  <c r="I588" i="352" s="1"/>
  <c r="K606" i="329"/>
  <c r="K608" i="329" s="1"/>
  <c r="I301" i="352" s="1"/>
  <c r="K582" i="329"/>
  <c r="I493" i="352" s="1"/>
  <c r="K505" i="309"/>
  <c r="K501" i="329" s="1"/>
  <c r="K531" i="329" s="1"/>
  <c r="M239" i="309"/>
  <c r="M273" i="329" s="1"/>
  <c r="K240" i="309"/>
  <c r="K286" i="329" s="1"/>
  <c r="M113" i="309"/>
  <c r="M133" i="329" s="1"/>
  <c r="M158" i="329" s="1"/>
  <c r="K324" i="309"/>
  <c r="K371" i="329" s="1"/>
  <c r="N239" i="309"/>
  <c r="N273" i="329" s="1"/>
  <c r="K114" i="309"/>
  <c r="K144" i="329" s="1"/>
  <c r="K168" i="329" s="1"/>
  <c r="J239" i="309"/>
  <c r="J273" i="329" s="1"/>
  <c r="N505" i="309"/>
  <c r="N501" i="329" s="1"/>
  <c r="N531" i="329" s="1"/>
  <c r="L239" i="309"/>
  <c r="L273" i="329" s="1"/>
  <c r="N324" i="309"/>
  <c r="N371" i="329" s="1"/>
  <c r="N402" i="329" s="1"/>
  <c r="M240" i="309"/>
  <c r="M286" i="329" s="1"/>
  <c r="M313" i="329" s="1"/>
  <c r="J240" i="309"/>
  <c r="J286" i="329" s="1"/>
  <c r="L240" i="309"/>
  <c r="L286" i="329" s="1"/>
  <c r="N113" i="309"/>
  <c r="N133" i="329" s="1"/>
  <c r="N158" i="329" s="1"/>
  <c r="J324" i="309"/>
  <c r="J371" i="329" s="1"/>
  <c r="J402" i="329" s="1"/>
  <c r="L324" i="309"/>
  <c r="L371" i="329" s="1"/>
  <c r="J113" i="309"/>
  <c r="J133" i="329" s="1"/>
  <c r="J158" i="329" s="1"/>
  <c r="M323" i="309"/>
  <c r="M356" i="329" s="1"/>
  <c r="M388" i="329" s="1"/>
  <c r="L506" i="309"/>
  <c r="L515" i="329" s="1"/>
  <c r="L544" i="329" s="1"/>
  <c r="M114" i="309"/>
  <c r="M144" i="329" s="1"/>
  <c r="M168" i="329" s="1"/>
  <c r="K323" i="309"/>
  <c r="K356" i="329" s="1"/>
  <c r="J114" i="309"/>
  <c r="J144" i="329" s="1"/>
  <c r="L505" i="309"/>
  <c r="L501" i="329" s="1"/>
  <c r="L531" i="329" s="1"/>
  <c r="N240" i="309"/>
  <c r="N286" i="329" s="1"/>
  <c r="J506" i="309"/>
  <c r="J515" i="329" s="1"/>
  <c r="L114" i="309"/>
  <c r="L144" i="329" s="1"/>
  <c r="L168" i="329" s="1"/>
  <c r="K113" i="309"/>
  <c r="K133" i="329" s="1"/>
  <c r="M324" i="309"/>
  <c r="M371" i="329" s="1"/>
  <c r="M402" i="329" s="1"/>
  <c r="L113" i="309"/>
  <c r="L133" i="329" s="1"/>
  <c r="L158" i="329" s="1"/>
  <c r="J323" i="309"/>
  <c r="J356" i="329" s="1"/>
  <c r="K239" i="309"/>
  <c r="K273" i="329" s="1"/>
  <c r="K506" i="309"/>
  <c r="K515" i="329" s="1"/>
  <c r="K544" i="329" s="1"/>
  <c r="N323" i="309"/>
  <c r="N356" i="329" s="1"/>
  <c r="N388" i="329" s="1"/>
  <c r="M506" i="309"/>
  <c r="M515" i="329" s="1"/>
  <c r="M544" i="329" s="1"/>
  <c r="M505" i="309"/>
  <c r="M501" i="329" s="1"/>
  <c r="M531" i="329" s="1"/>
  <c r="N114" i="309"/>
  <c r="N144" i="329" s="1"/>
  <c r="N168" i="329" s="1"/>
  <c r="N506" i="309"/>
  <c r="N515" i="329" s="1"/>
  <c r="N544" i="329" s="1"/>
  <c r="J505" i="309"/>
  <c r="J501" i="329" s="1"/>
  <c r="J531" i="329" s="1"/>
  <c r="L323" i="309"/>
  <c r="L356" i="329" s="1"/>
  <c r="D87" i="322"/>
  <c r="D39" i="329"/>
  <c r="C96" i="343"/>
  <c r="D69" i="323"/>
  <c r="D81" i="323"/>
  <c r="D156" i="323"/>
  <c r="D21" i="323"/>
  <c r="D144" i="323"/>
  <c r="D34" i="323"/>
  <c r="D63" i="322" s="1"/>
  <c r="D112" i="323"/>
  <c r="D57" i="323"/>
  <c r="C97" i="343"/>
  <c r="I283" i="329"/>
  <c r="I270" i="329"/>
  <c r="I368" i="329"/>
  <c r="I353" i="329"/>
  <c r="I603" i="329"/>
  <c r="I614" i="329"/>
  <c r="D84" i="322"/>
  <c r="D83" i="322"/>
  <c r="D94" i="322"/>
  <c r="D95" i="322"/>
  <c r="M25" i="322"/>
  <c r="L17" i="322"/>
  <c r="J17" i="322"/>
  <c r="K25" i="322"/>
  <c r="L25" i="322"/>
  <c r="J25" i="322"/>
  <c r="K17" i="322"/>
  <c r="N17" i="322"/>
  <c r="N25" i="322"/>
  <c r="M17" i="322"/>
  <c r="K83" i="317"/>
  <c r="L82" i="317"/>
  <c r="K82" i="317"/>
  <c r="L83" i="317"/>
  <c r="J82" i="317"/>
  <c r="M82" i="317"/>
  <c r="J83" i="317"/>
  <c r="M83" i="317"/>
  <c r="N82" i="317"/>
  <c r="N83" i="317"/>
  <c r="M298" i="329"/>
  <c r="N310" i="329"/>
  <c r="J385" i="329"/>
  <c r="J399" i="329"/>
  <c r="J310" i="329"/>
  <c r="M399" i="329"/>
  <c r="G22" i="336"/>
  <c r="J22" i="336"/>
  <c r="K22" i="336"/>
  <c r="M22" i="336"/>
  <c r="L22" i="336"/>
  <c r="N22" i="336"/>
  <c r="J298" i="329"/>
  <c r="K128" i="336"/>
  <c r="L128" i="336"/>
  <c r="N128" i="336"/>
  <c r="M128" i="336"/>
  <c r="J128" i="336"/>
  <c r="M310" i="329"/>
  <c r="N399" i="329"/>
  <c r="N298" i="329"/>
  <c r="K310" i="329"/>
  <c r="L298" i="329"/>
  <c r="F251" i="301"/>
  <c r="L23" i="336"/>
  <c r="M23" i="336"/>
  <c r="J23" i="336"/>
  <c r="K23" i="336"/>
  <c r="N23" i="336"/>
  <c r="L385" i="329"/>
  <c r="M385" i="329"/>
  <c r="L399" i="329"/>
  <c r="N385" i="329"/>
  <c r="L310" i="329"/>
  <c r="G129" i="336"/>
  <c r="K129" i="336"/>
  <c r="L129" i="336"/>
  <c r="N129" i="336"/>
  <c r="M129" i="336"/>
  <c r="J129" i="336"/>
  <c r="K399" i="329"/>
  <c r="K385" i="329"/>
  <c r="K298" i="329"/>
  <c r="G23" i="336"/>
  <c r="I6" i="9"/>
  <c r="G128" i="336"/>
  <c r="E136" i="311"/>
  <c r="F22" i="285" s="1"/>
  <c r="G136" i="311"/>
  <c r="F275" i="311"/>
  <c r="F136" i="286" s="1"/>
  <c r="F250" i="301"/>
  <c r="G275" i="311"/>
  <c r="H182" i="311"/>
  <c r="G463" i="311"/>
  <c r="G250" i="301" s="1"/>
  <c r="G44" i="311"/>
  <c r="H415" i="311"/>
  <c r="F121" i="311"/>
  <c r="F136" i="284" s="1"/>
  <c r="E121" i="311"/>
  <c r="F135" i="284" s="1"/>
  <c r="H121" i="311"/>
  <c r="G415" i="311"/>
  <c r="G121" i="311"/>
  <c r="E182" i="311"/>
  <c r="F135" i="285" s="1"/>
  <c r="E13" i="311"/>
  <c r="F354" i="311"/>
  <c r="F23" i="247" s="1"/>
  <c r="E229" i="311"/>
  <c r="F22" i="286" s="1"/>
  <c r="E415" i="311"/>
  <c r="F172" i="247" s="1"/>
  <c r="F229" i="311"/>
  <c r="F23" i="286" s="1"/>
  <c r="G182" i="311"/>
  <c r="G13" i="311"/>
  <c r="G22" i="283" s="1"/>
  <c r="H354" i="311"/>
  <c r="G229" i="311"/>
  <c r="H463" i="311"/>
  <c r="G251" i="301" s="1"/>
  <c r="F75" i="311"/>
  <c r="F23" i="284" s="1"/>
  <c r="H229" i="311"/>
  <c r="F136" i="311"/>
  <c r="F23" i="285" s="1"/>
  <c r="E75" i="311"/>
  <c r="F22" i="284" s="1"/>
  <c r="F44" i="311"/>
  <c r="F99" i="283" s="1"/>
  <c r="H75" i="311"/>
  <c r="F13" i="311"/>
  <c r="E354" i="311"/>
  <c r="F22" i="247" s="1"/>
  <c r="H136" i="311"/>
  <c r="G75" i="311"/>
  <c r="H275" i="311"/>
  <c r="H44" i="311"/>
  <c r="E275" i="311"/>
  <c r="F135" i="286" s="1"/>
  <c r="F182" i="311"/>
  <c r="F136" i="285" s="1"/>
  <c r="H13" i="311"/>
  <c r="G23" i="283" s="1"/>
  <c r="G354" i="311"/>
  <c r="E44" i="311"/>
  <c r="F98" i="283" s="1"/>
  <c r="F415" i="311"/>
  <c r="F173" i="247" s="1"/>
  <c r="J289" i="329" l="1"/>
  <c r="I510" i="352" s="1"/>
  <c r="J313" i="329"/>
  <c r="J316" i="329" s="1"/>
  <c r="M316" i="329"/>
  <c r="I321" i="352" s="1"/>
  <c r="I617" i="329"/>
  <c r="L388" i="329"/>
  <c r="L393" i="329" s="1"/>
  <c r="I230" i="352" s="1"/>
  <c r="L361" i="329"/>
  <c r="I422" i="352" s="1"/>
  <c r="M301" i="329"/>
  <c r="M304" i="329" s="1"/>
  <c r="I225" i="352" s="1"/>
  <c r="M276" i="329"/>
  <c r="I417" i="352" s="1"/>
  <c r="L301" i="329"/>
  <c r="L304" i="329" s="1"/>
  <c r="I224" i="352" s="1"/>
  <c r="L276" i="329"/>
  <c r="I416" i="352" s="1"/>
  <c r="K388" i="329"/>
  <c r="K393" i="329" s="1"/>
  <c r="I229" i="352" s="1"/>
  <c r="K361" i="329"/>
  <c r="I421" i="352" s="1"/>
  <c r="L313" i="329"/>
  <c r="L316" i="329" s="1"/>
  <c r="I320" i="352" s="1"/>
  <c r="L289" i="329"/>
  <c r="I512" i="352" s="1"/>
  <c r="K313" i="329"/>
  <c r="K316" i="329" s="1"/>
  <c r="I319" i="352" s="1"/>
  <c r="K289" i="329"/>
  <c r="I511" i="352" s="1"/>
  <c r="L402" i="329"/>
  <c r="L407" i="329" s="1"/>
  <c r="I326" i="352" s="1"/>
  <c r="L376" i="329"/>
  <c r="I518" i="352" s="1"/>
  <c r="K301" i="329"/>
  <c r="K304" i="329" s="1"/>
  <c r="I223" i="352" s="1"/>
  <c r="K276" i="329"/>
  <c r="I415" i="352" s="1"/>
  <c r="J361" i="329"/>
  <c r="I420" i="352" s="1"/>
  <c r="J388" i="329"/>
  <c r="J393" i="329" s="1"/>
  <c r="N393" i="329"/>
  <c r="I232" i="352" s="1"/>
  <c r="N407" i="329"/>
  <c r="I328" i="352" s="1"/>
  <c r="J619" i="329"/>
  <c r="I619" i="329" s="1"/>
  <c r="M393" i="329"/>
  <c r="I231" i="352" s="1"/>
  <c r="M407" i="329"/>
  <c r="I327" i="352" s="1"/>
  <c r="I582" i="329"/>
  <c r="E36" i="343" s="1"/>
  <c r="G36" i="343" s="1"/>
  <c r="I606" i="329"/>
  <c r="I515" i="329"/>
  <c r="J544" i="329"/>
  <c r="I544" i="329" s="1"/>
  <c r="N313" i="329"/>
  <c r="N316" i="329" s="1"/>
  <c r="I322" i="352" s="1"/>
  <c r="I286" i="329"/>
  <c r="N289" i="329"/>
  <c r="I514" i="352" s="1"/>
  <c r="J168" i="329"/>
  <c r="I168" i="329" s="1"/>
  <c r="I144" i="329"/>
  <c r="J276" i="329"/>
  <c r="I414" i="352" s="1"/>
  <c r="J301" i="329"/>
  <c r="I273" i="329"/>
  <c r="N301" i="329"/>
  <c r="N304" i="329" s="1"/>
  <c r="I226" i="352" s="1"/>
  <c r="N276" i="329"/>
  <c r="I418" i="352" s="1"/>
  <c r="K158" i="329"/>
  <c r="I158" i="329" s="1"/>
  <c r="I133" i="329"/>
  <c r="K402" i="329"/>
  <c r="K376" i="329"/>
  <c r="I517" i="352" s="1"/>
  <c r="M376" i="329"/>
  <c r="I519" i="352" s="1"/>
  <c r="M361" i="329"/>
  <c r="I423" i="352" s="1"/>
  <c r="N376" i="329"/>
  <c r="I520" i="352" s="1"/>
  <c r="J608" i="329"/>
  <c r="I608" i="329" s="1"/>
  <c r="N361" i="329"/>
  <c r="I424" i="352" s="1"/>
  <c r="J376" i="329"/>
  <c r="I516" i="352" s="1"/>
  <c r="I371" i="329"/>
  <c r="I501" i="329"/>
  <c r="I531" i="329"/>
  <c r="I594" i="329"/>
  <c r="I587" i="352" s="1"/>
  <c r="I356" i="329"/>
  <c r="M289" i="329"/>
  <c r="I513" i="352" s="1"/>
  <c r="D97" i="322"/>
  <c r="K250" i="301"/>
  <c r="K1009" i="251" s="1"/>
  <c r="M250" i="301"/>
  <c r="M1009" i="251" s="1"/>
  <c r="L250" i="301"/>
  <c r="L1009" i="251" s="1"/>
  <c r="J250" i="301"/>
  <c r="J1009" i="251" s="1"/>
  <c r="N250" i="301"/>
  <c r="N1009" i="251" s="1"/>
  <c r="L251" i="301"/>
  <c r="L1018" i="251" s="1"/>
  <c r="K251" i="301"/>
  <c r="K1018" i="251" s="1"/>
  <c r="J251" i="301"/>
  <c r="J1018" i="251" s="1"/>
  <c r="M251" i="301"/>
  <c r="M1018" i="251" s="1"/>
  <c r="N251" i="301"/>
  <c r="N1018" i="251" s="1"/>
  <c r="I298" i="329"/>
  <c r="I310" i="329"/>
  <c r="J407" i="329"/>
  <c r="I399" i="329"/>
  <c r="I385" i="329"/>
  <c r="K55" i="321"/>
  <c r="K24" i="322"/>
  <c r="K19" i="329" s="1"/>
  <c r="I83" i="352" s="1"/>
  <c r="M32" i="321"/>
  <c r="M14" i="322"/>
  <c r="L87" i="317"/>
  <c r="L29" i="321"/>
  <c r="L13" i="322"/>
  <c r="K26" i="322"/>
  <c r="K20" i="329"/>
  <c r="N26" i="322"/>
  <c r="N20" i="329"/>
  <c r="K15" i="329"/>
  <c r="K31" i="322"/>
  <c r="K32" i="322" s="1"/>
  <c r="K18" i="322"/>
  <c r="L55" i="321"/>
  <c r="L24" i="322"/>
  <c r="L19" i="329" s="1"/>
  <c r="I84" i="352" s="1"/>
  <c r="J15" i="329"/>
  <c r="J31" i="322"/>
  <c r="J32" i="322" s="1"/>
  <c r="J18" i="322"/>
  <c r="J55" i="321"/>
  <c r="J24" i="322"/>
  <c r="J19" i="329" s="1"/>
  <c r="I82" i="352" s="1"/>
  <c r="J87" i="317"/>
  <c r="J29" i="321"/>
  <c r="J13" i="322"/>
  <c r="M15" i="329"/>
  <c r="M31" i="322"/>
  <c r="M32" i="322" s="1"/>
  <c r="M18" i="322"/>
  <c r="N87" i="317"/>
  <c r="N29" i="321"/>
  <c r="N13" i="322"/>
  <c r="J32" i="321"/>
  <c r="J14" i="322"/>
  <c r="N32" i="321"/>
  <c r="N14" i="322"/>
  <c r="J88" i="317"/>
  <c r="J52" i="321"/>
  <c r="J23" i="322"/>
  <c r="J18" i="329" s="1"/>
  <c r="I77" i="352" s="1"/>
  <c r="K87" i="317"/>
  <c r="K29" i="321"/>
  <c r="K13" i="322"/>
  <c r="J26" i="322"/>
  <c r="J20" i="329"/>
  <c r="L15" i="329"/>
  <c r="L31" i="322"/>
  <c r="L32" i="322" s="1"/>
  <c r="L18" i="322"/>
  <c r="N55" i="321"/>
  <c r="N24" i="322"/>
  <c r="N19" i="329" s="1"/>
  <c r="I86" i="352" s="1"/>
  <c r="M88" i="317"/>
  <c r="M52" i="321"/>
  <c r="M23" i="322"/>
  <c r="M18" i="329" s="1"/>
  <c r="I80" i="352" s="1"/>
  <c r="M87" i="317"/>
  <c r="M29" i="321"/>
  <c r="M13" i="322"/>
  <c r="K88" i="317"/>
  <c r="K52" i="321"/>
  <c r="K23" i="322"/>
  <c r="K18" i="329" s="1"/>
  <c r="I78" i="352" s="1"/>
  <c r="L26" i="322"/>
  <c r="L20" i="329"/>
  <c r="M26" i="322"/>
  <c r="M20" i="329"/>
  <c r="K32" i="321"/>
  <c r="K14" i="322"/>
  <c r="N88" i="317"/>
  <c r="N52" i="321"/>
  <c r="N23" i="322"/>
  <c r="N18" i="329" s="1"/>
  <c r="I81" i="352" s="1"/>
  <c r="M55" i="321"/>
  <c r="M24" i="322"/>
  <c r="M19" i="329" s="1"/>
  <c r="I85" i="352" s="1"/>
  <c r="L88" i="317"/>
  <c r="L52" i="321"/>
  <c r="L23" i="322"/>
  <c r="L18" i="329" s="1"/>
  <c r="I79" i="352" s="1"/>
  <c r="L32" i="321"/>
  <c r="L14" i="322"/>
  <c r="N15" i="329"/>
  <c r="N31" i="322"/>
  <c r="N32" i="322" s="1"/>
  <c r="N18" i="322"/>
  <c r="D50" i="322"/>
  <c r="N84" i="317"/>
  <c r="K84" i="317"/>
  <c r="L84" i="317"/>
  <c r="M84" i="317"/>
  <c r="J84" i="317"/>
  <c r="L173" i="247"/>
  <c r="M173" i="247"/>
  <c r="J173" i="247"/>
  <c r="K173" i="247"/>
  <c r="N173" i="247"/>
  <c r="K22" i="286"/>
  <c r="L22" i="286"/>
  <c r="N22" i="286"/>
  <c r="M22" i="286"/>
  <c r="J22" i="286"/>
  <c r="L136" i="284"/>
  <c r="L257" i="251" s="1"/>
  <c r="M136" i="284"/>
  <c r="M257" i="251" s="1"/>
  <c r="J136" i="284"/>
  <c r="J257" i="251" s="1"/>
  <c r="K136" i="284"/>
  <c r="K257" i="251" s="1"/>
  <c r="N136" i="284"/>
  <c r="N257" i="251" s="1"/>
  <c r="J98" i="283"/>
  <c r="K98" i="283"/>
  <c r="M98" i="283"/>
  <c r="L98" i="283"/>
  <c r="N98" i="283"/>
  <c r="J22" i="283"/>
  <c r="J13" i="251" s="1"/>
  <c r="J85" i="309" s="1"/>
  <c r="K22" i="283"/>
  <c r="K13" i="251" s="1"/>
  <c r="K85" i="309" s="1"/>
  <c r="M22" i="283"/>
  <c r="M13" i="251" s="1"/>
  <c r="M85" i="309" s="1"/>
  <c r="N22" i="283"/>
  <c r="N13" i="251" s="1"/>
  <c r="N85" i="309" s="1"/>
  <c r="L22" i="283"/>
  <c r="L13" i="251" s="1"/>
  <c r="L85" i="309" s="1"/>
  <c r="K135" i="285"/>
  <c r="L135" i="285"/>
  <c r="N135" i="285"/>
  <c r="J135" i="285"/>
  <c r="M135" i="285"/>
  <c r="J22" i="285"/>
  <c r="K22" i="285"/>
  <c r="M22" i="285"/>
  <c r="L22" i="285"/>
  <c r="N22" i="285"/>
  <c r="L136" i="286"/>
  <c r="M136" i="286"/>
  <c r="J136" i="286"/>
  <c r="N136" i="286"/>
  <c r="K136" i="286"/>
  <c r="L23" i="283"/>
  <c r="L21" i="251" s="1"/>
  <c r="L86" i="309" s="1"/>
  <c r="M23" i="283"/>
  <c r="M21" i="251" s="1"/>
  <c r="M86" i="309" s="1"/>
  <c r="J23" i="283"/>
  <c r="J21" i="251" s="1"/>
  <c r="J86" i="309" s="1"/>
  <c r="K23" i="283"/>
  <c r="K21" i="251" s="1"/>
  <c r="K86" i="309" s="1"/>
  <c r="N23" i="283"/>
  <c r="N21" i="251" s="1"/>
  <c r="N86" i="309" s="1"/>
  <c r="K23" i="286"/>
  <c r="L23" i="286"/>
  <c r="N23" i="286"/>
  <c r="J23" i="286"/>
  <c r="M23" i="286"/>
  <c r="K136" i="285"/>
  <c r="L136" i="285"/>
  <c r="N136" i="285"/>
  <c r="J136" i="285"/>
  <c r="M136" i="285"/>
  <c r="L23" i="285"/>
  <c r="M23" i="285"/>
  <c r="J23" i="285"/>
  <c r="N23" i="285"/>
  <c r="K23" i="285"/>
  <c r="L23" i="247"/>
  <c r="L780" i="251" s="1"/>
  <c r="L450" i="309" s="1"/>
  <c r="M23" i="247"/>
  <c r="M780" i="251" s="1"/>
  <c r="M450" i="309" s="1"/>
  <c r="J23" i="247"/>
  <c r="J780" i="251" s="1"/>
  <c r="J450" i="309" s="1"/>
  <c r="N23" i="247"/>
  <c r="N780" i="251" s="1"/>
  <c r="N450" i="309" s="1"/>
  <c r="K23" i="247"/>
  <c r="K780" i="251" s="1"/>
  <c r="K450" i="309" s="1"/>
  <c r="J22" i="247"/>
  <c r="J772" i="251" s="1"/>
  <c r="J449" i="309" s="1"/>
  <c r="K22" i="247"/>
  <c r="K772" i="251" s="1"/>
  <c r="K449" i="309" s="1"/>
  <c r="M22" i="247"/>
  <c r="M772" i="251" s="1"/>
  <c r="M449" i="309" s="1"/>
  <c r="L22" i="247"/>
  <c r="L772" i="251" s="1"/>
  <c r="L449" i="309" s="1"/>
  <c r="N22" i="247"/>
  <c r="N772" i="251" s="1"/>
  <c r="N449" i="309" s="1"/>
  <c r="J135" i="284"/>
  <c r="J247" i="251" s="1"/>
  <c r="K135" i="284"/>
  <c r="K247" i="251" s="1"/>
  <c r="M135" i="284"/>
  <c r="M247" i="251" s="1"/>
  <c r="L135" i="284"/>
  <c r="L247" i="251" s="1"/>
  <c r="N135" i="284"/>
  <c r="N247" i="251" s="1"/>
  <c r="G135" i="286"/>
  <c r="J135" i="286"/>
  <c r="K135" i="286"/>
  <c r="M135" i="286"/>
  <c r="L135" i="286"/>
  <c r="N135" i="286"/>
  <c r="L99" i="283"/>
  <c r="M99" i="283"/>
  <c r="J99" i="283"/>
  <c r="K99" i="283"/>
  <c r="N99" i="283"/>
  <c r="K22" i="284"/>
  <c r="K151" i="251" s="1"/>
  <c r="K141" i="309" s="1"/>
  <c r="L22" i="284"/>
  <c r="L151" i="251" s="1"/>
  <c r="L141" i="309" s="1"/>
  <c r="N22" i="284"/>
  <c r="N151" i="251" s="1"/>
  <c r="N141" i="309" s="1"/>
  <c r="J22" i="284"/>
  <c r="J151" i="251" s="1"/>
  <c r="J141" i="309" s="1"/>
  <c r="M22" i="284"/>
  <c r="M151" i="251" s="1"/>
  <c r="M141" i="309" s="1"/>
  <c r="K23" i="284"/>
  <c r="K159" i="251" s="1"/>
  <c r="K142" i="309" s="1"/>
  <c r="L23" i="284"/>
  <c r="L159" i="251" s="1"/>
  <c r="L142" i="309" s="1"/>
  <c r="N23" i="284"/>
  <c r="N159" i="251" s="1"/>
  <c r="N142" i="309" s="1"/>
  <c r="M23" i="284"/>
  <c r="M159" i="251" s="1"/>
  <c r="M142" i="309" s="1"/>
  <c r="J23" i="284"/>
  <c r="J159" i="251" s="1"/>
  <c r="J142" i="309" s="1"/>
  <c r="J172" i="247"/>
  <c r="K172" i="247"/>
  <c r="M172" i="247"/>
  <c r="L172" i="247"/>
  <c r="N172" i="247"/>
  <c r="G22" i="285"/>
  <c r="G136" i="285"/>
  <c r="G22" i="284"/>
  <c r="G23" i="247"/>
  <c r="G136" i="284"/>
  <c r="G22" i="286"/>
  <c r="F23" i="283"/>
  <c r="G22" i="247"/>
  <c r="G23" i="284"/>
  <c r="G99" i="283"/>
  <c r="G135" i="285"/>
  <c r="G135" i="284"/>
  <c r="G173" i="247"/>
  <c r="F22" i="283"/>
  <c r="G172" i="247"/>
  <c r="G23" i="285"/>
  <c r="G23" i="286"/>
  <c r="G98" i="283"/>
  <c r="G136" i="286"/>
  <c r="J47" i="322" l="1"/>
  <c r="I89" i="352" s="1"/>
  <c r="J34" i="321"/>
  <c r="J35" i="321" s="1"/>
  <c r="K60" i="322"/>
  <c r="I100" i="352" s="1"/>
  <c r="K57" i="321"/>
  <c r="K58" i="321" s="1"/>
  <c r="L47" i="322"/>
  <c r="I91" i="352" s="1"/>
  <c r="L34" i="321"/>
  <c r="L35" i="321" s="1"/>
  <c r="N47" i="322"/>
  <c r="I93" i="352" s="1"/>
  <c r="N34" i="321"/>
  <c r="N35" i="321" s="1"/>
  <c r="L60" i="322"/>
  <c r="I101" i="352" s="1"/>
  <c r="L57" i="321"/>
  <c r="L58" i="321" s="1"/>
  <c r="N60" i="322"/>
  <c r="I103" i="352" s="1"/>
  <c r="N57" i="321"/>
  <c r="N58" i="321" s="1"/>
  <c r="M47" i="322"/>
  <c r="I92" i="352" s="1"/>
  <c r="M34" i="321"/>
  <c r="M35" i="321" s="1"/>
  <c r="K47" i="322"/>
  <c r="I90" i="352" s="1"/>
  <c r="K34" i="321"/>
  <c r="K35" i="321" s="1"/>
  <c r="M60" i="322"/>
  <c r="I102" i="352" s="1"/>
  <c r="M57" i="321"/>
  <c r="M58" i="321" s="1"/>
  <c r="J57" i="321"/>
  <c r="J58" i="321" s="1"/>
  <c r="J92" i="317"/>
  <c r="J89" i="317"/>
  <c r="L92" i="317"/>
  <c r="L89" i="317"/>
  <c r="N92" i="317"/>
  <c r="N89" i="317"/>
  <c r="K92" i="317"/>
  <c r="K89" i="317"/>
  <c r="M92" i="317"/>
  <c r="M89" i="317"/>
  <c r="E51" i="343"/>
  <c r="G51" i="343" s="1"/>
  <c r="I396" i="352"/>
  <c r="I361" i="329"/>
  <c r="I419" i="352" s="1"/>
  <c r="I402" i="329"/>
  <c r="I491" i="352"/>
  <c r="I376" i="329"/>
  <c r="I515" i="352" s="1"/>
  <c r="I276" i="329"/>
  <c r="I413" i="352" s="1"/>
  <c r="I300" i="352"/>
  <c r="I301" i="329"/>
  <c r="I388" i="329"/>
  <c r="K407" i="329"/>
  <c r="I325" i="352" s="1"/>
  <c r="I313" i="329"/>
  <c r="J304" i="329"/>
  <c r="I304" i="329" s="1"/>
  <c r="I221" i="352" s="1"/>
  <c r="I289" i="329"/>
  <c r="I509" i="352" s="1"/>
  <c r="I316" i="329"/>
  <c r="I317" i="352" s="1"/>
  <c r="I318" i="352"/>
  <c r="I393" i="329"/>
  <c r="I227" i="352" s="1"/>
  <c r="I228" i="352"/>
  <c r="J36" i="343"/>
  <c r="L36" i="343" s="1"/>
  <c r="I299" i="352"/>
  <c r="I324" i="352"/>
  <c r="J51" i="343"/>
  <c r="L51" i="343" s="1"/>
  <c r="I395" i="352"/>
  <c r="J60" i="322"/>
  <c r="J104" i="321"/>
  <c r="J95" i="322" s="1"/>
  <c r="I124" i="352" s="1"/>
  <c r="J61" i="322"/>
  <c r="I104" i="352" s="1"/>
  <c r="M104" i="321"/>
  <c r="M95" i="322" s="1"/>
  <c r="I127" i="352" s="1"/>
  <c r="M61" i="322"/>
  <c r="I107" i="352" s="1"/>
  <c r="K104" i="321"/>
  <c r="K95" i="322" s="1"/>
  <c r="I125" i="352" s="1"/>
  <c r="K61" i="322"/>
  <c r="I105" i="352" s="1"/>
  <c r="L104" i="321"/>
  <c r="L95" i="322" s="1"/>
  <c r="I126" i="352" s="1"/>
  <c r="L61" i="322"/>
  <c r="I106" i="352" s="1"/>
  <c r="N104" i="321"/>
  <c r="N95" i="322" s="1"/>
  <c r="I128" i="352" s="1"/>
  <c r="N61" i="322"/>
  <c r="I108" i="352" s="1"/>
  <c r="N22" i="329"/>
  <c r="I18" i="329"/>
  <c r="I19" i="329"/>
  <c r="I20" i="329"/>
  <c r="I15" i="329"/>
  <c r="L78" i="321"/>
  <c r="L48" i="322"/>
  <c r="I96" i="352" s="1"/>
  <c r="J78" i="321"/>
  <c r="J48" i="322"/>
  <c r="I94" i="352" s="1"/>
  <c r="K78" i="321"/>
  <c r="K48" i="322"/>
  <c r="I95" i="352" s="1"/>
  <c r="M78" i="321"/>
  <c r="M48" i="322"/>
  <c r="I97" i="352" s="1"/>
  <c r="N78" i="321"/>
  <c r="N48" i="322"/>
  <c r="I98" i="352" s="1"/>
  <c r="J497" i="329"/>
  <c r="J788" i="251"/>
  <c r="J453" i="309" s="1"/>
  <c r="K796" i="251"/>
  <c r="K454" i="309" s="1"/>
  <c r="K511" i="329"/>
  <c r="N796" i="251"/>
  <c r="N454" i="309" s="1"/>
  <c r="N511" i="329"/>
  <c r="J511" i="329"/>
  <c r="J796" i="251"/>
  <c r="J454" i="309" s="1"/>
  <c r="N497" i="329"/>
  <c r="N788" i="251"/>
  <c r="N453" i="309" s="1"/>
  <c r="M511" i="329"/>
  <c r="M796" i="251"/>
  <c r="M454" i="309" s="1"/>
  <c r="L796" i="251"/>
  <c r="L454" i="309" s="1"/>
  <c r="L511" i="329"/>
  <c r="L518" i="329" s="1"/>
  <c r="I560" i="352" s="1"/>
  <c r="L788" i="251"/>
  <c r="L453" i="309" s="1"/>
  <c r="L497" i="329"/>
  <c r="M497" i="329"/>
  <c r="M788" i="251"/>
  <c r="M453" i="309" s="1"/>
  <c r="K788" i="251"/>
  <c r="K453" i="309" s="1"/>
  <c r="K497" i="329"/>
  <c r="L22" i="329"/>
  <c r="M22" i="329"/>
  <c r="J22" i="329"/>
  <c r="K22" i="329"/>
  <c r="K75" i="321"/>
  <c r="J75" i="321"/>
  <c r="L75" i="321"/>
  <c r="N75" i="321"/>
  <c r="M75" i="321"/>
  <c r="L14" i="329"/>
  <c r="I74" i="352" s="1"/>
  <c r="K13" i="329"/>
  <c r="I68" i="352" s="1"/>
  <c r="J14" i="329"/>
  <c r="I72" i="352" s="1"/>
  <c r="J13" i="329"/>
  <c r="I67" i="352" s="1"/>
  <c r="L13" i="329"/>
  <c r="I69" i="352" s="1"/>
  <c r="K14" i="329"/>
  <c r="I73" i="352" s="1"/>
  <c r="N13" i="329"/>
  <c r="I71" i="352" s="1"/>
  <c r="M13" i="329"/>
  <c r="I70" i="352" s="1"/>
  <c r="M14" i="329"/>
  <c r="I75" i="352" s="1"/>
  <c r="N14" i="329"/>
  <c r="I76" i="352" s="1"/>
  <c r="K93" i="317"/>
  <c r="J93" i="317"/>
  <c r="J94" i="317" s="1"/>
  <c r="M93" i="317"/>
  <c r="L101" i="321"/>
  <c r="K123" i="321"/>
  <c r="N122" i="321"/>
  <c r="N65" i="301" s="1"/>
  <c r="M122" i="321"/>
  <c r="M65" i="301" s="1"/>
  <c r="J101" i="321"/>
  <c r="L122" i="321"/>
  <c r="L65" i="301" s="1"/>
  <c r="L93" i="317"/>
  <c r="M101" i="321"/>
  <c r="N123" i="321"/>
  <c r="M123" i="321"/>
  <c r="N101" i="321"/>
  <c r="N93" i="317"/>
  <c r="L123" i="321"/>
  <c r="K101" i="321"/>
  <c r="K122" i="321"/>
  <c r="K65" i="301" s="1"/>
  <c r="J123" i="321"/>
  <c r="J122" i="321"/>
  <c r="J65" i="301" s="1"/>
  <c r="J266" i="251"/>
  <c r="J267" i="251" s="1"/>
  <c r="J187" i="309" s="1"/>
  <c r="J248" i="251"/>
  <c r="N275" i="251"/>
  <c r="N276" i="251" s="1"/>
  <c r="N188" i="309" s="1"/>
  <c r="N258" i="251"/>
  <c r="K275" i="251"/>
  <c r="K276" i="251" s="1"/>
  <c r="K188" i="309" s="1"/>
  <c r="K258" i="251"/>
  <c r="J275" i="251"/>
  <c r="J276" i="251" s="1"/>
  <c r="J188" i="309" s="1"/>
  <c r="J258" i="251"/>
  <c r="M275" i="251"/>
  <c r="M276" i="251" s="1"/>
  <c r="M188" i="309" s="1"/>
  <c r="M258" i="251"/>
  <c r="N266" i="251"/>
  <c r="N267" i="251" s="1"/>
  <c r="N187" i="309" s="1"/>
  <c r="N248" i="251"/>
  <c r="L275" i="251"/>
  <c r="L276" i="251" s="1"/>
  <c r="L188" i="309" s="1"/>
  <c r="L258" i="251"/>
  <c r="L266" i="251"/>
  <c r="L267" i="251" s="1"/>
  <c r="L187" i="309" s="1"/>
  <c r="L248" i="251"/>
  <c r="M248" i="251"/>
  <c r="M266" i="251"/>
  <c r="M267" i="251" s="1"/>
  <c r="M187" i="309" s="1"/>
  <c r="K266" i="251"/>
  <c r="K267" i="251" s="1"/>
  <c r="K187" i="309" s="1"/>
  <c r="K248" i="251"/>
  <c r="J175" i="251"/>
  <c r="J146" i="309" s="1"/>
  <c r="J210" i="329"/>
  <c r="L167" i="251"/>
  <c r="L145" i="309" s="1"/>
  <c r="L199" i="329"/>
  <c r="N167" i="251"/>
  <c r="N145" i="309" s="1"/>
  <c r="N199" i="329"/>
  <c r="M210" i="329"/>
  <c r="M175" i="251"/>
  <c r="M146" i="309" s="1"/>
  <c r="N210" i="329"/>
  <c r="N175" i="251"/>
  <c r="N146" i="309" s="1"/>
  <c r="K175" i="251"/>
  <c r="K146" i="309" s="1"/>
  <c r="K210" i="329"/>
  <c r="K167" i="251"/>
  <c r="K145" i="309" s="1"/>
  <c r="K199" i="329"/>
  <c r="M167" i="251"/>
  <c r="M145" i="309" s="1"/>
  <c r="M199" i="329"/>
  <c r="L175" i="251"/>
  <c r="L146" i="309" s="1"/>
  <c r="L210" i="329"/>
  <c r="J167" i="251"/>
  <c r="J145" i="309" s="1"/>
  <c r="J199" i="329"/>
  <c r="K142" i="329"/>
  <c r="K146" i="329" s="1"/>
  <c r="I499" i="352" s="1"/>
  <c r="K37" i="251"/>
  <c r="K90" i="309" s="1"/>
  <c r="J29" i="251"/>
  <c r="J89" i="309" s="1"/>
  <c r="J131" i="329"/>
  <c r="J37" i="251"/>
  <c r="J90" i="309" s="1"/>
  <c r="J142" i="329"/>
  <c r="K29" i="251"/>
  <c r="K89" i="309" s="1"/>
  <c r="K131" i="329"/>
  <c r="K135" i="329" s="1"/>
  <c r="I403" i="352" s="1"/>
  <c r="M142" i="329"/>
  <c r="M146" i="329" s="1"/>
  <c r="I501" i="352" s="1"/>
  <c r="M37" i="251"/>
  <c r="M90" i="309" s="1"/>
  <c r="L142" i="329"/>
  <c r="L146" i="329" s="1"/>
  <c r="I500" i="352" s="1"/>
  <c r="L37" i="251"/>
  <c r="L90" i="309" s="1"/>
  <c r="L29" i="251"/>
  <c r="L89" i="309" s="1"/>
  <c r="L131" i="329"/>
  <c r="L135" i="329" s="1"/>
  <c r="I404" i="352" s="1"/>
  <c r="N131" i="329"/>
  <c r="N135" i="329" s="1"/>
  <c r="I406" i="352" s="1"/>
  <c r="N29" i="251"/>
  <c r="N89" i="309" s="1"/>
  <c r="N37" i="251"/>
  <c r="N90" i="309" s="1"/>
  <c r="N142" i="329"/>
  <c r="N146" i="329" s="1"/>
  <c r="I502" i="352" s="1"/>
  <c r="M131" i="329"/>
  <c r="M135" i="329" s="1"/>
  <c r="I405" i="352" s="1"/>
  <c r="M29" i="251"/>
  <c r="M89" i="309" s="1"/>
  <c r="L82" i="321" l="1"/>
  <c r="N71" i="322"/>
  <c r="N30" i="329" s="1"/>
  <c r="J85" i="343" s="1"/>
  <c r="L94" i="317"/>
  <c r="K82" i="321"/>
  <c r="L71" i="322"/>
  <c r="L30" i="329" s="1"/>
  <c r="H85" i="343" s="1"/>
  <c r="K71" i="322"/>
  <c r="K30" i="329" s="1"/>
  <c r="G85" i="343" s="1"/>
  <c r="M82" i="321"/>
  <c r="E33" i="343"/>
  <c r="H33" i="343" s="1"/>
  <c r="M71" i="322"/>
  <c r="M30" i="329" s="1"/>
  <c r="I85" i="343" s="1"/>
  <c r="K94" i="317"/>
  <c r="J94" i="322"/>
  <c r="I119" i="352" s="1"/>
  <c r="J108" i="321"/>
  <c r="K94" i="322"/>
  <c r="I120" i="352" s="1"/>
  <c r="K108" i="321"/>
  <c r="L94" i="322"/>
  <c r="I121" i="352" s="1"/>
  <c r="L108" i="321"/>
  <c r="N94" i="317"/>
  <c r="N82" i="321"/>
  <c r="N94" i="322"/>
  <c r="I123" i="352" s="1"/>
  <c r="N108" i="321"/>
  <c r="M94" i="322"/>
  <c r="I122" i="352" s="1"/>
  <c r="M108" i="321"/>
  <c r="J82" i="321"/>
  <c r="M94" i="317"/>
  <c r="J33" i="343"/>
  <c r="M33" i="343" s="1"/>
  <c r="E47" i="343"/>
  <c r="H47" i="343" s="1"/>
  <c r="E32" i="343"/>
  <c r="F32" i="343" s="1"/>
  <c r="I407" i="329"/>
  <c r="I323" i="352" s="1"/>
  <c r="E48" i="343"/>
  <c r="H48" i="343" s="1"/>
  <c r="J183" i="309"/>
  <c r="J202" i="329" s="1"/>
  <c r="M183" i="309"/>
  <c r="M202" i="329" s="1"/>
  <c r="M184" i="309"/>
  <c r="M213" i="329" s="1"/>
  <c r="L183" i="309"/>
  <c r="L202" i="329" s="1"/>
  <c r="J184" i="309"/>
  <c r="J213" i="329" s="1"/>
  <c r="L184" i="309"/>
  <c r="L213" i="329" s="1"/>
  <c r="K184" i="309"/>
  <c r="K213" i="329" s="1"/>
  <c r="I222" i="352"/>
  <c r="K183" i="309"/>
  <c r="K202" i="329" s="1"/>
  <c r="K226" i="329" s="1"/>
  <c r="N183" i="309"/>
  <c r="N202" i="329" s="1"/>
  <c r="N184" i="309"/>
  <c r="N213" i="329" s="1"/>
  <c r="J32" i="343"/>
  <c r="K32" i="343" s="1"/>
  <c r="J47" i="343"/>
  <c r="K47" i="343" s="1"/>
  <c r="J71" i="322"/>
  <c r="J30" i="329" s="1"/>
  <c r="F85" i="343" s="1"/>
  <c r="I99" i="352"/>
  <c r="J128" i="321"/>
  <c r="M128" i="321"/>
  <c r="K128" i="321"/>
  <c r="L83" i="322"/>
  <c r="N84" i="322"/>
  <c r="L84" i="322"/>
  <c r="J83" i="322"/>
  <c r="M84" i="322"/>
  <c r="M83" i="322"/>
  <c r="K84" i="322"/>
  <c r="K83" i="322"/>
  <c r="N83" i="322"/>
  <c r="J84" i="322"/>
  <c r="D96" i="343"/>
  <c r="I497" i="329"/>
  <c r="I199" i="329"/>
  <c r="I511" i="329"/>
  <c r="I210" i="329"/>
  <c r="J135" i="329"/>
  <c r="I131" i="329"/>
  <c r="J146" i="329"/>
  <c r="I142" i="329"/>
  <c r="I14" i="329"/>
  <c r="D91" i="343" s="1"/>
  <c r="I13" i="329"/>
  <c r="D85" i="343" s="1"/>
  <c r="I22" i="329"/>
  <c r="I66" i="352" s="1"/>
  <c r="N128" i="321"/>
  <c r="L128" i="321"/>
  <c r="K72" i="322"/>
  <c r="K33" i="329" s="1"/>
  <c r="G91" i="343" s="1"/>
  <c r="J72" i="322"/>
  <c r="J33" i="329" s="1"/>
  <c r="F91" i="343" s="1"/>
  <c r="N72" i="322"/>
  <c r="N33" i="329" s="1"/>
  <c r="J91" i="343" s="1"/>
  <c r="L72" i="322"/>
  <c r="L33" i="329" s="1"/>
  <c r="H91" i="343" s="1"/>
  <c r="M72" i="322"/>
  <c r="M33" i="329" s="1"/>
  <c r="I91" i="343" s="1"/>
  <c r="M504" i="329"/>
  <c r="I465" i="352" s="1"/>
  <c r="M527" i="329"/>
  <c r="M534" i="329" s="1"/>
  <c r="I273" i="352" s="1"/>
  <c r="N527" i="329"/>
  <c r="N534" i="329" s="1"/>
  <c r="I274" i="352" s="1"/>
  <c r="N504" i="329"/>
  <c r="I466" i="352" s="1"/>
  <c r="J527" i="329"/>
  <c r="J504" i="329"/>
  <c r="I462" i="352" s="1"/>
  <c r="L504" i="329"/>
  <c r="I464" i="352" s="1"/>
  <c r="L527" i="329"/>
  <c r="L534" i="329" s="1"/>
  <c r="I272" i="352" s="1"/>
  <c r="J518" i="329"/>
  <c r="I558" i="352" s="1"/>
  <c r="J540" i="329"/>
  <c r="L540" i="329"/>
  <c r="L547" i="329" s="1"/>
  <c r="I368" i="352" s="1"/>
  <c r="N540" i="329"/>
  <c r="N547" i="329" s="1"/>
  <c r="I370" i="352" s="1"/>
  <c r="N518" i="329"/>
  <c r="I562" i="352" s="1"/>
  <c r="K504" i="329"/>
  <c r="I463" i="352" s="1"/>
  <c r="K527" i="329"/>
  <c r="K534" i="329" s="1"/>
  <c r="I271" i="352" s="1"/>
  <c r="K518" i="329"/>
  <c r="I559" i="352" s="1"/>
  <c r="K540" i="329"/>
  <c r="K547" i="329" s="1"/>
  <c r="I367" i="352" s="1"/>
  <c r="M518" i="329"/>
  <c r="I561" i="352" s="1"/>
  <c r="M540" i="329"/>
  <c r="M547" i="329" s="1"/>
  <c r="I369" i="352" s="1"/>
  <c r="L132" i="321"/>
  <c r="J132" i="321"/>
  <c r="N133" i="321"/>
  <c r="M133" i="321"/>
  <c r="K133" i="321"/>
  <c r="K80" i="321"/>
  <c r="K83" i="321" s="1"/>
  <c r="K127" i="321"/>
  <c r="K117" i="301" s="1"/>
  <c r="M127" i="321"/>
  <c r="M117" i="301" s="1"/>
  <c r="M80" i="321"/>
  <c r="M83" i="321" s="1"/>
  <c r="J127" i="321"/>
  <c r="J117" i="301" s="1"/>
  <c r="J80" i="321"/>
  <c r="J83" i="321" s="1"/>
  <c r="J133" i="321"/>
  <c r="N34" i="323"/>
  <c r="L127" i="321"/>
  <c r="L117" i="301" s="1"/>
  <c r="L80" i="321"/>
  <c r="L83" i="321" s="1"/>
  <c r="K34" i="323"/>
  <c r="N106" i="321"/>
  <c r="N109" i="321"/>
  <c r="N132" i="321"/>
  <c r="K106" i="321"/>
  <c r="K109" i="321"/>
  <c r="M34" i="323"/>
  <c r="J34" i="323"/>
  <c r="L34" i="323"/>
  <c r="L133" i="321"/>
  <c r="M109" i="321"/>
  <c r="M106" i="321"/>
  <c r="J109" i="321"/>
  <c r="J106" i="321"/>
  <c r="L106" i="321"/>
  <c r="L109" i="321"/>
  <c r="K132" i="321"/>
  <c r="M132" i="321"/>
  <c r="N127" i="321"/>
  <c r="N117" i="301" s="1"/>
  <c r="N80" i="321"/>
  <c r="N83" i="321" s="1"/>
  <c r="M233" i="329"/>
  <c r="K223" i="329"/>
  <c r="N223" i="329"/>
  <c r="M223" i="329"/>
  <c r="J223" i="329"/>
  <c r="K233" i="329"/>
  <c r="L223" i="329"/>
  <c r="L233" i="329"/>
  <c r="J233" i="329"/>
  <c r="N233" i="329"/>
  <c r="J166" i="329"/>
  <c r="J170" i="329" s="1"/>
  <c r="I306" i="352" s="1"/>
  <c r="J156" i="329"/>
  <c r="N156" i="329"/>
  <c r="N160" i="329" s="1"/>
  <c r="I214" i="352" s="1"/>
  <c r="N166" i="329"/>
  <c r="N170" i="329" s="1"/>
  <c r="I310" i="352" s="1"/>
  <c r="K166" i="329"/>
  <c r="K170" i="329" s="1"/>
  <c r="I307" i="352" s="1"/>
  <c r="M156" i="329"/>
  <c r="M160" i="329" s="1"/>
  <c r="I213" i="352" s="1"/>
  <c r="L156" i="329"/>
  <c r="L160" i="329" s="1"/>
  <c r="I212" i="352" s="1"/>
  <c r="M166" i="329"/>
  <c r="M170" i="329" s="1"/>
  <c r="I309" i="352" s="1"/>
  <c r="K156" i="329"/>
  <c r="K160" i="329" s="1"/>
  <c r="I211" i="352" s="1"/>
  <c r="L166" i="329"/>
  <c r="L170" i="329" s="1"/>
  <c r="I308" i="352" s="1"/>
  <c r="G33" i="343" l="1"/>
  <c r="F33" i="343"/>
  <c r="J48" i="343"/>
  <c r="L48" i="343" s="1"/>
  <c r="K33" i="343"/>
  <c r="L33" i="343"/>
  <c r="F47" i="343"/>
  <c r="H32" i="343"/>
  <c r="F48" i="343"/>
  <c r="G48" i="343"/>
  <c r="N236" i="329"/>
  <c r="N237" i="329" s="1"/>
  <c r="I316" i="352" s="1"/>
  <c r="N214" i="329"/>
  <c r="I508" i="352" s="1"/>
  <c r="N226" i="329"/>
  <c r="N227" i="329" s="1"/>
  <c r="I220" i="352" s="1"/>
  <c r="N203" i="329"/>
  <c r="I412" i="352" s="1"/>
  <c r="K227" i="329"/>
  <c r="I217" i="352" s="1"/>
  <c r="K203" i="329"/>
  <c r="I409" i="352" s="1"/>
  <c r="K236" i="329"/>
  <c r="K237" i="329" s="1"/>
  <c r="I313" i="352" s="1"/>
  <c r="K214" i="329"/>
  <c r="I505" i="352" s="1"/>
  <c r="L236" i="329"/>
  <c r="L237" i="329" s="1"/>
  <c r="I314" i="352" s="1"/>
  <c r="L214" i="329"/>
  <c r="I506" i="352" s="1"/>
  <c r="J214" i="329"/>
  <c r="I504" i="352" s="1"/>
  <c r="J236" i="329"/>
  <c r="J237" i="329" s="1"/>
  <c r="I312" i="352" s="1"/>
  <c r="I213" i="329"/>
  <c r="L226" i="329"/>
  <c r="L227" i="329" s="1"/>
  <c r="I218" i="352" s="1"/>
  <c r="L203" i="329"/>
  <c r="I410" i="352" s="1"/>
  <c r="M236" i="329"/>
  <c r="M237" i="329" s="1"/>
  <c r="I315" i="352" s="1"/>
  <c r="M214" i="329"/>
  <c r="I507" i="352" s="1"/>
  <c r="M226" i="329"/>
  <c r="M227" i="329" s="1"/>
  <c r="I219" i="352" s="1"/>
  <c r="M203" i="329"/>
  <c r="I411" i="352" s="1"/>
  <c r="J226" i="329"/>
  <c r="J227" i="329" s="1"/>
  <c r="I202" i="329"/>
  <c r="J203" i="329"/>
  <c r="I408" i="352" s="1"/>
  <c r="I30" i="329"/>
  <c r="E85" i="343" s="1"/>
  <c r="M32" i="343"/>
  <c r="M47" i="343"/>
  <c r="I146" i="329"/>
  <c r="I498" i="352"/>
  <c r="L105" i="322"/>
  <c r="L34" i="329" s="1"/>
  <c r="H92" i="343" s="1"/>
  <c r="I116" i="352"/>
  <c r="N104" i="322"/>
  <c r="N31" i="329" s="1"/>
  <c r="J86" i="343" s="1"/>
  <c r="I113" i="352"/>
  <c r="L104" i="322"/>
  <c r="L31" i="329" s="1"/>
  <c r="H86" i="343" s="1"/>
  <c r="I111" i="352"/>
  <c r="I135" i="329"/>
  <c r="I402" i="352"/>
  <c r="K104" i="322"/>
  <c r="K31" i="329" s="1"/>
  <c r="G86" i="343" s="1"/>
  <c r="I110" i="352"/>
  <c r="N105" i="322"/>
  <c r="N34" i="329" s="1"/>
  <c r="J92" i="343" s="1"/>
  <c r="I118" i="352"/>
  <c r="K105" i="322"/>
  <c r="K34" i="329" s="1"/>
  <c r="G92" i="343" s="1"/>
  <c r="I115" i="352"/>
  <c r="M104" i="322"/>
  <c r="M31" i="329" s="1"/>
  <c r="I86" i="343" s="1"/>
  <c r="I112" i="352"/>
  <c r="M105" i="322"/>
  <c r="M34" i="329" s="1"/>
  <c r="I92" i="343" s="1"/>
  <c r="I117" i="352"/>
  <c r="J105" i="322"/>
  <c r="J34" i="329" s="1"/>
  <c r="I114" i="352"/>
  <c r="J104" i="322"/>
  <c r="J31" i="329" s="1"/>
  <c r="F86" i="343" s="1"/>
  <c r="I109" i="352"/>
  <c r="J160" i="329"/>
  <c r="I156" i="329"/>
  <c r="J547" i="329"/>
  <c r="I366" i="352" s="1"/>
  <c r="I540" i="329"/>
  <c r="I166" i="329"/>
  <c r="I518" i="329"/>
  <c r="I233" i="329"/>
  <c r="I223" i="329"/>
  <c r="I504" i="329"/>
  <c r="J534" i="329"/>
  <c r="I527" i="329"/>
  <c r="I33" i="329"/>
  <c r="M57" i="323"/>
  <c r="K57" i="323"/>
  <c r="J57" i="323"/>
  <c r="L57" i="323"/>
  <c r="N57" i="323"/>
  <c r="N81" i="323" s="1"/>
  <c r="N82" i="323" s="1"/>
  <c r="J63" i="322"/>
  <c r="J35" i="323"/>
  <c r="J126" i="321"/>
  <c r="J92" i="301" s="1"/>
  <c r="J46" i="323"/>
  <c r="K63" i="322"/>
  <c r="K35" i="323"/>
  <c r="M63" i="322"/>
  <c r="M35" i="323"/>
  <c r="L46" i="323"/>
  <c r="L126" i="321"/>
  <c r="L92" i="301" s="1"/>
  <c r="M126" i="321"/>
  <c r="M92" i="301" s="1"/>
  <c r="M46" i="323"/>
  <c r="N46" i="323"/>
  <c r="N126" i="321"/>
  <c r="N92" i="301" s="1"/>
  <c r="N63" i="322"/>
  <c r="N35" i="323"/>
  <c r="L63" i="322"/>
  <c r="L35" i="323"/>
  <c r="K46" i="323"/>
  <c r="K126" i="321"/>
  <c r="K92" i="301" s="1"/>
  <c r="K48" i="343" l="1"/>
  <c r="M48" i="343"/>
  <c r="E7" i="343"/>
  <c r="F7" i="343" s="1"/>
  <c r="I214" i="329"/>
  <c r="E46" i="343" s="1"/>
  <c r="H46" i="343" s="1"/>
  <c r="I203" i="329"/>
  <c r="I407" i="352" s="1"/>
  <c r="I226" i="329"/>
  <c r="I236" i="329"/>
  <c r="I34" i="329"/>
  <c r="E11" i="343" s="1"/>
  <c r="F11" i="343" s="1"/>
  <c r="F92" i="343"/>
  <c r="I31" i="329"/>
  <c r="E86" i="343" s="1"/>
  <c r="I227" i="329"/>
  <c r="I216" i="352"/>
  <c r="I160" i="329"/>
  <c r="I210" i="352"/>
  <c r="E35" i="343"/>
  <c r="G35" i="343" s="1"/>
  <c r="I461" i="352"/>
  <c r="I534" i="329"/>
  <c r="I270" i="352"/>
  <c r="E30" i="343"/>
  <c r="I401" i="352"/>
  <c r="E45" i="343"/>
  <c r="I497" i="352"/>
  <c r="E50" i="343"/>
  <c r="G50" i="343" s="1"/>
  <c r="I557" i="352"/>
  <c r="E10" i="343"/>
  <c r="F10" i="343" s="1"/>
  <c r="E91" i="343"/>
  <c r="I170" i="329"/>
  <c r="I237" i="329"/>
  <c r="I547" i="329"/>
  <c r="M81" i="323"/>
  <c r="M82" i="323" s="1"/>
  <c r="M97" i="322"/>
  <c r="M98" i="322" s="1"/>
  <c r="M58" i="323"/>
  <c r="N97" i="322"/>
  <c r="N98" i="322" s="1"/>
  <c r="N58" i="323"/>
  <c r="J97" i="322"/>
  <c r="J98" i="322" s="1"/>
  <c r="J58" i="323"/>
  <c r="J81" i="323"/>
  <c r="J82" i="323" s="1"/>
  <c r="K58" i="323"/>
  <c r="K81" i="323"/>
  <c r="K82" i="323" s="1"/>
  <c r="K97" i="322"/>
  <c r="K98" i="322" s="1"/>
  <c r="L97" i="322"/>
  <c r="L98" i="322" s="1"/>
  <c r="L58" i="323"/>
  <c r="L81" i="323"/>
  <c r="L82" i="323" s="1"/>
  <c r="N64" i="322"/>
  <c r="K64" i="322"/>
  <c r="L87" i="322"/>
  <c r="L47" i="323"/>
  <c r="J87" i="322"/>
  <c r="J47" i="323"/>
  <c r="L64" i="322"/>
  <c r="N87" i="322"/>
  <c r="N47" i="323"/>
  <c r="M87" i="322"/>
  <c r="M47" i="323"/>
  <c r="M64" i="322"/>
  <c r="K87" i="322"/>
  <c r="K47" i="323"/>
  <c r="J64" i="322"/>
  <c r="E31" i="343" l="1"/>
  <c r="F31" i="343" s="1"/>
  <c r="E92" i="343"/>
  <c r="I503" i="352"/>
  <c r="E8" i="343"/>
  <c r="F8" i="343" s="1"/>
  <c r="F46" i="343"/>
  <c r="H45" i="343"/>
  <c r="H53" i="343" s="1"/>
  <c r="F45" i="343"/>
  <c r="J35" i="343"/>
  <c r="L35" i="343" s="1"/>
  <c r="I269" i="352"/>
  <c r="H30" i="343"/>
  <c r="F30" i="343"/>
  <c r="J30" i="343"/>
  <c r="I209" i="352"/>
  <c r="J50" i="343"/>
  <c r="L50" i="343" s="1"/>
  <c r="I365" i="352"/>
  <c r="J31" i="343"/>
  <c r="I215" i="352"/>
  <c r="J46" i="343"/>
  <c r="M46" i="343" s="1"/>
  <c r="I311" i="352"/>
  <c r="J45" i="343"/>
  <c r="M45" i="343" s="1"/>
  <c r="I305" i="352"/>
  <c r="J88" i="322"/>
  <c r="J108" i="322"/>
  <c r="M88" i="322"/>
  <c r="M108" i="322"/>
  <c r="N88" i="322"/>
  <c r="N108" i="322"/>
  <c r="L88" i="322"/>
  <c r="L108" i="322"/>
  <c r="K88" i="322"/>
  <c r="K108" i="322"/>
  <c r="H31" i="343" l="1"/>
  <c r="H38" i="343" s="1"/>
  <c r="F38" i="343"/>
  <c r="F53" i="343"/>
  <c r="K46" i="343"/>
  <c r="M31" i="343"/>
  <c r="K31" i="343"/>
  <c r="M30" i="343"/>
  <c r="K30" i="343"/>
  <c r="K45" i="343"/>
  <c r="M53" i="343"/>
  <c r="K1057" i="251"/>
  <c r="L1065" i="251"/>
  <c r="L1066" i="251" s="1"/>
  <c r="N1065" i="251"/>
  <c r="N1066" i="251" s="1"/>
  <c r="J109" i="322"/>
  <c r="M109" i="322"/>
  <c r="L109" i="322"/>
  <c r="N109" i="322"/>
  <c r="K109" i="322"/>
  <c r="K38" i="343" l="1"/>
  <c r="K53" i="343"/>
  <c r="M38" i="343"/>
  <c r="J114" i="301"/>
  <c r="I149" i="352" s="1"/>
  <c r="I109" i="322"/>
  <c r="I88" i="352" s="1"/>
  <c r="K114" i="301"/>
  <c r="K115" i="301"/>
  <c r="K121" i="301"/>
  <c r="K122" i="301"/>
  <c r="M114" i="301"/>
  <c r="M122" i="301"/>
  <c r="M121" i="301"/>
  <c r="M115" i="301"/>
  <c r="J115" i="301"/>
  <c r="J122" i="301"/>
  <c r="J121" i="301"/>
  <c r="L122" i="301"/>
  <c r="L114" i="301"/>
  <c r="L115" i="301"/>
  <c r="L121" i="301"/>
  <c r="N114" i="301"/>
  <c r="N122" i="301"/>
  <c r="N121" i="301"/>
  <c r="N115" i="301"/>
  <c r="N37" i="329"/>
  <c r="K37" i="329"/>
  <c r="M37" i="329"/>
  <c r="J37" i="329"/>
  <c r="L37" i="329"/>
  <c r="L1048" i="251"/>
  <c r="K1074" i="251"/>
  <c r="K1075" i="251" s="1"/>
  <c r="N1048" i="251"/>
  <c r="K1065" i="251"/>
  <c r="K1066" i="251" s="1"/>
  <c r="K1048" i="251"/>
  <c r="N1057" i="251"/>
  <c r="N1074" i="251"/>
  <c r="N1075" i="251" s="1"/>
  <c r="L1074" i="251"/>
  <c r="L1075" i="251" s="1"/>
  <c r="L1057" i="251"/>
  <c r="J129" i="301" l="1"/>
  <c r="L129" i="301"/>
  <c r="I151" i="352"/>
  <c r="M134" i="301"/>
  <c r="I167" i="352"/>
  <c r="K134" i="301"/>
  <c r="I165" i="352"/>
  <c r="L134" i="301"/>
  <c r="I166" i="352"/>
  <c r="N133" i="301"/>
  <c r="I163" i="352"/>
  <c r="J133" i="301"/>
  <c r="I159" i="352"/>
  <c r="K133" i="301"/>
  <c r="I160" i="352"/>
  <c r="M129" i="301"/>
  <c r="I152" i="352"/>
  <c r="N130" i="301"/>
  <c r="I158" i="352"/>
  <c r="N134" i="301"/>
  <c r="I168" i="352"/>
  <c r="J134" i="301"/>
  <c r="I164" i="352"/>
  <c r="K130" i="301"/>
  <c r="I155" i="352"/>
  <c r="N129" i="301"/>
  <c r="I153" i="352"/>
  <c r="J130" i="301"/>
  <c r="I154" i="352"/>
  <c r="K129" i="301"/>
  <c r="I150" i="352"/>
  <c r="L133" i="301"/>
  <c r="I161" i="352"/>
  <c r="M130" i="301"/>
  <c r="I157" i="352"/>
  <c r="L130" i="301"/>
  <c r="I156" i="352"/>
  <c r="M133" i="301"/>
  <c r="I162" i="352"/>
  <c r="F97" i="343"/>
  <c r="J939" i="329"/>
  <c r="J885" i="329"/>
  <c r="J922" i="329"/>
  <c r="J904" i="329"/>
  <c r="I97" i="343"/>
  <c r="M922" i="329"/>
  <c r="M939" i="329"/>
  <c r="M885" i="329"/>
  <c r="M904" i="329"/>
  <c r="G97" i="343"/>
  <c r="K922" i="329"/>
  <c r="K885" i="329"/>
  <c r="K939" i="329"/>
  <c r="K904" i="329"/>
  <c r="J97" i="343"/>
  <c r="N939" i="329"/>
  <c r="N922" i="329"/>
  <c r="N885" i="329"/>
  <c r="N904" i="329"/>
  <c r="H97" i="343"/>
  <c r="L885" i="329"/>
  <c r="L939" i="329"/>
  <c r="L922" i="329"/>
  <c r="L904" i="329"/>
  <c r="J763" i="329"/>
  <c r="J728" i="329"/>
  <c r="J782" i="329"/>
  <c r="J745" i="329"/>
  <c r="L40" i="329"/>
  <c r="L728" i="329"/>
  <c r="L745" i="329"/>
  <c r="L782" i="329"/>
  <c r="L763" i="329"/>
  <c r="M40" i="329"/>
  <c r="M728" i="329"/>
  <c r="M782" i="329"/>
  <c r="M745" i="329"/>
  <c r="M763" i="329"/>
  <c r="K40" i="329"/>
  <c r="K728" i="329"/>
  <c r="K763" i="329"/>
  <c r="K782" i="329"/>
  <c r="K745" i="329"/>
  <c r="N40" i="329"/>
  <c r="N745" i="329"/>
  <c r="N782" i="329"/>
  <c r="N763" i="329"/>
  <c r="N728" i="329"/>
  <c r="J40" i="329"/>
  <c r="I37" i="329"/>
  <c r="J409" i="329"/>
  <c r="N306" i="329"/>
  <c r="M584" i="329"/>
  <c r="K229" i="329"/>
  <c r="L536" i="329"/>
  <c r="K291" i="329"/>
  <c r="M205" i="329"/>
  <c r="M137" i="329"/>
  <c r="M278" i="329"/>
  <c r="K278" i="329"/>
  <c r="K409" i="329"/>
  <c r="K536" i="329"/>
  <c r="K205" i="329"/>
  <c r="M506" i="329"/>
  <c r="K318" i="329"/>
  <c r="M395" i="329"/>
  <c r="M239" i="329"/>
  <c r="M610" i="329"/>
  <c r="M378" i="329"/>
  <c r="M536" i="329"/>
  <c r="M363" i="329"/>
  <c r="M549" i="329"/>
  <c r="N378" i="329"/>
  <c r="J549" i="329"/>
  <c r="M318" i="329"/>
  <c r="M291" i="329"/>
  <c r="J520" i="329"/>
  <c r="J363" i="329"/>
  <c r="J291" i="329"/>
  <c r="J318" i="329"/>
  <c r="J584" i="329"/>
  <c r="N506" i="329"/>
  <c r="N278" i="329"/>
  <c r="N172" i="329"/>
  <c r="N239" i="329"/>
  <c r="N610" i="329"/>
  <c r="L291" i="329"/>
  <c r="N205" i="329"/>
  <c r="N596" i="329"/>
  <c r="N318" i="329"/>
  <c r="N229" i="329"/>
  <c r="K162" i="329"/>
  <c r="K172" i="329"/>
  <c r="K520" i="329"/>
  <c r="K549" i="329"/>
  <c r="K596" i="329"/>
  <c r="J610" i="329"/>
  <c r="J229" i="329"/>
  <c r="J306" i="329"/>
  <c r="J137" i="329"/>
  <c r="J205" i="329"/>
  <c r="J162" i="329"/>
  <c r="J278" i="329"/>
  <c r="J596" i="329"/>
  <c r="J536" i="329"/>
  <c r="J378" i="329"/>
  <c r="J148" i="329"/>
  <c r="J395" i="329"/>
  <c r="J216" i="329"/>
  <c r="J172" i="329"/>
  <c r="J506" i="329"/>
  <c r="J239" i="329"/>
  <c r="N584" i="329"/>
  <c r="N216" i="329"/>
  <c r="M148" i="329"/>
  <c r="M172" i="329"/>
  <c r="M596" i="329"/>
  <c r="M216" i="329"/>
  <c r="M306" i="329"/>
  <c r="M520" i="329"/>
  <c r="M409" i="329"/>
  <c r="M229" i="329"/>
  <c r="M162" i="329"/>
  <c r="N137" i="329"/>
  <c r="K363" i="329"/>
  <c r="K216" i="329"/>
  <c r="K395" i="329"/>
  <c r="K610" i="329"/>
  <c r="K584" i="329"/>
  <c r="K506" i="329"/>
  <c r="K137" i="329"/>
  <c r="K306" i="329"/>
  <c r="K148" i="329"/>
  <c r="K378" i="329"/>
  <c r="N549" i="329"/>
  <c r="N536" i="329"/>
  <c r="N409" i="329"/>
  <c r="N520" i="329"/>
  <c r="N395" i="329"/>
  <c r="N162" i="329"/>
  <c r="N363" i="329"/>
  <c r="K239" i="329"/>
  <c r="N148" i="329"/>
  <c r="L596" i="329"/>
  <c r="L162" i="329"/>
  <c r="N291" i="329"/>
  <c r="L124" i="301"/>
  <c r="L137" i="329"/>
  <c r="L229" i="329"/>
  <c r="L172" i="329"/>
  <c r="L278" i="329"/>
  <c r="L549" i="329"/>
  <c r="L378" i="329"/>
  <c r="L306" i="329"/>
  <c r="N124" i="301"/>
  <c r="M124" i="301"/>
  <c r="L318" i="329"/>
  <c r="L409" i="329"/>
  <c r="L205" i="329"/>
  <c r="J124" i="301"/>
  <c r="L506" i="329"/>
  <c r="L395" i="329"/>
  <c r="L363" i="329"/>
  <c r="L148" i="329"/>
  <c r="L520" i="329"/>
  <c r="L239" i="329"/>
  <c r="L216" i="329"/>
  <c r="L610" i="329"/>
  <c r="L584" i="329"/>
  <c r="K124" i="301"/>
  <c r="J1065" i="251"/>
  <c r="J1066" i="251" s="1"/>
  <c r="J1048" i="251"/>
  <c r="M1074" i="251"/>
  <c r="M1075" i="251" s="1"/>
  <c r="M1057" i="251"/>
  <c r="J1057" i="251"/>
  <c r="J1074" i="251"/>
  <c r="J1075" i="251" s="1"/>
  <c r="M1065" i="251"/>
  <c r="M1066" i="251" s="1"/>
  <c r="M1048" i="251"/>
  <c r="J621" i="329"/>
  <c r="I409" i="329" l="1"/>
  <c r="H66" i="343" s="1"/>
  <c r="I306" i="329"/>
  <c r="G65" i="343" s="1"/>
  <c r="I318" i="329"/>
  <c r="H65" i="343" s="1"/>
  <c r="I291" i="329"/>
  <c r="F65" i="343" s="1"/>
  <c r="I378" i="329"/>
  <c r="F66" i="343" s="1"/>
  <c r="I395" i="329"/>
  <c r="G66" i="343" s="1"/>
  <c r="I278" i="329"/>
  <c r="E65" i="343" s="1"/>
  <c r="I363" i="329"/>
  <c r="E66" i="343" s="1"/>
  <c r="E97" i="343"/>
  <c r="I922" i="329"/>
  <c r="G70" i="343" s="1"/>
  <c r="I885" i="329"/>
  <c r="E70" i="343" s="1"/>
  <c r="I939" i="329"/>
  <c r="H70" i="343" s="1"/>
  <c r="I904" i="329"/>
  <c r="F70" i="343" s="1"/>
  <c r="E14" i="343"/>
  <c r="I782" i="329"/>
  <c r="H62" i="343" s="1"/>
  <c r="I763" i="329"/>
  <c r="G62" i="343" s="1"/>
  <c r="I728" i="329"/>
  <c r="E62" i="343" s="1"/>
  <c r="I745" i="329"/>
  <c r="F62" i="343" s="1"/>
  <c r="I40" i="329"/>
  <c r="F14" i="343" s="1"/>
  <c r="I584" i="329"/>
  <c r="E69" i="343" s="1"/>
  <c r="I621" i="329"/>
  <c r="I596" i="329"/>
  <c r="F69" i="343" s="1"/>
  <c r="I610" i="329"/>
  <c r="I137" i="329"/>
  <c r="E63" i="343" s="1"/>
  <c r="I148" i="329"/>
  <c r="F63" i="343" s="1"/>
  <c r="I536" i="329"/>
  <c r="G68" i="343" s="1"/>
  <c r="I216" i="329"/>
  <c r="F64" i="343" s="1"/>
  <c r="I506" i="329"/>
  <c r="E68" i="343" s="1"/>
  <c r="I172" i="329"/>
  <c r="H63" i="343" s="1"/>
  <c r="I520" i="329"/>
  <c r="F68" i="343" s="1"/>
  <c r="I229" i="329"/>
  <c r="G64" i="343" s="1"/>
  <c r="I162" i="329"/>
  <c r="G63" i="343" s="1"/>
  <c r="I205" i="329"/>
  <c r="E64" i="343" s="1"/>
  <c r="I239" i="329"/>
  <c r="H64" i="343" s="1"/>
  <c r="I549" i="329"/>
  <c r="H68" i="343" s="1"/>
  <c r="G69" i="343" l="1"/>
  <c r="H69" i="343"/>
  <c r="L621" i="329"/>
  <c r="M621" i="329"/>
  <c r="K621" i="329"/>
  <c r="N621" i="329"/>
  <c r="J131" i="321" l="1"/>
  <c r="J21" i="323"/>
  <c r="J121" i="321"/>
  <c r="J39" i="301" s="1"/>
  <c r="J22" i="323" l="1"/>
  <c r="J50" i="322"/>
  <c r="J68" i="323"/>
  <c r="J69" i="323" l="1"/>
  <c r="J99" i="323"/>
  <c r="J51" i="322"/>
  <c r="J75" i="322"/>
  <c r="J76" i="322" s="1"/>
  <c r="J61" i="301" l="1"/>
  <c r="J69" i="301"/>
  <c r="J68" i="301"/>
  <c r="J36" i="329"/>
  <c r="F96" i="343" s="1"/>
  <c r="J62" i="301"/>
  <c r="J113" i="324"/>
  <c r="J107" i="324"/>
  <c r="J15" i="327" s="1"/>
  <c r="J100" i="323"/>
  <c r="J77" i="301" l="1"/>
  <c r="I134" i="352"/>
  <c r="J80" i="301"/>
  <c r="I139" i="352"/>
  <c r="J76" i="301"/>
  <c r="I129" i="352"/>
  <c r="J81" i="301"/>
  <c r="I144" i="352"/>
  <c r="J39" i="329"/>
  <c r="J156" i="301"/>
  <c r="J168" i="301" s="1"/>
  <c r="J418" i="309" s="1"/>
  <c r="J422" i="329" s="1"/>
  <c r="J157" i="301"/>
  <c r="J169" i="301" s="1"/>
  <c r="J432" i="309" s="1"/>
  <c r="J423" i="329" s="1"/>
  <c r="J153" i="301"/>
  <c r="J33" i="309"/>
  <c r="J78" i="329" s="1"/>
  <c r="J16" i="327"/>
  <c r="J50" i="329"/>
  <c r="J47" i="327"/>
  <c r="J38" i="327"/>
  <c r="J22" i="327"/>
  <c r="J123" i="324"/>
  <c r="J29" i="327" s="1"/>
  <c r="J71" i="301"/>
  <c r="J152" i="301"/>
  <c r="J435" i="309" l="1"/>
  <c r="J435" i="329" s="1"/>
  <c r="I456" i="352" s="1"/>
  <c r="J436" i="309"/>
  <c r="J446" i="329" s="1"/>
  <c r="I552" i="352" s="1"/>
  <c r="J439" i="309"/>
  <c r="J440" i="309"/>
  <c r="J421" i="309"/>
  <c r="J434" i="329" s="1"/>
  <c r="I450" i="352" s="1"/>
  <c r="J422" i="309"/>
  <c r="J445" i="329" s="1"/>
  <c r="I546" i="352" s="1"/>
  <c r="J425" i="309"/>
  <c r="J426" i="309"/>
  <c r="J164" i="301"/>
  <c r="J390" i="309" s="1"/>
  <c r="J420" i="329" s="1"/>
  <c r="J165" i="301"/>
  <c r="J404" i="309" s="1"/>
  <c r="J421" i="329" s="1"/>
  <c r="J39" i="327"/>
  <c r="J56" i="327"/>
  <c r="J57" i="327" s="1"/>
  <c r="J16" i="309"/>
  <c r="J69" i="329" s="1"/>
  <c r="J73" i="327"/>
  <c r="J53" i="329"/>
  <c r="J82" i="327"/>
  <c r="J23" i="327"/>
  <c r="J37" i="309"/>
  <c r="J79" i="329" s="1"/>
  <c r="J159" i="301"/>
  <c r="J30" i="327"/>
  <c r="J109" i="327"/>
  <c r="J118" i="327"/>
  <c r="J57" i="329"/>
  <c r="J41" i="309"/>
  <c r="J80" i="329" s="1"/>
  <c r="J48" i="327"/>
  <c r="J65" i="327"/>
  <c r="J66" i="327" s="1"/>
  <c r="J67" i="309"/>
  <c r="J34" i="309"/>
  <c r="J468" i="329" l="1"/>
  <c r="I354" i="352" s="1"/>
  <c r="J469" i="329"/>
  <c r="I360" i="352" s="1"/>
  <c r="J458" i="329"/>
  <c r="I258" i="352" s="1"/>
  <c r="J459" i="329"/>
  <c r="I264" i="352" s="1"/>
  <c r="J68" i="309"/>
  <c r="J99" i="329"/>
  <c r="J408" i="309"/>
  <c r="J444" i="329" s="1"/>
  <c r="J412" i="309"/>
  <c r="J407" i="309"/>
  <c r="J433" i="329" s="1"/>
  <c r="I444" i="352" s="1"/>
  <c r="J411" i="309"/>
  <c r="J1010" i="251"/>
  <c r="J1029" i="251"/>
  <c r="J1030" i="251" s="1"/>
  <c r="J397" i="309" s="1"/>
  <c r="J1019" i="251"/>
  <c r="J1038" i="251"/>
  <c r="J1039" i="251" s="1"/>
  <c r="J398" i="309" s="1"/>
  <c r="J42" i="309"/>
  <c r="J75" i="309"/>
  <c r="J119" i="327"/>
  <c r="J136" i="327"/>
  <c r="J137" i="327" s="1"/>
  <c r="J100" i="327"/>
  <c r="J101" i="327" s="1"/>
  <c r="J83" i="327"/>
  <c r="J24" i="309"/>
  <c r="J71" i="329" s="1"/>
  <c r="J110" i="327"/>
  <c r="J127" i="327"/>
  <c r="J128" i="327" s="1"/>
  <c r="J91" i="327"/>
  <c r="J92" i="327" s="1"/>
  <c r="J74" i="327"/>
  <c r="J20" i="309"/>
  <c r="J70" i="329" s="1"/>
  <c r="J50" i="309"/>
  <c r="J51" i="309" s="1"/>
  <c r="J90" i="329" s="1"/>
  <c r="J17" i="309"/>
  <c r="J38" i="309"/>
  <c r="J71" i="309"/>
  <c r="J143" i="301"/>
  <c r="J147" i="301"/>
  <c r="J146" i="301"/>
  <c r="J142" i="301"/>
  <c r="I540" i="352" l="1"/>
  <c r="J467" i="329"/>
  <c r="I348" i="352" s="1"/>
  <c r="J76" i="309"/>
  <c r="J101" i="329"/>
  <c r="J457" i="329"/>
  <c r="I252" i="352" s="1"/>
  <c r="J72" i="309"/>
  <c r="J100" i="329"/>
  <c r="J394" i="309"/>
  <c r="J443" i="329" s="1"/>
  <c r="J393" i="309"/>
  <c r="J432" i="329" s="1"/>
  <c r="I438" i="352" s="1"/>
  <c r="J81" i="329"/>
  <c r="I522" i="352" s="1"/>
  <c r="J21" i="309"/>
  <c r="J54" i="309"/>
  <c r="J25" i="309"/>
  <c r="J58" i="309"/>
  <c r="I534" i="352" l="1"/>
  <c r="J466" i="329"/>
  <c r="I342" i="352" s="1"/>
  <c r="J447" i="329"/>
  <c r="J102" i="329"/>
  <c r="I330" i="352" s="1"/>
  <c r="J83" i="329"/>
  <c r="J55" i="309"/>
  <c r="J91" i="329"/>
  <c r="J59" i="309"/>
  <c r="J92" i="329"/>
  <c r="J456" i="329"/>
  <c r="I246" i="352" s="1"/>
  <c r="J436" i="329"/>
  <c r="I432" i="352" s="1"/>
  <c r="J72" i="329"/>
  <c r="I426" i="352" s="1"/>
  <c r="J449" i="329" l="1"/>
  <c r="I528" i="352"/>
  <c r="J460" i="329"/>
  <c r="I240" i="352" s="1"/>
  <c r="J470" i="329"/>
  <c r="I336" i="352" s="1"/>
  <c r="J438" i="329"/>
  <c r="J74" i="329"/>
  <c r="J104" i="329"/>
  <c r="J93" i="329"/>
  <c r="I234" i="352" s="1"/>
  <c r="J462" i="329" l="1"/>
  <c r="J472" i="329"/>
  <c r="J95" i="329"/>
  <c r="M131" i="321" l="1"/>
  <c r="L131" i="321"/>
  <c r="K131" i="321"/>
  <c r="N131" i="321"/>
  <c r="M121" i="321"/>
  <c r="M39" i="301" s="1"/>
  <c r="N121" i="321"/>
  <c r="N39" i="301" s="1"/>
  <c r="L121" i="321"/>
  <c r="L39" i="301" s="1"/>
  <c r="M21" i="323"/>
  <c r="L21" i="323"/>
  <c r="N21" i="323"/>
  <c r="N22" i="323" s="1"/>
  <c r="K21" i="323"/>
  <c r="K121" i="321"/>
  <c r="K39" i="301" s="1"/>
  <c r="K50" i="322" l="1"/>
  <c r="K68" i="323"/>
  <c r="K99" i="323" s="1"/>
  <c r="M50" i="322"/>
  <c r="M68" i="323"/>
  <c r="M22" i="323"/>
  <c r="L68" i="323"/>
  <c r="L50" i="322"/>
  <c r="L22" i="323"/>
  <c r="N50" i="322"/>
  <c r="K22" i="323"/>
  <c r="N68" i="323"/>
  <c r="M219" i="9" l="1"/>
  <c r="J213" i="9" s="1"/>
  <c r="K75" i="322"/>
  <c r="K76" i="322" s="1"/>
  <c r="K51" i="322"/>
  <c r="K69" i="323"/>
  <c r="L99" i="323"/>
  <c r="L69" i="323"/>
  <c r="M69" i="323"/>
  <c r="M99" i="323"/>
  <c r="N51" i="322"/>
  <c r="N75" i="322"/>
  <c r="N76" i="322" s="1"/>
  <c r="M75" i="322"/>
  <c r="M76" i="322" s="1"/>
  <c r="M51" i="322"/>
  <c r="N69" i="323"/>
  <c r="N99" i="323"/>
  <c r="L51" i="322"/>
  <c r="L75" i="322"/>
  <c r="L76" i="322" s="1"/>
  <c r="K107" i="324"/>
  <c r="K15" i="327" s="1"/>
  <c r="K113" i="324"/>
  <c r="K100" i="323"/>
  <c r="K36" i="329" l="1"/>
  <c r="G96" i="343" s="1"/>
  <c r="I76" i="322"/>
  <c r="I87" i="352" s="1"/>
  <c r="K61" i="301"/>
  <c r="C10" i="4"/>
  <c r="I213" i="9"/>
  <c r="K69" i="301"/>
  <c r="K62" i="301"/>
  <c r="K68" i="301"/>
  <c r="M62" i="301"/>
  <c r="M36" i="329"/>
  <c r="M61" i="301"/>
  <c r="M69" i="301"/>
  <c r="M68" i="301"/>
  <c r="N100" i="323"/>
  <c r="N113" i="324"/>
  <c r="N107" i="324"/>
  <c r="N15" i="327" s="1"/>
  <c r="N62" i="301"/>
  <c r="N36" i="329"/>
  <c r="N68" i="301"/>
  <c r="N69" i="301"/>
  <c r="N61" i="301"/>
  <c r="K22" i="327"/>
  <c r="K123" i="324"/>
  <c r="K29" i="327" s="1"/>
  <c r="L68" i="301"/>
  <c r="L36" i="329"/>
  <c r="L62" i="301"/>
  <c r="L61" i="301"/>
  <c r="L69" i="301"/>
  <c r="M107" i="324"/>
  <c r="M15" i="327" s="1"/>
  <c r="M113" i="324"/>
  <c r="M100" i="323"/>
  <c r="K47" i="327"/>
  <c r="K38" i="327"/>
  <c r="K50" i="329"/>
  <c r="K33" i="309"/>
  <c r="K78" i="329" s="1"/>
  <c r="K16" i="327"/>
  <c r="L107" i="324"/>
  <c r="L15" i="327" s="1"/>
  <c r="L113" i="324"/>
  <c r="L100" i="323"/>
  <c r="K39" i="329" l="1"/>
  <c r="K77" i="301"/>
  <c r="I135" i="352"/>
  <c r="M80" i="301"/>
  <c r="I142" i="352"/>
  <c r="L81" i="301"/>
  <c r="I146" i="352"/>
  <c r="M81" i="301"/>
  <c r="I147" i="352"/>
  <c r="L76" i="301"/>
  <c r="I131" i="352"/>
  <c r="N80" i="301"/>
  <c r="I143" i="352"/>
  <c r="M76" i="301"/>
  <c r="I132" i="352"/>
  <c r="K76" i="301"/>
  <c r="I130" i="352"/>
  <c r="K81" i="301"/>
  <c r="I145" i="352"/>
  <c r="N76" i="301"/>
  <c r="I133" i="352"/>
  <c r="N81" i="301"/>
  <c r="I148" i="352"/>
  <c r="L77" i="301"/>
  <c r="I136" i="352"/>
  <c r="N77" i="301"/>
  <c r="I138" i="352"/>
  <c r="M77" i="301"/>
  <c r="I137" i="352"/>
  <c r="L80" i="301"/>
  <c r="I141" i="352"/>
  <c r="K80" i="301"/>
  <c r="I140" i="352"/>
  <c r="L39" i="329"/>
  <c r="H96" i="343"/>
  <c r="N39" i="329"/>
  <c r="J96" i="343"/>
  <c r="M39" i="329"/>
  <c r="I96" i="343"/>
  <c r="B2" i="349"/>
  <c r="B2" i="350"/>
  <c r="B2" i="348"/>
  <c r="B2" i="347"/>
  <c r="B2" i="346"/>
  <c r="B2" i="345"/>
  <c r="I36" i="329"/>
  <c r="E96" i="343" s="1"/>
  <c r="B2" i="246"/>
  <c r="K152" i="301"/>
  <c r="K164" i="301" s="1"/>
  <c r="K390" i="309" s="1"/>
  <c r="B2" i="11"/>
  <c r="B2" i="250"/>
  <c r="B2" i="322"/>
  <c r="B2" i="329"/>
  <c r="B2" i="283"/>
  <c r="B2" i="286"/>
  <c r="C11" i="249"/>
  <c r="B2" i="327"/>
  <c r="B2" i="254"/>
  <c r="B2" i="330"/>
  <c r="C11" i="310"/>
  <c r="B2" i="9"/>
  <c r="B2" i="338"/>
  <c r="B2" i="326"/>
  <c r="B2" i="5"/>
  <c r="B2" i="323"/>
  <c r="B2" i="301"/>
  <c r="B2" i="321"/>
  <c r="C11" i="87"/>
  <c r="B2" i="10"/>
  <c r="B2" i="311"/>
  <c r="B2" i="24"/>
  <c r="B2" i="279"/>
  <c r="B2" i="253"/>
  <c r="B2" i="313"/>
  <c r="B2" i="284"/>
  <c r="B2" i="281"/>
  <c r="C11" i="316"/>
  <c r="C11" i="333"/>
  <c r="B2" i="285"/>
  <c r="B2" i="340"/>
  <c r="B2" i="315"/>
  <c r="B2" i="307"/>
  <c r="B2" i="251"/>
  <c r="B2" i="337"/>
  <c r="B2" i="314"/>
  <c r="B2" i="282"/>
  <c r="B2" i="312"/>
  <c r="B2" i="244"/>
  <c r="B2" i="324"/>
  <c r="C11" i="123"/>
  <c r="B2" i="339"/>
  <c r="B2" i="247"/>
  <c r="B2" i="320"/>
  <c r="B2" i="280"/>
  <c r="B2" i="317"/>
  <c r="B2" i="336"/>
  <c r="B2" i="252"/>
  <c r="B2" i="309"/>
  <c r="B2" i="343"/>
  <c r="B2" i="261"/>
  <c r="C11" i="8"/>
  <c r="M156" i="301"/>
  <c r="M168" i="301" s="1"/>
  <c r="M418" i="309" s="1"/>
  <c r="M422" i="329" s="1"/>
  <c r="L157" i="301"/>
  <c r="L169" i="301" s="1"/>
  <c r="L432" i="309" s="1"/>
  <c r="L423" i="329" s="1"/>
  <c r="N157" i="301"/>
  <c r="N169" i="301" s="1"/>
  <c r="N432" i="309" s="1"/>
  <c r="N423" i="329" s="1"/>
  <c r="M157" i="301"/>
  <c r="M169" i="301" s="1"/>
  <c r="M432" i="309" s="1"/>
  <c r="M423" i="329" s="1"/>
  <c r="N156" i="301"/>
  <c r="N168" i="301" s="1"/>
  <c r="N418" i="309" s="1"/>
  <c r="N422" i="329" s="1"/>
  <c r="L153" i="301"/>
  <c r="K156" i="301"/>
  <c r="K168" i="301" s="1"/>
  <c r="K418" i="309" s="1"/>
  <c r="K422" i="329" s="1"/>
  <c r="N153" i="301"/>
  <c r="M153" i="301"/>
  <c r="K153" i="301"/>
  <c r="L156" i="301"/>
  <c r="L168" i="301" s="1"/>
  <c r="L418" i="309" s="1"/>
  <c r="L422" i="329" s="1"/>
  <c r="K157" i="301"/>
  <c r="K169" i="301" s="1"/>
  <c r="K432" i="309" s="1"/>
  <c r="K423" i="329" s="1"/>
  <c r="K71" i="301"/>
  <c r="L47" i="327"/>
  <c r="L33" i="309"/>
  <c r="L78" i="329" s="1"/>
  <c r="L38" i="327"/>
  <c r="L16" i="327"/>
  <c r="L50" i="329"/>
  <c r="K118" i="327"/>
  <c r="K109" i="327"/>
  <c r="K30" i="327"/>
  <c r="K57" i="329"/>
  <c r="K41" i="309"/>
  <c r="K80" i="329" s="1"/>
  <c r="N22" i="327"/>
  <c r="N123" i="324"/>
  <c r="N29" i="327" s="1"/>
  <c r="K65" i="327"/>
  <c r="K66" i="327" s="1"/>
  <c r="K48" i="327"/>
  <c r="N47" i="327"/>
  <c r="N50" i="329"/>
  <c r="N16" i="327"/>
  <c r="N33" i="309"/>
  <c r="N78" i="329" s="1"/>
  <c r="N38" i="327"/>
  <c r="M22" i="327"/>
  <c r="M123" i="324"/>
  <c r="M29" i="327" s="1"/>
  <c r="K73" i="327"/>
  <c r="K53" i="329"/>
  <c r="K23" i="327"/>
  <c r="K37" i="309"/>
  <c r="K79" i="329" s="1"/>
  <c r="K82" i="327"/>
  <c r="M47" i="327"/>
  <c r="M38" i="327"/>
  <c r="M33" i="309"/>
  <c r="M78" i="329" s="1"/>
  <c r="M50" i="329"/>
  <c r="M16" i="327"/>
  <c r="N152" i="301"/>
  <c r="N71" i="301"/>
  <c r="L71" i="301"/>
  <c r="L152" i="301"/>
  <c r="M71" i="301"/>
  <c r="M152" i="301"/>
  <c r="K34" i="309"/>
  <c r="K67" i="309"/>
  <c r="L123" i="324"/>
  <c r="L29" i="327" s="1"/>
  <c r="L22" i="327"/>
  <c r="K39" i="327"/>
  <c r="K56" i="327"/>
  <c r="K57" i="327" s="1"/>
  <c r="K16" i="309"/>
  <c r="K69" i="329" s="1"/>
  <c r="I423" i="329" l="1"/>
  <c r="I705" i="352" s="1"/>
  <c r="I422" i="329"/>
  <c r="I704" i="352" s="1"/>
  <c r="I39" i="329"/>
  <c r="F13" i="343" s="1"/>
  <c r="E13" i="343"/>
  <c r="I78" i="329"/>
  <c r="I50" i="329"/>
  <c r="K68" i="309"/>
  <c r="K99" i="329"/>
  <c r="K420" i="329"/>
  <c r="M422" i="309"/>
  <c r="M445" i="329" s="1"/>
  <c r="M421" i="309"/>
  <c r="M434" i="329" s="1"/>
  <c r="M425" i="309"/>
  <c r="M426" i="309"/>
  <c r="K422" i="309"/>
  <c r="K445" i="329" s="1"/>
  <c r="I547" i="352" s="1"/>
  <c r="K421" i="309"/>
  <c r="K434" i="329" s="1"/>
  <c r="I451" i="352" s="1"/>
  <c r="K426" i="309"/>
  <c r="K425" i="309"/>
  <c r="N422" i="309"/>
  <c r="N445" i="329" s="1"/>
  <c r="N421" i="309"/>
  <c r="N434" i="329" s="1"/>
  <c r="N425" i="309"/>
  <c r="N426" i="309"/>
  <c r="M435" i="309"/>
  <c r="M435" i="329" s="1"/>
  <c r="M436" i="309"/>
  <c r="M446" i="329" s="1"/>
  <c r="M439" i="309"/>
  <c r="M440" i="309"/>
  <c r="L422" i="309"/>
  <c r="L445" i="329" s="1"/>
  <c r="L421" i="309"/>
  <c r="L434" i="329" s="1"/>
  <c r="L425" i="309"/>
  <c r="L426" i="309"/>
  <c r="N435" i="309"/>
  <c r="N435" i="329" s="1"/>
  <c r="N436" i="309"/>
  <c r="N446" i="329" s="1"/>
  <c r="N440" i="309"/>
  <c r="N439" i="309"/>
  <c r="K436" i="309"/>
  <c r="K446" i="329" s="1"/>
  <c r="I553" i="352" s="1"/>
  <c r="K435" i="309"/>
  <c r="K435" i="329" s="1"/>
  <c r="I457" i="352" s="1"/>
  <c r="K440" i="309"/>
  <c r="K439" i="309"/>
  <c r="L435" i="309"/>
  <c r="L435" i="329" s="1"/>
  <c r="L436" i="309"/>
  <c r="L446" i="329" s="1"/>
  <c r="L440" i="309"/>
  <c r="L439" i="309"/>
  <c r="M165" i="301"/>
  <c r="M404" i="309" s="1"/>
  <c r="M421" i="329" s="1"/>
  <c r="L164" i="301"/>
  <c r="L390" i="309" s="1"/>
  <c r="L420" i="329" s="1"/>
  <c r="N165" i="301"/>
  <c r="N404" i="309" s="1"/>
  <c r="N421" i="329" s="1"/>
  <c r="L165" i="301"/>
  <c r="L404" i="309" s="1"/>
  <c r="L421" i="329" s="1"/>
  <c r="N164" i="301"/>
  <c r="N390" i="309" s="1"/>
  <c r="N420" i="329" s="1"/>
  <c r="M164" i="301"/>
  <c r="M390" i="309" s="1"/>
  <c r="M420" i="329" s="1"/>
  <c r="K165" i="301"/>
  <c r="K404" i="309" s="1"/>
  <c r="K421" i="329" s="1"/>
  <c r="K159" i="301"/>
  <c r="K143" i="301" s="1"/>
  <c r="M39" i="327"/>
  <c r="M16" i="309"/>
  <c r="M69" i="329" s="1"/>
  <c r="M56" i="327"/>
  <c r="M57" i="327" s="1"/>
  <c r="M82" i="327"/>
  <c r="M73" i="327"/>
  <c r="M53" i="329"/>
  <c r="M37" i="309"/>
  <c r="M79" i="329" s="1"/>
  <c r="M23" i="327"/>
  <c r="K119" i="327"/>
  <c r="K136" i="327"/>
  <c r="K137" i="327" s="1"/>
  <c r="M118" i="327"/>
  <c r="M41" i="309"/>
  <c r="M80" i="329" s="1"/>
  <c r="M30" i="327"/>
  <c r="M109" i="327"/>
  <c r="M57" i="329"/>
  <c r="N48" i="327"/>
  <c r="N65" i="327"/>
  <c r="N66" i="327" s="1"/>
  <c r="M48" i="327"/>
  <c r="M65" i="327"/>
  <c r="M66" i="327" s="1"/>
  <c r="K50" i="309"/>
  <c r="K51" i="309" s="1"/>
  <c r="K90" i="329" s="1"/>
  <c r="K17" i="309"/>
  <c r="M159" i="301"/>
  <c r="K83" i="327"/>
  <c r="K100" i="327"/>
  <c r="K101" i="327" s="1"/>
  <c r="N41" i="309"/>
  <c r="N80" i="329" s="1"/>
  <c r="N57" i="329"/>
  <c r="N109" i="327"/>
  <c r="N30" i="327"/>
  <c r="N118" i="327"/>
  <c r="M67" i="309"/>
  <c r="M34" i="309"/>
  <c r="K38" i="309"/>
  <c r="K71" i="309"/>
  <c r="N56" i="327"/>
  <c r="N57" i="327" s="1"/>
  <c r="N16" i="309"/>
  <c r="N69" i="329" s="1"/>
  <c r="N39" i="327"/>
  <c r="N23" i="327"/>
  <c r="N53" i="329"/>
  <c r="N73" i="327"/>
  <c r="N37" i="309"/>
  <c r="N79" i="329" s="1"/>
  <c r="N82" i="327"/>
  <c r="N159" i="301"/>
  <c r="N142" i="301" s="1"/>
  <c r="L56" i="327"/>
  <c r="L57" i="327" s="1"/>
  <c r="L39" i="327"/>
  <c r="L16" i="309"/>
  <c r="L69" i="329" s="1"/>
  <c r="N34" i="309"/>
  <c r="N67" i="309"/>
  <c r="K75" i="309"/>
  <c r="K42" i="309"/>
  <c r="L53" i="329"/>
  <c r="L73" i="327"/>
  <c r="L82" i="327"/>
  <c r="L37" i="309"/>
  <c r="L79" i="329" s="1"/>
  <c r="L23" i="327"/>
  <c r="L159" i="301"/>
  <c r="L142" i="301" s="1"/>
  <c r="L67" i="309"/>
  <c r="L34" i="309"/>
  <c r="K110" i="327"/>
  <c r="K127" i="327"/>
  <c r="K128" i="327" s="1"/>
  <c r="K24" i="309"/>
  <c r="K71" i="329" s="1"/>
  <c r="L118" i="327"/>
  <c r="L57" i="329"/>
  <c r="L30" i="327"/>
  <c r="L41" i="309"/>
  <c r="L80" i="329" s="1"/>
  <c r="L109" i="327"/>
  <c r="K20" i="309"/>
  <c r="K70" i="329" s="1"/>
  <c r="K74" i="327"/>
  <c r="K91" i="327"/>
  <c r="K92" i="327" s="1"/>
  <c r="L65" i="327"/>
  <c r="L66" i="327" s="1"/>
  <c r="L48" i="327"/>
  <c r="I421" i="329" l="1"/>
  <c r="I703" i="352" s="1"/>
  <c r="L459" i="329"/>
  <c r="I266" i="352" s="1"/>
  <c r="I458" i="352"/>
  <c r="N459" i="329"/>
  <c r="I268" i="352" s="1"/>
  <c r="I460" i="352"/>
  <c r="M459" i="329"/>
  <c r="I267" i="352" s="1"/>
  <c r="I459" i="352"/>
  <c r="L469" i="329"/>
  <c r="I362" i="352" s="1"/>
  <c r="I554" i="352"/>
  <c r="M469" i="329"/>
  <c r="I363" i="352" s="1"/>
  <c r="I555" i="352"/>
  <c r="L458" i="329"/>
  <c r="I260" i="352" s="1"/>
  <c r="I452" i="352"/>
  <c r="N458" i="329"/>
  <c r="I262" i="352" s="1"/>
  <c r="I454" i="352"/>
  <c r="M458" i="329"/>
  <c r="I261" i="352" s="1"/>
  <c r="I453" i="352"/>
  <c r="L468" i="329"/>
  <c r="I356" i="352" s="1"/>
  <c r="I548" i="352"/>
  <c r="N468" i="329"/>
  <c r="I358" i="352" s="1"/>
  <c r="I550" i="352"/>
  <c r="M468" i="329"/>
  <c r="I357" i="352" s="1"/>
  <c r="I549" i="352"/>
  <c r="N469" i="329"/>
  <c r="I364" i="352" s="1"/>
  <c r="I556" i="352"/>
  <c r="K76" i="309"/>
  <c r="K101" i="329"/>
  <c r="I53" i="329"/>
  <c r="K459" i="329"/>
  <c r="I435" i="329"/>
  <c r="I455" i="352" s="1"/>
  <c r="K469" i="329"/>
  <c r="I446" i="329"/>
  <c r="I551" i="352" s="1"/>
  <c r="I420" i="329"/>
  <c r="I702" i="352" s="1"/>
  <c r="K458" i="329"/>
  <c r="I434" i="329"/>
  <c r="I449" i="352" s="1"/>
  <c r="K468" i="329"/>
  <c r="I445" i="329"/>
  <c r="I545" i="352" s="1"/>
  <c r="I79" i="329"/>
  <c r="I69" i="329"/>
  <c r="I80" i="329"/>
  <c r="I57" i="329"/>
  <c r="M68" i="309"/>
  <c r="M99" i="329"/>
  <c r="K72" i="309"/>
  <c r="K100" i="329"/>
  <c r="L68" i="309"/>
  <c r="L99" i="329"/>
  <c r="N68" i="309"/>
  <c r="N99" i="329"/>
  <c r="L411" i="309"/>
  <c r="L412" i="309"/>
  <c r="L408" i="309"/>
  <c r="L444" i="329" s="1"/>
  <c r="L407" i="309"/>
  <c r="L433" i="329" s="1"/>
  <c r="N411" i="309"/>
  <c r="N407" i="309"/>
  <c r="N433" i="329" s="1"/>
  <c r="N408" i="309"/>
  <c r="N444" i="329" s="1"/>
  <c r="N412" i="309"/>
  <c r="K408" i="309"/>
  <c r="K444" i="329" s="1"/>
  <c r="I541" i="352" s="1"/>
  <c r="K411" i="309"/>
  <c r="K412" i="309"/>
  <c r="K407" i="309"/>
  <c r="K433" i="329" s="1"/>
  <c r="I445" i="352" s="1"/>
  <c r="M407" i="309"/>
  <c r="M433" i="329" s="1"/>
  <c r="M411" i="309"/>
  <c r="M408" i="309"/>
  <c r="M444" i="329" s="1"/>
  <c r="M412" i="309"/>
  <c r="N1038" i="251"/>
  <c r="N1039" i="251" s="1"/>
  <c r="N398" i="309" s="1"/>
  <c r="N1019" i="251"/>
  <c r="K1038" i="251"/>
  <c r="K1039" i="251" s="1"/>
  <c r="K398" i="309" s="1"/>
  <c r="K1019" i="251"/>
  <c r="K1010" i="251"/>
  <c r="K1029" i="251"/>
  <c r="K1030" i="251" s="1"/>
  <c r="K397" i="309" s="1"/>
  <c r="L1029" i="251"/>
  <c r="L1030" i="251" s="1"/>
  <c r="L397" i="309" s="1"/>
  <c r="L1010" i="251"/>
  <c r="L1038" i="251"/>
  <c r="L1039" i="251" s="1"/>
  <c r="L398" i="309" s="1"/>
  <c r="L1019" i="251"/>
  <c r="M1019" i="251"/>
  <c r="M1038" i="251"/>
  <c r="M1039" i="251" s="1"/>
  <c r="M398" i="309" s="1"/>
  <c r="M1029" i="251"/>
  <c r="M1030" i="251" s="1"/>
  <c r="M397" i="309" s="1"/>
  <c r="M1010" i="251"/>
  <c r="N1010" i="251"/>
  <c r="N1029" i="251"/>
  <c r="N1030" i="251" s="1"/>
  <c r="N397" i="309" s="1"/>
  <c r="K147" i="301"/>
  <c r="K142" i="301"/>
  <c r="K146" i="301"/>
  <c r="K81" i="329"/>
  <c r="I523" i="352" s="1"/>
  <c r="N17" i="309"/>
  <c r="N50" i="309"/>
  <c r="N51" i="309" s="1"/>
  <c r="N90" i="329" s="1"/>
  <c r="N127" i="327"/>
  <c r="N128" i="327" s="1"/>
  <c r="N24" i="309"/>
  <c r="N71" i="329" s="1"/>
  <c r="N110" i="327"/>
  <c r="L42" i="309"/>
  <c r="L75" i="309"/>
  <c r="N146" i="301"/>
  <c r="N143" i="301"/>
  <c r="N147" i="301"/>
  <c r="M38" i="309"/>
  <c r="M71" i="309"/>
  <c r="N83" i="327"/>
  <c r="N100" i="327"/>
  <c r="N101" i="327" s="1"/>
  <c r="N75" i="309"/>
  <c r="N42" i="309"/>
  <c r="M110" i="327"/>
  <c r="M127" i="327"/>
  <c r="M128" i="327" s="1"/>
  <c r="M24" i="309"/>
  <c r="M71" i="329" s="1"/>
  <c r="N38" i="309"/>
  <c r="N71" i="309"/>
  <c r="M91" i="327"/>
  <c r="M92" i="327" s="1"/>
  <c r="M20" i="309"/>
  <c r="M70" i="329" s="1"/>
  <c r="M74" i="327"/>
  <c r="L24" i="309"/>
  <c r="L71" i="329" s="1"/>
  <c r="L110" i="327"/>
  <c r="L127" i="327"/>
  <c r="L128" i="327" s="1"/>
  <c r="N20" i="309"/>
  <c r="N70" i="329" s="1"/>
  <c r="N74" i="327"/>
  <c r="N91" i="327"/>
  <c r="N92" i="327" s="1"/>
  <c r="M42" i="309"/>
  <c r="M75" i="309"/>
  <c r="M83" i="327"/>
  <c r="M100" i="327"/>
  <c r="M101" i="327" s="1"/>
  <c r="K25" i="309"/>
  <c r="K58" i="309"/>
  <c r="L71" i="309"/>
  <c r="L38" i="309"/>
  <c r="L50" i="309"/>
  <c r="L51" i="309" s="1"/>
  <c r="L90" i="329" s="1"/>
  <c r="L17" i="309"/>
  <c r="M119" i="327"/>
  <c r="M136" i="327"/>
  <c r="M137" i="327" s="1"/>
  <c r="L143" i="301"/>
  <c r="L146" i="301"/>
  <c r="L147" i="301"/>
  <c r="N119" i="327"/>
  <c r="N136" i="327"/>
  <c r="N137" i="327" s="1"/>
  <c r="M143" i="301"/>
  <c r="M146" i="301"/>
  <c r="M147" i="301"/>
  <c r="M50" i="309"/>
  <c r="M51" i="309" s="1"/>
  <c r="M90" i="329" s="1"/>
  <c r="M17" i="309"/>
  <c r="L119" i="327"/>
  <c r="L136" i="327"/>
  <c r="L137" i="327" s="1"/>
  <c r="L100" i="327"/>
  <c r="L101" i="327" s="1"/>
  <c r="L83" i="327"/>
  <c r="K54" i="309"/>
  <c r="K21" i="309"/>
  <c r="L74" i="327"/>
  <c r="L91" i="327"/>
  <c r="L92" i="327" s="1"/>
  <c r="L20" i="309"/>
  <c r="L70" i="329" s="1"/>
  <c r="M142" i="301"/>
  <c r="M467" i="329" l="1"/>
  <c r="I351" i="352" s="1"/>
  <c r="I543" i="352"/>
  <c r="N457" i="329"/>
  <c r="I256" i="352" s="1"/>
  <c r="I448" i="352"/>
  <c r="I469" i="329"/>
  <c r="I359" i="352" s="1"/>
  <c r="I361" i="352"/>
  <c r="M457" i="329"/>
  <c r="I255" i="352" s="1"/>
  <c r="I447" i="352"/>
  <c r="N467" i="329"/>
  <c r="I352" i="352" s="1"/>
  <c r="I544" i="352"/>
  <c r="L457" i="329"/>
  <c r="I254" i="352" s="1"/>
  <c r="I446" i="352"/>
  <c r="I459" i="329"/>
  <c r="I263" i="352" s="1"/>
  <c r="I265" i="352"/>
  <c r="L467" i="329"/>
  <c r="I350" i="352" s="1"/>
  <c r="I542" i="352"/>
  <c r="I468" i="329"/>
  <c r="I353" i="352" s="1"/>
  <c r="I355" i="352"/>
  <c r="I458" i="329"/>
  <c r="I257" i="352" s="1"/>
  <c r="I259" i="352"/>
  <c r="K102" i="329"/>
  <c r="M76" i="309"/>
  <c r="M101" i="329"/>
  <c r="N76" i="309"/>
  <c r="N101" i="329"/>
  <c r="L76" i="309"/>
  <c r="L101" i="329"/>
  <c r="K457" i="329"/>
  <c r="I433" i="329"/>
  <c r="I443" i="352" s="1"/>
  <c r="I90" i="329"/>
  <c r="K467" i="329"/>
  <c r="I444" i="329"/>
  <c r="I539" i="352" s="1"/>
  <c r="I71" i="329"/>
  <c r="I99" i="329"/>
  <c r="I70" i="329"/>
  <c r="K83" i="329"/>
  <c r="K55" i="309"/>
  <c r="K91" i="329"/>
  <c r="L72" i="309"/>
  <c r="L100" i="329"/>
  <c r="N72" i="309"/>
  <c r="N100" i="329"/>
  <c r="K59" i="309"/>
  <c r="K92" i="329"/>
  <c r="M72" i="309"/>
  <c r="M100" i="329"/>
  <c r="L393" i="309"/>
  <c r="L432" i="329" s="1"/>
  <c r="I440" i="352" s="1"/>
  <c r="M393" i="309"/>
  <c r="M432" i="329" s="1"/>
  <c r="I441" i="352" s="1"/>
  <c r="K393" i="309"/>
  <c r="K432" i="329" s="1"/>
  <c r="I439" i="352" s="1"/>
  <c r="K394" i="309"/>
  <c r="K443" i="329" s="1"/>
  <c r="I535" i="352" s="1"/>
  <c r="M394" i="309"/>
  <c r="M443" i="329" s="1"/>
  <c r="I537" i="352" s="1"/>
  <c r="L394" i="309"/>
  <c r="L443" i="329" s="1"/>
  <c r="I536" i="352" s="1"/>
  <c r="N394" i="309"/>
  <c r="N443" i="329" s="1"/>
  <c r="I538" i="352" s="1"/>
  <c r="N393" i="309"/>
  <c r="N432" i="329" s="1"/>
  <c r="I442" i="352" s="1"/>
  <c r="N81" i="329"/>
  <c r="L81" i="329"/>
  <c r="M81" i="329"/>
  <c r="K72" i="329"/>
  <c r="I427" i="352" s="1"/>
  <c r="M54" i="309"/>
  <c r="M21" i="309"/>
  <c r="N54" i="309"/>
  <c r="N21" i="309"/>
  <c r="N25" i="309"/>
  <c r="N58" i="309"/>
  <c r="M25" i="309"/>
  <c r="M58" i="309"/>
  <c r="L21" i="309"/>
  <c r="L54" i="309"/>
  <c r="L25" i="309"/>
  <c r="L58" i="309"/>
  <c r="L83" i="329" l="1"/>
  <c r="I524" i="352"/>
  <c r="K104" i="329"/>
  <c r="I331" i="352"/>
  <c r="I457" i="329"/>
  <c r="I251" i="352" s="1"/>
  <c r="I253" i="352"/>
  <c r="N83" i="329"/>
  <c r="I526" i="352"/>
  <c r="I467" i="329"/>
  <c r="I347" i="352" s="1"/>
  <c r="I349" i="352"/>
  <c r="M83" i="329"/>
  <c r="I525" i="352"/>
  <c r="M102" i="329"/>
  <c r="N102" i="329"/>
  <c r="I101" i="329"/>
  <c r="L102" i="329"/>
  <c r="I443" i="329"/>
  <c r="I533" i="352" s="1"/>
  <c r="I432" i="329"/>
  <c r="I437" i="352" s="1"/>
  <c r="I100" i="329"/>
  <c r="I81" i="329"/>
  <c r="I521" i="352" s="1"/>
  <c r="K74" i="329"/>
  <c r="K93" i="329"/>
  <c r="I235" i="352" s="1"/>
  <c r="N55" i="309"/>
  <c r="N91" i="329"/>
  <c r="L55" i="309"/>
  <c r="L91" i="329"/>
  <c r="N59" i="309"/>
  <c r="N92" i="329"/>
  <c r="L59" i="309"/>
  <c r="L92" i="329"/>
  <c r="M59" i="309"/>
  <c r="M92" i="329"/>
  <c r="M55" i="309"/>
  <c r="M91" i="329"/>
  <c r="N436" i="329"/>
  <c r="N456" i="329"/>
  <c r="N466" i="329"/>
  <c r="N447" i="329"/>
  <c r="L466" i="329"/>
  <c r="L447" i="329"/>
  <c r="M466" i="329"/>
  <c r="M447" i="329"/>
  <c r="K447" i="329"/>
  <c r="I529" i="352" s="1"/>
  <c r="K466" i="329"/>
  <c r="I343" i="352" s="1"/>
  <c r="K436" i="329"/>
  <c r="I433" i="352" s="1"/>
  <c r="K456" i="329"/>
  <c r="I247" i="352" s="1"/>
  <c r="M456" i="329"/>
  <c r="M436" i="329"/>
  <c r="L456" i="329"/>
  <c r="L436" i="329"/>
  <c r="M72" i="329"/>
  <c r="N72" i="329"/>
  <c r="L72" i="329"/>
  <c r="M438" i="329" l="1"/>
  <c r="I435" i="352"/>
  <c r="L449" i="329"/>
  <c r="I530" i="352"/>
  <c r="L104" i="329"/>
  <c r="I332" i="352"/>
  <c r="N104" i="329"/>
  <c r="I334" i="352"/>
  <c r="N470" i="329"/>
  <c r="I346" i="352"/>
  <c r="M104" i="329"/>
  <c r="I333" i="352"/>
  <c r="M460" i="329"/>
  <c r="I249" i="352"/>
  <c r="N449" i="329"/>
  <c r="I532" i="352"/>
  <c r="L74" i="329"/>
  <c r="I428" i="352"/>
  <c r="N460" i="329"/>
  <c r="I250" i="352"/>
  <c r="M74" i="329"/>
  <c r="I429" i="352"/>
  <c r="N438" i="329"/>
  <c r="I436" i="352"/>
  <c r="L470" i="329"/>
  <c r="I344" i="352"/>
  <c r="L438" i="329"/>
  <c r="I434" i="352"/>
  <c r="M449" i="329"/>
  <c r="I531" i="352"/>
  <c r="N74" i="329"/>
  <c r="I430" i="352"/>
  <c r="L460" i="329"/>
  <c r="I248" i="352"/>
  <c r="M470" i="329"/>
  <c r="I345" i="352"/>
  <c r="I102" i="329"/>
  <c r="I83" i="329"/>
  <c r="F61" i="343" s="1"/>
  <c r="E43" i="343"/>
  <c r="K470" i="329"/>
  <c r="I337" i="352" s="1"/>
  <c r="I466" i="329"/>
  <c r="I341" i="352" s="1"/>
  <c r="K460" i="329"/>
  <c r="I241" i="352" s="1"/>
  <c r="I456" i="329"/>
  <c r="I245" i="352" s="1"/>
  <c r="K438" i="329"/>
  <c r="I436" i="329"/>
  <c r="I431" i="352" s="1"/>
  <c r="K449" i="329"/>
  <c r="I447" i="329"/>
  <c r="I527" i="352" s="1"/>
  <c r="I92" i="329"/>
  <c r="I91" i="329"/>
  <c r="N93" i="329"/>
  <c r="I72" i="329"/>
  <c r="I425" i="352" s="1"/>
  <c r="K95" i="329"/>
  <c r="L93" i="329"/>
  <c r="M93" i="329"/>
  <c r="M95" i="329" l="1"/>
  <c r="I237" i="352"/>
  <c r="I104" i="329"/>
  <c r="H61" i="343" s="1"/>
  <c r="I329" i="352"/>
  <c r="M462" i="329"/>
  <c r="I243" i="352"/>
  <c r="M472" i="329"/>
  <c r="I339" i="352"/>
  <c r="N462" i="329"/>
  <c r="I244" i="352"/>
  <c r="L95" i="329"/>
  <c r="I236" i="352"/>
  <c r="N95" i="329"/>
  <c r="I238" i="352"/>
  <c r="L462" i="329"/>
  <c r="I242" i="352"/>
  <c r="L472" i="329"/>
  <c r="I338" i="352"/>
  <c r="N472" i="329"/>
  <c r="I340" i="352"/>
  <c r="J43" i="343"/>
  <c r="L43" i="343" s="1"/>
  <c r="G43" i="343"/>
  <c r="I74" i="329"/>
  <c r="E61" i="343" s="1"/>
  <c r="E28" i="343"/>
  <c r="I449" i="329"/>
  <c r="F67" i="343" s="1"/>
  <c r="F77" i="343" s="1"/>
  <c r="E49" i="343"/>
  <c r="G49" i="343" s="1"/>
  <c r="I438" i="329"/>
  <c r="E67" i="343" s="1"/>
  <c r="E34" i="343"/>
  <c r="G34" i="343" s="1"/>
  <c r="K462" i="329"/>
  <c r="I460" i="329"/>
  <c r="I239" i="352" s="1"/>
  <c r="K472" i="329"/>
  <c r="I470" i="329"/>
  <c r="I335" i="352" s="1"/>
  <c r="I93" i="329"/>
  <c r="I233" i="352" s="1"/>
  <c r="T14" i="4" l="1"/>
  <c r="V24" i="8"/>
  <c r="T26" i="310"/>
  <c r="T23" i="249"/>
  <c r="T21" i="87"/>
  <c r="E77" i="343"/>
  <c r="E76" i="343"/>
  <c r="F76" i="343"/>
  <c r="G53" i="343"/>
  <c r="E53" i="343"/>
  <c r="G28" i="343"/>
  <c r="G38" i="343" s="1"/>
  <c r="E38" i="343"/>
  <c r="I472" i="329"/>
  <c r="H67" i="343" s="1"/>
  <c r="J49" i="343"/>
  <c r="J53" i="343" s="1"/>
  <c r="I95" i="329"/>
  <c r="G61" i="343" s="1"/>
  <c r="J28" i="343"/>
  <c r="I462" i="329"/>
  <c r="G67" i="343" s="1"/>
  <c r="J34" i="343"/>
  <c r="L34" i="343" s="1"/>
  <c r="T13" i="4" l="1"/>
  <c r="V23" i="8"/>
  <c r="T22" i="249"/>
  <c r="T25" i="310"/>
  <c r="R13" i="4"/>
  <c r="R22" i="249"/>
  <c r="T23" i="8"/>
  <c r="R25" i="310"/>
  <c r="R14" i="4"/>
  <c r="T24" i="8"/>
  <c r="R23" i="249"/>
  <c r="R26" i="310"/>
  <c r="R21" i="87"/>
  <c r="T20" i="87"/>
  <c r="R20" i="87"/>
  <c r="G76" i="343"/>
  <c r="F20" i="343"/>
  <c r="H77" i="343"/>
  <c r="H76" i="343"/>
  <c r="G77" i="343"/>
  <c r="L28" i="343"/>
  <c r="L38" i="343" s="1"/>
  <c r="J38" i="343"/>
  <c r="F19" i="343"/>
  <c r="E19" i="343"/>
  <c r="E20" i="343"/>
  <c r="L49" i="343"/>
  <c r="L53" i="343" s="1"/>
  <c r="V30" i="8" l="1"/>
  <c r="T32" i="310"/>
  <c r="T29" i="249"/>
  <c r="T29" i="8"/>
  <c r="R28" i="249"/>
  <c r="R31" i="310"/>
  <c r="R32" i="310"/>
  <c r="R29" i="249"/>
  <c r="T30" i="8"/>
  <c r="V29" i="8"/>
  <c r="T31" i="310"/>
  <c r="T28" i="249"/>
  <c r="T26" i="87"/>
  <c r="T19" i="4"/>
  <c r="R27" i="87"/>
  <c r="R20" i="4"/>
  <c r="T27" i="87"/>
  <c r="T20" i="4"/>
  <c r="R26" i="87"/>
  <c r="R19" i="4"/>
  <c r="M70" i="343"/>
  <c r="M62" i="343"/>
  <c r="M69" i="343"/>
  <c r="M68" i="343"/>
  <c r="M67" i="343"/>
  <c r="M66" i="343"/>
  <c r="M65" i="343"/>
  <c r="M64" i="343"/>
  <c r="M63" i="343"/>
  <c r="L63" i="343"/>
  <c r="L70" i="343"/>
  <c r="L69" i="343"/>
  <c r="L62" i="343"/>
  <c r="L68" i="343"/>
  <c r="L67" i="343"/>
  <c r="L66" i="343"/>
  <c r="L65" i="343"/>
  <c r="L64" i="343"/>
  <c r="K64" i="343"/>
  <c r="K63" i="343"/>
  <c r="K70" i="343"/>
  <c r="K62" i="343"/>
  <c r="K61" i="343"/>
  <c r="K69" i="343"/>
  <c r="K68" i="343"/>
  <c r="K67" i="343"/>
  <c r="K66" i="343"/>
  <c r="K65" i="343"/>
  <c r="J66" i="343"/>
  <c r="J64" i="343"/>
  <c r="J63" i="343"/>
  <c r="J70" i="343"/>
  <c r="J62" i="343"/>
  <c r="J69" i="343"/>
  <c r="J61" i="343"/>
  <c r="J68" i="343"/>
  <c r="J67" i="343"/>
  <c r="J65" i="3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Winthrop Morgan</author>
  </authors>
  <commentList>
    <comment ref="I511" authorId="0" shapeId="0" xr:uid="{FF2EBE8D-E8FF-45FB-8B5C-768D15FD7096}">
      <text>
        <r>
          <rPr>
            <sz val="9"/>
            <color indexed="81"/>
            <rFont val="Tahoma"/>
            <family val="2"/>
          </rPr>
          <t xml:space="preserve">Winthrop Morgan: ???? CD2020-07-01 
Negative sign included in reference.$$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tc={5C71A774-4BB5-4310-A781-90F860F1D31E}</author>
  </authors>
  <commentList>
    <comment ref="E46" authorId="0" shapeId="0" xr:uid="{5C71A774-4BB5-4310-A781-90F860F1D31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in the COLD-CHAIN tab, 
Cell E47:E56 
Original 
=IFERROR(IF(COLD_CHAIN_EXPANS!$D$18=1,COLD_CHAIN_EXPANS!D20/COLD_CHAIN_EXPANS!F20,(COLD_CHAIN_EXPANS!D20/$F$14))/COLD_CHAIN_EXPANS!F20,0) 
changed to:
=IFERROR(IF(COLD_CHAIN_EXPANS!$D$18=1,COLD_CHAIN_EXPANS!D20/COLD_CHAIN_EXPANS!F20,(COLD_CHAIN_EXPANS!D20/$F$14)/COLD_CHAIN_EXPANS!F20),0) 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Winthrop Morgan, MPH</author>
  </authors>
  <commentList>
    <comment ref="J135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53" authorId="0" shapeId="0" xr:uid="{00000000-0006-0000-2000-000002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71" authorId="0" shapeId="0" xr:uid="{00000000-0006-0000-2000-000003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89" authorId="0" shapeId="0" xr:uid="{00000000-0006-0000-2000-000004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34" authorId="0" shapeId="0" xr:uid="{00000000-0006-0000-2000-000005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52" authorId="0" shapeId="0" xr:uid="{00000000-0006-0000-2000-000006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70" authorId="0" shapeId="0" xr:uid="{00000000-0006-0000-2000-000007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88" authorId="0" shapeId="0" xr:uid="{00000000-0006-0000-2000-000008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33" authorId="0" shapeId="0" xr:uid="{00000000-0006-0000-2000-000009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51" authorId="0" shapeId="0" xr:uid="{00000000-0006-0000-2000-00000A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69" authorId="0" shapeId="0" xr:uid="{00000000-0006-0000-2000-00000B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87" authorId="0" shapeId="0" xr:uid="{00000000-0006-0000-2000-00000C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Winthrop Morgan, MPH</author>
  </authors>
  <commentList>
    <comment ref="J43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61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79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97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40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58" authorId="0" shapeId="0" xr:uid="{00000000-0006-0000-2100-000006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76" authorId="0" shapeId="0" xr:uid="{00000000-0006-0000-2100-000007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94" authorId="0" shapeId="0" xr:uid="{00000000-0006-0000-2100-000008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37" authorId="0" shapeId="0" xr:uid="{00000000-0006-0000-2100-000009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55" authorId="0" shapeId="0" xr:uid="{00000000-0006-0000-2100-00000A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73" authorId="0" shapeId="0" xr:uid="{00000000-0006-0000-2100-00000B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91" authorId="0" shapeId="0" xr:uid="{00000000-0006-0000-2100-00000C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36" authorId="0" shapeId="0" xr:uid="{00000000-0006-0000-2100-00000D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54" authorId="0" shapeId="0" xr:uid="{00000000-0006-0000-2100-00000E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72" authorId="0" shapeId="0" xr:uid="{00000000-0006-0000-2100-00000F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90" authorId="0" shapeId="0" xr:uid="{00000000-0006-0000-2100-000010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Winthrop Morgan, MPH</author>
  </authors>
  <commentList>
    <comment ref="J45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63" authorId="0" shapeId="0" xr:uid="{00000000-0006-0000-2200-000002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81" authorId="0" shapeId="0" xr:uid="{00000000-0006-0000-2200-000003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99" authorId="0" shapeId="0" xr:uid="{00000000-0006-0000-2200-000004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44" authorId="0" shapeId="0" xr:uid="{00000000-0006-0000-2200-000005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62" authorId="0" shapeId="0" xr:uid="{00000000-0006-0000-2200-000006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80" authorId="0" shapeId="0" xr:uid="{00000000-0006-0000-2200-000007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98" authorId="0" shapeId="0" xr:uid="{00000000-0006-0000-2200-000008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43" authorId="0" shapeId="0" xr:uid="{00000000-0006-0000-2200-000009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61" authorId="0" shapeId="0" xr:uid="{00000000-0006-0000-2200-00000A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79" authorId="0" shapeId="0" xr:uid="{00000000-0006-0000-2200-00000B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97" authorId="0" shapeId="0" xr:uid="{00000000-0006-0000-2200-00000C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42" authorId="0" shapeId="0" xr:uid="{00000000-0006-0000-2200-00000D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60" authorId="0" shapeId="0" xr:uid="{00000000-0006-0000-2200-00000E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78" authorId="0" shapeId="0" xr:uid="{00000000-0006-0000-2200-00000F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96" authorId="0" shapeId="0" xr:uid="{00000000-0006-0000-2200-000010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Winthrop Morgan, MPH</author>
  </authors>
  <commentList>
    <comment ref="J43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61" authorId="0" shapeId="0" xr:uid="{00000000-0006-0000-2300-000002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79" authorId="0" shapeId="0" xr:uid="{00000000-0006-0000-2300-000003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97" authorId="0" shapeId="0" xr:uid="{00000000-0006-0000-2300-000004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40" authorId="0" shapeId="0" xr:uid="{00000000-0006-0000-2300-000005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58" authorId="0" shapeId="0" xr:uid="{00000000-0006-0000-2300-000006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76" authorId="0" shapeId="0" xr:uid="{00000000-0006-0000-2300-000007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94" authorId="0" shapeId="0" xr:uid="{00000000-0006-0000-2300-000008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37" authorId="0" shapeId="0" xr:uid="{00000000-0006-0000-2300-000009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55" authorId="0" shapeId="0" xr:uid="{00000000-0006-0000-2300-00000A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73" authorId="0" shapeId="0" xr:uid="{00000000-0006-0000-2300-00000B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91" authorId="0" shapeId="0" xr:uid="{00000000-0006-0000-2300-00000C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36" authorId="0" shapeId="0" xr:uid="{00000000-0006-0000-2300-00000D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54" authorId="0" shapeId="0" xr:uid="{00000000-0006-0000-2300-00000E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72" authorId="0" shapeId="0" xr:uid="{00000000-0006-0000-2300-00000F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90" authorId="0" shapeId="0" xr:uid="{00000000-0006-0000-2300-000010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435" authorId="0" shapeId="0" xr:uid="{00000000-0006-0000-2300-000011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453" authorId="0" shapeId="0" xr:uid="{00000000-0006-0000-2300-000012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471" authorId="0" shapeId="0" xr:uid="{00000000-0006-0000-2300-000013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489" authorId="0" shapeId="0" xr:uid="{00000000-0006-0000-2300-000014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534" authorId="0" shapeId="0" xr:uid="{00000000-0006-0000-2300-000015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552" authorId="0" shapeId="0" xr:uid="{00000000-0006-0000-2300-000016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570" authorId="0" shapeId="0" xr:uid="{00000000-0006-0000-2300-000017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588" authorId="0" shapeId="0" xr:uid="{00000000-0006-0000-2300-000018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Winthrop Morgan, MPH</author>
  </authors>
  <commentList>
    <comment ref="J43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61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79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97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40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58" authorId="0" shapeId="0" xr:uid="{00000000-0006-0000-2400-000006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76" authorId="0" shapeId="0" xr:uid="{00000000-0006-0000-2400-000007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94" authorId="0" shapeId="0" xr:uid="{00000000-0006-0000-2400-000008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37" authorId="0" shapeId="0" xr:uid="{00000000-0006-0000-2400-000009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55" authorId="0" shapeId="0" xr:uid="{00000000-0006-0000-2400-00000A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73" authorId="0" shapeId="0" xr:uid="{00000000-0006-0000-2400-00000B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91" authorId="0" shapeId="0" xr:uid="{00000000-0006-0000-2400-00000C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36" authorId="0" shapeId="0" xr:uid="{00000000-0006-0000-2400-00000D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54" authorId="0" shapeId="0" xr:uid="{00000000-0006-0000-2400-00000E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72" authorId="0" shapeId="0" xr:uid="{00000000-0006-0000-2400-00000F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90" authorId="0" shapeId="0" xr:uid="{00000000-0006-0000-2400-000010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435" authorId="0" shapeId="0" xr:uid="{00000000-0006-0000-2400-000011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453" authorId="0" shapeId="0" xr:uid="{00000000-0006-0000-2400-000012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471" authorId="0" shapeId="0" xr:uid="{00000000-0006-0000-2400-000013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489" authorId="0" shapeId="0" xr:uid="{00000000-0006-0000-2400-000014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534" authorId="0" shapeId="0" xr:uid="{00000000-0006-0000-2400-000015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552" authorId="0" shapeId="0" xr:uid="{00000000-0006-0000-2400-000016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570" authorId="0" shapeId="0" xr:uid="{00000000-0006-0000-2400-000017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588" authorId="0" shapeId="0" xr:uid="{00000000-0006-0000-2400-000018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633" authorId="0" shapeId="0" xr:uid="{00000000-0006-0000-2400-000019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651" authorId="0" shapeId="0" xr:uid="{00000000-0006-0000-2400-00001A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669" authorId="0" shapeId="0" xr:uid="{00000000-0006-0000-2400-00001B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687" authorId="0" shapeId="0" xr:uid="{00000000-0006-0000-2400-00001C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732" authorId="0" shapeId="0" xr:uid="{00000000-0006-0000-2400-00001D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750" authorId="0" shapeId="0" xr:uid="{00000000-0006-0000-2400-00001E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768" authorId="0" shapeId="0" xr:uid="{00000000-0006-0000-2400-00001F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786" authorId="0" shapeId="0" xr:uid="{00000000-0006-0000-2400-000020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Winthrop Morgan, MPH</author>
  </authors>
  <commentList>
    <comment ref="J43" authorId="0" shapeId="0" xr:uid="{00000000-0006-0000-2500-000001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61" authorId="0" shapeId="0" xr:uid="{00000000-0006-0000-2500-000002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79" authorId="0" shapeId="0" xr:uid="{00000000-0006-0000-2500-000003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97" authorId="0" shapeId="0" xr:uid="{00000000-0006-0000-2500-000004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40" authorId="0" shapeId="0" xr:uid="{00000000-0006-0000-2500-000005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58" authorId="0" shapeId="0" xr:uid="{00000000-0006-0000-2500-000006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76" authorId="0" shapeId="0" xr:uid="{00000000-0006-0000-2500-000007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94" authorId="0" shapeId="0" xr:uid="{00000000-0006-0000-2500-000008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37" authorId="0" shapeId="0" xr:uid="{00000000-0006-0000-2500-000009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55" authorId="0" shapeId="0" xr:uid="{00000000-0006-0000-2500-00000A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73" authorId="0" shapeId="0" xr:uid="{00000000-0006-0000-2500-00000B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91" authorId="0" shapeId="0" xr:uid="{00000000-0006-0000-2500-00000C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34" authorId="0" shapeId="0" xr:uid="{00000000-0006-0000-2500-00000D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52" authorId="0" shapeId="0" xr:uid="{00000000-0006-0000-2500-00000E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70" authorId="0" shapeId="0" xr:uid="{00000000-0006-0000-2500-00000F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88" authorId="0" shapeId="0" xr:uid="{00000000-0006-0000-2500-000010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433" authorId="0" shapeId="0" xr:uid="{00000000-0006-0000-2500-000011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451" authorId="0" shapeId="0" xr:uid="{00000000-0006-0000-2500-000012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469" authorId="0" shapeId="0" xr:uid="{00000000-0006-0000-2500-000013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487" authorId="0" shapeId="0" xr:uid="{00000000-0006-0000-2500-000014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532" authorId="0" shapeId="0" xr:uid="{00000000-0006-0000-2500-000015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550" authorId="0" shapeId="0" xr:uid="{00000000-0006-0000-2500-000016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568" authorId="0" shapeId="0" xr:uid="{00000000-0006-0000-2500-000017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586" authorId="0" shapeId="0" xr:uid="{00000000-0006-0000-2500-000018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631" authorId="0" shapeId="0" xr:uid="{00000000-0006-0000-2500-000019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649" authorId="0" shapeId="0" xr:uid="{00000000-0006-0000-2500-00001A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667" authorId="0" shapeId="0" xr:uid="{00000000-0006-0000-2500-00001B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685" authorId="0" shapeId="0" xr:uid="{00000000-0006-0000-2500-00001C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Winthrop Morgan, MPH</author>
  </authors>
  <commentList>
    <comment ref="J43" authorId="0" shapeId="0" xr:uid="{00000000-0006-0000-2600-000001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61" authorId="0" shapeId="0" xr:uid="{00000000-0006-0000-2600-000002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79" authorId="0" shapeId="0" xr:uid="{00000000-0006-0000-2600-000003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97" authorId="0" shapeId="0" xr:uid="{00000000-0006-0000-2600-000004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40" authorId="0" shapeId="0" xr:uid="{00000000-0006-0000-2600-000005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58" authorId="0" shapeId="0" xr:uid="{00000000-0006-0000-2600-000006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76" authorId="0" shapeId="0" xr:uid="{00000000-0006-0000-2600-000007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194" authorId="0" shapeId="0" xr:uid="{00000000-0006-0000-2600-000008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37" authorId="0" shapeId="0" xr:uid="{00000000-0006-0000-2600-000009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55" authorId="0" shapeId="0" xr:uid="{00000000-0006-0000-2600-00000A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73" authorId="0" shapeId="0" xr:uid="{00000000-0006-0000-2600-00000B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291" authorId="0" shapeId="0" xr:uid="{00000000-0006-0000-2600-00000C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36" authorId="0" shapeId="0" xr:uid="{00000000-0006-0000-2600-00000D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54" authorId="0" shapeId="0" xr:uid="{00000000-0006-0000-2600-00000E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72" authorId="0" shapeId="0" xr:uid="{00000000-0006-0000-2600-00000F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390" authorId="0" shapeId="0" xr:uid="{00000000-0006-0000-2600-000010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435" authorId="0" shapeId="0" xr:uid="{00000000-0006-0000-2600-000011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453" authorId="0" shapeId="0" xr:uid="{00000000-0006-0000-2600-000012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471" authorId="0" shapeId="0" xr:uid="{00000000-0006-0000-2600-000013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J489" authorId="0" shapeId="0" xr:uid="{00000000-0006-0000-2600-000014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Winthrop Morgan, MPH</author>
  </authors>
  <commentList>
    <comment ref="H151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if proportion is greater than 100%</t>
        </r>
      </text>
    </comment>
    <comment ref="H155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if proportion is greater than 100%</t>
        </r>
      </text>
    </comment>
    <comment ref="H159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if coverage is over 100%</t>
        </r>
      </text>
    </comment>
    <comment ref="H176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if coverage exceeds 100%</t>
        </r>
      </text>
    </comment>
    <comment ref="H181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if coverage exceeds 100%</t>
        </r>
      </text>
    </comment>
    <comment ref="H20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error where HPV2&gt;HPV1 Coverage.</t>
        </r>
      </text>
    </comment>
    <comment ref="H211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HPV 2 Coverage cannot exceed HPV 1 coverage.</t>
        </r>
      </text>
    </comment>
    <comment ref="H239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HPV2 coverage cannot exceed HPV 1 coverage.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Winthrop Morgan, MPH</author>
  </authors>
  <commentList>
    <comment ref="G46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if does not sum to 100%</t>
        </r>
      </text>
    </comment>
    <comment ref="G99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if does not sum to 100%</t>
        </r>
      </text>
    </comment>
    <comment ref="G190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 xml:space="preserve">Alert Check
</t>
        </r>
        <r>
          <rPr>
            <sz val="9"/>
            <color indexed="81"/>
            <rFont val="Tahoma"/>
            <family val="2"/>
          </rPr>
          <t>Flags the occurrence of designated events.</t>
        </r>
      </text>
    </comment>
    <comment ref="G213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 xml:space="preserve">Alert Check
</t>
        </r>
        <r>
          <rPr>
            <sz val="9"/>
            <color indexed="81"/>
            <rFont val="Tahoma"/>
            <family val="2"/>
          </rPr>
          <t>Flags the occurrence of designated events.</t>
        </r>
      </text>
    </comment>
    <comment ref="H257" authorId="0" shapeId="0" xr:uid="{00000000-0006-0000-0F00-000005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281" authorId="0" shapeId="0" xr:uid="{00000000-0006-0000-0F00-000006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305" authorId="0" shapeId="0" xr:uid="{00000000-0006-0000-0F00-000007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330" authorId="0" shapeId="0" xr:uid="{00000000-0006-0000-0F00-000008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Winthrop Morgan, MPH</author>
  </authors>
  <commentList>
    <comment ref="H29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66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105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148" authorId="0" shapeId="0" xr:uid="{00000000-0006-0000-1000-000004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Winthrop Morgan, MPH</author>
  </authors>
  <commentList>
    <comment ref="H29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66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103" authorId="0" shapeId="0" xr:uid="{00000000-0006-0000-1100-000003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142" authorId="0" shapeId="0" xr:uid="{00000000-0006-0000-1100-000004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Winthrop Morgan, MPH</author>
  </authors>
  <commentList>
    <comment ref="H29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66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103" authorId="0" shapeId="0" xr:uid="{00000000-0006-0000-1200-000003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142" authorId="0" shapeId="0" xr:uid="{00000000-0006-0000-1200-000004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185" authorId="0" shapeId="0" xr:uid="{00000000-0006-0000-1200-000005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228" authorId="0" shapeId="0" xr:uid="{00000000-0006-0000-1200-000006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Winthrop Morgan, MPH</author>
  </authors>
  <commentList>
    <comment ref="H29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66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103" authorId="0" shapeId="0" xr:uid="{00000000-0006-0000-1300-000003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142" authorId="0" shapeId="0" xr:uid="{00000000-0006-0000-1300-000004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185" authorId="0" shapeId="0" xr:uid="{00000000-0006-0000-1300-000005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228" authorId="0" shapeId="0" xr:uid="{00000000-0006-0000-1300-000006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271" authorId="0" shapeId="0" xr:uid="{00000000-0006-0000-1300-000007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314" authorId="0" shapeId="0" xr:uid="{00000000-0006-0000-1300-000008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Winthrop Morgan, MPH</author>
  </authors>
  <commentList>
    <comment ref="H29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66" authorId="0" shapeId="0" xr:uid="{00000000-0006-0000-1400-000002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103" authorId="0" shapeId="0" xr:uid="{00000000-0006-0000-1400-000003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140" authorId="0" shapeId="0" xr:uid="{00000000-0006-0000-1400-000004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179" authorId="0" shapeId="0" xr:uid="{00000000-0006-0000-1400-000005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222" authorId="0" shapeId="0" xr:uid="{00000000-0006-0000-1400-000006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265" authorId="0" shapeId="0" xr:uid="{00000000-0006-0000-1400-000007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Winthrop Morgan, MPH</author>
  </authors>
  <commentList>
    <comment ref="H29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63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98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135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H176" authorId="0" shapeId="0" xr:uid="{00000000-0006-0000-1500-00000500000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Dashboard!$C$7:$E$13" type="102" refreshedVersion="6" minRefreshableVersion="5">
    <extLst>
      <ext xmlns:x15="http://schemas.microsoft.com/office/spreadsheetml/2010/11/main" uri="{DE250136-89BD-433C-8126-D09CA5730AF9}">
        <x15:connection id="Range" autoDelete="1">
          <x15:rangePr sourceName="_xlcn.WorksheetConnection_DashboardC7E131"/>
        </x15:connection>
      </ext>
    </extLst>
  </connection>
</connections>
</file>

<file path=xl/sharedStrings.xml><?xml version="1.0" encoding="utf-8"?>
<sst xmlns="http://schemas.openxmlformats.org/spreadsheetml/2006/main" count="9885" uniqueCount="4035">
  <si>
    <t>Section &amp; Sheet Titles</t>
  </si>
  <si>
    <t>Cover Notes:</t>
  </si>
  <si>
    <t>Go to Table of Contents</t>
  </si>
  <si>
    <t>Table of Contents</t>
  </si>
  <si>
    <t>Go to Cover Sheet</t>
  </si>
  <si>
    <t>é</t>
  </si>
  <si>
    <t>Section Cover Notes:</t>
  </si>
  <si>
    <t>ç</t>
  </si>
  <si>
    <t>è</t>
  </si>
  <si>
    <t>Appendices</t>
  </si>
  <si>
    <t>Checks</t>
  </si>
  <si>
    <t>Error Checks</t>
  </si>
  <si>
    <t>Check</t>
  </si>
  <si>
    <t>Include?</t>
  </si>
  <si>
    <t>Flag</t>
  </si>
  <si>
    <t>Total Errors:</t>
  </si>
  <si>
    <t>Alert Checks</t>
  </si>
  <si>
    <t>Total Alerts:</t>
  </si>
  <si>
    <t>x</t>
  </si>
  <si>
    <t>O</t>
  </si>
  <si>
    <t>Time Series</t>
  </si>
  <si>
    <t>Names</t>
  </si>
  <si>
    <t>Time Series - Assumptions</t>
  </si>
  <si>
    <t>Primary Periodicity</t>
  </si>
  <si>
    <t>Annual</t>
  </si>
  <si>
    <t>Model Start Date</t>
  </si>
  <si>
    <t>Model End Date</t>
  </si>
  <si>
    <t>Denomination</t>
  </si>
  <si>
    <t>$</t>
  </si>
  <si>
    <t>Denomination Conversion Factor</t>
  </si>
  <si>
    <t>Time Series - Lookups</t>
  </si>
  <si>
    <t>Month Days</t>
  </si>
  <si>
    <t>Month Day</t>
  </si>
  <si>
    <t>LU_TS_Mth_Days</t>
  </si>
  <si>
    <t>Month Names</t>
  </si>
  <si>
    <t>Month Name</t>
  </si>
  <si>
    <t>LU_TS_Mth_Names</t>
  </si>
  <si>
    <t>Periods In Periods</t>
  </si>
  <si>
    <t>Periods In Period</t>
  </si>
  <si>
    <t xml:space="preserve"> </t>
  </si>
  <si>
    <t>Denominations</t>
  </si>
  <si>
    <t>LU_TS_Denom</t>
  </si>
  <si>
    <t>Denomination Conversions</t>
  </si>
  <si>
    <t>Denomination Conversion</t>
  </si>
  <si>
    <t>LU_TS_Denom_Conv</t>
  </si>
  <si>
    <t>TS_Secs_In_Min</t>
  </si>
  <si>
    <t>TS_Mins_In_Hr</t>
  </si>
  <si>
    <t>TS_Hrs_In_Day</t>
  </si>
  <si>
    <t>TS_Days_In_Wk</t>
  </si>
  <si>
    <t>TS_Mths_In_Qtr</t>
  </si>
  <si>
    <t>TS_Mths_In_Half</t>
  </si>
  <si>
    <t>TS_Mths_In_Yr</t>
  </si>
  <si>
    <t>TS_Qtrs_In_Half</t>
  </si>
  <si>
    <t>TS_Qtrs_In_Yr</t>
  </si>
  <si>
    <t>TS_Halves_In_Yr</t>
  </si>
  <si>
    <t>TS_Thousand</t>
  </si>
  <si>
    <t>TS_Million</t>
  </si>
  <si>
    <t>TS_Billion</t>
  </si>
  <si>
    <t>Section 1.</t>
  </si>
  <si>
    <t>a.</t>
  </si>
  <si>
    <t>Section 2.</t>
  </si>
  <si>
    <t>Section 3.</t>
  </si>
  <si>
    <t>-</t>
  </si>
  <si>
    <t>Personnel</t>
  </si>
  <si>
    <t>Other Direct Costs</t>
  </si>
  <si>
    <t>Currencies</t>
  </si>
  <si>
    <t>Lookup Table Title</t>
  </si>
  <si>
    <t>Lookup Table Heading</t>
  </si>
  <si>
    <t>b.</t>
  </si>
  <si>
    <t>c.</t>
  </si>
  <si>
    <t>Period Start Date</t>
  </si>
  <si>
    <t>Period End Date</t>
  </si>
  <si>
    <t>Counter</t>
  </si>
  <si>
    <t>Financial Year</t>
  </si>
  <si>
    <t>d.</t>
  </si>
  <si>
    <t>e.</t>
  </si>
  <si>
    <t>f.</t>
  </si>
  <si>
    <t>&lt;-- (units to display)</t>
  </si>
  <si>
    <t>Applied Currency</t>
  </si>
  <si>
    <t>Supply Type</t>
  </si>
  <si>
    <t>Currency Code</t>
  </si>
  <si>
    <t>Annual Discount Rate</t>
  </si>
  <si>
    <t>Yes</t>
  </si>
  <si>
    <t>g.</t>
  </si>
  <si>
    <t>h.</t>
  </si>
  <si>
    <t>Allowances</t>
  </si>
  <si>
    <t>Financial Year End</t>
  </si>
  <si>
    <t>Term (Years)</t>
  </si>
  <si>
    <t>Area Name</t>
  </si>
  <si>
    <t>LU_Vacc_Currency</t>
  </si>
  <si>
    <t>Please use Table of Contents for navigation.</t>
  </si>
  <si>
    <t>Please save often to avoid accidental loss of data.</t>
  </si>
  <si>
    <t>Section 4.</t>
  </si>
  <si>
    <t>i.</t>
  </si>
  <si>
    <t>j.</t>
  </si>
  <si>
    <t>k.</t>
  </si>
  <si>
    <t>l.</t>
  </si>
  <si>
    <t>Population Count</t>
  </si>
  <si>
    <t>Year</t>
  </si>
  <si>
    <t>Annual Population Growth Rate (%)</t>
  </si>
  <si>
    <t>Vaccine</t>
  </si>
  <si>
    <t>Vaccine (per dose)</t>
  </si>
  <si>
    <t>Injection syringe (each)</t>
  </si>
  <si>
    <t>Safety box (each)</t>
  </si>
  <si>
    <t>Safety Boxes</t>
  </si>
  <si>
    <t>Vaccines</t>
  </si>
  <si>
    <t>Supplies and Materials</t>
  </si>
  <si>
    <t>Baseline</t>
  </si>
  <si>
    <t>Financial</t>
  </si>
  <si>
    <t>Economic</t>
  </si>
  <si>
    <t>Sub-Section 4.1.</t>
  </si>
  <si>
    <t>Prospective or Retrospective</t>
  </si>
  <si>
    <t>LU_TS_PROSPECTIVE_OR_RETROSPECTIVE</t>
  </si>
  <si>
    <t>First Costing Year</t>
  </si>
  <si>
    <t>Target Groups- Counts - Summary</t>
  </si>
  <si>
    <t>Coverage - Summary Outputs</t>
  </si>
  <si>
    <t>ALL TARGET POPULATIONS</t>
  </si>
  <si>
    <t>In this section, we provide worksheets for creating detailed cost estimates of each activity.</t>
  </si>
  <si>
    <t>We also keep autogenerated model worksheets required for the model to calculate accuratetly.</t>
  </si>
  <si>
    <t>We also keep variable lookup worksheets which allow the tool to have more user-friendly navigation.</t>
  </si>
  <si>
    <t>Finally, we maintain a series of worksheets where errors, alerts, and issues are kept.</t>
  </si>
  <si>
    <t>[Insert section cover note 1]</t>
  </si>
  <si>
    <t>[Insert section cover note 2]</t>
  </si>
  <si>
    <t>[Insert section cover note 3]</t>
  </si>
  <si>
    <t>Variable Lookup Worksheets (AUTOGENERATED)</t>
  </si>
  <si>
    <t>ð</t>
  </si>
  <si>
    <t>Summary:</t>
  </si>
  <si>
    <t>ï</t>
  </si>
  <si>
    <t>±</t>
  </si>
  <si>
    <t>USD</t>
  </si>
  <si>
    <t>Instructions</t>
  </si>
  <si>
    <t>Target Groups Category 1</t>
  </si>
  <si>
    <t>Target Groups Category 2</t>
  </si>
  <si>
    <t>Age Groups</t>
  </si>
  <si>
    <t>Segments (Used for Both Age Groups)</t>
  </si>
  <si>
    <t>All Age Groups - Projected</t>
  </si>
  <si>
    <t>All Age Groups - Retrospective</t>
  </si>
  <si>
    <t>All Age Groups - Retrospective (AUTOCALCULATED)</t>
  </si>
  <si>
    <t>Counts - Lookups</t>
  </si>
  <si>
    <t>Target Groups</t>
  </si>
  <si>
    <t>Target Group</t>
  </si>
  <si>
    <t>LU_Count_Target_Groups</t>
  </si>
  <si>
    <t>Target Sub Groups</t>
  </si>
  <si>
    <t>Target Sub Group</t>
  </si>
  <si>
    <t>LU_Count_Target_Sub_Groups</t>
  </si>
  <si>
    <t>Secondary Level Areas</t>
  </si>
  <si>
    <t>Secondary Level Area</t>
  </si>
  <si>
    <t>Labels for Important Data Points</t>
  </si>
  <si>
    <t>Top Level Name</t>
  </si>
  <si>
    <t>Custom Labels - Lookups</t>
  </si>
  <si>
    <t>LU_Lbl_Top_Level_Name</t>
  </si>
  <si>
    <t>Outputs</t>
  </si>
  <si>
    <t>Personnel Category 1</t>
  </si>
  <si>
    <t>Personnel Category 2</t>
  </si>
  <si>
    <t>Personnel Category 3</t>
  </si>
  <si>
    <t>Personnel Category 4</t>
  </si>
  <si>
    <t>Personnel Category 5</t>
  </si>
  <si>
    <t>Personnel Category 6</t>
  </si>
  <si>
    <t>Personnel Category 7</t>
  </si>
  <si>
    <t>Personnel Category 8</t>
  </si>
  <si>
    <t>Personnel Category 9</t>
  </si>
  <si>
    <t>Personnel Category 10</t>
  </si>
  <si>
    <t>[User Notes Inserted Here.]</t>
  </si>
  <si>
    <t>Allowances Category 1</t>
  </si>
  <si>
    <t>Allowances Category 2</t>
  </si>
  <si>
    <t>Allowances Category 3</t>
  </si>
  <si>
    <t>Allowances Category 4</t>
  </si>
  <si>
    <t>Allowances Category 5</t>
  </si>
  <si>
    <t>Allowances Category 6</t>
  </si>
  <si>
    <t>Allowances Category 7</t>
  </si>
  <si>
    <t>Allowances Category 8</t>
  </si>
  <si>
    <t>Allowances Category 9</t>
  </si>
  <si>
    <t>Allowances Category 10</t>
  </si>
  <si>
    <t>Supplies and Materials Category 1</t>
  </si>
  <si>
    <t>Supplies and Materials Category 2</t>
  </si>
  <si>
    <t>Supplies and Materials Category 3</t>
  </si>
  <si>
    <t>Supplies and Materials Category 4</t>
  </si>
  <si>
    <t>Supplies and Materials Category 5</t>
  </si>
  <si>
    <t>Supplies and Materials Category 6</t>
  </si>
  <si>
    <t>Supplies and Materials Category 7</t>
  </si>
  <si>
    <t>Supplies and Materials Category 8</t>
  </si>
  <si>
    <t>Supplies and Materials Category 9</t>
  </si>
  <si>
    <t>Supplies and Materials Category 10</t>
  </si>
  <si>
    <t>Other Direct Costs (ODC) Category 1</t>
  </si>
  <si>
    <t>Other Direct Costs (ODC) Category 2</t>
  </si>
  <si>
    <t>Other Direct Costs (ODC) Category 3</t>
  </si>
  <si>
    <t>Other Direct Costs (ODC) Category 4</t>
  </si>
  <si>
    <t>Other Direct Costs (ODC) Category 5</t>
  </si>
  <si>
    <t>Other Direct Costs (ODC) Category 6</t>
  </si>
  <si>
    <t>Other Direct Costs (ODC) Category 7</t>
  </si>
  <si>
    <t>Other Direct Costs (ODC) Category 8</t>
  </si>
  <si>
    <t>Other Direct Costs (ODC) Category 9</t>
  </si>
  <si>
    <t>Other Direct Costs (ODC) Category 10</t>
  </si>
  <si>
    <t>Personnel Cadre Type</t>
  </si>
  <si>
    <t>Activity Unit (e.g. Day, Hour, Minute)</t>
  </si>
  <si>
    <t>Number of Activity Units Required</t>
  </si>
  <si>
    <t>ERROR CHECK (FLAGS IF INPUT ECONOMIC COST IS LESS THAN FINANCIAL COST)</t>
  </si>
  <si>
    <t>Allowance Type</t>
  </si>
  <si>
    <t>Allowance Unit (e.g. Per Day, Round-trip Travel,etc.)</t>
  </si>
  <si>
    <t>Number of Allowance Units Required</t>
  </si>
  <si>
    <t>Evidence for Using this Cost Information (source or notes)</t>
  </si>
  <si>
    <t>Supply Unit (e.g. Each, Dozen, 100-pack,etc.)</t>
  </si>
  <si>
    <t>Number of Supply Units Required</t>
  </si>
  <si>
    <t>Other Direct Cost (ODC) Type</t>
  </si>
  <si>
    <t>ODC Unit (e.g. Each, Dozen, 100-pack,etc.)</t>
  </si>
  <si>
    <t>Number of ODC Units Required</t>
  </si>
  <si>
    <t>Select Input Currency</t>
  </si>
  <si>
    <t>Select Costing Input Method</t>
  </si>
  <si>
    <t>A.</t>
  </si>
  <si>
    <t>Detailed Costing Worksheet Estimate</t>
  </si>
  <si>
    <t>B.</t>
  </si>
  <si>
    <t>Direct User Entry Cost Estimate</t>
  </si>
  <si>
    <t>ERROR CHECK (CHECKS IF OVERRIDE INPUT ECONOMIC COST IS LESS THAN FINANCIAL COST)</t>
  </si>
  <si>
    <t>Cost Category</t>
  </si>
  <si>
    <t>Total Single Activity Cost</t>
  </si>
  <si>
    <t>Currencie</t>
  </si>
  <si>
    <t>Cost Projection</t>
  </si>
  <si>
    <t>Retrospective Costing</t>
  </si>
  <si>
    <t>Introduction or Recurring</t>
  </si>
  <si>
    <t>Introduction</t>
  </si>
  <si>
    <t>Financial or Economic</t>
  </si>
  <si>
    <t>Detail or Freeform</t>
  </si>
  <si>
    <t>Use Detailed Cost Worksheet</t>
  </si>
  <si>
    <t>Enter Cost Estimates Directly</t>
  </si>
  <si>
    <t>Economic - Lookups</t>
  </si>
  <si>
    <t>Economic - Instructions</t>
  </si>
  <si>
    <t>Economic - Currencies</t>
  </si>
  <si>
    <t>Economic - Rates</t>
  </si>
  <si>
    <t>Annual Discount Rate Category 1</t>
  </si>
  <si>
    <t>LU_Econ_Currencies</t>
  </si>
  <si>
    <t>Exchange Rate</t>
  </si>
  <si>
    <t>LU_Econ_Exchange_Rate</t>
  </si>
  <si>
    <t>LU_Econ_Annual_Discount_Rate</t>
  </si>
  <si>
    <t>Currency Codes</t>
  </si>
  <si>
    <t>LU_Econ_Currency_Codes</t>
  </si>
  <si>
    <t>Imported from Econ Module</t>
  </si>
  <si>
    <t>Currency Used for Cost Inputs</t>
  </si>
  <si>
    <t>LU_TOP_ACTV_Currencies</t>
  </si>
  <si>
    <t>LU_TOP_ACTV_PROJECTION_RETROSPECTIVE</t>
  </si>
  <si>
    <t>LU_TOP_ACTV_INTRO_RECURRING</t>
  </si>
  <si>
    <t>LU_TOP_ACTV_FIN_ECON</t>
  </si>
  <si>
    <t>LU_TOP_ACTV_Detail_or_Freeform</t>
  </si>
  <si>
    <t>LU_LVL2_ACTV_Currencies</t>
  </si>
  <si>
    <t>LU_LVL2_ACTV_PROJECTION_RETROSPECTIVE</t>
  </si>
  <si>
    <t>LU_LVL2_ACTV_INTRO_RECURRING</t>
  </si>
  <si>
    <t>LU_LVL2_ACTV_FIN_ECON</t>
  </si>
  <si>
    <t>LU_LVL2_ACTV_Detail_or_Freeform</t>
  </si>
  <si>
    <t>Assumptions</t>
  </si>
  <si>
    <t>Microplanning - Detailed Costing Worksheets (OPTIONAL)</t>
  </si>
  <si>
    <t>Training - Detailed Costing Worksheets (OPTIONAL)</t>
  </si>
  <si>
    <t>This detailed costing worksheet can be used to document the types and amounts of resources required to complete a single instance of an activity.</t>
  </si>
  <si>
    <t>When completed, it will automatically provide a single activity cost in the general assumption worksheet.</t>
  </si>
  <si>
    <t>The user may then choose to use the results of the detailed costing in the model, or override the detailed costing and insert alternate cost estimates.</t>
  </si>
  <si>
    <t>Sensitisation  - Detailed Costing Worksheets (OPTIONAL)</t>
  </si>
  <si>
    <t>Social Mobilisation -  Detailed Costing Worksheets (OPTIONAL)</t>
  </si>
  <si>
    <t>Supervision  - Detailed Costing Worksheets (OPTIONAL)</t>
  </si>
  <si>
    <t>Service Delivery  - Detailed Costing Worksheets (OPTIONAL)</t>
  </si>
  <si>
    <t>Service Delivery -  Annual Assumptions</t>
  </si>
  <si>
    <t>Detailed Costing Worksheets (OPTIONAL)</t>
  </si>
  <si>
    <t>Microplanning Activities - Annual Assumptions</t>
  </si>
  <si>
    <t>Training Activities - Annual Assumptions</t>
  </si>
  <si>
    <t>Sensitisation Activities - Annual Assumptions</t>
  </si>
  <si>
    <t>Time Series Variables</t>
  </si>
  <si>
    <t>Custom Labels Variables</t>
  </si>
  <si>
    <t>Economic Variables</t>
  </si>
  <si>
    <t>Microplanning Activity Variables</t>
  </si>
  <si>
    <t>Training Activity Variables</t>
  </si>
  <si>
    <t>Sensitisation Activity Variables</t>
  </si>
  <si>
    <t>Service Delivery Activity Variables</t>
  </si>
  <si>
    <t>Model Development and Maintenance (Developer Only)</t>
  </si>
  <si>
    <t>Detailed Cost Worksheet (OPTIONAL) Outputs - Summaries</t>
  </si>
  <si>
    <t>Target Subgoups Category 1</t>
  </si>
  <si>
    <t>Target Subgoups Category 2</t>
  </si>
  <si>
    <t>Target Subgroup Labels</t>
  </si>
  <si>
    <t>LU_Lbl_Target_Groups</t>
  </si>
  <si>
    <t>Target Subgroups</t>
  </si>
  <si>
    <t>Target Subgroup</t>
  </si>
  <si>
    <t>LU_Lbl_Target_Subgroups</t>
  </si>
  <si>
    <t>Imported from LABELS Worksheet (DO NOT CHANGE HERE)</t>
  </si>
  <si>
    <t>Target Populations - Labels (DEVELOPER USE ONLY)</t>
  </si>
  <si>
    <t>Doses</t>
  </si>
  <si>
    <t>Coverage - Lookups</t>
  </si>
  <si>
    <t>LU_CVG_Secondary_Level_Areas</t>
  </si>
  <si>
    <t>LU_CVG_Target_Grpi_s</t>
  </si>
  <si>
    <t>LU_CVG_Target_Sub_Groups</t>
  </si>
  <si>
    <t>Dose</t>
  </si>
  <si>
    <t>LU_CVG_Doses</t>
  </si>
  <si>
    <t>Immunization Coverage Assumptions</t>
  </si>
  <si>
    <t>Vaccine Label</t>
  </si>
  <si>
    <t>Vaccine Dose Labels</t>
  </si>
  <si>
    <t>Vaccine Dose Number Label Category 1</t>
  </si>
  <si>
    <t>Vaccine Dose Number Label Category 2</t>
  </si>
  <si>
    <t>Coverage - Linked Names (DEVELOPER ONLY)</t>
  </si>
  <si>
    <t>Coverage- Navigation</t>
  </si>
  <si>
    <t>Target Populations and Coverage Summary</t>
  </si>
  <si>
    <t>Calculations - Coverage</t>
  </si>
  <si>
    <t>Coverage Projection</t>
  </si>
  <si>
    <t>Dose 1 Coverage - Outputs - Projected Target Group B</t>
  </si>
  <si>
    <t>Dose 2 Coverage - Outputs - Projected Target Group A</t>
  </si>
  <si>
    <t>Dose 2 Coverage - Outputs - Projected Target Group B</t>
  </si>
  <si>
    <t>Retrospective Coverage</t>
  </si>
  <si>
    <t>Dose 1 Coverage - Outputs - Retrospective Target Group B</t>
  </si>
  <si>
    <t>Dose 2 Coverage - Outputs - Retrospective Target Group A</t>
  </si>
  <si>
    <t>Vaccine and Dose Labels</t>
  </si>
  <si>
    <t>Target Populaton Labels</t>
  </si>
  <si>
    <t>Vaccine - Lookups</t>
  </si>
  <si>
    <t>Dose 1 and 2   Coverage - Outputs - Prospective Target Group A</t>
  </si>
  <si>
    <t>Dose 1 and 2   Coverage - Outputs - Prospective Target Group B</t>
  </si>
  <si>
    <t>Dose 1 and 2   Coverage - Outputs - Prospective  ALL TARGET GROUPS</t>
  </si>
  <si>
    <t>Dose 1 and 2 Coverage - Outputs - Retrospective Target Group A</t>
  </si>
  <si>
    <t>Dose 1 and 2 Coverage - Outputs - Retrospective Target Group B</t>
  </si>
  <si>
    <t>Dose 1 and 2 Coverage - Outputs - Retrospective ALL TARGET POPULATIONS</t>
  </si>
  <si>
    <t># Safety boxes to procure.</t>
  </si>
  <si>
    <t>Injection Syringe capacity per safety box (#)</t>
  </si>
  <si>
    <t>Handling</t>
  </si>
  <si>
    <t>Insurance</t>
  </si>
  <si>
    <t>Procurement Costs</t>
  </si>
  <si>
    <t>Syringes</t>
  </si>
  <si>
    <t>Additional Costs</t>
  </si>
  <si>
    <t>Subsidies for vaccine and injectable supplies</t>
  </si>
  <si>
    <t>Market Cost of vaccine and injectable supplies</t>
  </si>
  <si>
    <t>Calculations - Vaccine Procurement Costs</t>
  </si>
  <si>
    <t>Analysis</t>
  </si>
  <si>
    <t>Costs</t>
  </si>
  <si>
    <t>These values are set by the user in the Economics Worksheet (Econ)</t>
  </si>
  <si>
    <t>Analysis - Lookups</t>
  </si>
  <si>
    <t>Currrencies</t>
  </si>
  <si>
    <t>LU_Analy_Currencies</t>
  </si>
  <si>
    <t>Activity Names and Quantities Performed</t>
  </si>
  <si>
    <t>Analysis - Imported Selections (Developer Only)</t>
  </si>
  <si>
    <t>Activity Quantities and Cost Summary</t>
  </si>
  <si>
    <t>Training</t>
  </si>
  <si>
    <t>Microplanning</t>
  </si>
  <si>
    <t>Sensitisation</t>
  </si>
  <si>
    <t>Social Mobilisation</t>
  </si>
  <si>
    <t>Service Delivery</t>
  </si>
  <si>
    <t>Vaccine and Injection Supply Costs</t>
  </si>
  <si>
    <t>Immunization Coverage</t>
  </si>
  <si>
    <t>Target Population Count</t>
  </si>
  <si>
    <t>Supervision</t>
  </si>
  <si>
    <t>Presentation Outputs</t>
  </si>
  <si>
    <t>Currrency</t>
  </si>
  <si>
    <t>LU_Analy_Financial_or_Economic</t>
  </si>
  <si>
    <t>Developer Only</t>
  </si>
  <si>
    <t>&lt;&lt; 3.0% is standard for health costing analyses.</t>
  </si>
  <si>
    <t>AEFI - Variables</t>
  </si>
  <si>
    <t>Coverage Variables</t>
  </si>
  <si>
    <t>Counts Variables</t>
  </si>
  <si>
    <t>Numbers or Percentage</t>
  </si>
  <si>
    <t>Numbers (#)</t>
  </si>
  <si>
    <t>Numbers or Proportion</t>
  </si>
  <si>
    <t>LU_CVG_Numbers_or_Proportion</t>
  </si>
  <si>
    <t>Other (specify)</t>
  </si>
  <si>
    <t>Total Vaccine Doses Administered (Retrospective Data)</t>
  </si>
  <si>
    <t>Proportion (%) of  vaccine and injectable supply procurement subsidized</t>
  </si>
  <si>
    <t>%</t>
  </si>
  <si>
    <t>Additional Costs - Vaccine</t>
  </si>
  <si>
    <t>Additional Costs - Injection Syringes</t>
  </si>
  <si>
    <t>Additional Costs - Safety Boxes</t>
  </si>
  <si>
    <t>Vaccine - Imported Linked Names and Information (Developer Only)</t>
  </si>
  <si>
    <t>m.</t>
  </si>
  <si>
    <t>Cost per Vaccine Dose</t>
  </si>
  <si>
    <t>Cost per Injection Syringe</t>
  </si>
  <si>
    <t>Cost per Safety Box</t>
  </si>
  <si>
    <t>Notes and Sources of Information</t>
  </si>
  <si>
    <t>Vaccine and Injection Supply Quantities (includes administered and wasted)</t>
  </si>
  <si>
    <t>Vaccine Doses</t>
  </si>
  <si>
    <t>Injection Syringes</t>
  </si>
  <si>
    <t>Microplanning Level 1 (2) - Lookups</t>
  </si>
  <si>
    <t>Training Level 1 (2) - Lookups</t>
  </si>
  <si>
    <t>Training Level 1 (3) - Lookups</t>
  </si>
  <si>
    <t>Microplanning Level 2 (2) - Lookups</t>
  </si>
  <si>
    <t>Supervision Level 1 (2) - Lookups</t>
  </si>
  <si>
    <t>Supervision Level 1 (3) - Lookups</t>
  </si>
  <si>
    <t>Supervision Level 2 (2) - Lookups</t>
  </si>
  <si>
    <t>Supervision Level 2 (3) - Lookups</t>
  </si>
  <si>
    <t>Service Delivery Level 2 (2) - Lookups</t>
  </si>
  <si>
    <t>Service Delivery Level 2 (3) - Lookups</t>
  </si>
  <si>
    <t>SOC MOB Level 1 (3) - Lookups</t>
  </si>
  <si>
    <t>Sensitization Level 1 (2) - Lookups</t>
  </si>
  <si>
    <t>Sensitization Level 1 (3) - Lookups</t>
  </si>
  <si>
    <t>Sensitization Level 2 (2) - Lookups</t>
  </si>
  <si>
    <t>Sensitization Level 2 (3) - Lookups</t>
  </si>
  <si>
    <t>Supervision Level 1 (4) - Lookups</t>
  </si>
  <si>
    <t>Sensitization Level 1 (1) - Lookups</t>
  </si>
  <si>
    <t>Microplanning Level 1 (1) - Lookups</t>
  </si>
  <si>
    <t>Microplanning Level 2 (1) - Lookups</t>
  </si>
  <si>
    <t>Training Level 1 (1) - Lookups</t>
  </si>
  <si>
    <t>Training Level 2 (1) - Lookups</t>
  </si>
  <si>
    <t>Sensitization Level 2 (1) - Lookups</t>
  </si>
  <si>
    <t>Service Delivery Level 2 (1) - Lookups</t>
  </si>
  <si>
    <t>Supervision Level 1 (1) - Lookups</t>
  </si>
  <si>
    <t>Supervision Level 2 (1) - Lookups</t>
  </si>
  <si>
    <t>Personnel Category 11</t>
  </si>
  <si>
    <t>Personnel Category 12</t>
  </si>
  <si>
    <t>Personnel Category 13</t>
  </si>
  <si>
    <t>Personnel Category 14</t>
  </si>
  <si>
    <t>Personnel Category 15</t>
  </si>
  <si>
    <t>Primary Level Name</t>
  </si>
  <si>
    <t>HPV 1</t>
  </si>
  <si>
    <t>HPV 2</t>
  </si>
  <si>
    <t># Vaccine doses to procure (based on population, coverage projections, and wastage rates).</t>
  </si>
  <si>
    <t>Adjustment for projected wastage rate for vaccines</t>
  </si>
  <si>
    <t># Injection syringes to procure (based on population, coverage projections, and wastage rates).</t>
  </si>
  <si>
    <t>Adjustment for projected wastage rate for safety boxes</t>
  </si>
  <si>
    <t>Adjustment for projected wastage rate for injection syringes</t>
  </si>
  <si>
    <t>OTHER Activity Level 1 (1) - Lookups</t>
  </si>
  <si>
    <t>OTHER Activity Level 1 (2) - Lookups</t>
  </si>
  <si>
    <t>OTHER Activity Level 1 (3) - Lookups</t>
  </si>
  <si>
    <t>OTHER Activity Level 2 (1) - Lookups</t>
  </si>
  <si>
    <t>OTHER Activity Level 2 (2) - Lookups</t>
  </si>
  <si>
    <t>IEC/ Social Mobilisation Activities - Annual Assumptions</t>
  </si>
  <si>
    <t>Cost Projection or Retrospective?</t>
  </si>
  <si>
    <t>Retrospective Coverage - Insert the actual quantity of vaccine doses administered.</t>
  </si>
  <si>
    <t>Projected Coverage - Instructions - Input the percent coverage for each year, dose, and target population.</t>
  </si>
  <si>
    <t>Single HPV Vaccination Delivery Type 1 of 2.</t>
  </si>
  <si>
    <t>Single HPV Vaccination Delivery Type 2 of 2.</t>
  </si>
  <si>
    <t>Primary Area (Used for Age Groups and Segments)</t>
  </si>
  <si>
    <t>Retrospective Data</t>
  </si>
  <si>
    <t># Vaccine doses procured</t>
  </si>
  <si>
    <t># Injection syringes procured</t>
  </si>
  <si>
    <t># Safety boxes procured</t>
  </si>
  <si>
    <t>Total # Vaccine doses procured (Retrospective data)</t>
  </si>
  <si>
    <t>Total # Injection syringes procured (Retrospective data)</t>
  </si>
  <si>
    <t>Total # Safety boxes procured (Retrospective data)</t>
  </si>
  <si>
    <t>Microplanning Activity Name</t>
  </si>
  <si>
    <t>Number of Activities</t>
  </si>
  <si>
    <t>Number of Activities per Year</t>
  </si>
  <si>
    <t>Training Activity Name</t>
  </si>
  <si>
    <t>Senistisation Activity Name</t>
  </si>
  <si>
    <t>Supervision , Monitoring, and Evaluation Activities (SME) - Annual Assumptions</t>
  </si>
  <si>
    <t>Supervision, Monitoring, and Evaluation (SME) Activity Name</t>
  </si>
  <si>
    <t>Vaccines and Injection Supplies- Financial (Local Currency)</t>
  </si>
  <si>
    <t>Vaccine and Injection Supplies- Economic (Local Currency)</t>
  </si>
  <si>
    <t>Vaccine and Injection Supplies - Financial  (International Currency)</t>
  </si>
  <si>
    <t>Vaccines and Injection Supplies - Economic  (International Currency)</t>
  </si>
  <si>
    <t>Total # Vaccine doses to procure (projected based on population, coverage projections, and wastage rates).</t>
  </si>
  <si>
    <t>Total # Injection syringes to procure (projected based on population, coverage projections, and wastage rates).</t>
  </si>
  <si>
    <t>Total # Safety Boxes to procure (projected based on population, coverage projections, and wastage rates).</t>
  </si>
  <si>
    <t xml:space="preserve">Calculations from Detailed Cost Worksheets </t>
  </si>
  <si>
    <t>Level 2 Activity - Lookups</t>
  </si>
  <si>
    <t>Number Receiving Vaccination (Retrospective Data)</t>
  </si>
  <si>
    <t>ERROR CHECK</t>
  </si>
  <si>
    <t>Coverage - Summary of Projected Assumptions</t>
  </si>
  <si>
    <t>Total Vaccinations Received by All Target Populations through ANY Service Delivery Method (from Coverage Assumptions) (Projected)</t>
  </si>
  <si>
    <t>Total Vaccinations Received by All Target Populations through ANY Service Delivery Method (from Coverage Assumptions) (Retrospective)</t>
  </si>
  <si>
    <t>Coverage - Summary of Retrospective Data</t>
  </si>
  <si>
    <t>Service Delivery Types</t>
  </si>
  <si>
    <t>Service Delivery Type</t>
  </si>
  <si>
    <t>LU_Lbl_SVC_Delivery_Types</t>
  </si>
  <si>
    <t>Service Delivery Activity Types</t>
  </si>
  <si>
    <t>Average number of routine outreach vaccination activities per facility (per year)</t>
  </si>
  <si>
    <t>HIV Dose Number</t>
  </si>
  <si>
    <t>Proportion Administered (by Year and Service Delivery Type)</t>
  </si>
  <si>
    <t>Number Administered (by Year and Service Delivery Type)</t>
  </si>
  <si>
    <t>Service Delivery Group Vacc Types 1</t>
  </si>
  <si>
    <t>Service Delivery Group Vacc Types 2</t>
  </si>
  <si>
    <t>Single Vaccination Type</t>
  </si>
  <si>
    <t>Group Vaccination Type</t>
  </si>
  <si>
    <t>Service Delivery Activities providing Vaccinations to a Group</t>
  </si>
  <si>
    <t>Service Delivery Activities providing Vaccinations to a Single Person</t>
  </si>
  <si>
    <t>ALERT CHECK (DOES TOTAL SUM TO COVERAGE TOTAL)</t>
  </si>
  <si>
    <t>Proportion of Additional Costs - Vaccine Subsidized (on scale of 0 to 100%)</t>
  </si>
  <si>
    <t>Proportion of Additional Costs - Injection Syringes Subsidized (on scale of 0 to 100%)</t>
  </si>
  <si>
    <t>Proportion of Additional Costs - Safety Boxes Subsidized (on scale of 0 to 100%)</t>
  </si>
  <si>
    <t>Number of Activities Required to Administer this Number of Vaccines</t>
  </si>
  <si>
    <t>HPV Dose Number</t>
  </si>
  <si>
    <t>LU_Analy_HPV_Dose</t>
  </si>
  <si>
    <t>Number of Group Vaccination Activities Required to Administer Vaccines</t>
  </si>
  <si>
    <t>Number of Service Delivery Activities providing Vaccinations to a Single Person Completed</t>
  </si>
  <si>
    <t>Number of VACCINATIONS Provided through Vaccinations to a Group</t>
  </si>
  <si>
    <t>Number of Vaccinations Delivered and Activities Completed, by Year and Service Delivery Type (Retrospective)</t>
  </si>
  <si>
    <t>Calculations - Single Activity Costs - Annual</t>
  </si>
  <si>
    <t>Group Service Delivery Activity 1 of 2 Name</t>
  </si>
  <si>
    <t xml:space="preserve">Group Service Delivery Activity 2 of 2 Name </t>
  </si>
  <si>
    <t>Total Target Populations</t>
  </si>
  <si>
    <t>Microplanning Activity #4 (Not in Use)</t>
  </si>
  <si>
    <t>Microplanning Activity #3 (Not in Use)</t>
  </si>
  <si>
    <t>Microplanning Activity #2 (Not in Use)</t>
  </si>
  <si>
    <t>Training Activity #3 (Not in Use)</t>
  </si>
  <si>
    <t>Training Activity #4 (Not in Use)</t>
  </si>
  <si>
    <t xml:space="preserve"> Sensitisation Activity # 2 (Not in Use)</t>
  </si>
  <si>
    <t xml:space="preserve"> Sensitisation Activity # 3 (Not in Use)</t>
  </si>
  <si>
    <t xml:space="preserve"> Sensitisation Activity # 4 (Not in Use)</t>
  </si>
  <si>
    <t xml:space="preserve"> Sensitisation Activity # 5 (Not in Use)</t>
  </si>
  <si>
    <t xml:space="preserve"> Sensitisation Activity # 6 (Not in Use)</t>
  </si>
  <si>
    <t>IEC Soc Mob  Activity # 1 (Not in Use)</t>
  </si>
  <si>
    <t>IEC Soc Mob  Activity # 2 (Not in Use)</t>
  </si>
  <si>
    <t>IEC Soc Mob  Activity # 3 (Not in Use)</t>
  </si>
  <si>
    <t>IEC Soc Mob  Activity # 4  (Not in Use)</t>
  </si>
  <si>
    <t>IEC Soc Mob  Activity # 5  (Not in Use)</t>
  </si>
  <si>
    <t>IEC Soc Mob  Activity # 6 (Not in Use)</t>
  </si>
  <si>
    <t>IEC Soc Mob  Activity # 7 (Not in Use)</t>
  </si>
  <si>
    <t>IEC Soc Mob  Activity # 8 (Not in Use)</t>
  </si>
  <si>
    <t>SME Activity #2 (Not in Use)</t>
  </si>
  <si>
    <t>SME Activity #3 (Not in Use)</t>
  </si>
  <si>
    <t>SME Activity #4 (Not in Use)</t>
  </si>
  <si>
    <t>SME Activity #5 (Not in Use)</t>
  </si>
  <si>
    <t>SME Activity #6 (Not in Use)</t>
  </si>
  <si>
    <t>SME Activity #7 (Not in Use)</t>
  </si>
  <si>
    <t>TOTAL</t>
  </si>
  <si>
    <t>INTRODUCTION COSTS</t>
  </si>
  <si>
    <t>RECURRENT COSTS</t>
  </si>
  <si>
    <t>INITIAL INVESTMENT COSTS</t>
  </si>
  <si>
    <t>FINANCIAL COSTS</t>
  </si>
  <si>
    <t>Cold Chain Expansion</t>
  </si>
  <si>
    <t>ECONOMIC COSTS</t>
  </si>
  <si>
    <t>Dashboard</t>
  </si>
  <si>
    <t>TOTAL FINANCIAL COSTS</t>
  </si>
  <si>
    <t>TOTAL ECONOMIC COSTS</t>
  </si>
  <si>
    <t>TOTAL COST PER FIP</t>
  </si>
  <si>
    <t>Percentage</t>
  </si>
  <si>
    <t>Proportions w/ Vaccine</t>
  </si>
  <si>
    <t>Proportions w/out Vaccine</t>
  </si>
  <si>
    <t>ALL YEARS</t>
  </si>
  <si>
    <t>Target Population</t>
  </si>
  <si>
    <t>&lt;&lt; SELECT YEAR(S)</t>
  </si>
  <si>
    <t>IN SCHOOL</t>
  </si>
  <si>
    <t>OUT-OF-SCHOOL</t>
  </si>
  <si>
    <t>Costing Start Year and Term</t>
  </si>
  <si>
    <t>Cold Chain Expansion - Assumptions (Annual)</t>
  </si>
  <si>
    <t>Name of Cold Storage Equipment</t>
  </si>
  <si>
    <t>Useful Life Years</t>
  </si>
  <si>
    <t>Number of Units</t>
  </si>
  <si>
    <t>Notes on Calculations/ Estimates</t>
  </si>
  <si>
    <t>Cold Chain Expansion - Outputs</t>
  </si>
  <si>
    <t>Unit Cost</t>
  </si>
  <si>
    <t>Unit Cost (Annualized)</t>
  </si>
  <si>
    <t>Cold Chain Expansion - Lookups</t>
  </si>
  <si>
    <t>Currency</t>
  </si>
  <si>
    <t>LU_COLD_Currency</t>
  </si>
  <si>
    <t>Financial/Economic</t>
  </si>
  <si>
    <t>LU_COLD_Financial_Economic</t>
  </si>
  <si>
    <t>Required Cold Storage Expansion</t>
  </si>
  <si>
    <t>Cold Storage Equipment Type 6</t>
  </si>
  <si>
    <t>Cold Storage Equipment Type 7</t>
  </si>
  <si>
    <t>Cold Storage Equipment Type 8</t>
  </si>
  <si>
    <t>Cold Storage Equipment Type 9</t>
  </si>
  <si>
    <t>Cold Storage Equipment Type 10</t>
  </si>
  <si>
    <t>Input Currency for Cold Storage Equipment Prices</t>
  </si>
  <si>
    <t>TOTAL ALL YEARS</t>
  </si>
  <si>
    <t>Total Expansion (cm3)</t>
  </si>
  <si>
    <t>Exchange Rate:</t>
  </si>
  <si>
    <t>Capacity per Unit (cm3)</t>
  </si>
  <si>
    <t>Total Units Procured</t>
  </si>
  <si>
    <t>Cost per Unit</t>
  </si>
  <si>
    <t>Cold Chain Equipment Procured</t>
  </si>
  <si>
    <t>Cold Chain Expansion Costs (Initial Investment)</t>
  </si>
  <si>
    <t>Cold Chain Introduction Costs</t>
  </si>
  <si>
    <t>Annual Discount Rate:</t>
  </si>
  <si>
    <t>Cold Storage Equipment Type 1</t>
  </si>
  <si>
    <t>Cold Storage Equipment Type 2</t>
  </si>
  <si>
    <t>Cold Storage Equipment Type 3</t>
  </si>
  <si>
    <t>Cold Storage Equipment Type 4</t>
  </si>
  <si>
    <t>Cold Storage Equipment Type 5</t>
  </si>
  <si>
    <t>Currency Options for Dropdown List</t>
  </si>
  <si>
    <t>(from Economic Tab)</t>
  </si>
  <si>
    <t>Other Capital Investments</t>
  </si>
  <si>
    <t>Other Capital Investments - Outputs</t>
  </si>
  <si>
    <t>Other Capital Investments - Lookups</t>
  </si>
  <si>
    <t>LU_CAP_OTH_Currency</t>
  </si>
  <si>
    <t>LU_CAP_OTH_Financial_Economic</t>
  </si>
  <si>
    <t>Required Capital Investments</t>
  </si>
  <si>
    <t>Other Capital Investment 1</t>
  </si>
  <si>
    <t>Other Capital Investment 2</t>
  </si>
  <si>
    <t>Other Capital Investment 3</t>
  </si>
  <si>
    <t>Other Capital Investment 4</t>
  </si>
  <si>
    <t>Other Capital Investment 5</t>
  </si>
  <si>
    <t>Other Capital Investment 6</t>
  </si>
  <si>
    <t>Other Capital Investment 7</t>
  </si>
  <si>
    <t>Other Capital Investment 8</t>
  </si>
  <si>
    <t>Other Capital Investment 9</t>
  </si>
  <si>
    <t>Other Capital Investment 10</t>
  </si>
  <si>
    <t>Name of Capital Investment</t>
  </si>
  <si>
    <t>HPV Vaccinations Administered</t>
  </si>
  <si>
    <t>POPULATION</t>
  </si>
  <si>
    <t>VACCINATED</t>
  </si>
  <si>
    <t>Other Capital Investments (Initial Investment)</t>
  </si>
  <si>
    <t>Other Capital Investments (Introduction Costs)</t>
  </si>
  <si>
    <t>Capital Investment Type</t>
  </si>
  <si>
    <t>Analysis - Developer Only</t>
  </si>
  <si>
    <t>Number of Single Vaccination Activities Required to Administer Vaccines</t>
  </si>
  <si>
    <t>Number of ACTIVITIES (Vaccinations to a Group) Completed</t>
  </si>
  <si>
    <t>OTHER Activity (Recurrent Costs Only) - Annual Assumptions</t>
  </si>
  <si>
    <t>Other Activity Name (Recurrent Cost Activity Only)</t>
  </si>
  <si>
    <t>Coverage - Outputs - Retrospective Target Group A</t>
  </si>
  <si>
    <t>Coverage - Outputs - Projected Target Group A</t>
  </si>
  <si>
    <t>Name of Other Capital Investment</t>
  </si>
  <si>
    <t>Input Currency for Other Capital Investment</t>
  </si>
  <si>
    <t>Other Activity #1 - (Recurrent Costs Only) (Not in Use)</t>
  </si>
  <si>
    <t>Other Activity #2 - (Recurrent Costs Only) (Not in Use)</t>
  </si>
  <si>
    <t>Other Activity #3 - (Recurrent Costs Only) (Not in Use)</t>
  </si>
  <si>
    <t>Other Activity #4 - (Recurrent Costs Only) (Not in Use)</t>
  </si>
  <si>
    <t>Other Activity #5 - (Recurrent Costs Only) (Not in Use)</t>
  </si>
  <si>
    <t>OTHER  (Recurrent Costs Only) - Detailed Costing Worksheets (OPTIONAL)</t>
  </si>
  <si>
    <t>CURRENT CALCULATED TOTAL COST PER FULLY IMMUNISED PERSON (FIP)</t>
  </si>
  <si>
    <t>[user notes here]</t>
  </si>
  <si>
    <t>Target Group Name1</t>
  </si>
  <si>
    <t>Target Group Name2</t>
  </si>
  <si>
    <t>Vaccine Name</t>
  </si>
  <si>
    <t>Human Papillomavirus Vaccine (HPV)</t>
  </si>
  <si>
    <t>Single Vaccination Service Delivery Type 1</t>
  </si>
  <si>
    <t>Single Vaccination Service Delivery Type 2</t>
  </si>
  <si>
    <t>Counts</t>
  </si>
  <si>
    <t>Number of schools to received group vaccination visits</t>
  </si>
  <si>
    <t>Number of health facilities providing HPV vaccination</t>
  </si>
  <si>
    <t>Number of health facilities conducting routine HPV vaccination outreach services</t>
  </si>
  <si>
    <t>Average number of persons vaccinated during a routine outreach service activity</t>
  </si>
  <si>
    <t>Counts - Assumptions (Cost Projection or Retrospective)</t>
  </si>
  <si>
    <t>Schools Counts (Cost Projection or Retrospective)</t>
  </si>
  <si>
    <t>Health Facilities Counts (Cost Projection or Retrospective)</t>
  </si>
  <si>
    <t>Frieght</t>
  </si>
  <si>
    <t>Microplanning Activity #1 (Not in Use)</t>
  </si>
  <si>
    <t>Training Activity #1 (Not in Use)</t>
  </si>
  <si>
    <t xml:space="preserve"> Sensitisation Activity # 1 (Not in Use)</t>
  </si>
  <si>
    <t>SME Activity #1 (Not in Use)</t>
  </si>
  <si>
    <t>Exchange Rate (from Economics)</t>
  </si>
  <si>
    <t>Training Activity #2 (Not in Use)</t>
  </si>
  <si>
    <t>Description</t>
  </si>
  <si>
    <t>Country or district name</t>
  </si>
  <si>
    <t>Country unique identifier</t>
  </si>
  <si>
    <t>Gross national income (GNI) per capita (PPP, i$)</t>
  </si>
  <si>
    <t>Purchasing power parity (PPP) conversion factors</t>
  </si>
  <si>
    <t>Terrain (flat or mountainous)</t>
  </si>
  <si>
    <t>Start year</t>
  </si>
  <si>
    <t>Vaccine type</t>
  </si>
  <si>
    <t>Number of doses in schedule</t>
  </si>
  <si>
    <t>Number of districts</t>
  </si>
  <si>
    <t>Number of vaccination facilities</t>
  </si>
  <si>
    <t>Number of supervisors trained</t>
  </si>
  <si>
    <t>Number of vaccinators trained</t>
  </si>
  <si>
    <t>Percentage of supervision costs for HPV</t>
  </si>
  <si>
    <t>Number of minutes per vaccination (school)</t>
  </si>
  <si>
    <t>Number of minutes per vaccination (facility)</t>
  </si>
  <si>
    <t>Number of minutes per vaccination (outreach)</t>
  </si>
  <si>
    <t>Number of days per school visit</t>
  </si>
  <si>
    <t>Number of days per outreach visit</t>
  </si>
  <si>
    <t>Number of vaccinators per target population</t>
  </si>
  <si>
    <t>Number of visits in a school per year divided by number of doses in schedule</t>
  </si>
  <si>
    <t>Number of outreach visits per a health facility per year divided by number of doses in schedule</t>
  </si>
  <si>
    <t>Health worker salary</t>
  </si>
  <si>
    <t>Transport costs for school visit (per person)</t>
  </si>
  <si>
    <t>Transport costs for outreach visit (per person)</t>
  </si>
  <si>
    <t>Health worker per diem</t>
  </si>
  <si>
    <t>Teacher per diem</t>
  </si>
  <si>
    <t>UniqueID</t>
  </si>
  <si>
    <t>ROW NUMBER</t>
  </si>
  <si>
    <t>DEFINED NAME  REFERENCE</t>
  </si>
  <si>
    <t>CURRENT LIVE LANGUAGE</t>
  </si>
  <si>
    <t>ENGLISH</t>
  </si>
  <si>
    <t>FRANÇAIS</t>
  </si>
  <si>
    <t>Language Translation</t>
  </si>
  <si>
    <t>Current Language</t>
  </si>
  <si>
    <t>Language Choice Table</t>
  </si>
  <si>
    <t>Db_Name</t>
  </si>
  <si>
    <t>Db_iso3code</t>
  </si>
  <si>
    <t>Db_Region</t>
  </si>
  <si>
    <t>Db_GNI</t>
  </si>
  <si>
    <t>Db_PPP</t>
  </si>
  <si>
    <t>Db_Terrain</t>
  </si>
  <si>
    <t>Db_Urban</t>
  </si>
  <si>
    <t>Db_DPT</t>
  </si>
  <si>
    <t>Db_ExRate</t>
  </si>
  <si>
    <t>Db_Y1</t>
  </si>
  <si>
    <t>Db_VacType</t>
  </si>
  <si>
    <t>Db_DoseSched</t>
  </si>
  <si>
    <t>Db_District</t>
  </si>
  <si>
    <t>Db_VacF</t>
  </si>
  <si>
    <t>Db_SupTrain</t>
  </si>
  <si>
    <t>Db_VaccTrain</t>
  </si>
  <si>
    <t>Db_SupHPVP</t>
  </si>
  <si>
    <t>Db_VacSmin</t>
  </si>
  <si>
    <t>Db_VacFmin</t>
  </si>
  <si>
    <t>Db_VacOmin</t>
  </si>
  <si>
    <t>Db_VisitSday</t>
  </si>
  <si>
    <t>Db_VisitOday</t>
  </si>
  <si>
    <t>Db_VaccPerTP</t>
  </si>
  <si>
    <t>Db_VisitSPerDose</t>
  </si>
  <si>
    <t>Db_VisitOPerDose</t>
  </si>
  <si>
    <t>Db_Salary</t>
  </si>
  <si>
    <t>Db_TransportCS</t>
  </si>
  <si>
    <t>Db_TransportCO</t>
  </si>
  <si>
    <t>Db_PerDiem</t>
  </si>
  <si>
    <t>Db_PerDiemTeacher</t>
  </si>
  <si>
    <t>Data</t>
  </si>
  <si>
    <t>Primary Developer:</t>
  </si>
  <si>
    <t>This is version</t>
  </si>
  <si>
    <t>Notes de couverture:</t>
  </si>
  <si>
    <t>Ceci est la version</t>
  </si>
  <si>
    <t>with</t>
  </si>
  <si>
    <t>without</t>
  </si>
  <si>
    <t>avec</t>
  </si>
  <si>
    <t>sans</t>
  </si>
  <si>
    <t>Veuillez utiliser la table des matières pour la navigation.</t>
  </si>
  <si>
    <t>Sauvegardez souvent afin d'éviter toute perte accidentelle de données.</t>
  </si>
  <si>
    <t>COÛTS ÉCONOMIQUES</t>
  </si>
  <si>
    <t>COÛTS FINANCIERS</t>
  </si>
  <si>
    <t>Aller à la table des matières</t>
  </si>
  <si>
    <t>Lang_Primary_Developer</t>
  </si>
  <si>
    <t>Lang_Current_Calc_Total_Per_FIP</t>
  </si>
  <si>
    <t>Lang_Lang_Notes</t>
  </si>
  <si>
    <t>Lang_This_is_version</t>
  </si>
  <si>
    <t>Lang_Save_Often</t>
  </si>
  <si>
    <t>Lang_use_TOC</t>
  </si>
  <si>
    <t>Lang_with</t>
  </si>
  <si>
    <t>Lang_without</t>
  </si>
  <si>
    <t>Lang_Fin_Costs</t>
  </si>
  <si>
    <t>Lang_Econ_Costs</t>
  </si>
  <si>
    <t>Lang_C4P</t>
  </si>
  <si>
    <t>Lang_Goto_TOC</t>
  </si>
  <si>
    <t>Data for Extraction</t>
  </si>
  <si>
    <t>Lang_HL_Home</t>
  </si>
  <si>
    <t>Lang_Goto_Cover</t>
  </si>
  <si>
    <t>Lang_Section_Sheet_Titles</t>
  </si>
  <si>
    <t>Lang_Present_Outputs</t>
  </si>
  <si>
    <t>Lang_Section_1</t>
  </si>
  <si>
    <t>Lang_Dashboard</t>
  </si>
  <si>
    <t>Lang_Numbers</t>
  </si>
  <si>
    <t>Lang_Percentage</t>
  </si>
  <si>
    <t>Lang_In_School</t>
  </si>
  <si>
    <t>Lang_Out_Of_School</t>
  </si>
  <si>
    <t>Lang_All_Target_Pop</t>
  </si>
  <si>
    <t>Lang_Total_Cost_Per_FIP</t>
  </si>
  <si>
    <t>Lang_Select_Currency_Output</t>
  </si>
  <si>
    <t>Lang_Total_Fin_Costs</t>
  </si>
  <si>
    <t>Lang_Total_Econ_Costs</t>
  </si>
  <si>
    <t>Lang_Total</t>
  </si>
  <si>
    <t>Lang_Intro_Costs</t>
  </si>
  <si>
    <t>Lang_Recurrent_Costs</t>
  </si>
  <si>
    <t>Lang_Initial_Invest_Costs</t>
  </si>
  <si>
    <t>Lang_Cost_Per_FIP</t>
  </si>
  <si>
    <t>COST PER FIP</t>
  </si>
  <si>
    <t>Lang_Stays_Constant_All_Years_To_Correctly_Calculate</t>
  </si>
  <si>
    <t>(Stays Constant at All Years to Correctly Calculate)</t>
  </si>
  <si>
    <t>Other</t>
  </si>
  <si>
    <t>Lang_HPV_Vacc_Administered</t>
  </si>
  <si>
    <t>Lang_Pop</t>
  </si>
  <si>
    <t>Lang_Vaccinated</t>
  </si>
  <si>
    <t>Lang_Pop_With_Vaccine</t>
  </si>
  <si>
    <t>Lang_Pop_Without_Vaccine</t>
  </si>
  <si>
    <t>Lang_Select_Years</t>
  </si>
  <si>
    <t>Lang_Analysis</t>
  </si>
  <si>
    <t>Lang_Target_Pop_Count</t>
  </si>
  <si>
    <t>Lang_Total_Target_Pop</t>
  </si>
  <si>
    <t>Lang_Immunization_Coverage</t>
  </si>
  <si>
    <t>TOTAL COST PER FULLY IMMUNIZED PERSON (FIP)</t>
  </si>
  <si>
    <t>Lang_Total_Cost_Per_Fully_Immunized_Person_FIP</t>
  </si>
  <si>
    <t>Lang_Target_Pop</t>
  </si>
  <si>
    <t>Lang_Vaccine_And_Injection_Supply_Quantities_Includes_Administered_And_Wasted</t>
  </si>
  <si>
    <t>Lang_Vaccine_Doses</t>
  </si>
  <si>
    <t>Lang_Injection_Syringes</t>
  </si>
  <si>
    <t>Lang_Safety_Boxes</t>
  </si>
  <si>
    <t>Lang_Vaccine_And_Injection_Supply_Costs</t>
  </si>
  <si>
    <t>Lang_Fin</t>
  </si>
  <si>
    <t>Lang_Econ</t>
  </si>
  <si>
    <t>Lang_Microplanning</t>
  </si>
  <si>
    <t>Lang_Activity_Names_And_Quantities_Performed</t>
  </si>
  <si>
    <t>Lang_Costs</t>
  </si>
  <si>
    <t>Lang_Training</t>
  </si>
  <si>
    <t>Lang_Sensitisation</t>
  </si>
  <si>
    <t>Lang_Social_Mobilisation</t>
  </si>
  <si>
    <t>Lang_Service_Delivery</t>
  </si>
  <si>
    <t>Lang_Supervision</t>
  </si>
  <si>
    <t>Lang_Other</t>
  </si>
  <si>
    <t>Lang_Cold_Chain_Expansion</t>
  </si>
  <si>
    <t>Lang_Cold_Chain_Equipment_Procured</t>
  </si>
  <si>
    <t>Lang_Capacity_Per_Unit</t>
  </si>
  <si>
    <t>Lang_Cold_Chain_Expansion_Costs_Initial_Investment</t>
  </si>
  <si>
    <t>Lang_Cost_Per_Unit</t>
  </si>
  <si>
    <t>Lang_Cold_Chain_Introduction_Costs</t>
  </si>
  <si>
    <t>Lang_Unit_Cost_Annualized</t>
  </si>
  <si>
    <t>Lang_Other_Capital_Investments</t>
  </si>
  <si>
    <t>Lang_Capital_Investment_Type</t>
  </si>
  <si>
    <t>Lang_Other_Capital_Investments_Initial_Investment</t>
  </si>
  <si>
    <t>Lang_Other_Capital_Investments_Introduction_Costs</t>
  </si>
  <si>
    <t>Lang_Total_Expansion</t>
  </si>
  <si>
    <t>Lang_Total_Units_Procured</t>
  </si>
  <si>
    <t>Lang_All_Years</t>
  </si>
  <si>
    <t>Lang_Developer_Only</t>
  </si>
  <si>
    <t>Lang_Coverage_Linked_Names_Developer_Only</t>
  </si>
  <si>
    <t>Lang_Age_Groups</t>
  </si>
  <si>
    <t>Lang_Segments_Used_For_Both_Age_Groups</t>
  </si>
  <si>
    <t>Lang_Primary_Area_Used_For_Age_Groups_And_Segments</t>
  </si>
  <si>
    <t>Lang_Doses</t>
  </si>
  <si>
    <t>Lang_Analysis_Imported_Selections_Developer_Only</t>
  </si>
  <si>
    <t>Lang_These_Values_Are_Set_By_User_In_Econ</t>
  </si>
  <si>
    <t>Lang_Currencies_Category_1</t>
  </si>
  <si>
    <t>Lang_Currencies_Category_2</t>
  </si>
  <si>
    <t>Lang_Exchange_Rate</t>
  </si>
  <si>
    <t>Lang_Assumptions</t>
  </si>
  <si>
    <t>Lang_Time_Series</t>
  </si>
  <si>
    <t>Lang_Time_Series_Assumptions</t>
  </si>
  <si>
    <t>Lang_Costing_Start_Year_And_Term</t>
  </si>
  <si>
    <t>Lang_Cost_Projection_Or_Retrospective</t>
  </si>
  <si>
    <t>Lang_First_Costing_Year</t>
  </si>
  <si>
    <t>Lang_Labels_For_Important_Data_Points</t>
  </si>
  <si>
    <t>Lang_Primary_Level_Name</t>
  </si>
  <si>
    <t>Lang_Source_Of_Information_Notes</t>
  </si>
  <si>
    <t>Lang_Target_Pop_Labels</t>
  </si>
  <si>
    <t>Lang_Target_Groups_Category_1</t>
  </si>
  <si>
    <t>Lang_Target_Groups_Category_2</t>
  </si>
  <si>
    <t>Lang_Target_Subgroup_Labels</t>
  </si>
  <si>
    <t>Lang_Target_Subgoups_Category_1</t>
  </si>
  <si>
    <t>Lang_Target_Subgoups_Category_2</t>
  </si>
  <si>
    <t>Lang_Vaccine_And_Dose_Labels</t>
  </si>
  <si>
    <t>Lang_Vaccine_Label</t>
  </si>
  <si>
    <t>Lang_Vaccine_Name</t>
  </si>
  <si>
    <t>Lang_Vaccine_Dose_Labels</t>
  </si>
  <si>
    <t>Lang_Vaccine_Dose_Number_Label_Category_1</t>
  </si>
  <si>
    <t>Lang_Vaccine_Dose_Number_Label_Category_2</t>
  </si>
  <si>
    <t>Lang_Service_Delivery_Types</t>
  </si>
  <si>
    <t>Lang_Service_Delivery_Activity_Types</t>
  </si>
  <si>
    <t>Lang_Single_Vaccination_Type</t>
  </si>
  <si>
    <t>Service Delivery Single Vacc 1</t>
  </si>
  <si>
    <t>Lang_Service_Delivery_Single_Vacc_1</t>
  </si>
  <si>
    <t>Lang_Service_Delivery_Single_Vacc_2</t>
  </si>
  <si>
    <t>Service Delivery Single Vacc 2</t>
  </si>
  <si>
    <t>Lang_Group_Vaccination_Type</t>
  </si>
  <si>
    <t>Lang_Service_Delivery_Group_Vacc_Types_1</t>
  </si>
  <si>
    <t>Lang_Service_Delivery_Group_Vacc_Types_2</t>
  </si>
  <si>
    <t>Lang_Period_Start_Date</t>
  </si>
  <si>
    <t>Lang_Period_End_Date</t>
  </si>
  <si>
    <t>Lang_Counter</t>
  </si>
  <si>
    <t>Lang_Financial_Year</t>
  </si>
  <si>
    <t>Lang_Econ_Currencies</t>
  </si>
  <si>
    <t>Lang_Econ_Instructions</t>
  </si>
  <si>
    <t>Lang_Econ_Rates</t>
  </si>
  <si>
    <t>Lang_Currencies</t>
  </si>
  <si>
    <t>Lang_Currency_Code</t>
  </si>
  <si>
    <t>Lang_Annual_Discount_Rate_Category_1</t>
  </si>
  <si>
    <t>Lang_Baseline</t>
  </si>
  <si>
    <t>Lang_3percent_Is_Standard_For_Health_Costing_Analyses</t>
  </si>
  <si>
    <t>Lang_Counts</t>
  </si>
  <si>
    <t>Lang_Counts_Assumptions_Cost_Projection_Or_Retrospective</t>
  </si>
  <si>
    <t>Lang_Schools_Counts_Cost_Projection_Or_Retrospective</t>
  </si>
  <si>
    <t>Lang_Number_Of_Schools_To_Received_Group_Vacc_Visits</t>
  </si>
  <si>
    <t>Lang_Health_Facilities_Counts_Cost_Projection_Or_Retrospective</t>
  </si>
  <si>
    <t>Lang_Number_Of_Health_Facilities_Providing_HPV_Vacc</t>
  </si>
  <si>
    <t>Lang_Number_Of_Health_Facilities_Conducting_Routine_HPV_Vacc_Outreach_Services</t>
  </si>
  <si>
    <t>Lang_Average_Number_Of_Routine_Outreach_Vacc_Activities_Per_Facility</t>
  </si>
  <si>
    <t>Lang_Average_Number_Of_Persons_Vaccinated_During_A_outine_Outreach_Service_Activity</t>
  </si>
  <si>
    <t>Lang_Instructions</t>
  </si>
  <si>
    <t>Lang_Pop_Count</t>
  </si>
  <si>
    <t>Lang_Year</t>
  </si>
  <si>
    <t>Lang_Annual_Pop_Growth_Rate</t>
  </si>
  <si>
    <t>Lang_All_Age_Groups_Projected</t>
  </si>
  <si>
    <t>Lang_All_Age_Groups_Retrospective</t>
  </si>
  <si>
    <t>Lang_All_Age_Groups_Retrospective_AUTOCALCULATED</t>
  </si>
  <si>
    <t>Lang_Immunization_Coverage_Assumptions</t>
  </si>
  <si>
    <t>Lang_Coverage_Navigation</t>
  </si>
  <si>
    <t>Lang_Projected_Coverage_Instructions_Input_Percent_Coverage_For_Each_Year_Dose_And_Target_Pop</t>
  </si>
  <si>
    <t>Lang_AutoCal_Number_Receiving_Vacc</t>
  </si>
  <si>
    <t>Lang_AutoCal_Percent_Receiving_Vacc</t>
  </si>
  <si>
    <t>Lang_AutoCal_Proportion_Of_All_Receiving_Vacc</t>
  </si>
  <si>
    <t>Lang_AutoCal_Drop_Out_Rate</t>
  </si>
  <si>
    <t>Lang_Error_Check</t>
  </si>
  <si>
    <t>ERROR CHECK: (IS HPV2 COVERAGE &gt; HPV1 COVERAGE?)</t>
  </si>
  <si>
    <t>Lang_Error_Check_HPV2_Coverage_Larger_Than_HPV1_Coverage</t>
  </si>
  <si>
    <t>Lang_Coverage_Summary_Of_Projected_Assumptions</t>
  </si>
  <si>
    <t>Lang_Total_Vacc_Received_By_All_Target_Pop_Through_Any_Service_Delivery_Method_From_Coverage_Assumptions_Projected</t>
  </si>
  <si>
    <t>Lang_Retrospective_Coverage_Insert_The_Actual_Quantity_Of_Vaccine_Doses_Administered</t>
  </si>
  <si>
    <t>Lang_Number_Receiving_Vacc_Retrospective_Data</t>
  </si>
  <si>
    <t>Lang_Total_Vaccine_Doses_Administered_Retrospective_Data</t>
  </si>
  <si>
    <t>Lang_Total_Vacc_Received_By_All_Target_Pop_Through_Any_Service_Delivery_Method_From_Coverage_Assumptions_Retrospective</t>
  </si>
  <si>
    <t>Lang_Coverage_Summary_Of_Retrospective_Data</t>
  </si>
  <si>
    <t>Lang_Vaccine</t>
  </si>
  <si>
    <t>Lang_Procurement_Costs</t>
  </si>
  <si>
    <t>Lang_Applied_Currency</t>
  </si>
  <si>
    <t>Lang_Market_Cost_Of_Vaccine_And_Injectable_Supplies</t>
  </si>
  <si>
    <t>Lang_Vaccine_Per_Dose</t>
  </si>
  <si>
    <t>Lang_Injection_Syringe_Each</t>
  </si>
  <si>
    <t>Lang_Safety_Box_Each</t>
  </si>
  <si>
    <t>Lang_Subsidies_For_Vaccine_And_Injectable_Supplies</t>
  </si>
  <si>
    <t>Lang_Proportion_Of_Vaccine_And_Injectable_Supply_Procurement_Subsidized</t>
  </si>
  <si>
    <t>Lang_Vaccines</t>
  </si>
  <si>
    <t>Lang_Additional_Costs</t>
  </si>
  <si>
    <t>Lang_Additional_Costs_Vaccine</t>
  </si>
  <si>
    <t>Lang_Additional_Costs_Injection_Syringes</t>
  </si>
  <si>
    <t>Lang_Additional_Costs_Safety_Boxes</t>
  </si>
  <si>
    <t>Lang_Proportion_Of_Additional_Costs_Vaccine_Subsidized_On_Scale_Of_0_To_100</t>
  </si>
  <si>
    <t>Lang_Proportion_Of_Additional_Costs_Injection_Syringes_Subsidized_On_Scale_Of_0_To_100</t>
  </si>
  <si>
    <t>Lang_Proportion_Of_Additional_Costs_Safety_Boxes_Subsidized_On_Scale_Of_0_To_100</t>
  </si>
  <si>
    <t>Lang_Cost_Per_Vaccine_Dose</t>
  </si>
  <si>
    <t>Lang_Cost_Per_Injection_Syringe</t>
  </si>
  <si>
    <t>Lang_Cost_Per_Safety_Box</t>
  </si>
  <si>
    <t>Lang_Retrospective_Data</t>
  </si>
  <si>
    <t>Lang_Number_Vaccine_Doses_To_Procure_Based_On_Pop_Coverage_Projections_And_Wastage_Rates</t>
  </si>
  <si>
    <t>Lang_Number_Injection_Syringes_To_Procure_Based_On_Pop_Coverage_Projections_And_Wastage_Rates</t>
  </si>
  <si>
    <t>Lang_Number_Safety_Boxes_To_Procure</t>
  </si>
  <si>
    <t>Lang_Adjustment_For_Projected_Wastage_Rate_For_Vaccines</t>
  </si>
  <si>
    <t>Lang_Adjustment_For_Projected_Wastage_Rate_For_Injection_Syringes</t>
  </si>
  <si>
    <t>Lang_Adjustment_For_Projected_Wastage_Rate_For_Safety_Boxes</t>
  </si>
  <si>
    <t>Lang_Total_Number_Vaccine_Doses_To_Procure_Projected_Based_On_Pop_Coverage_Projections_And_Wastage_Rates</t>
  </si>
  <si>
    <t>Lang_Total_Number_Injection_Syringes_To_Procure_Projected_Based_On_Pop_Coverage_Projections_And_Wastage_Rates</t>
  </si>
  <si>
    <t>Lang_Total_Number_Safety_Boxes_To_Procure_Projected_Based_On_Pop_Coverage_Projections_And_Wastage_Rates</t>
  </si>
  <si>
    <t>Lang_Injection_Syringe_Capacity_Per_Safety_Box_Number</t>
  </si>
  <si>
    <t>Lang_Number_Vaccine_Doses_Procured</t>
  </si>
  <si>
    <t>Lang_Number_Injection_Syringes_Procured</t>
  </si>
  <si>
    <t>Lang_Number_Safety_Boxes_Procured</t>
  </si>
  <si>
    <t>Lang_Total_Number_Vaccine_Doses_Procured_Retrospective_Data</t>
  </si>
  <si>
    <t>Lang_Total_Number_Injection_Syringes_Procured_Retrospective_Data</t>
  </si>
  <si>
    <t>Lang_Total_Number_Safety_Boxes_Procured_Retrospective_Data</t>
  </si>
  <si>
    <t>Lang_Service_Delivery_Annual_Assumptions</t>
  </si>
  <si>
    <t>Lang_Proportion_Administered_By_Year_And_Service_Delivery_Type</t>
  </si>
  <si>
    <t>Lang_Service_Delivery_Activities_Providing_Vacc_To_A_Single_Person</t>
  </si>
  <si>
    <t>Lang_Service_Delivery_Activities_Providing_Vacc_To_A_Group</t>
  </si>
  <si>
    <t>Lang_Error_Check_Should_Sum_To_100</t>
  </si>
  <si>
    <t>Lang_Alert_Check_Percent_Administered_Through_School_Should_Not_Exceed_Percent_Of_In_School_Pop_Receiving_Vacc</t>
  </si>
  <si>
    <t>Lang_Number_Administered_By_Year_And_Service_Delivery_Type</t>
  </si>
  <si>
    <t>Lang_Number_Of_Activities_Required_To_Administer_This_Number_Of_Vaccines</t>
  </si>
  <si>
    <t>Lang_Number_Of_Single_Vacc_Activities_Required_To_Administer_Vaccines</t>
  </si>
  <si>
    <t>Lang_Number_Of_Group_Vacc_Activities_Required_To_Administer_Vaccines</t>
  </si>
  <si>
    <t>Lang_Number_Of_Vacc_Delivered_And_Activities_Completed_By_Year_And_Service_Delivery_Type_Retrospective</t>
  </si>
  <si>
    <t>Lang_Number_Of_Service_Delivery_Activities_Providing_Vacc_To_A_Single_Person_Completed</t>
  </si>
  <si>
    <t>Lang_Number_Of_Vacc_Provided_Through_Vacc_To_A_Group</t>
  </si>
  <si>
    <t>Lang_Number_Of_Activities_Vacc_To_A_Group_Completed</t>
  </si>
  <si>
    <t>Lang_Alert_Check_Does_Total_Sum_To_Coverage_Total</t>
  </si>
  <si>
    <t>Lang_Single_HPV_Vacc_Delivery_Type_1_Of_2</t>
  </si>
  <si>
    <t>Lang_Select_Input_Currency</t>
  </si>
  <si>
    <t>Lang_Detailed_Costing_Worksheet_Estimate</t>
  </si>
  <si>
    <t>Lang_Select_Costing_Input_Method</t>
  </si>
  <si>
    <t>Lang_Direct_User_Entry_Cost_Estimate</t>
  </si>
  <si>
    <t>Lang_Error_Check_Checks_If_Override_Input_economic_Cost_Is_Less_Than_Financial_Cost</t>
  </si>
  <si>
    <t>Lang_Single_HPV_Vacc_Delivery_Type_2_Of_2</t>
  </si>
  <si>
    <t>Lang_Group_Service_Delivery_Activity_1_Of_2_Name</t>
  </si>
  <si>
    <t>Lang_Group_Service_Delivery_Activity_2_Of_2_Name</t>
  </si>
  <si>
    <t>Lang_Microplanning_Activity_Name</t>
  </si>
  <si>
    <t>Lang_Number_Of_Activities</t>
  </si>
  <si>
    <t>Lang_Number_Of_Activities_Per_Year</t>
  </si>
  <si>
    <t>Lang_Microplanning_Activities_Annual_Assumptions</t>
  </si>
  <si>
    <t>Lang_Training_Activities_Annual_Assumptions</t>
  </si>
  <si>
    <t>Lang_Training_Activity_Name</t>
  </si>
  <si>
    <t>Lang_Area_Name</t>
  </si>
  <si>
    <t>Lang_Sensitisation_Activities_Annual_Assumptions</t>
  </si>
  <si>
    <t>Lang_Senistisation_Activity_Name</t>
  </si>
  <si>
    <t>Lang_IEC_Social_Mobilisation_Activities_Annual_Assumptions</t>
  </si>
  <si>
    <t>Lang_IEC_Social_Mobilisation_Activity_Name</t>
  </si>
  <si>
    <t>IEC/ Social Mobilisation Activity Name</t>
  </si>
  <si>
    <t>Lang_Supervision_Monitoring_And_Evaluation_Activities_SME_Annual_Assumptions</t>
  </si>
  <si>
    <t>Lang_Supervision_Monitoring_And_Evaluation_SME_Activity_Name</t>
  </si>
  <si>
    <t>Lang_Other_Activity_Recurrent_Costs_Only_Annual_Assumptions</t>
  </si>
  <si>
    <t>Lang_Other_Activity_Name_Recurrent_Cost_Activity_Only</t>
  </si>
  <si>
    <t>Lang_Cold_Chain_Expansion_Assumptions_Annual</t>
  </si>
  <si>
    <t>Lang_Required_Cold_Storage_Expansion</t>
  </si>
  <si>
    <t>Lang_Input_Currency_For_Cold_Storage_Equipment_Prices</t>
  </si>
  <si>
    <t>Lang_Name_Of_Cold_Storage_Equipment</t>
  </si>
  <si>
    <t>Lang_Notes_On_Calculations_Estimates</t>
  </si>
  <si>
    <t>Lang_Currency_Options_For_Dropdown_List</t>
  </si>
  <si>
    <t>Lang_Useful_Life_Years</t>
  </si>
  <si>
    <t>Lang_Total_All_Years</t>
  </si>
  <si>
    <t>Lang_Number_Of_Units</t>
  </si>
  <si>
    <t>Lang_Required_Capital_Investments</t>
  </si>
  <si>
    <t>Lang_Input_Currency_For_Other_Capital_Investment</t>
  </si>
  <si>
    <t>Lang_Name_Of_Other_Capital_Investment</t>
  </si>
  <si>
    <t>Lang_Outputs</t>
  </si>
  <si>
    <t>Lang_Section_3</t>
  </si>
  <si>
    <t>Lang_Section_2</t>
  </si>
  <si>
    <t>Lang_Target_Pop_And_Coverage_Summary</t>
  </si>
  <si>
    <t>Lang_Target_Groups_Counts_Summary</t>
  </si>
  <si>
    <t>Lang_Coverage_Summary_Outputs</t>
  </si>
  <si>
    <t>Lang_Activity_Quantities_And_Cost_Summary</t>
  </si>
  <si>
    <t>Lang_Vaccines_And_Injection_Supplies_Financial_Local_Currency</t>
  </si>
  <si>
    <t>Lang_Syringes</t>
  </si>
  <si>
    <t>Lang_Vaccine_And_Injection_Supplies_Economic_Local_Currency</t>
  </si>
  <si>
    <t>Lang_Vaccines_And_Injection_Supplies_Financial_International_Currency</t>
  </si>
  <si>
    <t>Lang_Vaccines_And_Injection_Supplies_Economic_International_Currency</t>
  </si>
  <si>
    <t>Lang_Cold_Chain_Expansion_Outputs</t>
  </si>
  <si>
    <t>Lang_Estimated_Cost_For_Cold_Storage_Expansion</t>
  </si>
  <si>
    <t>Estimated Cost for Cold Storage Expansion</t>
  </si>
  <si>
    <t>Financial Costs (ANNUALIZED)</t>
  </si>
  <si>
    <t>Lang_Total_Fin_Costs_Annualized</t>
  </si>
  <si>
    <t>Total Financial Costs (ANNUALIZED)</t>
  </si>
  <si>
    <t>Lang_Total_Econ_Costs_Annualized</t>
  </si>
  <si>
    <t>Lang_Econ_Costs_Annualized</t>
  </si>
  <si>
    <t>Lang_Fin_Costs_Annualized</t>
  </si>
  <si>
    <t>Lang_From_Econ_Tab</t>
  </si>
  <si>
    <t>Currency Name</t>
  </si>
  <si>
    <t>Lang_Currency_Name</t>
  </si>
  <si>
    <t>Lang_Unit_Cost</t>
  </si>
  <si>
    <t>Lang_Exchange_Rate_Colon</t>
  </si>
  <si>
    <t>Lang_Annual_Discount_Rate_Colon</t>
  </si>
  <si>
    <t>Lang_Other_Capital_Investments_Outputs</t>
  </si>
  <si>
    <t>Estimated Cost for Other Capital Investments</t>
  </si>
  <si>
    <t>Lang_Estimated_Cost_For_Other_Capital_Investments</t>
  </si>
  <si>
    <t>Lang_Name_Of_Capital_Investment</t>
  </si>
  <si>
    <t>Lang_Detailed_Cost_Worksheet_Optional_Outputs_Summaries</t>
  </si>
  <si>
    <t>Lang_Cost_Category</t>
  </si>
  <si>
    <t>Lang_Total_Single_Activity_Cost</t>
  </si>
  <si>
    <t>Lang_Appendices</t>
  </si>
  <si>
    <t>Lang_Section_4</t>
  </si>
  <si>
    <t>Lang_Section_Cover_Notes</t>
  </si>
  <si>
    <t>Lang_Section_Cover_Notes_Appendices_1</t>
  </si>
  <si>
    <t>Lang_Section_Cover_Notes_Appendices_2</t>
  </si>
  <si>
    <t>Lang_Section_Cover_Notes_Appendices_3</t>
  </si>
  <si>
    <t>Lang_Section_Cover_Notes_Appendices_4</t>
  </si>
  <si>
    <t>Lang_Analysis_Lookups</t>
  </si>
  <si>
    <t>Lang_Detailed_Costing_Worksheets_Optional</t>
  </si>
  <si>
    <t>Sub-Section 2.1.</t>
  </si>
  <si>
    <t>Lang_Sub_Section_2_1</t>
  </si>
  <si>
    <t>Lang_Microplanning_Detailed_Costing_Worksheets_Optional</t>
  </si>
  <si>
    <t>Lang_Detailed_Costing_Worksheets_Notes_1</t>
  </si>
  <si>
    <t>Lang_Detailed_Costing_Worksheets_Notes_2</t>
  </si>
  <si>
    <t>Lang_Detailed_Costing_Worksheets_Notes_3</t>
  </si>
  <si>
    <t>Lang_Currency_Used_For_Cost_Inputs</t>
  </si>
  <si>
    <t>Lang_Imported_From_Econ_Module</t>
  </si>
  <si>
    <t>Lang_Exchange_Rate_From_Econ</t>
  </si>
  <si>
    <t>Lang_Personnel_Cadre_Type</t>
  </si>
  <si>
    <t>Lang_Activity_Unit_Day_Hour_Minute</t>
  </si>
  <si>
    <t>Lang_Number_Of_Activity_Units_Required</t>
  </si>
  <si>
    <t>Lang_Allowance_Type</t>
  </si>
  <si>
    <t>Lang_Allowance_Unit_Per_Day_Round_Trip_Travel</t>
  </si>
  <si>
    <t>Lang_Number_Of_Allowance_Units_Required</t>
  </si>
  <si>
    <t>Lang_Evidence_For_Using_This_Cost_Information_Source_Or_Notes</t>
  </si>
  <si>
    <t>Lang_Supply_Type</t>
  </si>
  <si>
    <t>Lang_Supply_Unit_Each_Dozen_100_Pack</t>
  </si>
  <si>
    <t>Lang_Number_Of_Supply_Units_Required</t>
  </si>
  <si>
    <t>Lang_Other_Direct_Cost_ODC_Type</t>
  </si>
  <si>
    <t>Lang_ODC_Unit_Each_Dozen_100_Pack</t>
  </si>
  <si>
    <t>Lang_Number_Of_ODC_Units_Required</t>
  </si>
  <si>
    <t>Lang_Error_Check_Flags_If_Input_Econ_Cost_Is_Less_Than_Fin_Cost</t>
  </si>
  <si>
    <t>Lang_Training_Detailed_Costing_Worksheets_Optional</t>
  </si>
  <si>
    <t>Lang_Service_Delivery_Detailed_Costing_Worksheets_Optional</t>
  </si>
  <si>
    <t>Lang_Sensitisation_Detailed_Costing_Worksheets_Optional</t>
  </si>
  <si>
    <t>Lang_Social_Mobilisation_Detailed_Costing_Worksheets_Optional</t>
  </si>
  <si>
    <t>Lang_Supervision_Detailed_Costing_Worksheets_Optional</t>
  </si>
  <si>
    <t>Lang_Other_Recurrent_Costs_Only_Detailed_Costing_Worksheets_Optional</t>
  </si>
  <si>
    <t>Lang_Checks</t>
  </si>
  <si>
    <t>Lang_Error_Checks</t>
  </si>
  <si>
    <t>Lang_Summary_Colon</t>
  </si>
  <si>
    <t>Lang_Check</t>
  </si>
  <si>
    <t>Lang_Include</t>
  </si>
  <si>
    <t>Lang_Flag</t>
  </si>
  <si>
    <t>Lang_Total_Errors</t>
  </si>
  <si>
    <t>Lang_Alert_Checks</t>
  </si>
  <si>
    <t>Lang_Total_Alerts</t>
  </si>
  <si>
    <t>Lang_Model_Development_And_Maintenance_Developer_Only</t>
  </si>
  <si>
    <t>Section 5.</t>
  </si>
  <si>
    <t>Lang_Section_5</t>
  </si>
  <si>
    <t>Lang_Calculations_Coverage</t>
  </si>
  <si>
    <t>Lang_Coverage_Outputs_Projected_Target_Group_A</t>
  </si>
  <si>
    <t>Lang_Coverage_Projection</t>
  </si>
  <si>
    <t>Lang_Other_Capital_Investments_Assumptions_Annual</t>
  </si>
  <si>
    <t>Other Capital Investments - Assumptions (Annual)</t>
  </si>
  <si>
    <t>Lang_Coverage_Outputs_Retrospective_Target_Group_A</t>
  </si>
  <si>
    <t>Lang_Retrospective_Coverage</t>
  </si>
  <si>
    <t>Lang_Dose_1_And_2_Coverage_Outputs_Retrospective_Target_Group_A</t>
  </si>
  <si>
    <t>Lang_Dose_1_And_2_Coverage_Outputs_Retrospective_All_Target_Pop</t>
  </si>
  <si>
    <t>Lang_Calculations_Vaccine_Procurement_Costs</t>
  </si>
  <si>
    <t>Lang_Calculations_Single_Activity_Costs_Annual</t>
  </si>
  <si>
    <t xml:space="preserve">Lang_Calculations_From_Detailed_Cost_Worksheets </t>
  </si>
  <si>
    <t>Lang_Personnel</t>
  </si>
  <si>
    <t>Lang_Allowances</t>
  </si>
  <si>
    <t>Lang_Supplies_And_Materials</t>
  </si>
  <si>
    <t>Lang_Other_Direct_Costs</t>
  </si>
  <si>
    <t>Lang_Variable_Lookup_Worksheets_Auto</t>
  </si>
  <si>
    <t>Lang_Sub_Section_4_1</t>
  </si>
  <si>
    <t>Lang_Time_Series_Variables</t>
  </si>
  <si>
    <t>Lang_Time_Series_Lookups</t>
  </si>
  <si>
    <t>Lang_Vaccine_Lookups</t>
  </si>
  <si>
    <t>Lang_Custom_Labels_Variables</t>
  </si>
  <si>
    <t>Lang_Custom_Labels_Lookups</t>
  </si>
  <si>
    <t>Lang_Econ_Variables</t>
  </si>
  <si>
    <t>Lang_Econ_Lookups</t>
  </si>
  <si>
    <t>Lang_Counts_Variables</t>
  </si>
  <si>
    <t>Lang_Counts_Lookups</t>
  </si>
  <si>
    <t>Lang_Coverage_Variables</t>
  </si>
  <si>
    <t>Lang_Coverage_Lookups</t>
  </si>
  <si>
    <t>Lang_Microplanning_Activity_Variables</t>
  </si>
  <si>
    <t>Lang_Microplanning_Level_1_1_Lookups</t>
  </si>
  <si>
    <t>Lang_Microplanning_Level_1_2_Lookups</t>
  </si>
  <si>
    <t>Lang_Microplanning_Level_2_1_Lookups</t>
  </si>
  <si>
    <t>Lang_Microplanning_Level_2_2_Lookups</t>
  </si>
  <si>
    <t>Lang_AEFI_Variables</t>
  </si>
  <si>
    <t>Lang_Other_Activity_Level_1_1_Lookups</t>
  </si>
  <si>
    <t>Lang_Other_Activity_Level_1_2_Lookups</t>
  </si>
  <si>
    <t>Lang_Other_Activity_Level_1_3_Lookups</t>
  </si>
  <si>
    <t>Lang_Other_Activity_Level_2_1_Lookups</t>
  </si>
  <si>
    <t>Lang_Other_Activity_Level_2_2_Lookups</t>
  </si>
  <si>
    <t>Lang_Cold_Chain_Expansion_Lookups</t>
  </si>
  <si>
    <t>Lang_Other_Capital_Investments_Lookups</t>
  </si>
  <si>
    <t>Lang_Training_Activity_Variables</t>
  </si>
  <si>
    <t>Lang_Training_Level_1_1_Lookups</t>
  </si>
  <si>
    <t>Lang_Training_Level_1_2_Lookups</t>
  </si>
  <si>
    <t>Lang_Training_Level_1_3_Lookups</t>
  </si>
  <si>
    <t>Lang_Training_Level_2_1_Lookups</t>
  </si>
  <si>
    <t>Lang_Sensitisation_Activity_Variables</t>
  </si>
  <si>
    <t>Lang_Sensitization_Level_1_1_Lookups</t>
  </si>
  <si>
    <t>Lang_Sensitization_Level_1_2_Lookups</t>
  </si>
  <si>
    <t>Lang_Sensitization_Level_2_2_Lookups</t>
  </si>
  <si>
    <t>Lang_Sensitization_Level_2_3_Lookups</t>
  </si>
  <si>
    <t>Lang_Sensitization_Level_1_3_Lookups</t>
  </si>
  <si>
    <t>Lang_Sensitization_Level_2_1_Lookups</t>
  </si>
  <si>
    <t>Lang_Social_Mobilisation_Activity_Variables</t>
  </si>
  <si>
    <t>Social Mobilisation Activity Variables</t>
  </si>
  <si>
    <t>SOC MOB Level 1 (1) - Lookups</t>
  </si>
  <si>
    <t>SOC MOB Level 1 (2) - Lookups</t>
  </si>
  <si>
    <t>SOC MOB Level 2 (1) - Lookups</t>
  </si>
  <si>
    <t>SOC MOB Level 2 (2) - Lookups</t>
  </si>
  <si>
    <t>SOC MOB Level 2 (3) - Lookups</t>
  </si>
  <si>
    <t>SOC MOB Level 2 (4) - Lookups</t>
  </si>
  <si>
    <t>SOC MOB Level 2 (5) - Lookups</t>
  </si>
  <si>
    <t>Lang_SOC_MOB_Level_1_1_Lookups</t>
  </si>
  <si>
    <t>Lang_SOC_MOB_Level_1_2_Lookups</t>
  </si>
  <si>
    <t>Lang_SOC_MOB_Level_1_3_Lookups</t>
  </si>
  <si>
    <t>Lang_SOC_MOB_Level_2_1_Lookups</t>
  </si>
  <si>
    <t>Lang_SOC_MOB_Level_2_2_Lookups</t>
  </si>
  <si>
    <t>Lang_SOC_MOB_Level_2_3_Lookups</t>
  </si>
  <si>
    <t>Lang_SOC_MOB_Level_2_4_Lookups</t>
  </si>
  <si>
    <t>Lang_SOC_MOB_Level_2_5_Lookups</t>
  </si>
  <si>
    <t>Lang_Service_Delivery_Activity_Variables</t>
  </si>
  <si>
    <t>Lang_Service_Delivery_Level_2_1_Lookups</t>
  </si>
  <si>
    <t>Lang_Service_Delivery_Level_2_2_Lookups</t>
  </si>
  <si>
    <t>Lang_Service_Delivery_Level_2_3_Lookups</t>
  </si>
  <si>
    <t>Lang_Level_2_Activity_Lookups</t>
  </si>
  <si>
    <t>Supervision Activity Variables</t>
  </si>
  <si>
    <t>Lang_Supervision_Activity_Variables</t>
  </si>
  <si>
    <t>Lang_Supervision_Level_1_1_Lookups</t>
  </si>
  <si>
    <t>Lang_Supervision_Level_1_2_Lookups</t>
  </si>
  <si>
    <t>Lang_Supervision_Level_2_2_Lookups</t>
  </si>
  <si>
    <t>Lang_Supervision_Level_2_3_Lookups</t>
  </si>
  <si>
    <t>Lang_Supervision_Level_1_3_Lookups</t>
  </si>
  <si>
    <t>Lang_Supervision_Level_1_4_Lookups</t>
  </si>
  <si>
    <t>Lang_Supervision_Level_2_1_Lookups</t>
  </si>
  <si>
    <t>Table des matières</t>
  </si>
  <si>
    <t>Aller à la page de couverture</t>
  </si>
  <si>
    <t>Titres de section et de feuille</t>
  </si>
  <si>
    <t>Résultats de la présentation</t>
  </si>
  <si>
    <t xml:space="preserve">Tab. de bord </t>
  </si>
  <si>
    <t>Pourcentage</t>
  </si>
  <si>
    <t>À L'ÉCOLE</t>
  </si>
  <si>
    <t>EN DEHORS DE L'ÉCOLE</t>
  </si>
  <si>
    <t>TOUTES LES POPULATIONS CIBLES</t>
  </si>
  <si>
    <t>COÛTS FINANCIERS TOTAUX</t>
  </si>
  <si>
    <t>COÛTS ÉCONOMIQUES TOTAUX</t>
  </si>
  <si>
    <t>Total</t>
  </si>
  <si>
    <t>COÛT D'INTRODUCTION</t>
  </si>
  <si>
    <t>COÛTS RÉCURRENTS</t>
  </si>
  <si>
    <t>COÛTS D'INVESTISSEMENT INITIAL</t>
  </si>
  <si>
    <t>(Reste constant toutes les années pour calculer correctement)</t>
  </si>
  <si>
    <t>Vaccinations contre le VPH administrées</t>
  </si>
  <si>
    <t>VACCINÉ</t>
  </si>
  <si>
    <t>Proportions avec le vaccin</t>
  </si>
  <si>
    <t>Proportions sans vaccin</t>
  </si>
  <si>
    <t>Analyse</t>
  </si>
  <si>
    <t>Nombre de population cible</t>
  </si>
  <si>
    <t>Population totale cible</t>
  </si>
  <si>
    <t>Couverture vaccinale</t>
  </si>
  <si>
    <t xml:space="preserve">Population cible </t>
  </si>
  <si>
    <t>Quantité de vaccins et d'injections (comprend les quantités administrées et gaspillées)</t>
  </si>
  <si>
    <t>Doses de vaccin</t>
  </si>
  <si>
    <t>Seringues pour injection</t>
  </si>
  <si>
    <t>Boîtes de sécurité</t>
  </si>
  <si>
    <t>Financier</t>
  </si>
  <si>
    <t>Économique</t>
  </si>
  <si>
    <t>Noms d'activité et quantités réalisées</t>
  </si>
  <si>
    <t>Coûts</t>
  </si>
  <si>
    <t xml:space="preserve">Sensibilisation </t>
  </si>
  <si>
    <t xml:space="preserve">Mobilisation sociale </t>
  </si>
  <si>
    <t xml:space="preserve">Prestation de services </t>
  </si>
  <si>
    <t xml:space="preserve">Supervision </t>
  </si>
  <si>
    <t>Autre</t>
  </si>
  <si>
    <t>Expansion de la chaîne du froid</t>
  </si>
  <si>
    <t>Matériel de la chaîne du froid acheté</t>
  </si>
  <si>
    <t>Capacité par unité (cm3)</t>
  </si>
  <si>
    <t>Coût par unité</t>
  </si>
  <si>
    <t>Coûts d'introduction à la chaîne du froid</t>
  </si>
  <si>
    <t>Autres investissements en capital</t>
  </si>
  <si>
    <t>Type d'investissement en capital</t>
  </si>
  <si>
    <t>Expansion totale (cm3)</t>
  </si>
  <si>
    <t>Nombre total d'unités achetées</t>
  </si>
  <si>
    <t>Développeur seulement</t>
  </si>
  <si>
    <t>Couverture - Noms liés (DÉVELOPPEUR UNIQUEMENT)</t>
  </si>
  <si>
    <t>Les groupes d'âge</t>
  </si>
  <si>
    <t>Segments (utilisés pour les deux groupes d'âge)</t>
  </si>
  <si>
    <t>Domaine primaire (utilisé pour les groupes d'âge et les segments)</t>
  </si>
  <si>
    <t>Taux de change</t>
  </si>
  <si>
    <t>Hypothèses</t>
  </si>
  <si>
    <t>Des séries chronologiques</t>
  </si>
  <si>
    <t>Séries temporelles - hypothèses</t>
  </si>
  <si>
    <t>Coût Année de début et terme</t>
  </si>
  <si>
    <t>Première année d'établissement des coûts</t>
  </si>
  <si>
    <t>Étiquettes pour les points de données importants</t>
  </si>
  <si>
    <t>Nom du niveau primaire</t>
  </si>
  <si>
    <t>Notes et sources d'information</t>
  </si>
  <si>
    <t>Étiquettes de population cibles</t>
  </si>
  <si>
    <t>Groupes cibles catégorie 1</t>
  </si>
  <si>
    <t>Groupes cibles catégorie 2</t>
  </si>
  <si>
    <t>Étiquettes de sous-groupes cibles</t>
  </si>
  <si>
    <t>Sous-groupe cible, catégorie 1</t>
  </si>
  <si>
    <t>Sous-groupe cible, catégorie 2</t>
  </si>
  <si>
    <t>Étiquettes de vaccins et de doses</t>
  </si>
  <si>
    <t>Étiquette de vaccin</t>
  </si>
  <si>
    <t>Nom du vaccin</t>
  </si>
  <si>
    <t>Étiquettes de doses de vaccins</t>
  </si>
  <si>
    <t>Étiquette du numéro de dose du vaccin, catégorie 1</t>
  </si>
  <si>
    <t>Étiquette du numéro de dose du vaccin, catégorie 2</t>
  </si>
  <si>
    <t>Types de prestation de service</t>
  </si>
  <si>
    <t>Types d'activité de prestation de service</t>
  </si>
  <si>
    <t>Type de vaccination unique</t>
  </si>
  <si>
    <t>Type de vaccination de groupe</t>
  </si>
  <si>
    <t>Types de Vacc du groupe de prestation de services 1</t>
  </si>
  <si>
    <t>Types de Vacc du groupe de prestation de services 2</t>
  </si>
  <si>
    <t>Date de début de la période</t>
  </si>
  <si>
    <t>Date de fin de période</t>
  </si>
  <si>
    <t>Compteur</t>
  </si>
  <si>
    <t>Année financière</t>
  </si>
  <si>
    <t>Économique - Instructions</t>
  </si>
  <si>
    <t>Monnaies</t>
  </si>
  <si>
    <t>Code de devise</t>
  </si>
  <si>
    <t>Taux d'actualisation annuel de catégorie 1</t>
  </si>
  <si>
    <t>De base</t>
  </si>
  <si>
    <t>&lt;&lt; 3,0% est la norme pour les analyses de coûts de la santé.</t>
  </si>
  <si>
    <t>Compte</t>
  </si>
  <si>
    <t>Nombre d'écoles ayant reçu des visites de vaccination de groupe</t>
  </si>
  <si>
    <t>Nombre d'établissements de santé dispensant la vaccination contre le VPH</t>
  </si>
  <si>
    <t>Nombre d'établissements de santé proposant des services de vaccination de routine contre le VPH</t>
  </si>
  <si>
    <t>Nombre moyen d'activités de vaccination de proximité en routine par établissement (par an)</t>
  </si>
  <si>
    <t>Nombre moyen de personnes vaccinées au cours d'une activité de service de routine</t>
  </si>
  <si>
    <t>Nombre de population</t>
  </si>
  <si>
    <t>Année</t>
  </si>
  <si>
    <t>Taux de croissance annuel de la population (%)</t>
  </si>
  <si>
    <t>Tous les groupes d'âge - Rétrospective</t>
  </si>
  <si>
    <t>Hypothèses de couverture vaccinale</t>
  </si>
  <si>
    <t>Couverture - Navigation</t>
  </si>
  <si>
    <t>(AUTOCALCULÉ) # RECEVOIR LA VACCINATION &gt;&gt;</t>
  </si>
  <si>
    <t>(AUTOCALCULÉ) % VACCINATION RECEVUE &gt;&gt;</t>
  </si>
  <si>
    <t>(AUTOCALCULÉ) Proportion de tous les vaccins vaccinés &gt;&gt;</t>
  </si>
  <si>
    <t>VERIFICATION D'ERREUR</t>
  </si>
  <si>
    <t>Nombre total de vaccinations reçues par toutes les populations cibles quelle que soit la méthode de prestation de service (à partir d’hypothèses de couverture) (prévu)</t>
  </si>
  <si>
    <t>Couverture rétrospective - Indiquez la quantité réelle de doses de vaccin administrées.</t>
  </si>
  <si>
    <t>Nombre de personnes vaccinées (données rétrospectives)</t>
  </si>
  <si>
    <t>Total des doses de vaccin administrées (données rétrospectives)</t>
  </si>
  <si>
    <t>Couverture - Résumé des données rétrospectives</t>
  </si>
  <si>
    <t>Vaccin</t>
  </si>
  <si>
    <t>Coûts d'approvisionnement</t>
  </si>
  <si>
    <t>Monnaie appliquée</t>
  </si>
  <si>
    <t>Coût du marché des vaccins et des fournitures injectables</t>
  </si>
  <si>
    <t>Vaccin (par dose)</t>
  </si>
  <si>
    <t>Seringue d'injection (chaque)</t>
  </si>
  <si>
    <t>Boîte de sécurité (chacun)</t>
  </si>
  <si>
    <t>Subventions pour vaccins et produits injectables</t>
  </si>
  <si>
    <t>Proportion (%) des achats de vaccins et de produits injectables subventionnés</t>
  </si>
  <si>
    <t>Les vaccins</t>
  </si>
  <si>
    <t>Coûts supplémentaires - Seringues à injection</t>
  </si>
  <si>
    <t>Coûts supplémentaires - boîtes de sécurité</t>
  </si>
  <si>
    <t>Proportion de coûts supplémentaires - Vaccin subventionné (sur une échelle de 0 à 100%)</t>
  </si>
  <si>
    <t>Proportion de coûts supplémentaires - Seringues d'injection subventionnées (sur une échelle de 0 à 100%)</t>
  </si>
  <si>
    <t>Proportion de coûts supplémentaires - Boîtes de sécurité subventionnés (sur une échelle de 0 à 100%)</t>
  </si>
  <si>
    <t>Coût par dose de vaccin</t>
  </si>
  <si>
    <t>Coût par seringue d'injection</t>
  </si>
  <si>
    <t>Coût par boîte de sécurité</t>
  </si>
  <si>
    <t>Données rétrospectives</t>
  </si>
  <si>
    <t># Boîtes de sécurité à acheter.</t>
  </si>
  <si>
    <t>Ajustement pour le taux de perte prévu pour les vaccins</t>
  </si>
  <si>
    <t>Ajustement pour le taux de perte prévu pour les seringues d'injection</t>
  </si>
  <si>
    <t>Capacité de seringue d'injection par boîte de sécurité (#)</t>
  </si>
  <si>
    <t># Doses de vaccin obtenues</t>
  </si>
  <si>
    <t># Seringues d'injection achetées</t>
  </si>
  <si>
    <t># Boîtes de sécurité achetées</t>
  </si>
  <si>
    <t>Nombre total de doses de vaccins achetées (données rétrospectives)</t>
  </si>
  <si>
    <t>Nombre total de seringues injectées achetées (données rétrospectives)</t>
  </si>
  <si>
    <t>Nombre total de boîtes de sécurité achetées (données rétrospectives)</t>
  </si>
  <si>
    <t>Prestation de services - Hypothèses annuelles</t>
  </si>
  <si>
    <t>Proportion administrée (par année et type de prestation de service)</t>
  </si>
  <si>
    <t>Activités de prestation de services fournissant des vaccins à une seule personne</t>
  </si>
  <si>
    <t>Activités de prestation de services fournissant des vaccins à un groupe</t>
  </si>
  <si>
    <t>VÉRIFICATION DES ERREURS (DEVRAIT ÊTRE À 100%) &gt;&gt;</t>
  </si>
  <si>
    <t>Nombre administré (par année et type de prestation de service)</t>
  </si>
  <si>
    <t>Nombre d'activités requises pour administrer ce nombre de vaccins</t>
  </si>
  <si>
    <t>Nombre d'activités de vaccination simples requises pour administrer les vaccins</t>
  </si>
  <si>
    <t>Nombre d'activités de vaccination de groupe requises pour administrer les vaccins</t>
  </si>
  <si>
    <t>Nombre de vaccins administrés à un groupe par le biais de vaccins</t>
  </si>
  <si>
    <t>Nombre d'activités (vaccinations à un groupe) terminées</t>
  </si>
  <si>
    <t>VÉRIFICATION D'ALERTE (LA SOMME TOTALE SUR LA COUVERTURE TOTALE)</t>
  </si>
  <si>
    <t>Vaccination simple contre le VPH, type 1 sur 2.</t>
  </si>
  <si>
    <t>Sélectionnez la devise d'entrée</t>
  </si>
  <si>
    <t>Sélectionnez la méthode de saisie des coûts</t>
  </si>
  <si>
    <t>Estimation détaillée de la feuille de calcul des coûts</t>
  </si>
  <si>
    <t>Estimation du coût d'entrée directe de l'utilisateur</t>
  </si>
  <si>
    <t>VÉRIFICATION D'ERREUR (LES VÉRIFICATIONS SI LE COÛT ÉCONOMIQUE D'ENTRÉE EST SUPÉRIEUR EST INFÉRIEURE AU COÛT FINANCIER)</t>
  </si>
  <si>
    <t>Vaccination simple contre le VPH, type 2 sur 2.</t>
  </si>
  <si>
    <t>Activité de prestation de services de groupe 1 sur 2 Nom</t>
  </si>
  <si>
    <t>Activité de prestation de services de groupe 2 sur 2 Nom</t>
  </si>
  <si>
    <t>Nom de l'activité de microplanification</t>
  </si>
  <si>
    <t>Nombre d'activités</t>
  </si>
  <si>
    <t>Nombre d'activités par an</t>
  </si>
  <si>
    <t>Activités de microplanification - Hypothèses annuelles</t>
  </si>
  <si>
    <t>Activités de formation - Hypothèses annuelles</t>
  </si>
  <si>
    <t>Nom de l'activité de formation</t>
  </si>
  <si>
    <t>Nom de la zone</t>
  </si>
  <si>
    <t>Nom de l'activité de sénistisation</t>
  </si>
  <si>
    <t>IEC / Activités de mobilisation sociale - Hypothèses annuelles</t>
  </si>
  <si>
    <t>IEC / Nom de l'activité de mobilisation sociale</t>
  </si>
  <si>
    <t>Activités de supervision, de suivi et d'évaluation (SME) - Hypothèses annuelles</t>
  </si>
  <si>
    <t>Supervision, suivi et évaluation (SME) Nom de l'activité</t>
  </si>
  <si>
    <t>AUTRE Activité (coûts récurrents uniquement) - Hypothèses annuelles</t>
  </si>
  <si>
    <t>Autre nom d'activité (activité à coûts récurrents uniquement)</t>
  </si>
  <si>
    <t>Extension de stockage à froid requise</t>
  </si>
  <si>
    <t>Devise d'entrée pour les prix des équipements de stockage à froid</t>
  </si>
  <si>
    <t>Nom de l'équipement de stockage à froid</t>
  </si>
  <si>
    <t>Options de devise pour la liste déroulante</t>
  </si>
  <si>
    <t>(de l'onglet économique)</t>
  </si>
  <si>
    <t xml:space="preserve">Années de vie utiles </t>
  </si>
  <si>
    <t>TOTAL TOUS LES ANS</t>
  </si>
  <si>
    <t>Nombre d'unités</t>
  </si>
  <si>
    <t>Autres investissements en capital - Hypothèses (annuelles)</t>
  </si>
  <si>
    <t>Investissements en capital requis</t>
  </si>
  <si>
    <t>Devise d'entrée pour d'autres investissements en capital</t>
  </si>
  <si>
    <t>Nom de l'autre investissement en capital</t>
  </si>
  <si>
    <t>Résultats</t>
  </si>
  <si>
    <t>Populations cibles et résumé de la couverture</t>
  </si>
  <si>
    <t>Groupes cibles - Nombre - Résumé</t>
  </si>
  <si>
    <t>Couverture - Résultats sommaires</t>
  </si>
  <si>
    <t>Résumé de l'activité et des coûts</t>
  </si>
  <si>
    <t>Seringues</t>
  </si>
  <si>
    <t>Coût estimé de l'extension du stockage à froid</t>
  </si>
  <si>
    <t>Total des coûts financiers (ANNUALISÉ)</t>
  </si>
  <si>
    <t xml:space="preserve">Coûts unitaires </t>
  </si>
  <si>
    <t xml:space="preserve">Taux de change: </t>
  </si>
  <si>
    <t>Taux annuel d'actualisation:</t>
  </si>
  <si>
    <t>Autres investissements en capital - Résultats</t>
  </si>
  <si>
    <t>Coût estimé des autres investissements en capital</t>
  </si>
  <si>
    <t>Nom de l'investissement en capital</t>
  </si>
  <si>
    <t>Feuille de calcul détaillée des coûts (FACULTATIF) Résultats - Résumés</t>
  </si>
  <si>
    <t>Catégorie de coût</t>
  </si>
  <si>
    <t>Coût total d'une activité</t>
  </si>
  <si>
    <t>Annexes</t>
  </si>
  <si>
    <t>Notes de couverture de section:</t>
  </si>
  <si>
    <t>Dans cette section, nous fournissons des feuilles de travail pour la création d’estimations détaillées des coûts de chaque activité.</t>
  </si>
  <si>
    <t>Nous conservons également les feuilles de calcul de modèles générés automatiquement nécessaires au calcul précis du modèle.</t>
  </si>
  <si>
    <t>Nous conservons également des feuilles de travail de recherche variables qui permettent à l’outil d’avoir une navigation plus conviviale.</t>
  </si>
  <si>
    <t>Enfin, nous conservons une série de feuilles de calcul dans lesquelles les erreurs, les alertes et les problèmes sont conservés.</t>
  </si>
  <si>
    <t>Analyse - Recherches</t>
  </si>
  <si>
    <t>Feuilles de calcul détaillées sur les coûts (FACULTATIF)</t>
  </si>
  <si>
    <t>Sous-section 2.1.</t>
  </si>
  <si>
    <t>Microplanification - Feuilles de calcul des coûts détaillés (FACULTATIF)</t>
  </si>
  <si>
    <t>Cette feuille de calcul détaillée des coûts peut être utilisée pour documenter les types et les quantités de ressources nécessaires pour mener à bien une instance unique d'une activité.</t>
  </si>
  <si>
    <t>Une fois terminé, il fournira automatiquement un seul coût d'activité dans la feuille de calcul des hypothèses générales.</t>
  </si>
  <si>
    <t>L'utilisateur peut ensuite choisir d'utiliser les résultats du calcul détaillé du coût dans le modèle ou remplacer le calcul détaillé et insérer d'autres estimations de coûts.</t>
  </si>
  <si>
    <t>Devise utilisée pour les entrées de coût</t>
  </si>
  <si>
    <t>Importé du module Econ</t>
  </si>
  <si>
    <t>Taux de change (de l'économie)</t>
  </si>
  <si>
    <t>Type de cadre de personnel</t>
  </si>
  <si>
    <t>Unité d'activité (par exemple jour, heure, minute)</t>
  </si>
  <si>
    <t>Nombre d'unités d'activité requises</t>
  </si>
  <si>
    <t>Type d'allocation</t>
  </si>
  <si>
    <t>Unité d'allocation (par exemple, par jour, voyage aller-retour, etc.)</t>
  </si>
  <si>
    <t>Nombre d'unités d'allocation requises</t>
  </si>
  <si>
    <t>Preuve d'utilisation de cette information de coût (source ou notes)</t>
  </si>
  <si>
    <t>Type d'approvisionnement</t>
  </si>
  <si>
    <t>Unité d’approvisionnement (par exemple, une douzaine, un paquet de 100, etc.)</t>
  </si>
  <si>
    <t>Nombre d'unités d'approvisionnement requis</t>
  </si>
  <si>
    <t>VÉRIFICATION D'ERREUR (LES DRAPEAUX SI LE COÛT ÉCONOMIQUE EST INFÉRIEUR AU COÛT FINANCIER)</t>
  </si>
  <si>
    <t>Formation - Feuilles de calcul détaillées sur les coûts (FACULTATIF)</t>
  </si>
  <si>
    <t>Prestation de services - Feuilles de calcul détaillées sur les coûts (FACULTATIF)</t>
  </si>
  <si>
    <t>Sensibilisation - Feuilles de calcul détaillées sur les coûts (FACULTATIF)</t>
  </si>
  <si>
    <t>Mobilisation sociale - Feuilles de calcul des coûts détaillés (FACULTATIF)</t>
  </si>
  <si>
    <t>Supervision - Feuilles de calcul détaillées des coûts (FACULTATIF)</t>
  </si>
  <si>
    <t>AUTRE (coûts récurrents uniquement) - Feuilles de calcul détaillées sur les coûts (FACULTATIF)</t>
  </si>
  <si>
    <t>Chèques</t>
  </si>
  <si>
    <t>Vérification des erreurs</t>
  </si>
  <si>
    <t>Résumé:</t>
  </si>
  <si>
    <t>Vérifier</t>
  </si>
  <si>
    <t>Comprendre?</t>
  </si>
  <si>
    <t>Drapeau</t>
  </si>
  <si>
    <t>Total des erreurs:</t>
  </si>
  <si>
    <t>Vérifications d'alerte</t>
  </si>
  <si>
    <t>Total des alertes:</t>
  </si>
  <si>
    <t>Calculs - Couverture</t>
  </si>
  <si>
    <t>Couverture - Résultats - Groupe cible rétrospectif A</t>
  </si>
  <si>
    <t>Couverture rétrospective</t>
  </si>
  <si>
    <t>Couverture des doses 1 et 2 - Résultats - Groupe cible rétrospectif A</t>
  </si>
  <si>
    <t>Dose 1 et 2 Couverture - Résultats - Rétrospective TOUTES LES POPULATIONS CIBLES</t>
  </si>
  <si>
    <t>Calculs - Coûts d’achat de vaccins</t>
  </si>
  <si>
    <t>Calculs - Coûts individuels d'activité - Annuels</t>
  </si>
  <si>
    <t>Calculs à partir de feuilles de calcul des coûts détaillés</t>
  </si>
  <si>
    <t xml:space="preserve">Indemnités </t>
  </si>
  <si>
    <t>Fournitures et matériel</t>
  </si>
  <si>
    <t xml:space="preserve">Autres coûts directs </t>
  </si>
  <si>
    <t>Sous-section 4.1.</t>
  </si>
  <si>
    <t>Variables de série temporelle</t>
  </si>
  <si>
    <t>Séries temporelles - Recherches</t>
  </si>
  <si>
    <t>Vaccin - Recherches</t>
  </si>
  <si>
    <t>Variables d'étiquettes personnalisées</t>
  </si>
  <si>
    <t>Étiquettes personnalisées - Recherches</t>
  </si>
  <si>
    <t>Variables Economiques</t>
  </si>
  <si>
    <t>Économique - Recherches</t>
  </si>
  <si>
    <t>Compte Variables</t>
  </si>
  <si>
    <t>Comtes - Recherches</t>
  </si>
  <si>
    <t>Variables de couverture</t>
  </si>
  <si>
    <t>Couverture - Recherches</t>
  </si>
  <si>
    <t>Variables d'activité de microplanification</t>
  </si>
  <si>
    <t>Microplanification Niveau 1 (2) - Recherches</t>
  </si>
  <si>
    <t>MAPI - Variables</t>
  </si>
  <si>
    <t>Expansion de la chaîne du froid - Recherches</t>
  </si>
  <si>
    <t>Autres investissements en capital - Recherches</t>
  </si>
  <si>
    <t>Variables d'activité de formation</t>
  </si>
  <si>
    <t>Niveau de formation 1 (1) - Recherches</t>
  </si>
  <si>
    <t>Niveau de formation 1 (2) - Recherches</t>
  </si>
  <si>
    <t>Niveau de formation 1 (3) - Recherches</t>
  </si>
  <si>
    <t>Niveau de formation 2 (1) - Recherches</t>
  </si>
  <si>
    <t>Variables d'activité de sensibilisation</t>
  </si>
  <si>
    <t>Niveau de sensibilisation 1 (1) - Recherches</t>
  </si>
  <si>
    <t>Niveau de sensibilisation 1 (2) - Recherches</t>
  </si>
  <si>
    <t>Niveau de sensibilisation 1 (3) - Recherches</t>
  </si>
  <si>
    <t>Niveau de sensibilisation 2 (1) - Recherches</t>
  </si>
  <si>
    <t>Niveau de sensibilisation 2 (2) - Recherches</t>
  </si>
  <si>
    <t>Niveau de sensibilisation 2 (3) - Recherches</t>
  </si>
  <si>
    <t>Variables d'activité de mobilisation sociale</t>
  </si>
  <si>
    <t>Variables d'activité de prestation de service</t>
  </si>
  <si>
    <t>Niveau de prestation de service 2 (1) - Recherches</t>
  </si>
  <si>
    <t>Niveau de prestation de service 2 (2) - Recherches</t>
  </si>
  <si>
    <t>Niveau de prestation de service 2 (3) - Recherches</t>
  </si>
  <si>
    <t>Activité de niveau 2 - Recherches</t>
  </si>
  <si>
    <t>Variables d'activité de supervision</t>
  </si>
  <si>
    <t>Niveau de supervision 1 (1) - Recherches</t>
  </si>
  <si>
    <t>Niveau de supervision 1 (2) - Recherches</t>
  </si>
  <si>
    <t>Niveau de supervision 1 (3) - Recherches</t>
  </si>
  <si>
    <t>Niveau de supervision 1 (4) - Recherches</t>
  </si>
  <si>
    <t>Niveau de supervision 2 (1) - Recherches</t>
  </si>
  <si>
    <t>Niveau de supervision 2 (2) - Recherches</t>
  </si>
  <si>
    <t>Niveau de supervision 2 (3) - Recherches</t>
  </si>
  <si>
    <t>Lang_Language_Translation</t>
  </si>
  <si>
    <t>Lang_Current_Language</t>
  </si>
  <si>
    <t>Lang_Language_Choice_Table</t>
  </si>
  <si>
    <t>Lang_Data_For_Extraction</t>
  </si>
  <si>
    <t>La traduction de la langue</t>
  </si>
  <si>
    <t>Langue courante</t>
  </si>
  <si>
    <t>Tableau de choix de langue</t>
  </si>
  <si>
    <t>Données pour l'extraction</t>
  </si>
  <si>
    <t>Feuilles de travail de recherche variable (GENERE AUTOMATIQUEMENT)</t>
  </si>
  <si>
    <t>Notes sur les calculs/ estimations</t>
  </si>
  <si>
    <t>Taux d'abandon scolaire (AUTOCALCULÉ) &gt;&gt;</t>
  </si>
  <si>
    <t>Tous les groupes d'âge - Rétrospective (AUTOCALCULÉ)</t>
  </si>
  <si>
    <t>COÛT TOTAL PAR PERSONNE ENTIÈREMENT IMMUNISÉE (PEI)</t>
  </si>
  <si>
    <t>Autre type de coût direct (ACD)</t>
  </si>
  <si>
    <t>Unité ACD (par exemple, chaque, douzaine, pack de 100, etc.)</t>
  </si>
  <si>
    <t>Nombre d'unités ACD requises</t>
  </si>
  <si>
    <t>Lang_Years_Selected</t>
  </si>
  <si>
    <t>Year(s) Selected:</t>
  </si>
  <si>
    <t>Année (s) sélectionnée (s):</t>
  </si>
  <si>
    <t>Year Ending</t>
  </si>
  <si>
    <t>Lang_Year_Ending</t>
  </si>
  <si>
    <t>Total Vaccines and Supplies</t>
  </si>
  <si>
    <t>Lang_Total_Vaccines_And_Supplies</t>
  </si>
  <si>
    <t>per Fully Immunized Person (FIP)</t>
  </si>
  <si>
    <t>Lang_Per_Fully_Immunized_Person_FIP</t>
  </si>
  <si>
    <t>Retrospective Costs</t>
  </si>
  <si>
    <t>Lang_Retrospective_Costs</t>
  </si>
  <si>
    <t>Cost</t>
  </si>
  <si>
    <t>Lang_Cost</t>
  </si>
  <si>
    <t>Lang_Total_SmallLetter</t>
  </si>
  <si>
    <t>Average number of</t>
  </si>
  <si>
    <t>Lang_Avg_Number_Of</t>
  </si>
  <si>
    <t>per school</t>
  </si>
  <si>
    <t>Lang_Per_School</t>
  </si>
  <si>
    <t>This is a</t>
  </si>
  <si>
    <t>Lang_This_Is_A</t>
  </si>
  <si>
    <t>Complete ONLY</t>
  </si>
  <si>
    <t>Lang_Complete_Only</t>
  </si>
  <si>
    <t>THIS LINK NOT FOR RETROSPECTIVE COSTING USE</t>
  </si>
  <si>
    <t>Lang_This_Link_Not_For_Retrospective_Costing_Use</t>
  </si>
  <si>
    <t>Go to</t>
  </si>
  <si>
    <t>THIS LINK NOT FOR COST PROJECTION USE</t>
  </si>
  <si>
    <t>Lang_This_Link_Not_For_Cost_Projection_Use</t>
  </si>
  <si>
    <t>COST PROJECTION COUNTS - Assumptions</t>
  </si>
  <si>
    <t>Lang_Cost_Projection_Counts_Assumptions</t>
  </si>
  <si>
    <t>NOT A COST PROJECTION. SKIP THIS SECTION. USE THE RETROSPECTIVE TARGET POPULATON COUNTS - DATA Section.</t>
  </si>
  <si>
    <t>Lang_Not_A_Cost_Projection_Skip_This_Section_Use_The_Retrospective_Target_Pop_Counts_Data_Section</t>
  </si>
  <si>
    <t>Go to RETROSPECTIVE COSTING POPULATION COUNTS</t>
  </si>
  <si>
    <t>Lang_GoTo</t>
  </si>
  <si>
    <t>Lang_GoTo_Retrospective_Costing_Pop_Counts</t>
  </si>
  <si>
    <t>Projected</t>
  </si>
  <si>
    <t>Lang_Projected</t>
  </si>
  <si>
    <t>Lang_Proportion_Projected_Calculation</t>
  </si>
  <si>
    <t>Lang_Proportion_Projected_Autocalculated</t>
  </si>
  <si>
    <t>Proportion</t>
  </si>
  <si>
    <t>Lang_Proportion</t>
  </si>
  <si>
    <t>Proportion (%) (Projected Calculation)</t>
  </si>
  <si>
    <t>Proportion (%) (Projected) - AUTOCALCULATED</t>
  </si>
  <si>
    <t>All Age Groups</t>
  </si>
  <si>
    <t>Lang_All_Age_Groups</t>
  </si>
  <si>
    <t>Subgroup Only</t>
  </si>
  <si>
    <t>Lang_Subgroup_Only</t>
  </si>
  <si>
    <t>RETROSPECTIVE TARGET POPULATON  COUNTS - DATA</t>
  </si>
  <si>
    <t>NOT A RETROSPECTIVE COSTING. SKIP THIS SECTION. USE THE COST PROJECTION COUNTS - Assumptions Section.</t>
  </si>
  <si>
    <t>Lang_Retrospective_Target_Pop_Counts_Data</t>
  </si>
  <si>
    <t>Lang_Not_A_Retrospective_Costing_Skip_This_Section_Use_The_Cost_Projection_Counts_Assumptions_Section</t>
  </si>
  <si>
    <t>Retrospective Count</t>
  </si>
  <si>
    <t>Lang_Retrospective_Count</t>
  </si>
  <si>
    <t>Go to COST PROJECTION COUNTS  - Assumptions</t>
  </si>
  <si>
    <t>Lang_GoTo_Cost_Projection_Counts_Assumptions</t>
  </si>
  <si>
    <t>Entire</t>
  </si>
  <si>
    <t>Lang_Entire</t>
  </si>
  <si>
    <t>Count (Using Retrospective Data)</t>
  </si>
  <si>
    <t>Lang_Count_Using_Retrospective_Data</t>
  </si>
  <si>
    <t>Portion (#) - Using Retrospective Data</t>
  </si>
  <si>
    <t>Lang_Portion_Using_Retrospective_Data</t>
  </si>
  <si>
    <t>Portion (#) - Using Retrospective Data (AUTOCALCULATED)</t>
  </si>
  <si>
    <t>Lang_Portion_Using_Retrospective_Data_Autocalculated</t>
  </si>
  <si>
    <t>Segment</t>
  </si>
  <si>
    <t>Lang_Segment</t>
  </si>
  <si>
    <t>Proportion (%) of</t>
  </si>
  <si>
    <t>Lang_Proportion_Of</t>
  </si>
  <si>
    <t>Receiving</t>
  </si>
  <si>
    <t>Lang_Receiving</t>
  </si>
  <si>
    <t>Projection</t>
  </si>
  <si>
    <t>Lang_Projection</t>
  </si>
  <si>
    <t>Number Receiving Vaccination</t>
  </si>
  <si>
    <t>Lang_Number_Receiving_Vacc</t>
  </si>
  <si>
    <t>Coverage Projections</t>
  </si>
  <si>
    <t>Lang_Coverage_Projections</t>
  </si>
  <si>
    <t>Drop-Out Rate</t>
  </si>
  <si>
    <t>Lang_Drop_Out_Rate</t>
  </si>
  <si>
    <t>to</t>
  </si>
  <si>
    <t>for</t>
  </si>
  <si>
    <t>Lang_For</t>
  </si>
  <si>
    <t>Lang_To</t>
  </si>
  <si>
    <t>Subgroups</t>
  </si>
  <si>
    <t>Lang_Subgroups</t>
  </si>
  <si>
    <t>Vaccinations Received by All Target Populations through ANY Service Delivery Method (from Coverage Assumptions) (Projected)</t>
  </si>
  <si>
    <t>Lang_Vacc_Received_By_All_Target_Pop_Through_Any_Service_Delivery_Method_From_Coverage_Assumptions_Projected</t>
  </si>
  <si>
    <t>Vaccinations Received by</t>
  </si>
  <si>
    <t>Lang_Vacc_Received_By</t>
  </si>
  <si>
    <t>Populations</t>
  </si>
  <si>
    <t>Lang_Pop_SmallLetter</t>
  </si>
  <si>
    <t>Coverage (#) Retrospective Data</t>
  </si>
  <si>
    <t>Lang_Coverage_Number_Retrospective_Data</t>
  </si>
  <si>
    <t>Vaccination</t>
  </si>
  <si>
    <t>Lang_Vacc</t>
  </si>
  <si>
    <t>Total Number of</t>
  </si>
  <si>
    <t>Lang_Total_Number_Of</t>
  </si>
  <si>
    <t>Vaccinations Received by All Target Populations through ANY Service Delivery Method (from Coverage Assumptions) (Retrospective)</t>
  </si>
  <si>
    <t>Lang_Vacc_Received_By_All_Target_Pop_Through_Any_Service_Delivery_Method_From_Coverage_Assumptions_Retrospective</t>
  </si>
  <si>
    <t>Average Number of Vaccinations Delivered During</t>
  </si>
  <si>
    <t>Lang_Avg_Number_Of_Vacc_Delivered_During</t>
  </si>
  <si>
    <t>Activity</t>
  </si>
  <si>
    <t>Lang_Activity</t>
  </si>
  <si>
    <t>Results (Numbers)</t>
  </si>
  <si>
    <t>Lang_Results_Numbers</t>
  </si>
  <si>
    <t>from Coverage Assumptions</t>
  </si>
  <si>
    <t>Lang_From_Coverage_Assumptions</t>
  </si>
  <si>
    <t>Activities</t>
  </si>
  <si>
    <t>Lang_Activities</t>
  </si>
  <si>
    <t>Retrospective</t>
  </si>
  <si>
    <t>Lang_Retrospective</t>
  </si>
  <si>
    <t>Single Activity Cost - Annual Assumptions</t>
  </si>
  <si>
    <t>Lang_Single_Activity_Cost_Annual_Assumptions</t>
  </si>
  <si>
    <t>Cost of a Single</t>
  </si>
  <si>
    <t>Lang_Cost_Of_A_Single</t>
  </si>
  <si>
    <t>Name</t>
  </si>
  <si>
    <t>Lang_Name</t>
  </si>
  <si>
    <t>Projected or Retrospective</t>
  </si>
  <si>
    <t>Lang_Projected_Or_Retrospective</t>
  </si>
  <si>
    <t>Number of</t>
  </si>
  <si>
    <t>Lang_Number_Of</t>
  </si>
  <si>
    <t>Activities - Annual Assumptions</t>
  </si>
  <si>
    <t>Lang_Activities_Annual_Assumptions</t>
  </si>
  <si>
    <t>Fin d'année</t>
  </si>
  <si>
    <t>Total vaccins et fournitures</t>
  </si>
  <si>
    <t>par Personne Entièrement Immunisée (PEI)</t>
  </si>
  <si>
    <t>Coûts rétrospectifs</t>
  </si>
  <si>
    <t>Coût</t>
  </si>
  <si>
    <t>Nombre moyen de</t>
  </si>
  <si>
    <t>par école</t>
  </si>
  <si>
    <t>C'est un</t>
  </si>
  <si>
    <t>Complet SEULEMENT</t>
  </si>
  <si>
    <t>CE LIEN NE DOIT PAS ÊTRE UTILISÉ POUR LE COÛT RÉTROSPECTIF</t>
  </si>
  <si>
    <t>Aller à</t>
  </si>
  <si>
    <t>Aller à COMPTE DE POPULATION À COÛT RÉTROSPECTIF</t>
  </si>
  <si>
    <t>Proportion (%) (prévue) - AUTOCALCULÉ</t>
  </si>
  <si>
    <t>Tous les groupes d'âge</t>
  </si>
  <si>
    <t>Sous-groupe seulement</t>
  </si>
  <si>
    <t>COMPTES DE POPULATON CIBLE RÉTROSPECTIVE - DONNÉES</t>
  </si>
  <si>
    <t>Compte rétrospectif</t>
  </si>
  <si>
    <t>Aller à COMPTES DE PROJECTION DE COÛTS - Hypothèses</t>
  </si>
  <si>
    <t>Tout</t>
  </si>
  <si>
    <t>Nombre (utilisation de données rétrospectives)</t>
  </si>
  <si>
    <t>Portion (#) - Utilisation de données rétrospectives</t>
  </si>
  <si>
    <t>Portion (#) - Utilisation de données rétrospectives (AUTOCALCULÉ)</t>
  </si>
  <si>
    <t>Proportion (%) de</t>
  </si>
  <si>
    <t>Recevoir</t>
  </si>
  <si>
    <t>Nombre de vaccinés</t>
  </si>
  <si>
    <t>Taux d'abandon</t>
  </si>
  <si>
    <t>à</t>
  </si>
  <si>
    <t>pour</t>
  </si>
  <si>
    <t>Sous-groupes</t>
  </si>
  <si>
    <t>Vaccinations reçues par</t>
  </si>
  <si>
    <t>Couverture (#) Données rétrospectives</t>
  </si>
  <si>
    <t>Nombre total de</t>
  </si>
  <si>
    <t>Vaccinations reçues par toutes les populations cibles quelle que soit la méthode de prestation de service (à partir d’hypothèses de couverture) (rétrospective)</t>
  </si>
  <si>
    <t>Recurrent</t>
  </si>
  <si>
    <t>Lang_Recurrent</t>
  </si>
  <si>
    <t>Annualized</t>
  </si>
  <si>
    <t>Lang_Annualized</t>
  </si>
  <si>
    <t>COÛT TOTAL CALCUL ACTUEL PAR PERSONNE ENTIÈREMENT IMMUNISÉE (PEI)</t>
  </si>
  <si>
    <t>COÛT PAR PEI</t>
  </si>
  <si>
    <t>COÛT TOTAL PAR PEI</t>
  </si>
  <si>
    <t>Prestation de services vacc unique 1</t>
  </si>
  <si>
    <t>Prestation de services vacc unique 2</t>
  </si>
  <si>
    <t>Lang_Price_Per_Unit_Fin</t>
  </si>
  <si>
    <t>Price per Unit Financial</t>
  </si>
  <si>
    <t>Price per Unit Economic</t>
  </si>
  <si>
    <t>Lang_Price_Per_Unit_Econ</t>
  </si>
  <si>
    <t>Projected Calculation</t>
  </si>
  <si>
    <t>Lang_Projected_Calculation</t>
  </si>
  <si>
    <t>Eligible</t>
  </si>
  <si>
    <t>Lang_Eligible</t>
  </si>
  <si>
    <t>All Target Populations</t>
  </si>
  <si>
    <t>Lang_All_Target_Pop_SmallLetter</t>
  </si>
  <si>
    <t>AUTOCALCULATED</t>
  </si>
  <si>
    <t>Lang_Autocalculated</t>
  </si>
  <si>
    <t>Coverage - Retrospective Data</t>
  </si>
  <si>
    <t>Lang_Coverage_Retrospective_Data</t>
  </si>
  <si>
    <t>All Target Populations Coverage</t>
  </si>
  <si>
    <t>Lang_All_Target_Pop_Coverage</t>
  </si>
  <si>
    <t>Summary Costs (Annual)</t>
  </si>
  <si>
    <t>Lang_Summary_Costs_Annual</t>
  </si>
  <si>
    <t>in a</t>
  </si>
  <si>
    <t>Lang_In_A</t>
  </si>
  <si>
    <t>Detailed Cost Summary</t>
  </si>
  <si>
    <t>Lang_Detailed_Cost_Summary</t>
  </si>
  <si>
    <t>Detailed Personnel Cost Assumptions</t>
  </si>
  <si>
    <t>Lang_Detailed_Personnel_Cost_Assumptions</t>
  </si>
  <si>
    <t>Detailed Allowance Cost Assumptions</t>
  </si>
  <si>
    <t>Lang_Detailed_Allowance_Cost_Assumptions</t>
  </si>
  <si>
    <t>Detailed Supply and Material Cost Assumptions</t>
  </si>
  <si>
    <t>Lang_Detailed_Supply_And_Material_Cost_Assumptions</t>
  </si>
  <si>
    <t>Detailed Other Direct Cost Assumptions</t>
  </si>
  <si>
    <t>Lang_Detailed_Other_Direct_Cost_Assumptions</t>
  </si>
  <si>
    <t>Detailed Activity Costing Worksheet - Instructions</t>
  </si>
  <si>
    <t>Detailed Activity Costing Worksheet - Currency Selection</t>
  </si>
  <si>
    <t>Lang_Detailed_Activity_Costing_Worksheet_Currency_Selection</t>
  </si>
  <si>
    <t>Lang_Detailed_Activity_Costing_Worksheet_Instructions</t>
  </si>
  <si>
    <t>Cost per Activity Unit</t>
  </si>
  <si>
    <t>Lang_Cost_Per_Activity_Unit</t>
  </si>
  <si>
    <t>Error in</t>
  </si>
  <si>
    <t>Lang_Error_In</t>
  </si>
  <si>
    <t>Errors Detected</t>
  </si>
  <si>
    <t>Lang_Errors_Detected</t>
  </si>
  <si>
    <t>Miscellaneous Check</t>
  </si>
  <si>
    <t>Lang_Miscellaneous_Check</t>
  </si>
  <si>
    <t>Alert in</t>
  </si>
  <si>
    <t>Lang_Alert_In</t>
  </si>
  <si>
    <t>Alerts Detected</t>
  </si>
  <si>
    <t>Lang_Alerts_Detected</t>
  </si>
  <si>
    <t>Vaccinations Administered (Projected)</t>
  </si>
  <si>
    <t>Lang_Vacc_Administered_Projected</t>
  </si>
  <si>
    <t>Vaccinations Administered (Retrospective)</t>
  </si>
  <si>
    <t>Lang_Vacc_Administered_Retrospective</t>
  </si>
  <si>
    <t>Vaccine Doses Procured</t>
  </si>
  <si>
    <t>Lang_Vaccine_Doses_Procured</t>
  </si>
  <si>
    <t>Syringes Procured</t>
  </si>
  <si>
    <t>Lang_Syringes_Procured</t>
  </si>
  <si>
    <t>Safety Boxes Procured</t>
  </si>
  <si>
    <t>Lang_Safety_Boxes_Procured</t>
  </si>
  <si>
    <t>Vaccine Costs</t>
  </si>
  <si>
    <t>Lang_Vaccine_Costs</t>
  </si>
  <si>
    <t>Local Currency - Financial</t>
  </si>
  <si>
    <t>Lang_Local_Currency_Fin</t>
  </si>
  <si>
    <t>Lang_Local_Currency_Econ</t>
  </si>
  <si>
    <t>Local Currency - Economic</t>
  </si>
  <si>
    <t>International Currency - Financial</t>
  </si>
  <si>
    <t>International Currency - Economic</t>
  </si>
  <si>
    <t>Lang_International_Currency_Fin</t>
  </si>
  <si>
    <t>Lang_International_Currency_Econ</t>
  </si>
  <si>
    <t>Syringe Costs</t>
  </si>
  <si>
    <t>Lang_Syringe_Costs</t>
  </si>
  <si>
    <t>Safety Box Costs</t>
  </si>
  <si>
    <t>Lang_Safety_Box_Costs</t>
  </si>
  <si>
    <t>Single Activity Cost Outputs - Annual</t>
  </si>
  <si>
    <t>Lang_Single_Activity_Cost_Outputs_Annual</t>
  </si>
  <si>
    <t>Personnel - Outputs</t>
  </si>
  <si>
    <t>Lang_Personnel_Outputs</t>
  </si>
  <si>
    <t>Allowances - Outputs</t>
  </si>
  <si>
    <t>Lang_Allowances_Outputs</t>
  </si>
  <si>
    <t>Supplies and Materials - Outputs</t>
  </si>
  <si>
    <t>Lang_Supplies_And_Materials_Outputs</t>
  </si>
  <si>
    <t>Other Direct Costs - Outputs</t>
  </si>
  <si>
    <t>Lang_Other_Direct_Costs_Outputs</t>
  </si>
  <si>
    <t>Nombre moyen de vaccins administrés au cours de</t>
  </si>
  <si>
    <t>Activité</t>
  </si>
  <si>
    <t>Résultats (Nombres)</t>
  </si>
  <si>
    <t>à partir d'hypothèses de couverture</t>
  </si>
  <si>
    <t>Activités</t>
  </si>
  <si>
    <t>Rétrospective</t>
  </si>
  <si>
    <t>Coût d'activité unique - Hypothèses annuelles</t>
  </si>
  <si>
    <t>Coût d'un seul</t>
  </si>
  <si>
    <t>Nom</t>
  </si>
  <si>
    <t>Projeté ou rétrospectif</t>
  </si>
  <si>
    <t xml:space="preserve">Nombre de </t>
  </si>
  <si>
    <t>Activités - Hypothèses annuelles</t>
  </si>
  <si>
    <t>Récurrent</t>
  </si>
  <si>
    <t>Prix ​​unitaire financier</t>
  </si>
  <si>
    <t>Prix ​​unitaire economique</t>
  </si>
  <si>
    <t>Éligible</t>
  </si>
  <si>
    <t>Toutes les populations cibles</t>
  </si>
  <si>
    <t>AUTOCALCULÉ</t>
  </si>
  <si>
    <t>Couverture - Données rétrospectives</t>
  </si>
  <si>
    <t>Couverture de toutes les populations cibles</t>
  </si>
  <si>
    <t>Résumé des coûts (Annuel)</t>
  </si>
  <si>
    <t>dans un</t>
  </si>
  <si>
    <t>Résumé détaillé des coûts</t>
  </si>
  <si>
    <t>Feuille de calcul détaillée des coûts d'activité - Instructions</t>
  </si>
  <si>
    <t>Feuille de calcul détaillée des coûts d'activité - Sélection de la devise</t>
  </si>
  <si>
    <t>Hypothèses détaillées sur les coûts de personnel</t>
  </si>
  <si>
    <t>Hypothèses détaillées concernant le coût de l'allocation</t>
  </si>
  <si>
    <t>Hypothèses détaillées sur les coûts des fournitures et des matériaux</t>
  </si>
  <si>
    <t>Autres hypothèses de coûts directs détaillées</t>
  </si>
  <si>
    <t>Coût par unité d'activité</t>
  </si>
  <si>
    <t>Erreur en</t>
  </si>
  <si>
    <t>Erreurs détectées</t>
  </si>
  <si>
    <t>Vérification divers</t>
  </si>
  <si>
    <t>Alerte en</t>
  </si>
  <si>
    <t>Alertes Détectées</t>
  </si>
  <si>
    <t>Vaccinations administrées (Rétrospective)</t>
  </si>
  <si>
    <t>Doses de vaccins obtenues</t>
  </si>
  <si>
    <t>Seringues achetées</t>
  </si>
  <si>
    <t>Boîtes de sécurité achetées</t>
  </si>
  <si>
    <t xml:space="preserve">Coûts des vaccins </t>
  </si>
  <si>
    <t>Monnaie locale - Financière</t>
  </si>
  <si>
    <t>Monnaie locale - Économique</t>
  </si>
  <si>
    <t>Monnaie internationale - Financière</t>
  </si>
  <si>
    <t>Monnaie internationale - Économique</t>
  </si>
  <si>
    <t>Coûts de la seringue</t>
  </si>
  <si>
    <t>Résultats de coûts d'activité unique - Annuel</t>
  </si>
  <si>
    <t>Personnel - Résultats</t>
  </si>
  <si>
    <t>Allocations - Résultats</t>
  </si>
  <si>
    <t>Fournitures et matériel - Résultats</t>
  </si>
  <si>
    <t>Autres coûts directs - Résultats</t>
  </si>
  <si>
    <t>Développeur Primaire:</t>
  </si>
  <si>
    <t>Coût unitaire (Annualisé)</t>
  </si>
  <si>
    <t>Coûts d'expansion de la chaîne du froid (Investissement initial)</t>
  </si>
  <si>
    <t>Autres investissements en capital (Investissement initial)</t>
  </si>
  <si>
    <t>Autres immobilisations (Coûts d’introduction)</t>
  </si>
  <si>
    <t>Analyse - Sélections importées (Développeur uniquement)</t>
  </si>
  <si>
    <t>(AUTOCALCULATED) Drop-Out Rate &gt;&gt;</t>
  </si>
  <si>
    <t>(AUTOCALCULATED) Proportion of all RECEIVING VACCINATION &gt;&gt;</t>
  </si>
  <si>
    <t>(AUTOCALCULATED) % RECEIVING VACCINATION &gt;&gt;</t>
  </si>
  <si>
    <t>(AUTOCALCULATED) # RECEIVING VACCINATION &gt;&gt;</t>
  </si>
  <si>
    <t>ERROR CHECK (SHOULD SUM TO 100%) &gt;&gt;</t>
  </si>
  <si>
    <t>ALERT CHECK % (Administered through School should not exceed % of In-School Pop Receiving Vaccination.) &gt;&gt;</t>
  </si>
  <si>
    <t>Expansion de la chaîne du froid - Hypothèses (Annuelles)</t>
  </si>
  <si>
    <t>Fournitures de vaccins et d'injection - Économique (Monnaie locale)</t>
  </si>
  <si>
    <t>Vaccins et matériel d'injection - Économique (Monnaie internationale)</t>
  </si>
  <si>
    <t>Développement et maintenance de modèles (Développeur uniquement)</t>
  </si>
  <si>
    <t>Nom de la monnaie</t>
  </si>
  <si>
    <t>VERIFICATION DES ERREURS: (LA COUVERTURE VPH2 EST-ELLE &gt; LA COUVERTURE VPH1?)</t>
  </si>
  <si>
    <t>VÉRIFICATION D'ALERTE % (administré par l’école ne doit pas dépasser% du nombre de vaccinations anti-pop à l’école.) &gt;&gt;</t>
  </si>
  <si>
    <t>Expansion de la chaîne du froid - Résultats</t>
  </si>
  <si>
    <t>SELECT CURRENCY OUTPUT &gt;&gt;</t>
  </si>
  <si>
    <t>Microplanification Niveau 1 (1) - Recherches</t>
  </si>
  <si>
    <t>Microplanification Niveau 2 (1) - Recherches</t>
  </si>
  <si>
    <t>Microplanification Niveau 2 (2) - Recherches</t>
  </si>
  <si>
    <t>Microplanification</t>
  </si>
  <si>
    <t xml:space="preserve">AUTRE Niveau d'activité 1 (1) Recherches </t>
  </si>
  <si>
    <t>AUTRE Niveau d'activité 1 (2) - Recherches</t>
  </si>
  <si>
    <t>AUTRE Niveau d'activité 1 (3) - Recherches</t>
  </si>
  <si>
    <t>AUTRE Niveau d'activité 2 (1) - Recherches</t>
  </si>
  <si>
    <t>AUTRE Niveau d'activité 2 (2) - Recherches</t>
  </si>
  <si>
    <t>MOB SOC Niveau 1 (1) - Recherches</t>
  </si>
  <si>
    <t>MOB SOC Niveau 1 (2) - Recherches</t>
  </si>
  <si>
    <t>MOB SOC Niveau 1 (3) - Recherches</t>
  </si>
  <si>
    <t>MOB SOC Niveau 2 (1) - Recherches</t>
  </si>
  <si>
    <t>MOB SOC Niveau 2 (2) - Recherches</t>
  </si>
  <si>
    <t>MOB SOC Niveau 2 (3) - Recherches</t>
  </si>
  <si>
    <t>MOB SOC Niveau 2 (4) - Recherches</t>
  </si>
  <si>
    <t>MOB SOC Niveau 2 (5) - Recherches</t>
  </si>
  <si>
    <t>&lt;&lt; SÉLECTIONNEZ L'ANNÉE(S)</t>
  </si>
  <si>
    <t>Ces valeurs sont définies par l'utilisateur dans la feuille de calcul économique (Écon)</t>
  </si>
  <si>
    <t>Économique - Devises</t>
  </si>
  <si>
    <t>Économique - Tarifs</t>
  </si>
  <si>
    <t>Nombre total de vaccins reçus par toutes les populations cibles quelle que soit la méthode de prestation de service (à partir d’hypothèses de couverture) (Rétrospective)</t>
  </si>
  <si>
    <t>Nombre de vaccins livrés et d'activités terminées, par année et type de prestation de service (Rétrospectives)</t>
  </si>
  <si>
    <t>Activités de sensibilisation - Hypothèses annuelles</t>
  </si>
  <si>
    <t>Economic Costs (ANNUALIZED)</t>
  </si>
  <si>
    <t>Coûts économique (ANNUALISÉ)</t>
  </si>
  <si>
    <t>Total Economic Costs (ANNUALIZED)</t>
  </si>
  <si>
    <t>Coûts économique total (ANNUALISÉ)</t>
  </si>
  <si>
    <t>Coûts financiers (ANNUALISÉ)</t>
  </si>
  <si>
    <t>Coûts des boîtes de sécurité</t>
  </si>
  <si>
    <t>SÉLECTIONNER LA RÉSULTAT DE MONNAIE  &gt;&gt;</t>
  </si>
  <si>
    <t xml:space="preserve">TOUTES LES ANNÈES </t>
  </si>
  <si>
    <t>Nombre d'activités de prestation de services fournissant des vaccins à une seule personne terminé</t>
  </si>
  <si>
    <t>Vaccins et matériel d'injection - Financier (monnaie locale)</t>
  </si>
  <si>
    <t>Fournitures de vaccin et d'injection - Financier (monnaie internationale)</t>
  </si>
  <si>
    <t xml:space="preserve">Coûts supplémentaires - Vaccin </t>
  </si>
  <si>
    <t>Coûts supplémentaires</t>
  </si>
  <si>
    <t>Prévision des coûts ou rétrospective?</t>
  </si>
  <si>
    <t>Comptes - Hypothèses (prévision ou rétrospective des coûts)</t>
  </si>
  <si>
    <t>Nombre d'écoles (prévision des coûts ou rétrospective)</t>
  </si>
  <si>
    <t>Nombre d'établissements de santé (prévision ou rétrospective des coûts)</t>
  </si>
  <si>
    <t>Tous les groupes d'âge - prévus</t>
  </si>
  <si>
    <t>Couverture prévue - Instructions - Saisissez le pourcentage de couverture pour chaque année, la dose et la population cible.</t>
  </si>
  <si>
    <t>Couverture - Résumé des hypothèses prévues</t>
  </si>
  <si>
    <t># Doses de vaccins à acheter (en fonction de la population, des prévisions de couverture et des taux de perte).</t>
  </si>
  <si>
    <t># Seringues à injecter à acheter (en fonction de la population, des prévisions de couverture et des taux de perte).</t>
  </si>
  <si>
    <t>Ajustement pour le taux de perte prévu pour les boîtes de sécurité</t>
  </si>
  <si>
    <t>Nombre total de doses de vaccins à acheter (prévision basée sur la population, les prévisions de couverture et les taux de perte).</t>
  </si>
  <si>
    <t>Nombre total de seringues à injecter à acheter (prévision basée sur la population, les prévisions de couverture et les taux de perte).</t>
  </si>
  <si>
    <t>Nombre total de boîtes de sécurité à acheter (prévu en fonction de la population, des prévisions de couverture et des taux de perte).</t>
  </si>
  <si>
    <t>Couverture - Résultats - Groupe cible prévu A</t>
  </si>
  <si>
    <t>Prévision de couverture</t>
  </si>
  <si>
    <t>CE LIEN PAS POUR L’UTILISATION DE LA PRÈVISION DES COÛTS</t>
  </si>
  <si>
    <t>COMPTES DE PRÈVISION DE COÛTS - Hypothèses</t>
  </si>
  <si>
    <t>PAS UNE PRÈVISION DE COÛTS. PASSER CETTE SECTION. UTILISEZ LES COMPTES DE POPULATON CIBLE RÉTROSPECTIF - Section Données.</t>
  </si>
  <si>
    <t>Prévu</t>
  </si>
  <si>
    <t>Proportion (%) (Calcul prévu)</t>
  </si>
  <si>
    <t>PAS UN COÛT RÉTROSPECTIF. PASSER CETTE SECTION. UTILISEZ LES COMPTES DE PRÈVISION DE COÛTS - Section Hypothèses.</t>
  </si>
  <si>
    <t>Prévision</t>
  </si>
  <si>
    <t>Prévisions de couverture</t>
  </si>
  <si>
    <t>Vaccinations reçues par toutes les populations cibles quelle que soit la méthode de prestation de service (à partir d’hypothèses de couverture) (prévu)</t>
  </si>
  <si>
    <t>Calcul prévu</t>
  </si>
  <si>
    <t>Vaccinations administrées (Prévues)</t>
  </si>
  <si>
    <t>Activities - Annual Assumptions (Projected or Retrospective)</t>
  </si>
  <si>
    <t>Lang_Activities_Annual_Assumptions_Projected_Or_Retrospective</t>
  </si>
  <si>
    <t>Annualisée</t>
  </si>
  <si>
    <t>Coûts de vaccins et des injections</t>
  </si>
  <si>
    <t>Formation</t>
  </si>
  <si>
    <t>Lang_Single_Activity_Cost_Annual_Assumptions_Projected_Or_Retrospective</t>
  </si>
  <si>
    <t>Single Activity Cost - Annual Assumptions (Projected or Retrospective)</t>
  </si>
  <si>
    <t>Activités - Hypothèses annuelles (Prévues ou Retrospectives)</t>
  </si>
  <si>
    <t>Coût d'activité unique - Hypothèses annuelles (Prévues ou Retrospectives)</t>
  </si>
  <si>
    <t>Lang_Cost_Projection</t>
  </si>
  <si>
    <t>Lang_Retrospective_Costing</t>
  </si>
  <si>
    <t>COÛT RÉTROSPECTIF</t>
  </si>
  <si>
    <t>PRÉVISION DES COÛTS</t>
  </si>
  <si>
    <t>Lang_Vaccination_Module</t>
  </si>
  <si>
    <t>Lang_Proportions</t>
  </si>
  <si>
    <t>Proportions (%)</t>
  </si>
  <si>
    <t>Nombres (#)</t>
  </si>
  <si>
    <t>United States Dollars</t>
  </si>
  <si>
    <t>Winthrop Morgan, MPH</t>
  </si>
  <si>
    <t>(win@levinmorgan.com)</t>
  </si>
  <si>
    <t>Lang_Introduction</t>
  </si>
  <si>
    <t>Lang_Enter_Cost_Estimates_Directly</t>
  </si>
  <si>
    <t>Lang_Use_Detailed_Cost_Worksheet</t>
  </si>
  <si>
    <t>Utiliser la feuille de calcul détaillée des coûts</t>
  </si>
  <si>
    <t>Entrez directement les estimations de coûts</t>
  </si>
  <si>
    <t>Test  Country AA</t>
  </si>
  <si>
    <t>Refers_to</t>
  </si>
  <si>
    <t>Reference_Name</t>
  </si>
  <si>
    <t>Variable_name</t>
  </si>
  <si>
    <t>NA</t>
  </si>
  <si>
    <t>Annual discount rate (%)</t>
  </si>
  <si>
    <t>Db_DisRate</t>
  </si>
  <si>
    <t>WHO Region</t>
  </si>
  <si>
    <t>Db_Inflation2017_US</t>
  </si>
  <si>
    <t>Costing method (Cost projection or retrospective costing)</t>
  </si>
  <si>
    <t>Db_CostMethod</t>
  </si>
  <si>
    <t>Target population group 1</t>
  </si>
  <si>
    <t>Db_TarPopG1</t>
  </si>
  <si>
    <t>Target population group 2</t>
  </si>
  <si>
    <t>Db_TarPopG2</t>
  </si>
  <si>
    <t>Db_TarPopSG1</t>
  </si>
  <si>
    <t>Db_TarPopSG2</t>
  </si>
  <si>
    <t>Target population subgroup 1</t>
  </si>
  <si>
    <t>Target population subgroup 2</t>
  </si>
  <si>
    <t>Service delivery activity type (single vaccination 1)</t>
  </si>
  <si>
    <t>Service delivery activity type (single vaccination 2)</t>
  </si>
  <si>
    <t>Service delivery activity type (group vaccination 1)</t>
  </si>
  <si>
    <t>Service delivery activity type (group vaccination 2)</t>
  </si>
  <si>
    <t>Target population size (total)</t>
  </si>
  <si>
    <t>Number of doses administered (first dose)</t>
  </si>
  <si>
    <t>Number of doses administered (second dose)</t>
  </si>
  <si>
    <t>Db_TarPopSize_total</t>
  </si>
  <si>
    <t>Db_SubsidyVacP</t>
  </si>
  <si>
    <t>Db_SubsidyISP</t>
  </si>
  <si>
    <t>Db_SubsidySBP</t>
  </si>
  <si>
    <t>Number of microplanning activity 1 (total)</t>
  </si>
  <si>
    <t>Number of microplanning activity 2 (total)</t>
  </si>
  <si>
    <t>Number of microplanning activity 3 (total)</t>
  </si>
  <si>
    <t>Number of microplanning activity 4 (total)</t>
  </si>
  <si>
    <t>Number of training activity 1 (total)</t>
  </si>
  <si>
    <t>Number of training activity 3 (total)</t>
  </si>
  <si>
    <t>Number of training activity 2 (total)</t>
  </si>
  <si>
    <t>Number of training activity 4 (total)</t>
  </si>
  <si>
    <t>Number of sensitisation activity 1 (total)</t>
  </si>
  <si>
    <t>Number of sensitisation activity 2 (total)</t>
  </si>
  <si>
    <t>Number of sensitisation activity 3 (total)</t>
  </si>
  <si>
    <t>Number of sensitisation activity 4 (total)</t>
  </si>
  <si>
    <t>Number of sensitisation activity 5 (total)</t>
  </si>
  <si>
    <t>Number of sensitisation activity 6 (total)</t>
  </si>
  <si>
    <t>Number of social mobilisation and IEC activity 1 (total)</t>
  </si>
  <si>
    <t>Number of social mobilisation and IEC activity 2 (total)</t>
  </si>
  <si>
    <t>Number of social mobilisation and IEC activity 3 (total)</t>
  </si>
  <si>
    <t>Number of social mobilisation and IEC activity 4 (total)</t>
  </si>
  <si>
    <t>Number of social mobilisation and IEC activity 5 (total)</t>
  </si>
  <si>
    <t>Number of social mobilisation and IEC activity 6 (total)</t>
  </si>
  <si>
    <t>Number of social mobilisation and IEC activity 7 (total)</t>
  </si>
  <si>
    <t>Number of social mobilisation and IEC activity 8 (total)</t>
  </si>
  <si>
    <t>Number of single vaccination activity 1 (total)</t>
  </si>
  <si>
    <t>Number of single vaccination activity 2 (total)</t>
  </si>
  <si>
    <t>Number of group vaccination activity 1 (total)</t>
  </si>
  <si>
    <t>Number of group vaccination activity 2 (total)</t>
  </si>
  <si>
    <t>Number of supervision activity 1 (total)</t>
  </si>
  <si>
    <t>Number of supervision activity 2 (total)</t>
  </si>
  <si>
    <t>Number of supervision activity 3 (total)</t>
  </si>
  <si>
    <t>Number of supervision activity 4 (total)</t>
  </si>
  <si>
    <t>Number of supervision activity 5 (total)</t>
  </si>
  <si>
    <t>Number of supervision activity 6 (total)</t>
  </si>
  <si>
    <t>Number of supervision activity 7 (total)</t>
  </si>
  <si>
    <t>Number of other recurrent activity 1 (total)</t>
  </si>
  <si>
    <t>Number of other recurrent activity 2 (total)</t>
  </si>
  <si>
    <t>Number of other recurrent activity 3 (total)</t>
  </si>
  <si>
    <t>Number of other recurrent activity 4 (total)</t>
  </si>
  <si>
    <t>Number of other recurrent activity 5 (total)</t>
  </si>
  <si>
    <t>Number of other capital investment 1 (total)</t>
  </si>
  <si>
    <t>Db_OthCap1Num</t>
  </si>
  <si>
    <t>Db_Micro1Num</t>
  </si>
  <si>
    <t>Db_Micro2Num</t>
  </si>
  <si>
    <t>Db_Micro3Num</t>
  </si>
  <si>
    <t>Db_Micro4Num</t>
  </si>
  <si>
    <t>Db_Train1Num</t>
  </si>
  <si>
    <t>Db_Train2Num</t>
  </si>
  <si>
    <t>Db_Train3Num</t>
  </si>
  <si>
    <t>Db_Train4Num</t>
  </si>
  <si>
    <t>Db_Sen2Num</t>
  </si>
  <si>
    <t>Db_Sen3Num</t>
  </si>
  <si>
    <t>Db_Sen4Num</t>
  </si>
  <si>
    <t>Db_Sen5Num</t>
  </si>
  <si>
    <t>Db_Sen6Num</t>
  </si>
  <si>
    <t>Db_Soc1Num</t>
  </si>
  <si>
    <t>Db_Soc2Num</t>
  </si>
  <si>
    <t>Db_Soc3Num</t>
  </si>
  <si>
    <t>Db_Soc4Num</t>
  </si>
  <si>
    <t>Db_Soc5Num</t>
  </si>
  <si>
    <t>Db_Soc6Num</t>
  </si>
  <si>
    <t>Db_Soc7Num</t>
  </si>
  <si>
    <t>Db_Soc8Num</t>
  </si>
  <si>
    <t>Db_Sup1Num</t>
  </si>
  <si>
    <t>Db_Sup2Num</t>
  </si>
  <si>
    <t>Db_Sup3Num</t>
  </si>
  <si>
    <t>Db_Sup4Num</t>
  </si>
  <si>
    <t>Db_Sup5Num</t>
  </si>
  <si>
    <t>Db_Sup6Num</t>
  </si>
  <si>
    <t>Db_Sup7Num</t>
  </si>
  <si>
    <t>Db_OthRecur1Num</t>
  </si>
  <si>
    <t>Db_OthRecur2Num</t>
  </si>
  <si>
    <t>Db_OthRecur3Num</t>
  </si>
  <si>
    <t>Db_OthRecur4Num</t>
  </si>
  <si>
    <t>Db_OthRecur5Num</t>
  </si>
  <si>
    <t>Db_Sen1Num</t>
  </si>
  <si>
    <t>Number of other capital investment 2 (total)</t>
  </si>
  <si>
    <t>Number of other capital investment 3 (total)</t>
  </si>
  <si>
    <t>Number of other capital investment 4 (total)</t>
  </si>
  <si>
    <t>Number of other capital investment 5 (total)</t>
  </si>
  <si>
    <t>Number of other capital investment 6 (total)</t>
  </si>
  <si>
    <t>Db_OthCap2Num</t>
  </si>
  <si>
    <t>Db_OthCap3Num</t>
  </si>
  <si>
    <t>Db_OthCap4Num</t>
  </si>
  <si>
    <t>Db_OthCap5Num</t>
  </si>
  <si>
    <t>Db_OthCap6Num</t>
  </si>
  <si>
    <t>Number of other capital investment 7 (total)</t>
  </si>
  <si>
    <t>Number of other capital investment 8 (total)</t>
  </si>
  <si>
    <t>Number of other capital investment 9 (total)</t>
  </si>
  <si>
    <t>Number of other capital investment 10 (total)</t>
  </si>
  <si>
    <t>Db_OthCap7Num</t>
  </si>
  <si>
    <t>Db_OthCap8Num</t>
  </si>
  <si>
    <t>Db_OthCap9Num</t>
  </si>
  <si>
    <t>Db_OthCap10Num</t>
  </si>
  <si>
    <t>Db_Dose1</t>
  </si>
  <si>
    <t>Db_Dose2</t>
  </si>
  <si>
    <t>Db_VacSV1Num</t>
  </si>
  <si>
    <t>Db_VacSV2Num</t>
  </si>
  <si>
    <t>Db_VacGV1Num</t>
  </si>
  <si>
    <t>Db_VacGV2Num</t>
  </si>
  <si>
    <t>Number of doses administered (first dose - Group 1 - Subgroup 1 - year 1)</t>
  </si>
  <si>
    <t>Db_Dose1_G1SG1_y1</t>
  </si>
  <si>
    <t>Number of doses administered (first dose - Group 1 - Subgroup 1 - year 2)</t>
  </si>
  <si>
    <t>Number of doses administered (first dose - Group 1 - Subgroup 1 - year 3)</t>
  </si>
  <si>
    <t>Number of doses administered (first dose - Group 1 - Subgroup 1 - year 4)</t>
  </si>
  <si>
    <t>Number of doses administered (first dose - Group 1 - Subgroup 1 - year 5)</t>
  </si>
  <si>
    <t>Db_Dose1_G1SG1_y2</t>
  </si>
  <si>
    <t>Db_Dose1_G1SG1_y3</t>
  </si>
  <si>
    <t>Db_Dose1_G1SG1_y5</t>
  </si>
  <si>
    <t>Db_Dose1_G1SG1_y4</t>
  </si>
  <si>
    <t>Number of doses administered (first dose - Group 1 - Subgroup 2 - year 1)</t>
  </si>
  <si>
    <t>Number of doses administered (first dose - Group 1 - Subgroup 2 - year 2)</t>
  </si>
  <si>
    <t>Number of doses administered (first dose - Group 1 - Subgroup 2 - year 3)</t>
  </si>
  <si>
    <t>Number of doses administered (first dose - Group 1 - Subgroup 2 - year 4)</t>
  </si>
  <si>
    <t>Number of doses administered (first dose - Group 1 - Subgroup 2 - year 5)</t>
  </si>
  <si>
    <t>Db_Dose1_G1SG2_y1</t>
  </si>
  <si>
    <t>Db_Dose1_G1SG2_y2</t>
  </si>
  <si>
    <t>Db_Dose1_G1SG2_y3</t>
  </si>
  <si>
    <t>Db_Dose1_G1SG2_y4</t>
  </si>
  <si>
    <t>Db_Dose1_G1SG2_y5</t>
  </si>
  <si>
    <t>Number of doses administered (first dose - Group 2 - Subgroup 1 - year 1)</t>
  </si>
  <si>
    <t>Number of doses administered (first dose - Group 2 - Subgroup 1 - year 2)</t>
  </si>
  <si>
    <t>Number of doses administered (first dose - Group 2 - Subgroup 1 - year 3)</t>
  </si>
  <si>
    <t>Number of doses administered (first dose - Group 2 - Subgroup 1 - year 4)</t>
  </si>
  <si>
    <t>Number of doses administered (first dose - Group 2 - Subgroup 1 - year 5)</t>
  </si>
  <si>
    <t>Number of doses administered (first dose - Group 2 - Subgroup 2 - year 1)</t>
  </si>
  <si>
    <t>Number of doses administered (first dose - Group 2 - Subgroup 2 - year 2)</t>
  </si>
  <si>
    <t>Number of doses administered (first dose - Group 2 - Subgroup 2 - year 3)</t>
  </si>
  <si>
    <t>Number of doses administered (first dose - Group 2 - Subgroup 2 - year 4)</t>
  </si>
  <si>
    <t>Number of doses administered (first dose - Group 2 - Subgroup 2 - year 5)</t>
  </si>
  <si>
    <t>Db_Dose1_G2SG1_y1</t>
  </si>
  <si>
    <t>Db_Dose1_G2SG1_y2</t>
  </si>
  <si>
    <t>Db_Dose1_G2SG1_y3</t>
  </si>
  <si>
    <t>Db_Dose1_G2SG1_y4</t>
  </si>
  <si>
    <t>Db_Dose1_G2SG1_y5</t>
  </si>
  <si>
    <t>Db_Dose1_G2SG2_y1</t>
  </si>
  <si>
    <t>Db_Dose1_G2SG2_y2</t>
  </si>
  <si>
    <t>Db_Dose1_G2SG2_y3</t>
  </si>
  <si>
    <t>Db_Dose1_G2SG2_y4</t>
  </si>
  <si>
    <t>Db_Dose1_G2SG2_y5</t>
  </si>
  <si>
    <t>Number of doses administered (second dose - Group 1 - Subgroup 1 - year 1)</t>
  </si>
  <si>
    <t>Number of doses administered (second dose - Group 1 - Subgroup 1 - year 2)</t>
  </si>
  <si>
    <t>Number of doses administered (second dose - Group 1 - Subgroup 1 - year 3)</t>
  </si>
  <si>
    <t>Number of doses administered (second dose - Group 1 - Subgroup 1 - year 4)</t>
  </si>
  <si>
    <t>Number of doses administered (second dose - Group 1 - Subgroup 1 - year 5)</t>
  </si>
  <si>
    <t>Number of doses administered (second dose - Group 1 - Subgroup 2 - year 1)</t>
  </si>
  <si>
    <t>Number of doses administered (second dose - Group 1 - Subgroup 2 - year 2)</t>
  </si>
  <si>
    <t>Number of doses administered (second dose - Group 1 - Subgroup 2 - year 3)</t>
  </si>
  <si>
    <t>Number of doses administered (second dose - Group 1 - Subgroup 2 - year 4)</t>
  </si>
  <si>
    <t>Number of doses administered (second dose - Group 1 - Subgroup 2 - year 5)</t>
  </si>
  <si>
    <t>Number of doses administered (second dose - Group 2 - Subgroup 1 - year 1)</t>
  </si>
  <si>
    <t>Number of doses administered (second dose - Group 2 - Subgroup 1 - year 2)</t>
  </si>
  <si>
    <t>Number of doses administered (second dose - Group 2 - Subgroup 1 - year 3)</t>
  </si>
  <si>
    <t>Number of doses administered (second dose - Group 2 - Subgroup 1 - year 4)</t>
  </si>
  <si>
    <t>Number of doses administered (second dose - Group 2 - Subgroup 1 - year 5)</t>
  </si>
  <si>
    <t>Number of doses administered (second dose - Group 2 - Subgroup 2 - year 1)</t>
  </si>
  <si>
    <t>Number of doses administered (second dose - Group 2 - Subgroup 2 - year 2)</t>
  </si>
  <si>
    <t>Number of doses administered (second dose - Group 2 - Subgroup 2 - year 3)</t>
  </si>
  <si>
    <t>Number of doses administered (second dose - Group 2 - Subgroup 2 - year 4)</t>
  </si>
  <si>
    <t>Number of doses administered (second dose - Group 2 - Subgroup 2 - year 5)</t>
  </si>
  <si>
    <t>Db_Dose2_G1SG1_y1</t>
  </si>
  <si>
    <t>Db_Dose2_G1SG1_y2</t>
  </si>
  <si>
    <t>Db_Dose2_G1SG1_y3</t>
  </si>
  <si>
    <t>Db_Dose2_G1SG1_y4</t>
  </si>
  <si>
    <t>Db_Dose2_G1SG1_y5</t>
  </si>
  <si>
    <t>Db_Dose2_G1SG2_y1</t>
  </si>
  <si>
    <t>Db_Dose2_G1SG2_y2</t>
  </si>
  <si>
    <t>Db_Dose2_G1SG2_y3</t>
  </si>
  <si>
    <t>Db_Dose2_G1SG2_y4</t>
  </si>
  <si>
    <t>Db_Dose2_G1SG2_y5</t>
  </si>
  <si>
    <t>Db_Dose2_G2SG1_y1</t>
  </si>
  <si>
    <t>Db_Dose2_G2SG1_y2</t>
  </si>
  <si>
    <t>Db_Dose2_G2SG1_y3</t>
  </si>
  <si>
    <t>Db_Dose2_G2SG1_y4</t>
  </si>
  <si>
    <t>Db_Dose2_G2SG1_y5</t>
  </si>
  <si>
    <t>Db_Dose2_G2SG2_y1</t>
  </si>
  <si>
    <t>Db_Dose2_G2SG2_y2</t>
  </si>
  <si>
    <t>Db_Dose2_G2SG2_y3</t>
  </si>
  <si>
    <t>Db_Dose2_G2SG2_y4</t>
  </si>
  <si>
    <t>Db_Dose2_G2SG2_y5</t>
  </si>
  <si>
    <t>Number of doses administered (first dose - single vaccination activity 1 - year 1 - prospective)</t>
  </si>
  <si>
    <t>Number of doses administered (first dose - single vaccination activity 1 - year 2 - prospective)</t>
  </si>
  <si>
    <t>Number of doses administered (first dose - single vaccination activity 1 - year 3 - prospective)</t>
  </si>
  <si>
    <t>Number of doses administered (first dose - single vaccination activity 1 - year 4 - prospective)</t>
  </si>
  <si>
    <t>Number of doses administered (first dose - single vaccination activity 1 - year 5 - prospective)</t>
  </si>
  <si>
    <t>Db_Dose1_SV1_y1_pro</t>
  </si>
  <si>
    <t>Db_Dose1_SV1_y2_pro</t>
  </si>
  <si>
    <t>Db_Dose1_SV1_y3_pro</t>
  </si>
  <si>
    <t>Db_Dose1_SV1_y4_pro</t>
  </si>
  <si>
    <t>Db_Dose1_SV1_y5_pro</t>
  </si>
  <si>
    <t>Number of doses administered (first dose - single vaccination activity 2 - year 1 - prospective)</t>
  </si>
  <si>
    <t>Number of doses administered (first dose - single vaccination activity 2 - year 2 - prospective)</t>
  </si>
  <si>
    <t>Number of doses administered (first dose - single vaccination activity 2 - year 3 - prospective)</t>
  </si>
  <si>
    <t>Number of doses administered (first dose - single vaccination activity 2 - year 4 - prospective)</t>
  </si>
  <si>
    <t>Number of doses administered (first dose - single vaccination activity 2 - year 5 - prospective)</t>
  </si>
  <si>
    <t>Db_Dose1_SV2_y1_pro</t>
  </si>
  <si>
    <t>Db_Dose1_SV2_y2_pro</t>
  </si>
  <si>
    <t>Db_Dose1_SV2_y3_pro</t>
  </si>
  <si>
    <t>Db_Dose1_SV2_y4_pro</t>
  </si>
  <si>
    <t>Db_Dose1_SV2_y5_pro</t>
  </si>
  <si>
    <t>Number of doses administered (first dose - group vaccination activity 1 - year 1 - prospective)</t>
  </si>
  <si>
    <t>Number of doses administered (first dose - group vaccination activity 1 - year 2 - prospective)</t>
  </si>
  <si>
    <t>Number of doses administered (first dose - group vaccination activity 1 - year 3 - prospective)</t>
  </si>
  <si>
    <t>Number of doses administered (first dose - group vaccination activity 1 - year 4 - prospective)</t>
  </si>
  <si>
    <t>Number of doses administered (first dose - group vaccination activity 1 - year 5 - prospective)</t>
  </si>
  <si>
    <t>Number of doses administered (first dose - group vaccination activity 2 - year 1 - prospective)</t>
  </si>
  <si>
    <t>Number of doses administered (first dose - group vaccination activity 2 - year 2 - prospective)</t>
  </si>
  <si>
    <t>Number of doses administered (first dose - group vaccination activity 2 - year 3 - prospective)</t>
  </si>
  <si>
    <t>Number of doses administered (first dose - group vaccination activity 2 - year 4 - prospective)</t>
  </si>
  <si>
    <t>Number of doses administered (first dose - group vaccination activity 2 - year 5 - prospective)</t>
  </si>
  <si>
    <t>Db_Dose1_GV1_y1_pro</t>
  </si>
  <si>
    <t>Db_Dose1_GV1_y2_pro</t>
  </si>
  <si>
    <t>Db_Dose1_GV1_y3_pro</t>
  </si>
  <si>
    <t>Db_Dose1_GV1_y4_pro</t>
  </si>
  <si>
    <t>Db_Dose1_GV1_y5_pro</t>
  </si>
  <si>
    <t>Db_Dose1_GV2_y1_pro</t>
  </si>
  <si>
    <t>Db_Dose1_GV2_y2_pro</t>
  </si>
  <si>
    <t>Db_Dose1_GV2_y3_pro</t>
  </si>
  <si>
    <t>Db_Dose1_GV2_y4_pro</t>
  </si>
  <si>
    <t>Db_Dose1_GV2_y5_pro</t>
  </si>
  <si>
    <t>Number of doses administered (second dose - single vaccination activity 1 - year 1 - prospective)</t>
  </si>
  <si>
    <t>Number of doses administered (second dose - single vaccination activity 1 - year 2 - prospective)</t>
  </si>
  <si>
    <t>Number of doses administered (second dose - single vaccination activity 1 - year 3 - prospective)</t>
  </si>
  <si>
    <t>Number of doses administered (second dose - single vaccination activity 1 - year 4 - prospective)</t>
  </si>
  <si>
    <t>Number of doses administered (second dose - single vaccination activity 1 - year 5 - prospective)</t>
  </si>
  <si>
    <t>Number of doses administered (second dose - single vaccination activity 2 - year 1 - prospective)</t>
  </si>
  <si>
    <t>Number of doses administered (second dose - single vaccination activity 2 - year 2 - prospective)</t>
  </si>
  <si>
    <t>Number of doses administered (second dose - single vaccination activity 2 - year 3 - prospective)</t>
  </si>
  <si>
    <t>Number of doses administered (second dose - single vaccination activity 2 - year 4 - prospective)</t>
  </si>
  <si>
    <t>Number of doses administered (second dose - single vaccination activity 2 - year 5 - prospective)</t>
  </si>
  <si>
    <t>Number of doses administered (second dose - group vaccination activity 1 - year 1 - prospective)</t>
  </si>
  <si>
    <t>Number of doses administered (second dose - group vaccination activity 1 - year 2 - prospective)</t>
  </si>
  <si>
    <t>Number of doses administered (second dose - group vaccination activity 1 - year 3 - prospective)</t>
  </si>
  <si>
    <t>Number of doses administered (second dose - group vaccination activity 1 - year 4 - prospective)</t>
  </si>
  <si>
    <t>Number of doses administered (second dose - group vaccination activity 1 - year 5 - prospective)</t>
  </si>
  <si>
    <t>Number of doses administered (second dose - group vaccination activity 2 - year 1 - prospective)</t>
  </si>
  <si>
    <t>Number of doses administered (second dose - group vaccination activity 2 - year 2 - prospective)</t>
  </si>
  <si>
    <t>Number of doses administered (second dose - group vaccination activity 2 - year 3 - prospective)</t>
  </si>
  <si>
    <t>Number of doses administered (second dose - group vaccination activity 2 - year 4 - prospective)</t>
  </si>
  <si>
    <t>Number of doses administered (second dose - group vaccination activity 2 - year 5 - prospective)</t>
  </si>
  <si>
    <t>Db_Dose2_SV1_y1_pro</t>
  </si>
  <si>
    <t>Db_Dose2_SV1_y2_pro</t>
  </si>
  <si>
    <t>Db_Dose2_SV1_y3_pro</t>
  </si>
  <si>
    <t>Db_Dose2_SV1_y4_pro</t>
  </si>
  <si>
    <t>Db_Dose2_SV1_y5_pro</t>
  </si>
  <si>
    <t>Db_Dose2_SV2_y1_pro</t>
  </si>
  <si>
    <t>Db_Dose2_SV2_y2_pro</t>
  </si>
  <si>
    <t>Db_Dose2_SV2_y3_pro</t>
  </si>
  <si>
    <t>Db_Dose2_SV2_y4_pro</t>
  </si>
  <si>
    <t>Db_Dose2_SV2_y5_pro</t>
  </si>
  <si>
    <t>Db_Dose2_GV1_y1_pro</t>
  </si>
  <si>
    <t>Db_Dose2_GV1_y2_pro</t>
  </si>
  <si>
    <t>Db_Dose2_GV1_y3_pro</t>
  </si>
  <si>
    <t>Db_Dose2_GV1_y4_pro</t>
  </si>
  <si>
    <t>Db_Dose2_GV1_y5_pro</t>
  </si>
  <si>
    <t>Db_Dose2_GV2_y1_pro</t>
  </si>
  <si>
    <t>Db_Dose2_GV2_y2_pro</t>
  </si>
  <si>
    <t>Db_Dose2_GV2_y3_pro</t>
  </si>
  <si>
    <t>Db_Dose2_GV2_y4_pro</t>
  </si>
  <si>
    <t>Db_Dose2_GV2_y5_pro</t>
  </si>
  <si>
    <t>Number of doses administered (first dose - single vaccination activity 1 - year 2 - retrospective)</t>
  </si>
  <si>
    <t>Number of doses administered (first dose - single vaccination activity 1 - year 3 - retrospective)</t>
  </si>
  <si>
    <t>Number of doses administered (first dose - single vaccination activity 1 - year 4 - retrospective)</t>
  </si>
  <si>
    <t>Number of doses administered (first dose - single vaccination activity 1 - year 5 - retrospective)</t>
  </si>
  <si>
    <t>Number of doses administered (first dose - single vaccination activity 2 - year 1 - retrospective)</t>
  </si>
  <si>
    <t>Number of doses administered (first dose - single vaccination activity 2 - year 2 - retrospective)</t>
  </si>
  <si>
    <t>Number of doses administered (first dose - single vaccination activity 2 - year 3 - retrospective)</t>
  </si>
  <si>
    <t>Number of doses administered (first dose - single vaccination activity 2 - year 4 - retrospective)</t>
  </si>
  <si>
    <t>Number of doses administered (first dose - single vaccination activity 2 - year 5 - retrospective)</t>
  </si>
  <si>
    <t>Number of doses administered (first dose - group vaccination activity 1 - year 1 - retrospective)</t>
  </si>
  <si>
    <t>Number of doses administered (first dose - group vaccination activity 1 - year 2 - retrospective)</t>
  </si>
  <si>
    <t>Number of doses administered (first dose - group vaccination activity 1 - year 3 - retrospective)</t>
  </si>
  <si>
    <t>Number of doses administered (first dose - group vaccination activity 1 - year 4 - retrospective)</t>
  </si>
  <si>
    <t>Number of doses administered (first dose - group vaccination activity 1 - year 5 - retrospective)</t>
  </si>
  <si>
    <t>Number of doses administered (first dose - group vaccination activity 2 - year 1 - retrospective)</t>
  </si>
  <si>
    <t>Number of doses administered (first dose - group vaccination activity 2 - year 2 - retrospective)</t>
  </si>
  <si>
    <t>Number of doses administered (first dose - group vaccination activity 2 - year 3 - retrospective)</t>
  </si>
  <si>
    <t>Number of doses administered (first dose - group vaccination activity 2 - year 4 - retrospective)</t>
  </si>
  <si>
    <t>Number of doses administered (first dose - group vaccination activity 2 - year 5 - retrospective)</t>
  </si>
  <si>
    <t>Number of doses administered (second dose - single vaccination activity 1 - year 1 - retrospective)</t>
  </si>
  <si>
    <t>Number of doses administered (second dose - single vaccination activity 1 - year 2 - retrospective)</t>
  </si>
  <si>
    <t>Number of doses administered (second dose - single vaccination activity 1 - year 3 - retrospective)</t>
  </si>
  <si>
    <t>Number of doses administered (second dose - single vaccination activity 1 - year 4 - retrospective)</t>
  </si>
  <si>
    <t>Number of doses administered (second dose - single vaccination activity 1 - year 5 - retrospective)</t>
  </si>
  <si>
    <t>Number of doses administered (second dose - single vaccination activity 2 - year 1 - retrospective)</t>
  </si>
  <si>
    <t>Number of doses administered (second dose - single vaccination activity 2 - year 2 - retrospective)</t>
  </si>
  <si>
    <t>Number of doses administered (second dose - single vaccination activity 2 - year 3 - retrospective)</t>
  </si>
  <si>
    <t>Number of doses administered (second dose - single vaccination activity 2 - year 4 - retrospective)</t>
  </si>
  <si>
    <t>Number of doses administered (second dose - single vaccination activity 2 - year 5 - retrospective)</t>
  </si>
  <si>
    <t>Number of doses administered (second dose - group vaccination activity 1 - year 1 - retrospective)</t>
  </si>
  <si>
    <t>Number of doses administered (second dose - group vaccination activity 1 - year 2 - retrospective)</t>
  </si>
  <si>
    <t>Number of doses administered (second dose - group vaccination activity 1 - year 3 - retrospective)</t>
  </si>
  <si>
    <t>Number of doses administered (second dose - group vaccination activity 1 - year 4 - retrospective)</t>
  </si>
  <si>
    <t>Number of doses administered (second dose - group vaccination activity 1 - year 5 - retrospective)</t>
  </si>
  <si>
    <t>Number of doses administered (second dose - group vaccination activity 2 - year 1 - retrospective)</t>
  </si>
  <si>
    <t>Number of doses administered (second dose - group vaccination activity 2 - year 2 - retrospective)</t>
  </si>
  <si>
    <t>Number of doses administered (second dose - group vaccination activity 2 - year 3 - retrospective)</t>
  </si>
  <si>
    <t>Number of doses administered (second dose - group vaccination activity 2 - year 4 - retrospective)</t>
  </si>
  <si>
    <t>Number of doses administered (second dose - group vaccination activity 2 - year 5 - retrospective)</t>
  </si>
  <si>
    <t>Number of doses administered (first dose - single vaccination activity 1 - year 1 - retrospective)</t>
  </si>
  <si>
    <t>Db_Dose1_SV1_y1_retro</t>
  </si>
  <si>
    <t>Db_Dose1_SV1_y2_retro</t>
  </si>
  <si>
    <t>Db_Dose1_SV1_y3_retro</t>
  </si>
  <si>
    <t>Db_Dose1_SV1_y4_retro</t>
  </si>
  <si>
    <t>Db_Dose1_SV1_y5_retro</t>
  </si>
  <si>
    <t>Db_Dose1_SV2_y1_retro</t>
  </si>
  <si>
    <t>Db_Dose1_SV2_y2_retro</t>
  </si>
  <si>
    <t>Db_Dose1_SV2_y3_retro</t>
  </si>
  <si>
    <t>Db_Dose1_SV2_y4_retro</t>
  </si>
  <si>
    <t>Db_Dose1_SV2_y5_retro</t>
  </si>
  <si>
    <t>Db_Dose1_GV1_y1_retro</t>
  </si>
  <si>
    <t>Db_Dose1_GV1_y2_retro</t>
  </si>
  <si>
    <t>Db_Dose1_GV1_y3_retro</t>
  </si>
  <si>
    <t>Db_Dose1_GV1_y4_retro</t>
  </si>
  <si>
    <t>Db_Dose1_GV1_y5_retro</t>
  </si>
  <si>
    <t>Db_Dose1_GV2_y1_retro</t>
  </si>
  <si>
    <t>Db_Dose1_GV2_y2_retro</t>
  </si>
  <si>
    <t>Db_Dose1_GV2_y3_retro</t>
  </si>
  <si>
    <t>Db_Dose1_GV2_y4_retro</t>
  </si>
  <si>
    <t>Db_Dose1_GV2_y5_retro</t>
  </si>
  <si>
    <t>Db_Dose2_SV1_y1_retro</t>
  </si>
  <si>
    <t>Db_Dose2_SV1_y2_retro</t>
  </si>
  <si>
    <t>Db_Dose2_SV1_y3_retro</t>
  </si>
  <si>
    <t>Db_Dose2_SV1_y4_retro</t>
  </si>
  <si>
    <t>Db_Dose2_SV1_y5_retro</t>
  </si>
  <si>
    <t>Db_Dose2_SV2_y1_retro</t>
  </si>
  <si>
    <t>Db_Dose2_SV2_y2_retro</t>
  </si>
  <si>
    <t>Db_Dose2_SV2_y3_retro</t>
  </si>
  <si>
    <t>Db_Dose2_SV2_y4_retro</t>
  </si>
  <si>
    <t>Db_Dose2_SV2_y5_retro</t>
  </si>
  <si>
    <t>Db_Dose2_GV1_y1_retro</t>
  </si>
  <si>
    <t>Db_Dose2_GV1_y2_retro</t>
  </si>
  <si>
    <t>Db_Dose2_GV1_y3_retro</t>
  </si>
  <si>
    <t>Db_Dose2_GV1_y4_retro</t>
  </si>
  <si>
    <t>Db_Dose2_GV1_y5_retro</t>
  </si>
  <si>
    <t>Db_Dose2_GV2_y1_retro</t>
  </si>
  <si>
    <t>Db_Dose2_GV2_y2_retro</t>
  </si>
  <si>
    <t>Db_Dose2_GV2_y3_retro</t>
  </si>
  <si>
    <t>Db_Dose2_GV2_y4_retro</t>
  </si>
  <si>
    <t>Db_Dose2_GV2_y5_retro</t>
  </si>
  <si>
    <t>Subsidy for vaccine as a proportion of procurement cost</t>
  </si>
  <si>
    <t>Subsidy for injection syringe as a proportion of procurement cost</t>
  </si>
  <si>
    <t>Subsidy for safety box as a proportion of procurement cost</t>
  </si>
  <si>
    <t>Old database</t>
  </si>
  <si>
    <t>WorldBankDat_transformed</t>
  </si>
  <si>
    <t>DTP3coverage</t>
  </si>
  <si>
    <t>WHOregion</t>
  </si>
  <si>
    <t>Coding (if any)</t>
  </si>
  <si>
    <t>Percentage of population in urban areas</t>
  </si>
  <si>
    <t>DPT3 coverage</t>
  </si>
  <si>
    <t>LABELS!E8</t>
  </si>
  <si>
    <t>TS_First_Fin_Yr</t>
  </si>
  <si>
    <t>TIME_SERIES!H6</t>
  </si>
  <si>
    <t>1=Cost projection
2=Retrospective costing</t>
  </si>
  <si>
    <t>Gross domestic product (GDP) inflation rate in the United States</t>
  </si>
  <si>
    <t>ECONOMICS!E14</t>
  </si>
  <si>
    <t>ECONOMICS!E15</t>
  </si>
  <si>
    <t>ECONOMICS!E20</t>
  </si>
  <si>
    <t>ECONOMICS!E22</t>
  </si>
  <si>
    <t>LABELS!E21</t>
  </si>
  <si>
    <t>LABELS!E22</t>
  </si>
  <si>
    <t>LABELS!E25</t>
  </si>
  <si>
    <t>LABELS!E26</t>
  </si>
  <si>
    <t>LABELS!E53</t>
  </si>
  <si>
    <t>LABELS!E54</t>
  </si>
  <si>
    <t>LABELS!E57</t>
  </si>
  <si>
    <t>LABELS!E58</t>
  </si>
  <si>
    <t>Db_SerTypeSV1</t>
  </si>
  <si>
    <t>Db_SerTypeSV2</t>
  </si>
  <si>
    <t>Db_SerTypeGV1</t>
  </si>
  <si>
    <t>Db_SerTypeGV2</t>
  </si>
  <si>
    <t>Number of schools receiving group vaccination visits (year 1)</t>
  </si>
  <si>
    <t>Average number of target population group 1 per school (year 1)</t>
  </si>
  <si>
    <t>Average number of target population group 2 per school (year 1)</t>
  </si>
  <si>
    <t>Number of health facilities providing HPV vaccination (year 1)</t>
  </si>
  <si>
    <t>Number of health facilities conducting routine HPV vaccination outreach services (year 1)</t>
  </si>
  <si>
    <t>Average number of routine outreach vaccination activities per health facility per year (year 1)</t>
  </si>
  <si>
    <t>Average number of persons vaccinated during a routine outreach service activity (year 1)</t>
  </si>
  <si>
    <t>Db_TarPopG1PerSch_y1</t>
  </si>
  <si>
    <t>Db_TarPopG2PerSch_y1</t>
  </si>
  <si>
    <t>Db_HF_SV_Num_y1</t>
  </si>
  <si>
    <t>Db_SchNum_y1</t>
  </si>
  <si>
    <t>Db_HF_Out_Num_y1</t>
  </si>
  <si>
    <t>Db_OutNumPerHFyr_y1</t>
  </si>
  <si>
    <t>Db_DosePerOut_y1</t>
  </si>
  <si>
    <t>Number of schools receiving group vaccination visits (year 2)</t>
  </si>
  <si>
    <t>Number of schools receiving group vaccination visits (year 3)</t>
  </si>
  <si>
    <t>Number of schools receiving group vaccination visits (year 4)</t>
  </si>
  <si>
    <t>Number of schools receiving group vaccination visits (year 5)</t>
  </si>
  <si>
    <t>Db_SchNum_y2</t>
  </si>
  <si>
    <t>Db_SchNum_y3</t>
  </si>
  <si>
    <t>Db_SchNum_y4</t>
  </si>
  <si>
    <t>Db_SchNum_y5</t>
  </si>
  <si>
    <t>Average number of target population group 1 per school (year 2)</t>
  </si>
  <si>
    <t>Average number of target population group 1 per school (year 3)</t>
  </si>
  <si>
    <t>Average number of target population group 1 per school (year 4)</t>
  </si>
  <si>
    <t>Average number of target population group 1 per school (year 5)</t>
  </si>
  <si>
    <t>Db_TarPopG1PerSch_y2</t>
  </si>
  <si>
    <t>Db_TarPopG1PerSch_y3</t>
  </si>
  <si>
    <t>Db_TarPopG1PerSch_y4</t>
  </si>
  <si>
    <t>Db_TarPopG1PerSch_y5</t>
  </si>
  <si>
    <t>Db_TarPopG2PerSch_y2</t>
  </si>
  <si>
    <t>Db_TarPopG2PerSch_y3</t>
  </si>
  <si>
    <t>Db_TarPopG2PerSch_y4</t>
  </si>
  <si>
    <t>Db_TarPopG2PerSch_y5</t>
  </si>
  <si>
    <t>Db_HF_SV_Num_y2</t>
  </si>
  <si>
    <t>Db_HF_SV_Num_y3</t>
  </si>
  <si>
    <t>Db_HF_SV_Num_y4</t>
  </si>
  <si>
    <t>Db_HF_SV_Num_y5</t>
  </si>
  <si>
    <t>Db_HF_Out_Num_y2</t>
  </si>
  <si>
    <t>Db_HF_Out_Num_y3</t>
  </si>
  <si>
    <t>Db_HF_Out_Num_y4</t>
  </si>
  <si>
    <t>Db_HF_Out_Num_y5</t>
  </si>
  <si>
    <t>Db_OutNumPerHFyr_y2</t>
  </si>
  <si>
    <t>Db_OutNumPerHFyr_y3</t>
  </si>
  <si>
    <t>Db_OutNumPerHFyr_y4</t>
  </si>
  <si>
    <t>Db_OutNumPerHFyr_y5</t>
  </si>
  <si>
    <t>Db_DosePerOut_y2</t>
  </si>
  <si>
    <t>Db_DosePerOut_y3</t>
  </si>
  <si>
    <t>Db_DosePerOut_y4</t>
  </si>
  <si>
    <t>Db_DosePerOut_y5</t>
  </si>
  <si>
    <t>Average number of target population group 2 per school (year 2)</t>
  </si>
  <si>
    <t>Average number of target population group 2 per school (year 3)</t>
  </si>
  <si>
    <t>Average number of target population group 2 per school (year 4)</t>
  </si>
  <si>
    <t>Average number of target population group 2 per school (year 5)</t>
  </si>
  <si>
    <t>Number of health facilities providing HPV vaccination (year 2)</t>
  </si>
  <si>
    <t>Number of health facilities providing HPV vaccination (year 3)</t>
  </si>
  <si>
    <t>Number of health facilities providing HPV vaccination (year 4)</t>
  </si>
  <si>
    <t>Number of health facilities providing HPV vaccination (year 5)</t>
  </si>
  <si>
    <t>Number of health facilities conducting routine HPV vaccination outreach services (year 2)</t>
  </si>
  <si>
    <t>Number of health facilities conducting routine HPV vaccination outreach services (year 3)</t>
  </si>
  <si>
    <t>Number of health facilities conducting routine HPV vaccination outreach services (year 4)</t>
  </si>
  <si>
    <t>Number of health facilities conducting routine HPV vaccination outreach services (year 5)</t>
  </si>
  <si>
    <t>Average number of routine outreach vaccination activities per health facility per year (year 2)</t>
  </si>
  <si>
    <t>Average number of routine outreach vaccination activities per health facility per year (year 3)</t>
  </si>
  <si>
    <t>Average number of routine outreach vaccination activities per health facility per year (year 4)</t>
  </si>
  <si>
    <t>Average number of routine outreach vaccination activities per health facility per year (year 5)</t>
  </si>
  <si>
    <t>Average number of persons vaccinated during a routine outreach service activity (year 2)</t>
  </si>
  <si>
    <t>Average number of persons vaccinated during a routine outreach service activity (year 3)</t>
  </si>
  <si>
    <t>Average number of persons vaccinated during a routine outreach service activity (year 4)</t>
  </si>
  <si>
    <t>Average number of persons vaccinated during a routine outreach service activity (year 5)</t>
  </si>
  <si>
    <t>COUNTS!J12</t>
  </si>
  <si>
    <t>COUNTS!K12</t>
  </si>
  <si>
    <t>COUNTS!L12</t>
  </si>
  <si>
    <t>COUNTS!M12</t>
  </si>
  <si>
    <t>COUNTS!N12</t>
  </si>
  <si>
    <t>COUNTS!J13</t>
  </si>
  <si>
    <t>COUNTS!J14</t>
  </si>
  <si>
    <t>COUNTS!J22</t>
  </si>
  <si>
    <t>COUNTS!J23</t>
  </si>
  <si>
    <t>COUNTS!J24</t>
  </si>
  <si>
    <t>COUNTS!J25</t>
  </si>
  <si>
    <t>COUNTS!K13</t>
  </si>
  <si>
    <t>COUNTS!L13</t>
  </si>
  <si>
    <t>COUNTS!M13</t>
  </si>
  <si>
    <t>COUNTS!N13</t>
  </si>
  <si>
    <t>COUNTS!K14</t>
  </si>
  <si>
    <t>COUNTS!L14</t>
  </si>
  <si>
    <t>COUNTS!M14</t>
  </si>
  <si>
    <t>COUNTS!N14</t>
  </si>
  <si>
    <t>COUNTS!K22</t>
  </si>
  <si>
    <t>COUNTS!L22</t>
  </si>
  <si>
    <t>COUNTS!M22</t>
  </si>
  <si>
    <t>COUNTS!N22</t>
  </si>
  <si>
    <t>COUNTS!K23</t>
  </si>
  <si>
    <t>COUNTS!L23</t>
  </si>
  <si>
    <t>COUNTS!M23</t>
  </si>
  <si>
    <t>COUNTS!N23</t>
  </si>
  <si>
    <t>COUNTS!K24</t>
  </si>
  <si>
    <t>COUNTS!L24</t>
  </si>
  <si>
    <t>COUNTS!M24</t>
  </si>
  <si>
    <t>COUNTS!N24</t>
  </si>
  <si>
    <t>COUNTS!K25</t>
  </si>
  <si>
    <t>COUNTS!L25</t>
  </si>
  <si>
    <t>COUNTS!M25</t>
  </si>
  <si>
    <t>COUNTS!N25</t>
  </si>
  <si>
    <t>Analysis!I22</t>
  </si>
  <si>
    <t>Target population size (Group 1 - Subgroup 1 - year 1)</t>
  </si>
  <si>
    <t>Target population size (Group 1 - Subgroup 1 - year 2)</t>
  </si>
  <si>
    <t>Target population size (Group 1 - Subgroup 1 - year 3)</t>
  </si>
  <si>
    <t>Target population size (Group 1 - Subgroup 1 - year 4)</t>
  </si>
  <si>
    <t>Target population size (Group 1 - Subgroup 1 - year 5)</t>
  </si>
  <si>
    <t>Db_TarPopSize_G1SG1_y1</t>
  </si>
  <si>
    <t>Db_TarPopSize_G1SG1_y2</t>
  </si>
  <si>
    <t>Db_TarPopSize_G1SG1_y3</t>
  </si>
  <si>
    <t>Db_TarPopSize_G1SG1_y4</t>
  </si>
  <si>
    <t>Db_TarPopSize_G1SG1_y5</t>
  </si>
  <si>
    <t>Target population size (Group 1 - Subgroup 2 - year 1)</t>
  </si>
  <si>
    <t>Db_TarPopSize_G1SG2_y1</t>
  </si>
  <si>
    <t>Target population size (Group 1 - Subgroup 2 - year 2)</t>
  </si>
  <si>
    <t>Target population size (Group 1 - Subgroup 2 - year 3)</t>
  </si>
  <si>
    <t>Target population size (Group 1 - Subgroup 2 - year 4)</t>
  </si>
  <si>
    <t>Target population size (Group 1 - Subgroup 2 - year 5)</t>
  </si>
  <si>
    <t>Db_TarPopSize_G1SG2_y2</t>
  </si>
  <si>
    <t>Db_TarPopSize_G1SG2_y3</t>
  </si>
  <si>
    <t>Db_TarPopSize_G1SG2_y4</t>
  </si>
  <si>
    <t>Db_TarPopSize_G1SG2_y5</t>
  </si>
  <si>
    <t>Target population size (Group 2 - Subgroup 1 - year 1)</t>
  </si>
  <si>
    <t>Target population size (Group 2 - Subgroup 1 - year 2)</t>
  </si>
  <si>
    <t>Target population size (Group 2 - Subgroup 1 - year 3)</t>
  </si>
  <si>
    <t>Target population size (Group 2 - Subgroup 1 - year 4)</t>
  </si>
  <si>
    <t>Target population size (Group 2 - Subgroup 1 - year 5)</t>
  </si>
  <si>
    <t>Target population size (Group 2 - Subgroup 2 - year 1)</t>
  </si>
  <si>
    <t>Target population size (Group 2 - Subgroup 2 - year 2)</t>
  </si>
  <si>
    <t>Target population size (Group 2 - Subgroup 2 - year 3)</t>
  </si>
  <si>
    <t>Target population size (Group 2 - Subgroup 2 - year 4)</t>
  </si>
  <si>
    <t>Target population size (Group 2 - Subgroup 2 - year 5)</t>
  </si>
  <si>
    <t>Db_TarPopSize_G2SG1_y1</t>
  </si>
  <si>
    <t>Db_TarPopSize_G2SG1_y2</t>
  </si>
  <si>
    <t>Db_TarPopSize_G2SG1_y3</t>
  </si>
  <si>
    <t>Db_TarPopSize_G2SG1_y4</t>
  </si>
  <si>
    <t>Db_TarPopSize_G2SG1_y5</t>
  </si>
  <si>
    <t>Db_TarPopSize_G2SG2_y1</t>
  </si>
  <si>
    <t>Db_TarPopSize_G2SG2_y2</t>
  </si>
  <si>
    <t>Db_TarPopSize_G2SG2_y3</t>
  </si>
  <si>
    <t>Db_TarPopSize_G2SG2_y4</t>
  </si>
  <si>
    <t>Db_TarPopSize_G2SG2_y5</t>
  </si>
  <si>
    <t>Analysis!J13</t>
  </si>
  <si>
    <t>Analysis!J14</t>
  </si>
  <si>
    <t>Analysis!J18</t>
  </si>
  <si>
    <t>Analysis!J19</t>
  </si>
  <si>
    <t>Analysis!K13</t>
  </si>
  <si>
    <t>Analysis!L13</t>
  </si>
  <si>
    <t>Analysis!M13</t>
  </si>
  <si>
    <t>Analysis!N13</t>
  </si>
  <si>
    <t>Analysis!K14</t>
  </si>
  <si>
    <t>Analysis!L14</t>
  </si>
  <si>
    <t>Analysis!M14</t>
  </si>
  <si>
    <t>Analysis!N14</t>
  </si>
  <si>
    <t>Analysis!K18</t>
  </si>
  <si>
    <t>Analysis!L18</t>
  </si>
  <si>
    <t>Analysis!M18</t>
  </si>
  <si>
    <t>Analysis!N18</t>
  </si>
  <si>
    <t>Analysis!K19</t>
  </si>
  <si>
    <t>Analysis!L19</t>
  </si>
  <si>
    <t>Analysis!M19</t>
  </si>
  <si>
    <t>Analysis!N19</t>
  </si>
  <si>
    <t>COUNTS_and_COVERAGE_Summary!J47</t>
  </si>
  <si>
    <t>COUNTS_and_COVERAGE_Summary!J48</t>
  </si>
  <si>
    <t>COUNTS_and_COVERAGE_Summary!J60</t>
  </si>
  <si>
    <t>COUNTS_and_COVERAGE_Summary!J61</t>
  </si>
  <si>
    <t>COUNTS_and_COVERAGE_Summary!J83</t>
  </si>
  <si>
    <t>COUNTS_and_COVERAGE_Summary!J84</t>
  </si>
  <si>
    <t>COUNTS_and_COVERAGE_Summary!J94</t>
  </si>
  <si>
    <t>COUNTS_and_COVERAGE_Summary!J95</t>
  </si>
  <si>
    <t>COUNTS_and_COVERAGE_Summary!K47</t>
  </si>
  <si>
    <t>COUNTS_and_COVERAGE_Summary!L47</t>
  </si>
  <si>
    <t>COUNTS_and_COVERAGE_Summary!M47</t>
  </si>
  <si>
    <t>COUNTS_and_COVERAGE_Summary!N47</t>
  </si>
  <si>
    <t>COUNTS_and_COVERAGE_Summary!K48</t>
  </si>
  <si>
    <t>COUNTS_and_COVERAGE_Summary!L48</t>
  </si>
  <si>
    <t>COUNTS_and_COVERAGE_Summary!M48</t>
  </si>
  <si>
    <t>COUNTS_and_COVERAGE_Summary!N48</t>
  </si>
  <si>
    <t>COUNTS_and_COVERAGE_Summary!K60</t>
  </si>
  <si>
    <t>COUNTS_and_COVERAGE_Summary!L60</t>
  </si>
  <si>
    <t>COUNTS_and_COVERAGE_Summary!M60</t>
  </si>
  <si>
    <t>COUNTS_and_COVERAGE_Summary!N60</t>
  </si>
  <si>
    <t>COUNTS_and_COVERAGE_Summary!K61</t>
  </si>
  <si>
    <t>COUNTS_and_COVERAGE_Summary!L61</t>
  </si>
  <si>
    <t>COUNTS_and_COVERAGE_Summary!M61</t>
  </si>
  <si>
    <t>COUNTS_and_COVERAGE_Summary!N61</t>
  </si>
  <si>
    <t>COUNTS_and_COVERAGE_Summary!K83</t>
  </si>
  <si>
    <t>COUNTS_and_COVERAGE_Summary!L83</t>
  </si>
  <si>
    <t>COUNTS_and_COVERAGE_Summary!M83</t>
  </si>
  <si>
    <t>COUNTS_and_COVERAGE_Summary!N83</t>
  </si>
  <si>
    <t>COUNTS_and_COVERAGE_Summary!K84</t>
  </si>
  <si>
    <t>COUNTS_and_COVERAGE_Summary!L84</t>
  </si>
  <si>
    <t>COUNTS_and_COVERAGE_Summary!M84</t>
  </si>
  <si>
    <t>COUNTS_and_COVERAGE_Summary!N84</t>
  </si>
  <si>
    <t>COUNTS_and_COVERAGE_Summary!K94</t>
  </si>
  <si>
    <t>COUNTS_and_COVERAGE_Summary!L94</t>
  </si>
  <si>
    <t>COUNTS_and_COVERAGE_Summary!M94</t>
  </si>
  <si>
    <t>COUNTS_and_COVERAGE_Summary!N94</t>
  </si>
  <si>
    <t>COUNTS_and_COVERAGE_Summary!K95</t>
  </si>
  <si>
    <t>COUNTS_and_COVERAGE_Summary!L95</t>
  </si>
  <si>
    <t>COUNTS_and_COVERAGE_Summary!M95</t>
  </si>
  <si>
    <t>COUNTS_and_COVERAGE_Summary!N95</t>
  </si>
  <si>
    <t>Foreign Currency</t>
  </si>
  <si>
    <t>Local Currency</t>
  </si>
  <si>
    <t>Monnaie étrangère</t>
  </si>
  <si>
    <t>Monnaie locale</t>
  </si>
  <si>
    <t>Dashboard and Analysis</t>
  </si>
  <si>
    <t>Cervical Cancer Prevention and Control Costing (C4P) Tool</t>
  </si>
  <si>
    <t>Outil d'évaluation des coûts de prévention et de contrôle du cancer du col utérin (C4P)</t>
  </si>
  <si>
    <t>Db_Inflation2017_FC</t>
  </si>
  <si>
    <t>Db_Inflation2017_LC</t>
  </si>
  <si>
    <t>Db_FC</t>
  </si>
  <si>
    <t>Db_LC</t>
  </si>
  <si>
    <t>Db_MicroCtotalF_FC</t>
  </si>
  <si>
    <t>Db_MicroCy1F_FC</t>
  </si>
  <si>
    <t>Db_MicroCy2F_FC</t>
  </si>
  <si>
    <t>Db_MicroCy3F_FC</t>
  </si>
  <si>
    <t>Db_MicroCy4F_FC</t>
  </si>
  <si>
    <t>Db_MicroCy5F_FC</t>
  </si>
  <si>
    <t>Db_TrainCtotalF_FC</t>
  </si>
  <si>
    <t>Db_TrainCy1F_FC</t>
  </si>
  <si>
    <t>Db_TrainCy2F_FC</t>
  </si>
  <si>
    <t>Db_TrainCy3F_FC</t>
  </si>
  <si>
    <t>Db_TrainCy4F_FC</t>
  </si>
  <si>
    <t>Db_TrainCy5F_FC</t>
  </si>
  <si>
    <t>Db_SenCtotalF_FC</t>
  </si>
  <si>
    <t>Db_SenCy1F_FC</t>
  </si>
  <si>
    <t>Db_SenCy2F_FC</t>
  </si>
  <si>
    <t>Db_SenCy3F_FC</t>
  </si>
  <si>
    <t>Db_SenCy4F_FC</t>
  </si>
  <si>
    <t>Db_SenCy5F_FC</t>
  </si>
  <si>
    <t>Db_SocCtotalF_FC</t>
  </si>
  <si>
    <t>Db_SocCy1F_FC</t>
  </si>
  <si>
    <t>Db_SocCy2F_FC</t>
  </si>
  <si>
    <t>Db_SocCy3F_FC</t>
  </si>
  <si>
    <t>Db_SocCy4F_FC</t>
  </si>
  <si>
    <t>Db_SocCy5F_FC</t>
  </si>
  <si>
    <t>Db_VacCtotalF_FC</t>
  </si>
  <si>
    <t>Db_VacCy1F_FC</t>
  </si>
  <si>
    <t>Db_VacCy2F_FC</t>
  </si>
  <si>
    <t>Db_VacCy3F_FC</t>
  </si>
  <si>
    <t>Db_VacCy4F_FC</t>
  </si>
  <si>
    <t>Db_VacCy5F_FC</t>
  </si>
  <si>
    <t>Db_SerCtotalF_FC</t>
  </si>
  <si>
    <t>Db_SerCy1F_FC</t>
  </si>
  <si>
    <t>Db_SerCy2F_FC</t>
  </si>
  <si>
    <t>Db_SerCy3F_FC</t>
  </si>
  <si>
    <t>Db_SerCy4F_FC</t>
  </si>
  <si>
    <t>Db_SerCy5F_FC</t>
  </si>
  <si>
    <t>Db_SerC_SV1_totalF_FC</t>
  </si>
  <si>
    <t>Db_SerC_SV1_y1F_FC</t>
  </si>
  <si>
    <t>Db_SerC_SV1_y2F_FC</t>
  </si>
  <si>
    <t>Db_SerC_SV1_y3F_FC</t>
  </si>
  <si>
    <t>Db_SerC_SV1_y4F_FC</t>
  </si>
  <si>
    <t>Db_SerC_SV1_y5F_FC</t>
  </si>
  <si>
    <t>Db_SerC_SV2_totalF_FC</t>
  </si>
  <si>
    <t>Db_SerC_SV2_y1F_FC</t>
  </si>
  <si>
    <t>Db_SerC_SV2_y2F_FC</t>
  </si>
  <si>
    <t>Db_SerC_SV2_y3F_FC</t>
  </si>
  <si>
    <t>Db_SerC_SV2_y4F_FC</t>
  </si>
  <si>
    <t>Db_SerC_SV2_y5F_FC</t>
  </si>
  <si>
    <t>Db_SerC_GV1_totalF_FC</t>
  </si>
  <si>
    <t>Db_SerC_GV1_y1F_FC</t>
  </si>
  <si>
    <t>Db_SerC_GV1_y2F_FC</t>
  </si>
  <si>
    <t>Db_SerC_GV1_y3F_FC</t>
  </si>
  <si>
    <t>Db_SerC_GV1_y4F_FC</t>
  </si>
  <si>
    <t>Db_SerC_GV1_y5F_FC</t>
  </si>
  <si>
    <t>Db_SerC_GV2_totalF_FC</t>
  </si>
  <si>
    <t>Db_SerC_GV2_y1F_FC</t>
  </si>
  <si>
    <t>Db_SerC_GV2_y2F_FC</t>
  </si>
  <si>
    <t>Db_SerC_GV2_y3F_FC</t>
  </si>
  <si>
    <t>Db_SerC_GV2_y4F_FC</t>
  </si>
  <si>
    <t>Db_SerC_GV2_y5F_FC</t>
  </si>
  <si>
    <t>Db_SupCtotalF_FC</t>
  </si>
  <si>
    <t>Db_SupCy1F_FC</t>
  </si>
  <si>
    <t>Db_SupCy2F_FC</t>
  </si>
  <si>
    <t>Db_SupCy3F_FC</t>
  </si>
  <si>
    <t>Db_SupCy4F_FC</t>
  </si>
  <si>
    <t>Db_SupCy5F_FC</t>
  </si>
  <si>
    <t>Db_ColdCtotalF_FC</t>
  </si>
  <si>
    <t>Db_ColdCy1F_FC</t>
  </si>
  <si>
    <t>Db_ColdCy2F_FC</t>
  </si>
  <si>
    <t>Db_ColdCy3F_FC</t>
  </si>
  <si>
    <t>Db_ColdCy4F_FC</t>
  </si>
  <si>
    <t>Db_ColdCy5F_FC</t>
  </si>
  <si>
    <t>Db_ColdCANtotalF_FC</t>
  </si>
  <si>
    <t>Db_ColdCANy1F_FC</t>
  </si>
  <si>
    <t>Db_ColdCANy2F_FC</t>
  </si>
  <si>
    <t>Db_ColdCANy3F_FC</t>
  </si>
  <si>
    <t>Db_ColdCANy4F_FC</t>
  </si>
  <si>
    <t>Db_ColdCANy5F_FC</t>
  </si>
  <si>
    <t>Db_OthCapCtotalF_FC</t>
  </si>
  <si>
    <t>Db_OthCapCy1F_FC</t>
  </si>
  <si>
    <t>Db_OthCapCy2F_FC</t>
  </si>
  <si>
    <t>Db_OthCapCy3F_FC</t>
  </si>
  <si>
    <t>Db_OthCapCy4F_FC</t>
  </si>
  <si>
    <t>Db_OthCapCy5F_FC</t>
  </si>
  <si>
    <t>Db_OthCapCANtotalF_FC</t>
  </si>
  <si>
    <t>Db_OthCapCANy1F_FC</t>
  </si>
  <si>
    <t>Db_OthCapCANy2F_FC</t>
  </si>
  <si>
    <t>Db_OthCapCANy3F_FC</t>
  </si>
  <si>
    <t>Db_OthCapCANy4F_FC</t>
  </si>
  <si>
    <t>Db_OthCapCANy5F_FC</t>
  </si>
  <si>
    <t>Db_OthRecurCtotalF_FC</t>
  </si>
  <si>
    <t>Db_OthRecurCy1F_FC</t>
  </si>
  <si>
    <t>Db_OthRecurCy2F_FC</t>
  </si>
  <si>
    <t>Db_OthRecurCy3F_FC</t>
  </si>
  <si>
    <t>Db_OthRecurCy4F_FC</t>
  </si>
  <si>
    <t>Db_OthRecurCy5F_FC</t>
  </si>
  <si>
    <t>Db_MicroCtotalE_FC</t>
  </si>
  <si>
    <t>Db_MicroCy1E_FC</t>
  </si>
  <si>
    <t>Db_MicroCy2E_FC</t>
  </si>
  <si>
    <t>Db_MicroCy3E_FC</t>
  </si>
  <si>
    <t>Db_MicroCy4E_FC</t>
  </si>
  <si>
    <t>Db_MicroCy5E_FC</t>
  </si>
  <si>
    <t>Db_TrainCtotalE_FC</t>
  </si>
  <si>
    <t>Db_TrainCy1E_FC</t>
  </si>
  <si>
    <t>Db_TrainCy2E_FC</t>
  </si>
  <si>
    <t>Db_TrainCy3E_FC</t>
  </si>
  <si>
    <t>Db_TrainCy4E_FC</t>
  </si>
  <si>
    <t>Db_TrainCy5E_FC</t>
  </si>
  <si>
    <t>Db_SenCtotalE_FC</t>
  </si>
  <si>
    <t>Db_SenCy1E_FC</t>
  </si>
  <si>
    <t>Db_SenCy2E_FC</t>
  </si>
  <si>
    <t>Db_SenCy3E_FC</t>
  </si>
  <si>
    <t>Db_SenCy4E_FC</t>
  </si>
  <si>
    <t>Db_SenCy5E_FC</t>
  </si>
  <si>
    <t>Db_SocCtotalE_FC</t>
  </si>
  <si>
    <t>Db_SocCy1E_FC</t>
  </si>
  <si>
    <t>Db_SocCy2E_FC</t>
  </si>
  <si>
    <t>Db_SocCy3E_FC</t>
  </si>
  <si>
    <t>Db_SocCy4E_FC</t>
  </si>
  <si>
    <t>Db_SocCy5E_FC</t>
  </si>
  <si>
    <t>Db_VacCtotalE_FC</t>
  </si>
  <si>
    <t>Db_VacCy1E_FC</t>
  </si>
  <si>
    <t>Db_VacCy2E_FC</t>
  </si>
  <si>
    <t>Db_VacCy3E_FC</t>
  </si>
  <si>
    <t>Db_VacCy4E_FC</t>
  </si>
  <si>
    <t>Db_VacCy5E_FC</t>
  </si>
  <si>
    <t>Db_SerCtotalE_FC</t>
  </si>
  <si>
    <t>Db_SerCy1E_FC</t>
  </si>
  <si>
    <t>Db_SerCy2E_FC</t>
  </si>
  <si>
    <t>Db_SerCy3E_FC</t>
  </si>
  <si>
    <t>Db_SerCy4E_FC</t>
  </si>
  <si>
    <t>Db_SerCy5E_FC</t>
  </si>
  <si>
    <t>Db_SerC_SV1_totalE_FC</t>
  </si>
  <si>
    <t>Db_SerC_SV1_y1E_FC</t>
  </si>
  <si>
    <t>Db_SerC_SV1_y2E_FC</t>
  </si>
  <si>
    <t>Db_SerC_SV1_y3E_FC</t>
  </si>
  <si>
    <t>Db_SerC_SV1_y4E_FC</t>
  </si>
  <si>
    <t>Db_SerC_SV1_y5E_FC</t>
  </si>
  <si>
    <t>Db_SerC_SV2_totalE_FC</t>
  </si>
  <si>
    <t>Db_SerC_SV2_y1E_FC</t>
  </si>
  <si>
    <t>Db_SerC_SV2_y2E_FC</t>
  </si>
  <si>
    <t>Db_SerC_SV2_y3E_FC</t>
  </si>
  <si>
    <t>Db_SerC_SV2_y4E_FC</t>
  </si>
  <si>
    <t>Db_SerC_SV2_y5E_FC</t>
  </si>
  <si>
    <t>Db_SerC_GV1_totalE_FC</t>
  </si>
  <si>
    <t>Db_SerC_GV1_y1E_FC</t>
  </si>
  <si>
    <t>Db_SerC_GV1_y2E_FC</t>
  </si>
  <si>
    <t>Db_SerC_GV1_y3E_FC</t>
  </si>
  <si>
    <t>Db_SerC_GV1_y4E_FC</t>
  </si>
  <si>
    <t>Db_SerC_GV1_y5E_FC</t>
  </si>
  <si>
    <t>Db_SerC_GV2_totalE_FC</t>
  </si>
  <si>
    <t>Db_SerC_GV2_y1E_FC</t>
  </si>
  <si>
    <t>Db_SerC_GV2_y2E_FC</t>
  </si>
  <si>
    <t>Db_SerC_GV2_y3E_FC</t>
  </si>
  <si>
    <t>Db_SerC_GV2_y4E_FC</t>
  </si>
  <si>
    <t>Db_SerC_GV2_y5E_FC</t>
  </si>
  <si>
    <t>Db_SupCtotalE_FC</t>
  </si>
  <si>
    <t>Db_SupCy1E_FC</t>
  </si>
  <si>
    <t>Db_SupCy2E_FC</t>
  </si>
  <si>
    <t>Db_SupCy3E_FC</t>
  </si>
  <si>
    <t>Db_SupCy4E_FC</t>
  </si>
  <si>
    <t>Db_SupCy5E_FC</t>
  </si>
  <si>
    <t>Db_ColdCtotalE_FC</t>
  </si>
  <si>
    <t>Db_ColdCy1E_FC</t>
  </si>
  <si>
    <t>Db_ColdCy2E_FC</t>
  </si>
  <si>
    <t>Db_ColdCy3E_FC</t>
  </si>
  <si>
    <t>Db_ColdCy4E_FC</t>
  </si>
  <si>
    <t>Db_ColdCy5E_FC</t>
  </si>
  <si>
    <t>Db_ColdCANtotalE_FC</t>
  </si>
  <si>
    <t>Db_ColdCANy1E_FC</t>
  </si>
  <si>
    <t>Db_ColdCANy2E_FC</t>
  </si>
  <si>
    <t>Db_ColdCANy3E_FC</t>
  </si>
  <si>
    <t>Db_ColdCANy4E_FC</t>
  </si>
  <si>
    <t>Db_ColdCANy5E_FC</t>
  </si>
  <si>
    <t>Db_OthCapCtotalE_FC</t>
  </si>
  <si>
    <t>Db_OthCapCy1E_FC</t>
  </si>
  <si>
    <t>Db_OthCapCy2E_FC</t>
  </si>
  <si>
    <t>Db_OthCapCy3E_FC</t>
  </si>
  <si>
    <t>Db_OthCapCy4E_FC</t>
  </si>
  <si>
    <t>Db_OthCapCy5E_FC</t>
  </si>
  <si>
    <t>Db_OthCapCANtotalE_FC</t>
  </si>
  <si>
    <t>Db_OthCapCANy1E_FC</t>
  </si>
  <si>
    <t>Db_OthCapCANy2E_FC</t>
  </si>
  <si>
    <t>Db_OthCapCANy3E_FC</t>
  </si>
  <si>
    <t>Db_OthCapCANy4E_FC</t>
  </si>
  <si>
    <t>Db_OthCapCANy5E_FC</t>
  </si>
  <si>
    <t>Db_OthRecurCtotalE_FC</t>
  </si>
  <si>
    <t>Db_OthRecurCy1E_FC</t>
  </si>
  <si>
    <t>Db_OthRecurCy2E_FC</t>
  </si>
  <si>
    <t>Db_OthRecurCy3E_FC</t>
  </si>
  <si>
    <t>Db_OthRecurCy4E_FC</t>
  </si>
  <si>
    <t>Db_OthRecurCy5E_FC</t>
  </si>
  <si>
    <t>Db_MicroCtotalF_LC</t>
  </si>
  <si>
    <t>Db_MicroCy1F_LC</t>
  </si>
  <si>
    <t>Db_MicroCy2F_LC</t>
  </si>
  <si>
    <t>Db_MicroCy3F_LC</t>
  </si>
  <si>
    <t>Db_MicroCy4F_LC</t>
  </si>
  <si>
    <t>Db_MicroCy5F_LC</t>
  </si>
  <si>
    <t>Db_TrainCtotalF_LC</t>
  </si>
  <si>
    <t>Db_TrainCy1F_LC</t>
  </si>
  <si>
    <t>Db_TrainCy2F_LC</t>
  </si>
  <si>
    <t>Db_TrainCy3F_LC</t>
  </si>
  <si>
    <t>Db_TrainCy4F_LC</t>
  </si>
  <si>
    <t>Db_TrainCy5F_LC</t>
  </si>
  <si>
    <t>Db_SenCtotalF_LC</t>
  </si>
  <si>
    <t>Db_SenCy1F_LC</t>
  </si>
  <si>
    <t>Db_SenCy2F_LC</t>
  </si>
  <si>
    <t>Db_SenCy3F_LC</t>
  </si>
  <si>
    <t>Db_SenCy4F_LC</t>
  </si>
  <si>
    <t>Db_SenCy5F_LC</t>
  </si>
  <si>
    <t>Db_SocCtotalF_LC</t>
  </si>
  <si>
    <t>Db_SocCy1F_LC</t>
  </si>
  <si>
    <t>Db_SocCy2F_LC</t>
  </si>
  <si>
    <t>Db_SocCy3F_LC</t>
  </si>
  <si>
    <t>Db_SocCy4F_LC</t>
  </si>
  <si>
    <t>Db_SocCy5F_LC</t>
  </si>
  <si>
    <t>Db_VacCtotalF_LC</t>
  </si>
  <si>
    <t>Db_VacCy1F_LC</t>
  </si>
  <si>
    <t>Db_VacCy2F_LC</t>
  </si>
  <si>
    <t>Db_VacCy3F_LC</t>
  </si>
  <si>
    <t>Db_VacCy4F_LC</t>
  </si>
  <si>
    <t>Db_VacCy5F_LC</t>
  </si>
  <si>
    <t>Db_SerCtotalF_LC</t>
  </si>
  <si>
    <t>Db_SerCy1F_LC</t>
  </si>
  <si>
    <t>Db_SerCy2F_LC</t>
  </si>
  <si>
    <t>Db_SerCy3F_LC</t>
  </si>
  <si>
    <t>Db_SerCy4F_LC</t>
  </si>
  <si>
    <t>Db_SerCy5F_LC</t>
  </si>
  <si>
    <t>Db_SerC_SV1_totalF_LC</t>
  </si>
  <si>
    <t>Db_SerC_SV1_y1F_LC</t>
  </si>
  <si>
    <t>Db_SerC_SV1_y2F_LC</t>
  </si>
  <si>
    <t>Db_SerC_SV1_y3F_LC</t>
  </si>
  <si>
    <t>Db_SerC_SV1_y4F_LC</t>
  </si>
  <si>
    <t>Db_SerC_SV1_y5F_LC</t>
  </si>
  <si>
    <t>Db_SerC_SV2_totalF_LC</t>
  </si>
  <si>
    <t>Db_SerC_SV2_y1F_LC</t>
  </si>
  <si>
    <t>Db_SerC_SV2_y2F_LC</t>
  </si>
  <si>
    <t>Db_SerC_SV2_y3F_LC</t>
  </si>
  <si>
    <t>Db_SerC_SV2_y4F_LC</t>
  </si>
  <si>
    <t>Db_SerC_SV2_y5F_LC</t>
  </si>
  <si>
    <t>Db_SerC_GV1_totalF_LC</t>
  </si>
  <si>
    <t>Db_SerC_GV1_y1F_LC</t>
  </si>
  <si>
    <t>Db_SerC_GV1_y2F_LC</t>
  </si>
  <si>
    <t>Db_SerC_GV1_y3F_LC</t>
  </si>
  <si>
    <t>Db_SerC_GV1_y4F_LC</t>
  </si>
  <si>
    <t>Db_SerC_GV1_y5F_LC</t>
  </si>
  <si>
    <t>Db_SerC_GV2_totalF_LC</t>
  </si>
  <si>
    <t>Db_SerC_GV2_y1F_LC</t>
  </si>
  <si>
    <t>Db_SerC_GV2_y2F_LC</t>
  </si>
  <si>
    <t>Db_SerC_GV2_y3F_LC</t>
  </si>
  <si>
    <t>Db_SerC_GV2_y4F_LC</t>
  </si>
  <si>
    <t>Db_SerC_GV2_y5F_LC</t>
  </si>
  <si>
    <t>Db_SupCtotalF_LC</t>
  </si>
  <si>
    <t>Db_SupCy1F_LC</t>
  </si>
  <si>
    <t>Db_SupCy2F_LC</t>
  </si>
  <si>
    <t>Db_SupCy3F_LC</t>
  </si>
  <si>
    <t>Db_SupCy4F_LC</t>
  </si>
  <si>
    <t>Db_SupCy5F_LC</t>
  </si>
  <si>
    <t>Db_ColdCtotalF_LC</t>
  </si>
  <si>
    <t>Db_ColdCy1F_LC</t>
  </si>
  <si>
    <t>Db_ColdCy2F_LC</t>
  </si>
  <si>
    <t>Db_ColdCy3F_LC</t>
  </si>
  <si>
    <t>Db_ColdCy4F_LC</t>
  </si>
  <si>
    <t>Db_ColdCy5F_LC</t>
  </si>
  <si>
    <t>Db_ColdCANtotalF_LC</t>
  </si>
  <si>
    <t>Db_ColdCANy1F_LC</t>
  </si>
  <si>
    <t>Db_ColdCANy2F_LC</t>
  </si>
  <si>
    <t>Db_ColdCANy3F_LC</t>
  </si>
  <si>
    <t>Db_ColdCANy4F_LC</t>
  </si>
  <si>
    <t>Db_ColdCANy5F_LC</t>
  </si>
  <si>
    <t>Db_OthCapCtotalF_LC</t>
  </si>
  <si>
    <t>Db_OthCapCy1F_LC</t>
  </si>
  <si>
    <t>Db_OthCapCy2F_LC</t>
  </si>
  <si>
    <t>Db_OthCapCy3F_LC</t>
  </si>
  <si>
    <t>Db_OthCapCy4F_LC</t>
  </si>
  <si>
    <t>Db_OthCapCy5F_LC</t>
  </si>
  <si>
    <t>Db_OthCapCANtotalF_LC</t>
  </si>
  <si>
    <t>Db_OthCapCANy1F_LC</t>
  </si>
  <si>
    <t>Db_OthCapCANy2F_LC</t>
  </si>
  <si>
    <t>Db_OthCapCANy3F_LC</t>
  </si>
  <si>
    <t>Db_OthCapCANy4F_LC</t>
  </si>
  <si>
    <t>Db_OthCapCANy5F_LC</t>
  </si>
  <si>
    <t>Db_OthRecurCtotalF_LC</t>
  </si>
  <si>
    <t>Db_OthRecurCy1F_LC</t>
  </si>
  <si>
    <t>Db_OthRecurCy2F_LC</t>
  </si>
  <si>
    <t>Db_OthRecurCy3F_LC</t>
  </si>
  <si>
    <t>Db_OthRecurCy4F_LC</t>
  </si>
  <si>
    <t>Db_OthRecurCy5F_LC</t>
  </si>
  <si>
    <t>Db_MicroCtotalE_LC</t>
  </si>
  <si>
    <t>Db_MicroCy1E_LC</t>
  </si>
  <si>
    <t>Db_MicroCy2E_LC</t>
  </si>
  <si>
    <t>Db_MicroCy3E_LC</t>
  </si>
  <si>
    <t>Db_MicroCy4E_LC</t>
  </si>
  <si>
    <t>Db_MicroCy5E_LC</t>
  </si>
  <si>
    <t>Db_TrainCtotalE_LC</t>
  </si>
  <si>
    <t>Db_TrainCy1E_LC</t>
  </si>
  <si>
    <t>Db_TrainCy2E_LC</t>
  </si>
  <si>
    <t>Db_TrainCy3E_LC</t>
  </si>
  <si>
    <t>Db_TrainCy4E_LC</t>
  </si>
  <si>
    <t>Db_TrainCy5E_LC</t>
  </si>
  <si>
    <t>Db_SenCtotalE_LC</t>
  </si>
  <si>
    <t>Db_SenCy1E_LC</t>
  </si>
  <si>
    <t>Db_SenCy2E_LC</t>
  </si>
  <si>
    <t>Db_SenCy3E_LC</t>
  </si>
  <si>
    <t>Db_SenCy4E_LC</t>
  </si>
  <si>
    <t>Db_SenCy5E_LC</t>
  </si>
  <si>
    <t>Db_SocCtotalE_LC</t>
  </si>
  <si>
    <t>Db_SocCy1E_LC</t>
  </si>
  <si>
    <t>Db_SocCy2E_LC</t>
  </si>
  <si>
    <t>Db_SocCy3E_LC</t>
  </si>
  <si>
    <t>Db_SocCy4E_LC</t>
  </si>
  <si>
    <t>Db_SocCy5E_LC</t>
  </si>
  <si>
    <t>Db_VacCtotalE_LC</t>
  </si>
  <si>
    <t>Db_VacCy1E_LC</t>
  </si>
  <si>
    <t>Db_VacCy2E_LC</t>
  </si>
  <si>
    <t>Db_VacCy3E_LC</t>
  </si>
  <si>
    <t>Db_VacCy4E_LC</t>
  </si>
  <si>
    <t>Db_VacCy5E_LC</t>
  </si>
  <si>
    <t>Db_SerCtotalE_LC</t>
  </si>
  <si>
    <t>Db_SerCy1E_LC</t>
  </si>
  <si>
    <t>Db_SerCy2E_LC</t>
  </si>
  <si>
    <t>Db_SerCy3E_LC</t>
  </si>
  <si>
    <t>Db_SerCy4E_LC</t>
  </si>
  <si>
    <t>Db_SerCy5E_LC</t>
  </si>
  <si>
    <t>Db_SerC_SV1_totalE_LC</t>
  </si>
  <si>
    <t>Db_SerC_SV1_y1E_LC</t>
  </si>
  <si>
    <t>Db_SerC_SV1_y2E_LC</t>
  </si>
  <si>
    <t>Db_SerC_SV1_y3E_LC</t>
  </si>
  <si>
    <t>Db_SerC_SV1_y4E_LC</t>
  </si>
  <si>
    <t>Db_SerC_SV1_y5E_LC</t>
  </si>
  <si>
    <t>Db_SerC_SV2_totalE_LC</t>
  </si>
  <si>
    <t>Db_SerC_SV2_y1E_LC</t>
  </si>
  <si>
    <t>Db_SerC_SV2_y2E_LC</t>
  </si>
  <si>
    <t>Db_SerC_SV2_y3E_LC</t>
  </si>
  <si>
    <t>Db_SerC_SV2_y4E_LC</t>
  </si>
  <si>
    <t>Db_SerC_SV2_y5E_LC</t>
  </si>
  <si>
    <t>Db_SerC_GV1_totalE_LC</t>
  </si>
  <si>
    <t>Db_SerC_GV1_y1E_LC</t>
  </si>
  <si>
    <t>Db_SerC_GV1_y2E_LC</t>
  </si>
  <si>
    <t>Db_SerC_GV1_y3E_LC</t>
  </si>
  <si>
    <t>Db_SerC_GV1_y4E_LC</t>
  </si>
  <si>
    <t>Db_SerC_GV1_y5E_LC</t>
  </si>
  <si>
    <t>Db_SerC_GV2_totalE_LC</t>
  </si>
  <si>
    <t>Db_SerC_GV2_y1E_LC</t>
  </si>
  <si>
    <t>Db_SerC_GV2_y2E_LC</t>
  </si>
  <si>
    <t>Db_SerC_GV2_y3E_LC</t>
  </si>
  <si>
    <t>Db_SerC_GV2_y4E_LC</t>
  </si>
  <si>
    <t>Db_SerC_GV2_y5E_LC</t>
  </si>
  <si>
    <t>Db_SupCtotalE_LC</t>
  </si>
  <si>
    <t>Db_SupCy1E_LC</t>
  </si>
  <si>
    <t>Db_SupCy2E_LC</t>
  </si>
  <si>
    <t>Db_SupCy3E_LC</t>
  </si>
  <si>
    <t>Db_SupCy4E_LC</t>
  </si>
  <si>
    <t>Db_SupCy5E_LC</t>
  </si>
  <si>
    <t>Db_ColdCtotalE_LC</t>
  </si>
  <si>
    <t>Db_ColdCy1E_LC</t>
  </si>
  <si>
    <t>Db_ColdCy2E_LC</t>
  </si>
  <si>
    <t>Db_ColdCy3E_LC</t>
  </si>
  <si>
    <t>Db_ColdCy4E_LC</t>
  </si>
  <si>
    <t>Db_ColdCy5E_LC</t>
  </si>
  <si>
    <t>Db_ColdCANtotalE_LC</t>
  </si>
  <si>
    <t>Db_ColdCANy1E_LC</t>
  </si>
  <si>
    <t>Db_ColdCANy2E_LC</t>
  </si>
  <si>
    <t>Db_ColdCANy3E_LC</t>
  </si>
  <si>
    <t>Db_ColdCANy4E_LC</t>
  </si>
  <si>
    <t>Db_ColdCANy5E_LC</t>
  </si>
  <si>
    <t>Db_OthCapCtotalE_LC</t>
  </si>
  <si>
    <t>Db_OthCapCy1E_LC</t>
  </si>
  <si>
    <t>Db_OthCapCy2E_LC</t>
  </si>
  <si>
    <t>Db_OthCapCy3E_LC</t>
  </si>
  <si>
    <t>Db_OthCapCy4E_LC</t>
  </si>
  <si>
    <t>Db_OthCapCy5E_LC</t>
  </si>
  <si>
    <t>Db_OthCapCANtotalE_LC</t>
  </si>
  <si>
    <t>Db_OthCapCANy1E_LC</t>
  </si>
  <si>
    <t>Db_OthCapCANy2E_LC</t>
  </si>
  <si>
    <t>Db_OthCapCANy3E_LC</t>
  </si>
  <si>
    <t>Db_OthCapCANy4E_LC</t>
  </si>
  <si>
    <t>Db_OthCapCANy5E_LC</t>
  </si>
  <si>
    <t>Db_OthRecurCtotalE_LC</t>
  </si>
  <si>
    <t>Db_OthRecurCy1E_LC</t>
  </si>
  <si>
    <t>Db_OthRecurCy2E_LC</t>
  </si>
  <si>
    <t>Db_OthRecurCy3E_LC</t>
  </si>
  <si>
    <t>Db_OthRecurCy4E_LC</t>
  </si>
  <si>
    <t>Db_OthRecurCy5E_LC</t>
  </si>
  <si>
    <t>Db_SubsidyVacP_y1</t>
  </si>
  <si>
    <t>Db_SubsidyVacP_y2</t>
  </si>
  <si>
    <t>Db_SubsidyVacP_y3</t>
  </si>
  <si>
    <t>Db_SubsidyVacP_y4</t>
  </si>
  <si>
    <t>Db_SubsidyVacP_y5</t>
  </si>
  <si>
    <t>Db_SubsidyISP_y1</t>
  </si>
  <si>
    <t>Db_SubsidyISP_y2</t>
  </si>
  <si>
    <t>Db_SubsidyISP_y3</t>
  </si>
  <si>
    <t>Db_SubsidyISP_y4</t>
  </si>
  <si>
    <t>Db_SubsidyISP_y5</t>
  </si>
  <si>
    <t>Db_SubsidySBP_y1</t>
  </si>
  <si>
    <t>Db_SubsidySBP_y2</t>
  </si>
  <si>
    <t>Db_SubsidySBP_y3</t>
  </si>
  <si>
    <t>Db_SubsidySBP_y4</t>
  </si>
  <si>
    <t>Db_SubsidySBP_y5</t>
  </si>
  <si>
    <t>Db_AddCVacP_y1</t>
  </si>
  <si>
    <t>Db_AddCVacP_y2</t>
  </si>
  <si>
    <t>Db_AddCVacP_y3</t>
  </si>
  <si>
    <t>Db_AddCVacP_y4</t>
  </si>
  <si>
    <t>Db_AddCVacP_y5</t>
  </si>
  <si>
    <t>Db_AddCISP_y1</t>
  </si>
  <si>
    <t>Db_AddCISP_y2</t>
  </si>
  <si>
    <t>Db_AddCISP_y3</t>
  </si>
  <si>
    <t>Db_AddCISP_y4</t>
  </si>
  <si>
    <t>Db_AddCISP_y5</t>
  </si>
  <si>
    <t>Db_AddCSBP_y1</t>
  </si>
  <si>
    <t>Db_AddCSBP_y2</t>
  </si>
  <si>
    <t>Db_AddCSBP_y3</t>
  </si>
  <si>
    <t>Db_AddCSBP_y4</t>
  </si>
  <si>
    <t>Db_AddCSBP_y5</t>
  </si>
  <si>
    <t>Db_Micro1</t>
  </si>
  <si>
    <t>Db_Micro2</t>
  </si>
  <si>
    <t>Db_Micro3</t>
  </si>
  <si>
    <t>Db_Micro4</t>
  </si>
  <si>
    <t>Db_Train1</t>
  </si>
  <si>
    <t>Db_Train2</t>
  </si>
  <si>
    <t>Db_Train3</t>
  </si>
  <si>
    <t>Db_Train4</t>
  </si>
  <si>
    <t>Db_Sen1</t>
  </si>
  <si>
    <t>Db_Sen2</t>
  </si>
  <si>
    <t>Db_Sen3</t>
  </si>
  <si>
    <t>Db_Sen4</t>
  </si>
  <si>
    <t>Db_Sen5</t>
  </si>
  <si>
    <t>Db_Sen6</t>
  </si>
  <si>
    <t>Db_Soc1</t>
  </si>
  <si>
    <t>Db_Soc2</t>
  </si>
  <si>
    <t>Db_Soc3</t>
  </si>
  <si>
    <t>Db_Soc4</t>
  </si>
  <si>
    <t>Db_Soc5</t>
  </si>
  <si>
    <t>Db_Soc6</t>
  </si>
  <si>
    <t>Db_Soc7</t>
  </si>
  <si>
    <t>Db_Soc8</t>
  </si>
  <si>
    <t>Db_Sup1</t>
  </si>
  <si>
    <t>Db_Sup2</t>
  </si>
  <si>
    <t>Db_Sup3</t>
  </si>
  <si>
    <t>Db_Sup4</t>
  </si>
  <si>
    <t>Db_Sup5</t>
  </si>
  <si>
    <t>Db_Sup6</t>
  </si>
  <si>
    <t>Db_Sup7</t>
  </si>
  <si>
    <t>Db_OthRecur1</t>
  </si>
  <si>
    <t>Db_OthRecur2</t>
  </si>
  <si>
    <t>Db_OthRecur3</t>
  </si>
  <si>
    <t>Db_OthRecur4</t>
  </si>
  <si>
    <t>Db_OthRecur5</t>
  </si>
  <si>
    <t>Db_OthCap1</t>
  </si>
  <si>
    <t>Db_OthCap2</t>
  </si>
  <si>
    <t>Db_OthCap3</t>
  </si>
  <si>
    <t>Db_OthCap4</t>
  </si>
  <si>
    <t>Db_OthCap5</t>
  </si>
  <si>
    <t>Db_OthCap6</t>
  </si>
  <si>
    <t>Db_OthCap7</t>
  </si>
  <si>
    <t>Db_OthCap8</t>
  </si>
  <si>
    <t>Db_OthCap9</t>
  </si>
  <si>
    <t>Db_OthCap10</t>
  </si>
  <si>
    <t>Db_Cold1</t>
  </si>
  <si>
    <t>Db_Cold2</t>
  </si>
  <si>
    <t>Db_Cold3</t>
  </si>
  <si>
    <t>Db_Cold4</t>
  </si>
  <si>
    <t>Db_Cold5</t>
  </si>
  <si>
    <t>Db_Cold6</t>
  </si>
  <si>
    <t>Db_Cold7</t>
  </si>
  <si>
    <t>Db_Cold8</t>
  </si>
  <si>
    <t>Db_Cold9</t>
  </si>
  <si>
    <t>Db_Cold10</t>
  </si>
  <si>
    <t>Gross domestic product (GDP) inflation rate in foreign country</t>
  </si>
  <si>
    <t>Gross domestic product (GDP) inflation rate in local country</t>
  </si>
  <si>
    <t>Foreign currency</t>
  </si>
  <si>
    <t>Local currency</t>
  </si>
  <si>
    <t>Reported exchanges rate (foreign currency to local currency)</t>
  </si>
  <si>
    <t>SERVICE_DELIVERY!J62</t>
  </si>
  <si>
    <t>SERVICE_DELIVERY!K62</t>
  </si>
  <si>
    <t>SERVICE_DELIVERY!L62</t>
  </si>
  <si>
    <t>SERVICE_DELIVERY!M62</t>
  </si>
  <si>
    <t>SERVICE_DELIVERY!N62</t>
  </si>
  <si>
    <t>SERVICE_DELIVERY!J69</t>
  </si>
  <si>
    <t>SERVICE_DELIVERY!K69</t>
  </si>
  <si>
    <t>SERVICE_DELIVERY!L69</t>
  </si>
  <si>
    <t>SERVICE_DELIVERY!M69</t>
  </si>
  <si>
    <t>SERVICE_DELIVERY!N69</t>
  </si>
  <si>
    <t>Microplanning cost (total - financial - foreign currency)</t>
  </si>
  <si>
    <t>Analysis!I160</t>
  </si>
  <si>
    <t>Microplanning cost (year 1 - financial - foreign currency)</t>
  </si>
  <si>
    <t>Analysis!J160</t>
  </si>
  <si>
    <t>Microplanning cost (year 2 - financial - foreign currency)</t>
  </si>
  <si>
    <t>Analysis!K160</t>
  </si>
  <si>
    <t>Microplanning cost (year 3 - financial - foreign currency)</t>
  </si>
  <si>
    <t>Analysis!L160</t>
  </si>
  <si>
    <t>Microplanning cost (year 4 - financial - foreign currency)</t>
  </si>
  <si>
    <t>Analysis!M160</t>
  </si>
  <si>
    <t>Microplanning cost (year 5 - financial - foreign currency)</t>
  </si>
  <si>
    <t>Analysis!N160</t>
  </si>
  <si>
    <t>Training cost (total - financial - foreign currency)</t>
  </si>
  <si>
    <t>Analysis!I227</t>
  </si>
  <si>
    <t>Training cost (year 1 - financial - foreign currency)</t>
  </si>
  <si>
    <t>Analysis!J227</t>
  </si>
  <si>
    <t>Training cost (year 2 - financial - foreign currency)</t>
  </si>
  <si>
    <t>Analysis!K227</t>
  </si>
  <si>
    <t>Training cost (year 3 - financial - foreign currency)</t>
  </si>
  <si>
    <t>Analysis!L227</t>
  </si>
  <si>
    <t>Training cost (year 4 - financial - foreign currency)</t>
  </si>
  <si>
    <t>Analysis!M227</t>
  </si>
  <si>
    <t>Training cost (year 5 - financial - foreign currency)</t>
  </si>
  <si>
    <t>Analysis!N227</t>
  </si>
  <si>
    <t>Sensitisation cost (total - financial - foreign currency)</t>
  </si>
  <si>
    <t>Analysis!I304</t>
  </si>
  <si>
    <t>Sensitisation cost (year 1 - financial - foreign currency)</t>
  </si>
  <si>
    <t>Analysis!J304</t>
  </si>
  <si>
    <t>Sensitisation cost (year 2 - financial - foreign currency)</t>
  </si>
  <si>
    <t>Analysis!K304</t>
  </si>
  <si>
    <t>Sensitisation cost (year 3 - financial - foreign currency)</t>
  </si>
  <si>
    <t>Analysis!L304</t>
  </si>
  <si>
    <t>Sensitisation cost (year 4 - financial - foreign currency)</t>
  </si>
  <si>
    <t>Analysis!M304</t>
  </si>
  <si>
    <t>Sensitisation cost (year 5 - financial - foreign currency)</t>
  </si>
  <si>
    <t>Analysis!N304</t>
  </si>
  <si>
    <t>Social mobilisation and IEC cost (total - financial - foreign currency)</t>
  </si>
  <si>
    <t>Analysis!I393</t>
  </si>
  <si>
    <t>Social mobilisation and IEC cost (year 1 - financial - foreign currency)</t>
  </si>
  <si>
    <t>Analysis!J393</t>
  </si>
  <si>
    <t>Social mobilisation and IEC cost (year 2 - financial - foreign currency)</t>
  </si>
  <si>
    <t>Analysis!K393</t>
  </si>
  <si>
    <t>Social mobilisation and IEC cost (year 3 - financial - foreign currency)</t>
  </si>
  <si>
    <t>Analysis!L393</t>
  </si>
  <si>
    <t>Social mobilisation and IEC cost (year 4 - financial - foreign currency)</t>
  </si>
  <si>
    <t>Analysis!M393</t>
  </si>
  <si>
    <t>Social mobilisation and IEC cost (year 5 - financial - foreign currency)</t>
  </si>
  <si>
    <t>Analysis!N393</t>
  </si>
  <si>
    <t>Vaccine and supply cost (total - financial - foreign currency)</t>
  </si>
  <si>
    <t>Analysis!I93</t>
  </si>
  <si>
    <t>Vaccine and supply cost (year 1 - financial - foreign currency)</t>
  </si>
  <si>
    <t>Analysis!J93</t>
  </si>
  <si>
    <t>Vaccine and supply cost (year 2 - financial - foreign currency)</t>
  </si>
  <si>
    <t>Analysis!K93</t>
  </si>
  <si>
    <t>Vaccine and supply cost (year 3 - financial - foreign currency)</t>
  </si>
  <si>
    <t>Analysis!L93</t>
  </si>
  <si>
    <t>Vaccine and supply cost (year 4 - financial - foreign currency)</t>
  </si>
  <si>
    <t>Analysis!M93</t>
  </si>
  <si>
    <t>Vaccine and supply cost (year 5 - financial - foreign currency)</t>
  </si>
  <si>
    <t>Analysis!N93</t>
  </si>
  <si>
    <t>Service delivery cost (total - financial - foreign currency)</t>
  </si>
  <si>
    <t>Analysis!I460</t>
  </si>
  <si>
    <t>Service delivery cost (year 1 - financial - foreign currency)</t>
  </si>
  <si>
    <t>Analysis!J460</t>
  </si>
  <si>
    <t>Service delivery cost (year 2 - financial - foreign currency)</t>
  </si>
  <si>
    <t>Analysis!K460</t>
  </si>
  <si>
    <t>Service delivery cost (year 3 - financial - foreign currency)</t>
  </si>
  <si>
    <t>Analysis!L460</t>
  </si>
  <si>
    <t>Service delivery cost (year 4 - financial - foreign currency)</t>
  </si>
  <si>
    <t>Analysis!M460</t>
  </si>
  <si>
    <t>Service delivery cost (year 5 - financial - foreign currency)</t>
  </si>
  <si>
    <t>Analysis!N460</t>
  </si>
  <si>
    <t>Service delivery cost (single vaccination activity 1 - total - financial - foreign currency)</t>
  </si>
  <si>
    <t>Analysis!I456</t>
  </si>
  <si>
    <t>Service delivery cost (single vaccination activity 1 - year 1 - financial - foreign currency)</t>
  </si>
  <si>
    <t>Analysis!J456</t>
  </si>
  <si>
    <t>Service delivery cost (single vaccination activity 1 - year 2 - financial - foreign currency)</t>
  </si>
  <si>
    <t>Analysis!K456</t>
  </si>
  <si>
    <t>Service delivery cost (single vaccination activity 1 - year 3 - financial - foreign currency)</t>
  </si>
  <si>
    <t>Analysis!L456</t>
  </si>
  <si>
    <t>Service delivery cost (single vaccination activity 1 - year 4 - financial - foreign currency)</t>
  </si>
  <si>
    <t>Analysis!M456</t>
  </si>
  <si>
    <t>Service delivery cost (single vaccination activity 1 - year 5 - financial - foreign currency)</t>
  </si>
  <si>
    <t>Analysis!N456</t>
  </si>
  <si>
    <t>Service delivery cost (single vaccination activity 2 - total - financial - foreign currency)</t>
  </si>
  <si>
    <t>Analysis!I457</t>
  </si>
  <si>
    <t>Service delivery cost (single vaccination activity 2 - year 1 - financial - foreign currency)</t>
  </si>
  <si>
    <t>Analysis!J457</t>
  </si>
  <si>
    <t>Service delivery cost (single vaccination activity 2 - year 2 - financial - foreign currency)</t>
  </si>
  <si>
    <t>Analysis!K457</t>
  </si>
  <si>
    <t>Service delivery cost (single vaccination activity 2 - year 3 - financial - foreign currency)</t>
  </si>
  <si>
    <t>Analysis!L457</t>
  </si>
  <si>
    <t>Service delivery cost (single vaccination activity 2 - year 4 - financial - foreign currency)</t>
  </si>
  <si>
    <t>Analysis!M457</t>
  </si>
  <si>
    <t>Service delivery cost (single vaccination activity 2 - year 5 - financial - foreign currency)</t>
  </si>
  <si>
    <t>Analysis!N457</t>
  </si>
  <si>
    <t>Service delivery cost (group vaccination activity 1 - total - financial - foreign currency)</t>
  </si>
  <si>
    <t>Analysis!I458</t>
  </si>
  <si>
    <t>Service delivery cost (group vaccination activity 1 - year 1 - financial - foreign currency)</t>
  </si>
  <si>
    <t>Analysis!J458</t>
  </si>
  <si>
    <t>Service delivery cost (group vaccination activity 1 - year 2 - financial - foreign currency)</t>
  </si>
  <si>
    <t>Analysis!K458</t>
  </si>
  <si>
    <t>Service delivery cost (group vaccination activity 1 - year 3 - financial - foreign currency)</t>
  </si>
  <si>
    <t>Analysis!L458</t>
  </si>
  <si>
    <t>Service delivery cost (group vaccination activity 1 - year 4 - financial - foreign currency)</t>
  </si>
  <si>
    <t>Analysis!M458</t>
  </si>
  <si>
    <t>Service delivery cost (group vaccination activity 1 - year 5 - financial - foreign currency)</t>
  </si>
  <si>
    <t>Analysis!N458</t>
  </si>
  <si>
    <t>Service delivery cost (group vaccination activity 2 - total - financial - foreign currency)</t>
  </si>
  <si>
    <t>Analysis!I459</t>
  </si>
  <si>
    <t>Service delivery cost (group vaccination activity 2 - year 1 - financial - foreign currency)</t>
  </si>
  <si>
    <t>Analysis!J459</t>
  </si>
  <si>
    <t>Service delivery cost (group vaccination activity 2 - year 2 - financial - foreign currency)</t>
  </si>
  <si>
    <t>Analysis!K459</t>
  </si>
  <si>
    <t>Service delivery cost (group vaccination activity 2 - year 3 - financial - foreign currency)</t>
  </si>
  <si>
    <t>Analysis!L459</t>
  </si>
  <si>
    <t>Service delivery cost (group vaccination activity 2 - year 4 - financial - foreign currency)</t>
  </si>
  <si>
    <t>Analysis!M459</t>
  </si>
  <si>
    <t>Service delivery cost (group vaccination activity 2 - year 5 - financial - foreign currency)</t>
  </si>
  <si>
    <t>Analysis!N459</t>
  </si>
  <si>
    <t>Supervision cost (total - financial - foreign currency)</t>
  </si>
  <si>
    <t>Analysis!I534</t>
  </si>
  <si>
    <t>Supervision cost (year 1 - financial - foreign currency)</t>
  </si>
  <si>
    <t>Analysis!J534</t>
  </si>
  <si>
    <t>Supervision cost (year 2 - financial - foreign currency)</t>
  </si>
  <si>
    <t>Analysis!K534</t>
  </si>
  <si>
    <t>Supervision cost (year 3 - financial - foreign currency)</t>
  </si>
  <si>
    <t>Analysis!L534</t>
  </si>
  <si>
    <t>Supervision cost (year 4 - financial - foreign currency)</t>
  </si>
  <si>
    <t>Analysis!M534</t>
  </si>
  <si>
    <t>Supervision cost (year 5 - financial - foreign currency)</t>
  </si>
  <si>
    <t>Analysis!N534</t>
  </si>
  <si>
    <t>Cold chain expansion cost (non-annualised - total - financial - foreign currency)</t>
  </si>
  <si>
    <t>Analysis!I693</t>
  </si>
  <si>
    <t>Cold chain expansion cost (non-annualised - year 1 - financial - foreign currency)</t>
  </si>
  <si>
    <t>Analysis!J693</t>
  </si>
  <si>
    <t>Cold chain expansion cost (non-annualised - year 2 - financial - foreign currency)</t>
  </si>
  <si>
    <t>Analysis!K693</t>
  </si>
  <si>
    <t>Cold chain expansion cost (non-annualised - year 3 - financial - foreign currency)</t>
  </si>
  <si>
    <t>Analysis!L693</t>
  </si>
  <si>
    <t>Cold chain expansion cost (non-annualised - year 4 - financial - foreign currency)</t>
  </si>
  <si>
    <t>Analysis!M693</t>
  </si>
  <si>
    <t>Cold chain expansion cost (non-annualised - year 5 - financial - foreign currency)</t>
  </si>
  <si>
    <t>Analysis!N693</t>
  </si>
  <si>
    <t>Cold chain expansion cost (annualised - total - financial - foreign currency)</t>
  </si>
  <si>
    <t>Analysis!I761</t>
  </si>
  <si>
    <t>Cold chain expansion cost (annualised - year 1 - financial - foreign currency)</t>
  </si>
  <si>
    <t>Analysis!J761</t>
  </si>
  <si>
    <t>Cold chain expansion cost (annualised - year 2 - financial - foreign currency)</t>
  </si>
  <si>
    <t>Analysis!K761</t>
  </si>
  <si>
    <t>Cold chain expansion cost (annualised - year 3 - financial - foreign currency)</t>
  </si>
  <si>
    <t>Analysis!L761</t>
  </si>
  <si>
    <t>Cold chain expansion cost (annualised - year 4 - financial - foreign currency)</t>
  </si>
  <si>
    <t>Analysis!M761</t>
  </si>
  <si>
    <t>Cold chain expansion cost (annualised - year 5 - financial - foreign currency)</t>
  </si>
  <si>
    <t>Analysis!N761</t>
  </si>
  <si>
    <t>Other capital cost (non-annualised - total - financial - foreign currency)</t>
  </si>
  <si>
    <t>Analysis!I866</t>
  </si>
  <si>
    <t>Other capital cost (non-annualised - year 1 - financial - foreign currency)</t>
  </si>
  <si>
    <t>Analysis!J866</t>
  </si>
  <si>
    <t>Other capital cost (non-annualised - year 2 - financial - foreign currency)</t>
  </si>
  <si>
    <t>Analysis!K866</t>
  </si>
  <si>
    <t>Other capital cost (non-annualised - year 3 - financial - foreign currency)</t>
  </si>
  <si>
    <t>Analysis!L866</t>
  </si>
  <si>
    <t>Other capital cost (non-annualised - year 4 - financial - foreign currency)</t>
  </si>
  <si>
    <t>Analysis!M866</t>
  </si>
  <si>
    <t>Other capital cost (non-annualised - year 5 - financial - foreign currency)</t>
  </si>
  <si>
    <t>Analysis!N866</t>
  </si>
  <si>
    <t>Other capital cost (annualised - total - financial - foreign currency)</t>
  </si>
  <si>
    <t>Analysis!I936</t>
  </si>
  <si>
    <t>Other capital cost (annualised - year 1 - financial - foreign currency)</t>
  </si>
  <si>
    <t>Analysis!J936</t>
  </si>
  <si>
    <t>Other capital cost (annualised - year 2 - financial - foreign currency)</t>
  </si>
  <si>
    <t>Analysis!K936</t>
  </si>
  <si>
    <t>Other capital cost (annualised - year 3 - financial - foreign currency)</t>
  </si>
  <si>
    <t>Analysis!L936</t>
  </si>
  <si>
    <t>Other capital cost (annualised - year 4 - financial - foreign currency)</t>
  </si>
  <si>
    <t>Analysis!M936</t>
  </si>
  <si>
    <t>Other capital cost (annualised - year 5 - financial - foreign currency)</t>
  </si>
  <si>
    <t>Analysis!N936</t>
  </si>
  <si>
    <t>Other recurrent cost (total - financial - foreign currency)</t>
  </si>
  <si>
    <t>Analysis!I608</t>
  </si>
  <si>
    <t>Other recurrent cost (year 1 - financial - foreign currency)</t>
  </si>
  <si>
    <t>Analysis!J608</t>
  </si>
  <si>
    <t>Other recurrent cost (year 2 - financial - foreign currency)</t>
  </si>
  <si>
    <t>Analysis!K608</t>
  </si>
  <si>
    <t>Other recurrent cost (year 3 - financial - foreign currency)</t>
  </si>
  <si>
    <t>Analysis!L608</t>
  </si>
  <si>
    <t>Other recurrent cost (year 4 - financial - foreign currency)</t>
  </si>
  <si>
    <t>Analysis!M608</t>
  </si>
  <si>
    <t>Other recurrent cost (year 5 - financial - foreign currency)</t>
  </si>
  <si>
    <t>Analysis!N608</t>
  </si>
  <si>
    <t>Microplanning cost (total - economic - foreign currency)</t>
  </si>
  <si>
    <t>Analysis!I170</t>
  </si>
  <si>
    <t>Microplanning cost (year 1 - economic - foreign currency)</t>
  </si>
  <si>
    <t>Analysis!J170</t>
  </si>
  <si>
    <t>Microplanning cost (year 2 - economic - foreign currency)</t>
  </si>
  <si>
    <t>Analysis!K170</t>
  </si>
  <si>
    <t>Microplanning cost (year 3 - economic - foreign currency)</t>
  </si>
  <si>
    <t>Analysis!L170</t>
  </si>
  <si>
    <t>Microplanning cost (year 4 - economic - foreign currency)</t>
  </si>
  <si>
    <t>Analysis!M170</t>
  </si>
  <si>
    <t>Microplanning cost (year 5 - economic - foreign currency)</t>
  </si>
  <si>
    <t>Analysis!N170</t>
  </si>
  <si>
    <t>Training cost (total - economic - foreign currency)</t>
  </si>
  <si>
    <t>Analysis!I237</t>
  </si>
  <si>
    <t>Training cost (year 1 - economic - foreign currency)</t>
  </si>
  <si>
    <t>Analysis!J237</t>
  </si>
  <si>
    <t>Training cost (year 2 - economic - foreign currency)</t>
  </si>
  <si>
    <t>Analysis!K237</t>
  </si>
  <si>
    <t>Training cost (year 3 - economic - foreign currency)</t>
  </si>
  <si>
    <t>Analysis!L237</t>
  </si>
  <si>
    <t>Training cost (year 4 - economic - foreign currency)</t>
  </si>
  <si>
    <t>Analysis!M237</t>
  </si>
  <si>
    <t>Training cost (year 5 - economic - foreign currency)</t>
  </si>
  <si>
    <t>Analysis!N237</t>
  </si>
  <si>
    <t>Sensitisation cost (total - economic - foreign currency)</t>
  </si>
  <si>
    <t>Analysis!I316</t>
  </si>
  <si>
    <t>Sensitisation cost (year 1 - economic - foreign currency)</t>
  </si>
  <si>
    <t>Analysis!J316</t>
  </si>
  <si>
    <t>Sensitisation cost (year 2 - economic - foreign currency)</t>
  </si>
  <si>
    <t>Analysis!K316</t>
  </si>
  <si>
    <t>Sensitisation cost (year 3 - economic - foreign currency)</t>
  </si>
  <si>
    <t>Analysis!L316</t>
  </si>
  <si>
    <t>Sensitisation cost (year 4 - economic - foreign currency)</t>
  </si>
  <si>
    <t>Analysis!M316</t>
  </si>
  <si>
    <t>Sensitisation cost (year 5 - economic - foreign currency)</t>
  </si>
  <si>
    <t>Analysis!N316</t>
  </si>
  <si>
    <t>Social mobilisation and IEC cost (total - economic - foreign currency)</t>
  </si>
  <si>
    <t>Analysis!I407</t>
  </si>
  <si>
    <t>Social mobilisation and IEC cost (year 1 - economic - foreign currency)</t>
  </si>
  <si>
    <t>Analysis!J407</t>
  </si>
  <si>
    <t>Social mobilisation and IEC cost (year 2 - economic - foreign currency)</t>
  </si>
  <si>
    <t>Analysis!K407</t>
  </si>
  <si>
    <t>Social mobilisation and IEC cost (year 3 - economic - foreign currency)</t>
  </si>
  <si>
    <t>Analysis!L407</t>
  </si>
  <si>
    <t>Social mobilisation and IEC cost (year 4 - economic - foreign currency)</t>
  </si>
  <si>
    <t>Analysis!M407</t>
  </si>
  <si>
    <t>Social mobilisation and IEC cost (year 5 - economic - foreign currency)</t>
  </si>
  <si>
    <t>Analysis!N407</t>
  </si>
  <si>
    <t>Vaccine and supply cost (total - economic - foreign currency)</t>
  </si>
  <si>
    <t>Analysis!I102</t>
  </si>
  <si>
    <t>Vaccine and supply cost (year 1 - economic - foreign currency)</t>
  </si>
  <si>
    <t>Analysis!J102</t>
  </si>
  <si>
    <t>Vaccine and supply cost (year 2 - economic - foreign currency)</t>
  </si>
  <si>
    <t>Analysis!K102</t>
  </si>
  <si>
    <t>Vaccine and supply cost (year 3 - economic - foreign currency)</t>
  </si>
  <si>
    <t>Analysis!L102</t>
  </si>
  <si>
    <t>Vaccine and supply cost (year 4 - economic - foreign currency)</t>
  </si>
  <si>
    <t>Analysis!M102</t>
  </si>
  <si>
    <t>Vaccine and supply cost (year 5 - economic - foreign currency)</t>
  </si>
  <si>
    <t>Analysis!N102</t>
  </si>
  <si>
    <t>Service delivery cost (total - economic - foreign currency)</t>
  </si>
  <si>
    <t>Analysis!I470</t>
  </si>
  <si>
    <t>Service delivery cost (year 1 - economic - foreign currency)</t>
  </si>
  <si>
    <t>Analysis!J470</t>
  </si>
  <si>
    <t>Service delivery cost (year 2 - economic - foreign currency)</t>
  </si>
  <si>
    <t>Analysis!K470</t>
  </si>
  <si>
    <t>Service delivery cost (year 3 - economic - foreign currency)</t>
  </si>
  <si>
    <t>Analysis!L470</t>
  </si>
  <si>
    <t>Service delivery cost (year 4 - economic - foreign currency)</t>
  </si>
  <si>
    <t>Analysis!M470</t>
  </si>
  <si>
    <t>Service delivery cost (year 5 - economic - foreign currency)</t>
  </si>
  <si>
    <t>Analysis!N470</t>
  </si>
  <si>
    <t>Service delivery cost (single vaccination activity 1 - total - economic - foreign currency)</t>
  </si>
  <si>
    <t>Analysis!I466</t>
  </si>
  <si>
    <t>Service delivery cost (single vaccination activity 1 - year 1 - economic - foreign currency)</t>
  </si>
  <si>
    <t>Analysis!J466</t>
  </si>
  <si>
    <t>Service delivery cost (single vaccination activity 1 - year 2 - economic - foreign currency)</t>
  </si>
  <si>
    <t>Analysis!K466</t>
  </si>
  <si>
    <t>Service delivery cost (single vaccination activity 1 - year 3 - economic - foreign currency)</t>
  </si>
  <si>
    <t>Analysis!L466</t>
  </si>
  <si>
    <t>Service delivery cost (single vaccination activity 1 - year 4 - economic - foreign currency)</t>
  </si>
  <si>
    <t>Analysis!M466</t>
  </si>
  <si>
    <t>Service delivery cost (single vaccination activity 1 - year 5 - economic - foreign currency)</t>
  </si>
  <si>
    <t>Analysis!N466</t>
  </si>
  <si>
    <t>Service delivery cost (single vaccination activity 2 - total - economic - foreign currency)</t>
  </si>
  <si>
    <t>Analysis!I467</t>
  </si>
  <si>
    <t>Service delivery cost (single vaccination activity 2 - year 1 - economic - foreign currency)</t>
  </si>
  <si>
    <t>Analysis!J467</t>
  </si>
  <si>
    <t>Service delivery cost (single vaccination activity 2 - year 2 - economic - foreign currency)</t>
  </si>
  <si>
    <t>Analysis!K467</t>
  </si>
  <si>
    <t>Service delivery cost (single vaccination activity 2 - year 3 - economic - foreign currency)</t>
  </si>
  <si>
    <t>Analysis!L467</t>
  </si>
  <si>
    <t>Service delivery cost (single vaccination activity 2 - year 4 - economic - foreign currency)</t>
  </si>
  <si>
    <t>Analysis!M467</t>
  </si>
  <si>
    <t>Service delivery cost (single vaccination activity 2 - year 5 - economic - foreign currency)</t>
  </si>
  <si>
    <t>Analysis!N467</t>
  </si>
  <si>
    <t>Service delivery cost (group vaccination activity 1 - total - economic - foreign currency)</t>
  </si>
  <si>
    <t>Analysis!I468</t>
  </si>
  <si>
    <t>Service delivery cost (group vaccination activity 1 - year 1 - economic - foreign currency)</t>
  </si>
  <si>
    <t>Analysis!J468</t>
  </si>
  <si>
    <t>Service delivery cost (group vaccination activity 1 - year 2 - economic - foreign currency)</t>
  </si>
  <si>
    <t>Analysis!K468</t>
  </si>
  <si>
    <t>Service delivery cost (group vaccination activity 1 - year 3 - economic - foreign currency)</t>
  </si>
  <si>
    <t>Analysis!L468</t>
  </si>
  <si>
    <t>Service delivery cost (group vaccination activity 1 - year 4 - economic - foreign currency)</t>
  </si>
  <si>
    <t>Analysis!M468</t>
  </si>
  <si>
    <t>Service delivery cost (group vaccination activity 1 - year 5 - economic - foreign currency)</t>
  </si>
  <si>
    <t>Analysis!N468</t>
  </si>
  <si>
    <t>Service delivery cost (group vaccination activity 2 - total - economic - foreign currency)</t>
  </si>
  <si>
    <t>Analysis!I469</t>
  </si>
  <si>
    <t>Service delivery cost (group vaccination activity 2 - year 1 - economic - foreign currency)</t>
  </si>
  <si>
    <t>Analysis!J469</t>
  </si>
  <si>
    <t>Service delivery cost (group vaccination activity 2 - year 2 - economic - foreign currency)</t>
  </si>
  <si>
    <t>Analysis!K469</t>
  </si>
  <si>
    <t>Service delivery cost (group vaccination activity 2 - year 3 - economic - foreign currency)</t>
  </si>
  <si>
    <t>Analysis!L469</t>
  </si>
  <si>
    <t>Service delivery cost (group vaccination activity 2 - year 4 - economic - foreign currency)</t>
  </si>
  <si>
    <t>Analysis!M469</t>
  </si>
  <si>
    <t>Service delivery cost (group vaccination activity 2 - year 5 - economic - foreign currency)</t>
  </si>
  <si>
    <t>Analysis!N469</t>
  </si>
  <si>
    <t>Supervision cost (total - economic - foreign currency)</t>
  </si>
  <si>
    <t>Analysis!I547</t>
  </si>
  <si>
    <t>Supervision cost (year 1 - economic - foreign currency)</t>
  </si>
  <si>
    <t>Analysis!J547</t>
  </si>
  <si>
    <t>Supervision cost (year 2 - economic - foreign currency)</t>
  </si>
  <si>
    <t>Analysis!K547</t>
  </si>
  <si>
    <t>Supervision cost (year 3 - economic - foreign currency)</t>
  </si>
  <si>
    <t>Analysis!L547</t>
  </si>
  <si>
    <t>Supervision cost (year 4 - economic - foreign currency)</t>
  </si>
  <si>
    <t>Analysis!M547</t>
  </si>
  <si>
    <t>Supervision cost (year 5 - economic - foreign currency)</t>
  </si>
  <si>
    <t>Analysis!N547</t>
  </si>
  <si>
    <t>Cold chain expansion cost (non-annualised - total - economic - foreign currency)</t>
  </si>
  <si>
    <t>Analysis!I708</t>
  </si>
  <si>
    <t>Cold chain expansion cost (non-annualised - year 1 - economic - foreign currency)</t>
  </si>
  <si>
    <t>Analysis!J708</t>
  </si>
  <si>
    <t>Cold chain expansion cost (non-annualised - year 2 - economic - foreign currency)</t>
  </si>
  <si>
    <t>Analysis!K708</t>
  </si>
  <si>
    <t>Cold chain expansion cost (non-annualised - year 3 - economic - foreign currency)</t>
  </si>
  <si>
    <t>Analysis!L708</t>
  </si>
  <si>
    <t>Cold chain expansion cost (non-annualised - year 4 - economic - foreign currency)</t>
  </si>
  <si>
    <t>Analysis!M708</t>
  </si>
  <si>
    <t>Cold chain expansion cost (non-annualised - year 5 - economic - foreign currency)</t>
  </si>
  <si>
    <t>Analysis!N708</t>
  </si>
  <si>
    <t>Cold chain expansion cost (annualised - total - economic - foreign currency)</t>
  </si>
  <si>
    <t>Analysis!I780</t>
  </si>
  <si>
    <t>Cold chain expansion cost (annualised - year 1 - economic - foreign currency)</t>
  </si>
  <si>
    <t>Analysis!J780</t>
  </si>
  <si>
    <t>Cold chain expansion cost (annualised - year 2 - economic - foreign currency)</t>
  </si>
  <si>
    <t>Analysis!K780</t>
  </si>
  <si>
    <t>Cold chain expansion cost (annualised - year 3 - economic - foreign currency)</t>
  </si>
  <si>
    <t>Analysis!L780</t>
  </si>
  <si>
    <t>Cold chain expansion cost (annualised - year 4 - economic - foreign currency)</t>
  </si>
  <si>
    <t>Analysis!M780</t>
  </si>
  <si>
    <t>Cold chain expansion cost (annualised - year 5 - economic - foreign currency)</t>
  </si>
  <si>
    <t>Analysis!N780</t>
  </si>
  <si>
    <t>Other capital cost (non-annualised - total - economic - foreign currency)</t>
  </si>
  <si>
    <t>Analysis!I881</t>
  </si>
  <si>
    <t>Other capital cost (non-annualised - year 1 - economic - foreign currency)</t>
  </si>
  <si>
    <t>Analysis!J881</t>
  </si>
  <si>
    <t>Other capital cost (non-annualised - year 2 - economic - foreign currency)</t>
  </si>
  <si>
    <t>Analysis!K881</t>
  </si>
  <si>
    <t>Other capital cost (non-annualised - year 3 - economic - foreign currency)</t>
  </si>
  <si>
    <t>Analysis!L881</t>
  </si>
  <si>
    <t>Other capital cost (non-annualised - year 4 - economic - foreign currency)</t>
  </si>
  <si>
    <t>Analysis!M881</t>
  </si>
  <si>
    <t>Other capital cost (non-annualised - year 5 - economic - foreign currency)</t>
  </si>
  <si>
    <t>Analysis!N881</t>
  </si>
  <si>
    <t>Other capital cost (annualised - total - economic - foreign currency)</t>
  </si>
  <si>
    <t>Analysis!I962</t>
  </si>
  <si>
    <t>Other capital cost (annualised - year 1 - economic - foreign currency)</t>
  </si>
  <si>
    <t>Analysis!J962</t>
  </si>
  <si>
    <t>Other capital cost (annualised - year 2 - economic - foreign currency)</t>
  </si>
  <si>
    <t>Analysis!K962</t>
  </si>
  <si>
    <t>Other capital cost (annualised - year 3 - economic - foreign currency)</t>
  </si>
  <si>
    <t>Analysis!L962</t>
  </si>
  <si>
    <t>Other capital cost (annualised - year 4 - economic - foreign currency)</t>
  </si>
  <si>
    <t>Analysis!M962</t>
  </si>
  <si>
    <t>Other capital cost (annualised - year 5 - economic - foreign currency)</t>
  </si>
  <si>
    <t>Analysis!N962</t>
  </si>
  <si>
    <t>Other recurrent cost (total - economic - foreign currency)</t>
  </si>
  <si>
    <t>Analysis!I619</t>
  </si>
  <si>
    <t>Other recurrent cost (year 1 - economic - foreign currency)</t>
  </si>
  <si>
    <t>Analysis!J619</t>
  </si>
  <si>
    <t>Other recurrent cost (year 2 - economic - foreign currency)</t>
  </si>
  <si>
    <t>Analysis!K619</t>
  </si>
  <si>
    <t>Other recurrent cost (year 3 - economic - foreign currency)</t>
  </si>
  <si>
    <t>Analysis!L619</t>
  </si>
  <si>
    <t>Other recurrent cost (year 4 - economic - foreign currency)</t>
  </si>
  <si>
    <t>Analysis!M619</t>
  </si>
  <si>
    <t>Other recurrent cost (year 5 - economic - foreign currency)</t>
  </si>
  <si>
    <t>Analysis!N619</t>
  </si>
  <si>
    <t>Microplanning cost (total - financial - local currency)</t>
  </si>
  <si>
    <t>Analysis!I135</t>
  </si>
  <si>
    <t>Microplanning cost (year 1 - financial - local currency)</t>
  </si>
  <si>
    <t>Analysis!J135</t>
  </si>
  <si>
    <t>Microplanning cost (year 2 - financial - local currency)</t>
  </si>
  <si>
    <t>Analysis!K135</t>
  </si>
  <si>
    <t>Microplanning cost (year 3 - financial - local currency)</t>
  </si>
  <si>
    <t>Analysis!L135</t>
  </si>
  <si>
    <t>Microplanning cost (year 4 - financial - local currency)</t>
  </si>
  <si>
    <t>Analysis!M135</t>
  </si>
  <si>
    <t>Microplanning cost (year 5 - financial - local currency)</t>
  </si>
  <si>
    <t>Analysis!N135</t>
  </si>
  <si>
    <t>Training cost (total - financial - local currency)</t>
  </si>
  <si>
    <t>Analysis!I203</t>
  </si>
  <si>
    <t>Training cost (year 1 - financial - local currency)</t>
  </si>
  <si>
    <t>Analysis!J203</t>
  </si>
  <si>
    <t>Training cost (year 2 - financial - local currency)</t>
  </si>
  <si>
    <t>Analysis!K203</t>
  </si>
  <si>
    <t>Training cost (year 3 - financial - local currency)</t>
  </si>
  <si>
    <t>Analysis!L203</t>
  </si>
  <si>
    <t>Training cost (year 4 - financial - local currency)</t>
  </si>
  <si>
    <t>Analysis!M203</t>
  </si>
  <si>
    <t>Training cost (year 5 - financial - local currency)</t>
  </si>
  <si>
    <t>Analysis!N203</t>
  </si>
  <si>
    <t>Sensitisation cost (total - financial - local currency)</t>
  </si>
  <si>
    <t>Analysis!I276</t>
  </si>
  <si>
    <t>Sensitisation cost (year 1 - financial - local currency)</t>
  </si>
  <si>
    <t>Analysis!J276</t>
  </si>
  <si>
    <t>Sensitisation cost (year 2 - financial - local currency)</t>
  </si>
  <si>
    <t>Analysis!K276</t>
  </si>
  <si>
    <t>Sensitisation cost (year 3 - financial - local currency)</t>
  </si>
  <si>
    <t>Analysis!L276</t>
  </si>
  <si>
    <t>Sensitisation cost (year 4 - financial - local currency)</t>
  </si>
  <si>
    <t>Analysis!M276</t>
  </si>
  <si>
    <t>Sensitisation cost (year 5 - financial - local currency)</t>
  </si>
  <si>
    <t>Analysis!N276</t>
  </si>
  <si>
    <t>Social mobilisation and IEC cost (total - financial - local currency)</t>
  </si>
  <si>
    <t>Analysis!I361</t>
  </si>
  <si>
    <t>Social mobilisation and IEC cost (year 1 - financial - local currency)</t>
  </si>
  <si>
    <t>Analysis!J361</t>
  </si>
  <si>
    <t>Social mobilisation and IEC cost (year 2 - financial - local currency)</t>
  </si>
  <si>
    <t>Analysis!K361</t>
  </si>
  <si>
    <t>Social mobilisation and IEC cost (year 3 - financial - local currency)</t>
  </si>
  <si>
    <t>Analysis!L361</t>
  </si>
  <si>
    <t>Social mobilisation and IEC cost (year 4 - financial - local currency)</t>
  </si>
  <si>
    <t>Analysis!M361</t>
  </si>
  <si>
    <t>Social mobilisation and IEC cost (year 5 - financial - local currency)</t>
  </si>
  <si>
    <t>Analysis!N361</t>
  </si>
  <si>
    <t>Vaccine and supply cost (total - financial - local currency)</t>
  </si>
  <si>
    <t>Analysis!I72</t>
  </si>
  <si>
    <t>Vaccine and supply cost (year 1 - financial - local currency)</t>
  </si>
  <si>
    <t>Analysis!J72</t>
  </si>
  <si>
    <t>Vaccine and supply cost (year 2 - financial - local currency)</t>
  </si>
  <si>
    <t>Analysis!K72</t>
  </si>
  <si>
    <t>Vaccine and supply cost (year 3 - financial - local currency)</t>
  </si>
  <si>
    <t>Analysis!L72</t>
  </si>
  <si>
    <t>Vaccine and supply cost (year 4 - financial - local currency)</t>
  </si>
  <si>
    <t>Analysis!M72</t>
  </si>
  <si>
    <t>Vaccine and supply cost (year 5 - financial - local currency)</t>
  </si>
  <si>
    <t>Analysis!N72</t>
  </si>
  <si>
    <t>Service delivery cost (total - financial - local currency)</t>
  </si>
  <si>
    <t>Analysis!I436</t>
  </si>
  <si>
    <t>Service delivery cost (year 1 - financial - local currency)</t>
  </si>
  <si>
    <t>Analysis!J436</t>
  </si>
  <si>
    <t>Service delivery cost (year 2 - financial - local currency)</t>
  </si>
  <si>
    <t>Analysis!K436</t>
  </si>
  <si>
    <t>Service delivery cost (year 3 - financial - local currency)</t>
  </si>
  <si>
    <t>Analysis!L436</t>
  </si>
  <si>
    <t>Service delivery cost (year 4 - financial - local currency)</t>
  </si>
  <si>
    <t>Analysis!M436</t>
  </si>
  <si>
    <t>Service delivery cost (year 5 - financial - local currency)</t>
  </si>
  <si>
    <t>Analysis!N436</t>
  </si>
  <si>
    <t>Service delivery cost (single vaccination activity 1 - total - financial - local currency)</t>
  </si>
  <si>
    <t>Analysis!I432</t>
  </si>
  <si>
    <t>Service delivery cost (single vaccination activity 1 - year 1 - financial - local currency)</t>
  </si>
  <si>
    <t>Analysis!J432</t>
  </si>
  <si>
    <t>Service delivery cost (single vaccination activity 1 - year 2 - financial - local currency)</t>
  </si>
  <si>
    <t>Analysis!K432</t>
  </si>
  <si>
    <t>Service delivery cost (single vaccination activity 1 - year 3 - financial - local currency)</t>
  </si>
  <si>
    <t>Analysis!L432</t>
  </si>
  <si>
    <t>Service delivery cost (single vaccination activity 1 - year 4 - financial - local currency)</t>
  </si>
  <si>
    <t>Analysis!M432</t>
  </si>
  <si>
    <t>Service delivery cost (single vaccination activity 1 - year 5 - financial - local currency)</t>
  </si>
  <si>
    <t>Analysis!N432</t>
  </si>
  <si>
    <t>Service delivery cost (single vaccination activity 2 - total - financial - local currency)</t>
  </si>
  <si>
    <t>Analysis!I433</t>
  </si>
  <si>
    <t>Service delivery cost (single vaccination activity 2 - year 1 - financial - local currency)</t>
  </si>
  <si>
    <t>Analysis!J433</t>
  </si>
  <si>
    <t>Service delivery cost (single vaccination activity 2 - year 2 - financial - local currency)</t>
  </si>
  <si>
    <t>Analysis!K433</t>
  </si>
  <si>
    <t>Service delivery cost (single vaccination activity 2 - year 3 - financial - local currency)</t>
  </si>
  <si>
    <t>Analysis!L433</t>
  </si>
  <si>
    <t>Service delivery cost (single vaccination activity 2 - year 4 - financial - local currency)</t>
  </si>
  <si>
    <t>Analysis!M433</t>
  </si>
  <si>
    <t>Service delivery cost (single vaccination activity 2 - year 5 - financial - local currency)</t>
  </si>
  <si>
    <t>Analysis!N433</t>
  </si>
  <si>
    <t>Service delivery cost (group vaccination activity 1 - total - financial - local currency)</t>
  </si>
  <si>
    <t>Analysis!I434</t>
  </si>
  <si>
    <t>Service delivery cost (group vaccination activity 1 - year 1 - financial - local currency)</t>
  </si>
  <si>
    <t>Analysis!J434</t>
  </si>
  <si>
    <t>Service delivery cost (group vaccination activity 1 - year 2 - financial - local currency)</t>
  </si>
  <si>
    <t>Analysis!K434</t>
  </si>
  <si>
    <t>Service delivery cost (group vaccination activity 1 - year 3 - financial - local currency)</t>
  </si>
  <si>
    <t>Analysis!L434</t>
  </si>
  <si>
    <t>Service delivery cost (group vaccination activity 1 - year 4 - financial - local currency)</t>
  </si>
  <si>
    <t>Analysis!M434</t>
  </si>
  <si>
    <t>Service delivery cost (group vaccination activity 1 - year 5 - financial - local currency)</t>
  </si>
  <si>
    <t>Analysis!N434</t>
  </si>
  <si>
    <t>Service delivery cost (group vaccination activity 2 - total - financial - local currency)</t>
  </si>
  <si>
    <t>Analysis!I435</t>
  </si>
  <si>
    <t>Service delivery cost (group vaccination activity 2 - year 1 - financial - local currency)</t>
  </si>
  <si>
    <t>Analysis!J435</t>
  </si>
  <si>
    <t>Service delivery cost (group vaccination activity 2 - year 2 - financial - local currency)</t>
  </si>
  <si>
    <t>Analysis!K435</t>
  </si>
  <si>
    <t>Service delivery cost (group vaccination activity 2 - year 3 - financial - local currency)</t>
  </si>
  <si>
    <t>Analysis!L435</t>
  </si>
  <si>
    <t>Service delivery cost (group vaccination activity 2 - year 4 - financial - local currency)</t>
  </si>
  <si>
    <t>Analysis!M435</t>
  </si>
  <si>
    <t>Service delivery cost (group vaccination activity 2 - year 5 - financial - local currency)</t>
  </si>
  <si>
    <t>Analysis!N435</t>
  </si>
  <si>
    <t>Supervision cost (total - financial - local currency)</t>
  </si>
  <si>
    <t>Analysis!I504</t>
  </si>
  <si>
    <t>Supervision cost (year 1 - financial - local currency)</t>
  </si>
  <si>
    <t>Analysis!J504</t>
  </si>
  <si>
    <t>Supervision cost (year 2 - financial - local currency)</t>
  </si>
  <si>
    <t>Analysis!K504</t>
  </si>
  <si>
    <t>Supervision cost (year 3 - financial - local currency)</t>
  </si>
  <si>
    <t>Analysis!L504</t>
  </si>
  <si>
    <t>Supervision cost (year 4 - financial - local currency)</t>
  </si>
  <si>
    <t>Analysis!M504</t>
  </si>
  <si>
    <t>Supervision cost (year 5 - financial - local currency)</t>
  </si>
  <si>
    <t>Analysis!N504</t>
  </si>
  <si>
    <t>Cold chain expansion cost (non-annualised - total - financial - local currency)</t>
  </si>
  <si>
    <t>Analysis!I660</t>
  </si>
  <si>
    <t>Cold chain expansion cost (non-annualised - year 1 - financial - local currency)</t>
  </si>
  <si>
    <t>Analysis!J660</t>
  </si>
  <si>
    <t>Cold chain expansion cost (non-annualised - year 2 - financial - local currency)</t>
  </si>
  <si>
    <t>Analysis!K660</t>
  </si>
  <si>
    <t>Cold chain expansion cost (non-annualised - year 3 - financial - local currency)</t>
  </si>
  <si>
    <t>Analysis!L660</t>
  </si>
  <si>
    <t>Cold chain expansion cost (non-annualised - year 4 - financial - local currency)</t>
  </si>
  <si>
    <t>Analysis!M660</t>
  </si>
  <si>
    <t>Cold chain expansion cost (non-annualised - year 5 - financial - local currency)</t>
  </si>
  <si>
    <t>Analysis!N660</t>
  </si>
  <si>
    <t>Cold chain expansion cost (annualised - total - financial - local currency)</t>
  </si>
  <si>
    <t>Analysis!I726</t>
  </si>
  <si>
    <t>Cold chain expansion cost (annualised - year 1 - financial - local currency)</t>
  </si>
  <si>
    <t>Analysis!J726</t>
  </si>
  <si>
    <t>Cold chain expansion cost (annualised - year 2 - financial - local currency)</t>
  </si>
  <si>
    <t>Analysis!K726</t>
  </si>
  <si>
    <t>Cold chain expansion cost (annualised - year 3 - financial - local currency)</t>
  </si>
  <si>
    <t>Analysis!L726</t>
  </si>
  <si>
    <t>Cold chain expansion cost (annualised - year 4 - financial - local currency)</t>
  </si>
  <si>
    <t>Analysis!M726</t>
  </si>
  <si>
    <t>Cold chain expansion cost (annualised - year 5 - financial - local currency)</t>
  </si>
  <si>
    <t>Analysis!N726</t>
  </si>
  <si>
    <t>Other capital cost (non-annualised - total - financial - local currency)</t>
  </si>
  <si>
    <t>Analysis!I826</t>
  </si>
  <si>
    <t>Other capital cost (non-annualised - year 1 - financial - local currency)</t>
  </si>
  <si>
    <t>Analysis!J826</t>
  </si>
  <si>
    <t>Other capital cost (non-annualised - year 2 - financial - local currency)</t>
  </si>
  <si>
    <t>Analysis!K826</t>
  </si>
  <si>
    <t>Other capital cost (non-annualised - year 3 - financial - local currency)</t>
  </si>
  <si>
    <t>Analysis!L826</t>
  </si>
  <si>
    <t>Other capital cost (non-annualised - year 4 - financial - local currency)</t>
  </si>
  <si>
    <t>Analysis!M826</t>
  </si>
  <si>
    <t>Other capital cost (non-annualised - year 5 - financial - local currency)</t>
  </si>
  <si>
    <t>Analysis!N826</t>
  </si>
  <si>
    <t>Other capital cost (annualised - total - financial - local currency)</t>
  </si>
  <si>
    <t>Analysis!I899</t>
  </si>
  <si>
    <t>Other capital cost (annualised - year 1 - financial - local currency)</t>
  </si>
  <si>
    <t>Analysis!J899</t>
  </si>
  <si>
    <t>Other capital cost (annualised - year 2 - financial - local currency)</t>
  </si>
  <si>
    <t>Analysis!K899</t>
  </si>
  <si>
    <t>Other capital cost (annualised - year 3 - financial - local currency)</t>
  </si>
  <si>
    <t>Analysis!L899</t>
  </si>
  <si>
    <t>Other capital cost (annualised - year 4 - financial - local currency)</t>
  </si>
  <si>
    <t>Analysis!M899</t>
  </si>
  <si>
    <t>Other capital cost (annualised - year 5 - financial - local currency)</t>
  </si>
  <si>
    <t>Analysis!N899</t>
  </si>
  <si>
    <t>Other recurrent cost (total - financial - local currency)</t>
  </si>
  <si>
    <t>Analysis!I582</t>
  </si>
  <si>
    <t>Other recurrent cost (year 1 - financial - local currency)</t>
  </si>
  <si>
    <t>Analysis!J582</t>
  </si>
  <si>
    <t>Other recurrent cost (year 2 - financial - local currency)</t>
  </si>
  <si>
    <t>Analysis!K582</t>
  </si>
  <si>
    <t>Other recurrent cost (year 3 - financial - local currency)</t>
  </si>
  <si>
    <t>Analysis!L582</t>
  </si>
  <si>
    <t>Other recurrent cost (year 4 - financial - local currency)</t>
  </si>
  <si>
    <t>Analysis!M582</t>
  </si>
  <si>
    <t>Other recurrent cost (year 5 - financial - local currency)</t>
  </si>
  <si>
    <t>Analysis!N582</t>
  </si>
  <si>
    <t>Microplanning cost (total - economic - local currency)</t>
  </si>
  <si>
    <t>Analysis!I146</t>
  </si>
  <si>
    <t>Microplanning cost (year 1 - economic - local currency)</t>
  </si>
  <si>
    <t>Analysis!J146</t>
  </si>
  <si>
    <t>Microplanning cost (year 2 - economic - local currency)</t>
  </si>
  <si>
    <t>Analysis!K146</t>
  </si>
  <si>
    <t>Microplanning cost (year 3 - economic - local currency)</t>
  </si>
  <si>
    <t>Analysis!L146</t>
  </si>
  <si>
    <t>Microplanning cost (year 4 - economic - local currency)</t>
  </si>
  <si>
    <t>Analysis!M146</t>
  </si>
  <si>
    <t>Microplanning cost (year 5 - economic - local currency)</t>
  </si>
  <si>
    <t>Analysis!N146</t>
  </si>
  <si>
    <t>Training cost (total - economic - local currency)</t>
  </si>
  <si>
    <t>Analysis!I214</t>
  </si>
  <si>
    <t>Training cost (year 1 - economic - local currency)</t>
  </si>
  <si>
    <t>Analysis!J214</t>
  </si>
  <si>
    <t>Training cost (year 2 - economic - local currency)</t>
  </si>
  <si>
    <t>Analysis!K214</t>
  </si>
  <si>
    <t>Training cost (year 3 - economic - local currency)</t>
  </si>
  <si>
    <t>Analysis!L214</t>
  </si>
  <si>
    <t>Training cost (year 4 - economic - local currency)</t>
  </si>
  <si>
    <t>Analysis!M214</t>
  </si>
  <si>
    <t>Training cost (year 5 - economic - local currency)</t>
  </si>
  <si>
    <t>Analysis!N214</t>
  </si>
  <si>
    <t>Sensitisation cost (total - economic - local currency)</t>
  </si>
  <si>
    <t>Analysis!I289</t>
  </si>
  <si>
    <t>Sensitisation cost (year 1 - economic - local currency)</t>
  </si>
  <si>
    <t>Analysis!J289</t>
  </si>
  <si>
    <t>Sensitisation cost (year 2 - economic - local currency)</t>
  </si>
  <si>
    <t>Analysis!K289</t>
  </si>
  <si>
    <t>Sensitisation cost (year 3 - economic - local currency)</t>
  </si>
  <si>
    <t>Analysis!L289</t>
  </si>
  <si>
    <t>Sensitisation cost (year 4 - economic - local currency)</t>
  </si>
  <si>
    <t>Analysis!M289</t>
  </si>
  <si>
    <t>Sensitisation cost (year 5 - economic - local currency)</t>
  </si>
  <si>
    <t>Analysis!N289</t>
  </si>
  <si>
    <t>Social mobilisation and IEC cost (total - economic - local currency)</t>
  </si>
  <si>
    <t>Analysis!I376</t>
  </si>
  <si>
    <t>Social mobilisation and IEC cost (year 1 - economic - local currency)</t>
  </si>
  <si>
    <t>Analysis!J376</t>
  </si>
  <si>
    <t>Social mobilisation and IEC cost (year 2 - economic - local currency)</t>
  </si>
  <si>
    <t>Analysis!K376</t>
  </si>
  <si>
    <t>Social mobilisation and IEC cost (year 3 - economic - local currency)</t>
  </si>
  <si>
    <t>Analysis!L376</t>
  </si>
  <si>
    <t>Social mobilisation and IEC cost (year 4 - economic - local currency)</t>
  </si>
  <si>
    <t>Analysis!M376</t>
  </si>
  <si>
    <t>Social mobilisation and IEC cost (year 5 - economic - local currency)</t>
  </si>
  <si>
    <t>Analysis!N376</t>
  </si>
  <si>
    <t>Vaccine and supply cost (total - economic - local currency)</t>
  </si>
  <si>
    <t>Analysis!I81</t>
  </si>
  <si>
    <t>Vaccine and supply cost (year 1 - economic - local currency)</t>
  </si>
  <si>
    <t>Analysis!J81</t>
  </si>
  <si>
    <t>Vaccine and supply cost (year 2 - economic - local currency)</t>
  </si>
  <si>
    <t>Analysis!K81</t>
  </si>
  <si>
    <t>Vaccine and supply cost (year 3 - economic - local currency)</t>
  </si>
  <si>
    <t>Analysis!L81</t>
  </si>
  <si>
    <t>Vaccine and supply cost (year 4 - economic - local currency)</t>
  </si>
  <si>
    <t>Analysis!M81</t>
  </si>
  <si>
    <t>Vaccine and supply cost (year 5 - economic - local currency)</t>
  </si>
  <si>
    <t>Analysis!N81</t>
  </si>
  <si>
    <t>Service delivery cost (total - economic - local currency)</t>
  </si>
  <si>
    <t>Analysis!I447</t>
  </si>
  <si>
    <t>Service delivery cost (year 1 - economic - local currency)</t>
  </si>
  <si>
    <t>Analysis!J447</t>
  </si>
  <si>
    <t>Service delivery cost (year 2 - economic - local currency)</t>
  </si>
  <si>
    <t>Analysis!K447</t>
  </si>
  <si>
    <t>Service delivery cost (year 3 - economic - local currency)</t>
  </si>
  <si>
    <t>Analysis!L447</t>
  </si>
  <si>
    <t>Service delivery cost (year 4 - economic - local currency)</t>
  </si>
  <si>
    <t>Analysis!M447</t>
  </si>
  <si>
    <t>Service delivery cost (year 5 - economic - local currency)</t>
  </si>
  <si>
    <t>Analysis!N447</t>
  </si>
  <si>
    <t>Service delivery cost (single vaccination activity 1 - total - economic - local currency)</t>
  </si>
  <si>
    <t>Analysis!I443</t>
  </si>
  <si>
    <t>Service delivery cost (single vaccination activity 1 - year 1 - economic - local currency)</t>
  </si>
  <si>
    <t>Analysis!J443</t>
  </si>
  <si>
    <t>Service delivery cost (single vaccination activity 1 - year 2 - economic - local currency)</t>
  </si>
  <si>
    <t>Analysis!K443</t>
  </si>
  <si>
    <t>Service delivery cost (single vaccination activity 1 - year 3 - economic - local currency)</t>
  </si>
  <si>
    <t>Analysis!L443</t>
  </si>
  <si>
    <t>Service delivery cost (single vaccination activity 1 - year 4 - economic - local currency)</t>
  </si>
  <si>
    <t>Analysis!M443</t>
  </si>
  <si>
    <t>Service delivery cost (single vaccination activity 1 - year 5 - economic - local currency)</t>
  </si>
  <si>
    <t>Analysis!N443</t>
  </si>
  <si>
    <t>Service delivery cost (single vaccination activity 2 - total - economic - local currency)</t>
  </si>
  <si>
    <t>Analysis!I444</t>
  </si>
  <si>
    <t>Service delivery cost (single vaccination activity 2 - year 1 - economic - local currency)</t>
  </si>
  <si>
    <t>Analysis!J444</t>
  </si>
  <si>
    <t>Service delivery cost (single vaccination activity 2 - year 2 - economic - local currency)</t>
  </si>
  <si>
    <t>Analysis!K444</t>
  </si>
  <si>
    <t>Service delivery cost (single vaccination activity 2 - year 3 - economic - local currency)</t>
  </si>
  <si>
    <t>Analysis!L444</t>
  </si>
  <si>
    <t>Service delivery cost (single vaccination activity 2 - year 4 - economic - local currency)</t>
  </si>
  <si>
    <t>Analysis!M444</t>
  </si>
  <si>
    <t>Service delivery cost (single vaccination activity 2 - year 5 - economic - local currency)</t>
  </si>
  <si>
    <t>Analysis!N444</t>
  </si>
  <si>
    <t>Service delivery cost (group vaccination activity 1 - total - economic - local currency)</t>
  </si>
  <si>
    <t>Analysis!I445</t>
  </si>
  <si>
    <t>Service delivery cost (group vaccination activity 1 - year 1 - economic - local currency)</t>
  </si>
  <si>
    <t>Analysis!J445</t>
  </si>
  <si>
    <t>Service delivery cost (group vaccination activity 1 - year 2 - economic - local currency)</t>
  </si>
  <si>
    <t>Analysis!K445</t>
  </si>
  <si>
    <t>Service delivery cost (group vaccination activity 1 - year 3 - economic - local currency)</t>
  </si>
  <si>
    <t>Analysis!L445</t>
  </si>
  <si>
    <t>Service delivery cost (group vaccination activity 1 - year 4 - economic - local currency)</t>
  </si>
  <si>
    <t>Analysis!M445</t>
  </si>
  <si>
    <t>Service delivery cost (group vaccination activity 1 - year 5 - economic - local currency)</t>
  </si>
  <si>
    <t>Analysis!N445</t>
  </si>
  <si>
    <t>Service delivery cost (group vaccination activity 2 - total - economic - local currency)</t>
  </si>
  <si>
    <t>Analysis!I446</t>
  </si>
  <si>
    <t>Service delivery cost (group vaccination activity 2 - year 1 - economic - local currency)</t>
  </si>
  <si>
    <t>Analysis!J446</t>
  </si>
  <si>
    <t>Service delivery cost (group vaccination activity 2 - year 2 - economic - local currency)</t>
  </si>
  <si>
    <t>Analysis!K446</t>
  </si>
  <si>
    <t>Service delivery cost (group vaccination activity 2 - year 3 - economic - local currency)</t>
  </si>
  <si>
    <t>Analysis!L446</t>
  </si>
  <si>
    <t>Service delivery cost (group vaccination activity 2 - year 4 - economic - local currency)</t>
  </si>
  <si>
    <t>Analysis!M446</t>
  </si>
  <si>
    <t>Service delivery cost (group vaccination activity 2 - year 5 - economic - local currency)</t>
  </si>
  <si>
    <t>Analysis!N446</t>
  </si>
  <si>
    <t>Supervision cost (total - economic - local currency)</t>
  </si>
  <si>
    <t>Analysis!I518</t>
  </si>
  <si>
    <t>Supervision cost (year 1 - economic - local currency)</t>
  </si>
  <si>
    <t>Analysis!J518</t>
  </si>
  <si>
    <t>Supervision cost (year 2 - economic - local currency)</t>
  </si>
  <si>
    <t>Analysis!K518</t>
  </si>
  <si>
    <t>Supervision cost (year 3 - economic - local currency)</t>
  </si>
  <si>
    <t>Analysis!L518</t>
  </si>
  <si>
    <t>Supervision cost (year 4 - economic - local currency)</t>
  </si>
  <si>
    <t>Analysis!M518</t>
  </si>
  <si>
    <t>Supervision cost (year 5 - economic - local currency)</t>
  </si>
  <si>
    <t>Analysis!N518</t>
  </si>
  <si>
    <t>Cold chain expansion cost (non-annualised - total - economic - local currency)</t>
  </si>
  <si>
    <t>Analysis!I676</t>
  </si>
  <si>
    <t>Cold chain expansion cost (non-annualised - year 1 - economic - local currency)</t>
  </si>
  <si>
    <t>Analysis!J676</t>
  </si>
  <si>
    <t>Cold chain expansion cost (non-annualised - year 2 - economic - local currency)</t>
  </si>
  <si>
    <t>Analysis!K676</t>
  </si>
  <si>
    <t>Cold chain expansion cost (non-annualised - year 3 - economic - local currency)</t>
  </si>
  <si>
    <t>Analysis!L676</t>
  </si>
  <si>
    <t>Cold chain expansion cost (non-annualised - year 4 - economic - local currency)</t>
  </si>
  <si>
    <t>Analysis!M676</t>
  </si>
  <si>
    <t>Cold chain expansion cost (non-annualised - year 5 - economic - local currency)</t>
  </si>
  <si>
    <t>Analysis!N676</t>
  </si>
  <si>
    <t>Cold chain expansion cost (annualised - total - economic - local currency)</t>
  </si>
  <si>
    <t>Analysis!I743</t>
  </si>
  <si>
    <t>Cold chain expansion cost (annualised - year 1 - economic - local currency)</t>
  </si>
  <si>
    <t>Analysis!J743</t>
  </si>
  <si>
    <t>Cold chain expansion cost (annualised - year 2 - economic - local currency)</t>
  </si>
  <si>
    <t>Analysis!K743</t>
  </si>
  <si>
    <t>Cold chain expansion cost (annualised - year 3 - economic - local currency)</t>
  </si>
  <si>
    <t>Analysis!L743</t>
  </si>
  <si>
    <t>Cold chain expansion cost (annualised - year 4 - economic - local currency)</t>
  </si>
  <si>
    <t>Analysis!M743</t>
  </si>
  <si>
    <t>Cold chain expansion cost (annualised - year 5 - economic - local currency)</t>
  </si>
  <si>
    <t>Analysis!N743</t>
  </si>
  <si>
    <t>Other capital cost (non-annualised - total - economic - local currency)</t>
  </si>
  <si>
    <t>Analysis!I840</t>
  </si>
  <si>
    <t>Other capital cost (non-annualised - year 1 - economic - local currency)</t>
  </si>
  <si>
    <t>Analysis!J840</t>
  </si>
  <si>
    <t>Other capital cost (non-annualised - year 2 - economic - local currency)</t>
  </si>
  <si>
    <t>Analysis!K840</t>
  </si>
  <si>
    <t>Other capital cost (non-annualised - year 3 - economic - local currency)</t>
  </si>
  <si>
    <t>Analysis!L840</t>
  </si>
  <si>
    <t>Other capital cost (non-annualised - year 4 - economic - local currency)</t>
  </si>
  <si>
    <t>Analysis!M840</t>
  </si>
  <si>
    <t>Other capital cost (non-annualised - year 5 - economic - local currency)</t>
  </si>
  <si>
    <t>Analysis!N840</t>
  </si>
  <si>
    <t>Other capital cost (annualised - total - economic - local currency)</t>
  </si>
  <si>
    <t>Analysis!I918</t>
  </si>
  <si>
    <t>Other capital cost (annualised - year 1 - economic - local currency)</t>
  </si>
  <si>
    <t>Analysis!J918</t>
  </si>
  <si>
    <t>Other capital cost (annualised - year 2 - economic - local currency)</t>
  </si>
  <si>
    <t>Analysis!K918</t>
  </si>
  <si>
    <t>Other capital cost (annualised - year 3 - economic - local currency)</t>
  </si>
  <si>
    <t>Analysis!L918</t>
  </si>
  <si>
    <t>Other capital cost (annualised - year 4 - economic - local currency)</t>
  </si>
  <si>
    <t>Analysis!M918</t>
  </si>
  <si>
    <t>Other capital cost (annualised - year 5 - economic - local currency)</t>
  </si>
  <si>
    <t>Analysis!N918</t>
  </si>
  <si>
    <t>Other recurrent cost (total - economic - local currency)</t>
  </si>
  <si>
    <t>Analysis!I594</t>
  </si>
  <si>
    <t>Other recurrent cost (year 1 - economic - local currency)</t>
  </si>
  <si>
    <t>Analysis!J594</t>
  </si>
  <si>
    <t>Other recurrent cost (year 2 - economic - local currency)</t>
  </si>
  <si>
    <t>Analysis!K594</t>
  </si>
  <si>
    <t>Other recurrent cost (year 3 - economic - local currency)</t>
  </si>
  <si>
    <t>Analysis!L594</t>
  </si>
  <si>
    <t>Other recurrent cost (year 4 - economic - local currency)</t>
  </si>
  <si>
    <t>Analysis!M594</t>
  </si>
  <si>
    <t>Other recurrent cost (year 5 - economic - local currency)</t>
  </si>
  <si>
    <t>Analysis!N594</t>
  </si>
  <si>
    <t>Subsidy for vaccine as a proportion of procurement cost (year 1)</t>
  </si>
  <si>
    <t>'VACCS_&amp;_SUPPLIES'!J27</t>
  </si>
  <si>
    <t>Subsidy for vaccine as a proportion of procurement cost (year 2)</t>
  </si>
  <si>
    <t>'VACCS_&amp;_SUPPLIES'!K27</t>
  </si>
  <si>
    <t>Subsidy for vaccine as a proportion of procurement cost (year 3)</t>
  </si>
  <si>
    <t>'VACCS_&amp;_SUPPLIES'!L27</t>
  </si>
  <si>
    <t>Subsidy for vaccine as a proportion of procurement cost (year 4)</t>
  </si>
  <si>
    <t>'VACCS_&amp;_SUPPLIES'!M27</t>
  </si>
  <si>
    <t>Subsidy for vaccine as a proportion of procurement cost (year 5)</t>
  </si>
  <si>
    <t>'VACCS_&amp;_SUPPLIES'!N27</t>
  </si>
  <si>
    <t>Subsidy for injection syringe as a proportion of procurement cost (year 1)</t>
  </si>
  <si>
    <t>'VACCS_&amp;_SUPPLIES'!J28</t>
  </si>
  <si>
    <t>Subsidy for injection syringe as a proportion of procurement cost (year 2)</t>
  </si>
  <si>
    <t>'VACCS_&amp;_SUPPLIES'!K28</t>
  </si>
  <si>
    <t>Subsidy for injection syringe as a proportion of procurement cost (year 3)</t>
  </si>
  <si>
    <t>'VACCS_&amp;_SUPPLIES'!L28</t>
  </si>
  <si>
    <t>Subsidy for injection syringe as a proportion of procurement cost (year 4)</t>
  </si>
  <si>
    <t>'VACCS_&amp;_SUPPLIES'!M28</t>
  </si>
  <si>
    <t>Subsidy for injection syringe as a proportion of procurement cost (year 5)</t>
  </si>
  <si>
    <t>'VACCS_&amp;_SUPPLIES'!N28</t>
  </si>
  <si>
    <t>Subsidy for safety box as a proportion of procurement cost (year 1)</t>
  </si>
  <si>
    <t>'VACCS_&amp;_SUPPLIES'!J29</t>
  </si>
  <si>
    <t>Subsidy for safety box as a proportion of procurement cost (year 2)</t>
  </si>
  <si>
    <t>'VACCS_&amp;_SUPPLIES'!K29</t>
  </si>
  <si>
    <t>Subsidy for safety box as a proportion of procurement cost (year 3)</t>
  </si>
  <si>
    <t>'VACCS_&amp;_SUPPLIES'!L29</t>
  </si>
  <si>
    <t>Subsidy for safety box as a proportion of procurement cost (year 4)</t>
  </si>
  <si>
    <t>'VACCS_&amp;_SUPPLIES'!M29</t>
  </si>
  <si>
    <t>Subsidy for safety box as a proportion of procurement cost (year 5)</t>
  </si>
  <si>
    <t>'VACCS_&amp;_SUPPLIES'!N29</t>
  </si>
  <si>
    <t>Additional costs for vaccine as a proportion of procurement cost (year 1)</t>
  </si>
  <si>
    <t>'VACCS_&amp;_SUPPLIES'!J38</t>
  </si>
  <si>
    <t>Additional costs for vaccine as a proportion of procurement cost (year 2)</t>
  </si>
  <si>
    <t>'VACCS_&amp;_SUPPLIES'!K38</t>
  </si>
  <si>
    <t>Additional costs for vaccine as a proportion of procurement cost (year 3)</t>
  </si>
  <si>
    <t>'VACCS_&amp;_SUPPLIES'!L38</t>
  </si>
  <si>
    <t>Additional costs for vaccine as a proportion of procurement cost (year 4)</t>
  </si>
  <si>
    <t>'VACCS_&amp;_SUPPLIES'!M38</t>
  </si>
  <si>
    <t>Additional costs for vaccine as a proportion of procurement cost (year 5)</t>
  </si>
  <si>
    <t>'VACCS_&amp;_SUPPLIES'!N38</t>
  </si>
  <si>
    <t>Additional costs for injection syringe as a proportion of procurement cost (year 1)</t>
  </si>
  <si>
    <t>'VACCS_&amp;_SUPPLIES'!J47</t>
  </si>
  <si>
    <t>Additional costs for injection syringe as a proportion of procurement cost (year 2)</t>
  </si>
  <si>
    <t>'VACCS_&amp;_SUPPLIES'!K47</t>
  </si>
  <si>
    <t>Additional costs for injection syringe as a proportion of procurement cost (year 3)</t>
  </si>
  <si>
    <t>'VACCS_&amp;_SUPPLIES'!L47</t>
  </si>
  <si>
    <t>Additional costs for injection syringe as a proportion of procurement cost (year 4)</t>
  </si>
  <si>
    <t>'VACCS_&amp;_SUPPLIES'!M47</t>
  </si>
  <si>
    <t>Additional costs for injection syringe as a proportion of procurement cost (year 5)</t>
  </si>
  <si>
    <t>'VACCS_&amp;_SUPPLIES'!N47</t>
  </si>
  <si>
    <t>Additional costs for safety box as a proportion of procurement cost (year 1)</t>
  </si>
  <si>
    <t>'VACCS_&amp;_SUPPLIES'!J55</t>
  </si>
  <si>
    <t>Additional costs for safety box as a proportion of procurement cost (year 2)</t>
  </si>
  <si>
    <t>'VACCS_&amp;_SUPPLIES'!K55</t>
  </si>
  <si>
    <t>Additional costs for safety box as a proportion of procurement cost (year 3)</t>
  </si>
  <si>
    <t>'VACCS_&amp;_SUPPLIES'!L55</t>
  </si>
  <si>
    <t>Additional costs for safety box as a proportion of procurement cost (year 4)</t>
  </si>
  <si>
    <t>'VACCS_&amp;_SUPPLIES'!M55</t>
  </si>
  <si>
    <t>Additional costs for safety box as a proportion of procurement cost (year 5)</t>
  </si>
  <si>
    <t>'VACCS_&amp;_SUPPLIES'!N55</t>
  </si>
  <si>
    <t>'VACCS_&amp;_SUPPLIES'!H105</t>
  </si>
  <si>
    <t>'VACCS_&amp;_SUPPLIES'!H111</t>
  </si>
  <si>
    <t>'VACCS_&amp;_SUPPLIES'!H120</t>
  </si>
  <si>
    <t>Name of microplanning activity 1</t>
  </si>
  <si>
    <t>HL_TOP_ACTV_Name</t>
  </si>
  <si>
    <t>Name of microplanning activity 2</t>
  </si>
  <si>
    <t>HL_TOP_ACTV_7_Name</t>
  </si>
  <si>
    <t>Name of microplanning activity 3</t>
  </si>
  <si>
    <t>HL_LVL2_ACTV_Name</t>
  </si>
  <si>
    <t>Name of microplanning activity 4</t>
  </si>
  <si>
    <t>HL_LVL2_ACTV_20_Name</t>
  </si>
  <si>
    <t>Name of training activity 1</t>
  </si>
  <si>
    <t>HL_TOP_ACTV_2_Name</t>
  </si>
  <si>
    <t>Name of training activity 2</t>
  </si>
  <si>
    <t>HL_TOP_ACTV_13_Name</t>
  </si>
  <si>
    <t>Name of training activity 3</t>
  </si>
  <si>
    <t>HL_TOP_ACTV_14_Name</t>
  </si>
  <si>
    <t>Name of training activity 4</t>
  </si>
  <si>
    <t>HL_LVL2_ACTV_2_Name</t>
  </si>
  <si>
    <t>Name of sensitisation activity 1</t>
  </si>
  <si>
    <t>HL_TOP_ACTV_3_Name</t>
  </si>
  <si>
    <t>Name of sensitisation activity 2</t>
  </si>
  <si>
    <t>HL_TOP_ACTV_10_Name</t>
  </si>
  <si>
    <t>Name of sensitisation activity 3</t>
  </si>
  <si>
    <t>HL_TOP_ACTV_11_Name</t>
  </si>
  <si>
    <t>Name of sensitisation activity 4</t>
  </si>
  <si>
    <t>HL_LVL2_ACTV_3_Name</t>
  </si>
  <si>
    <t>Name of sensitisation activity 5</t>
  </si>
  <si>
    <t>HL_LVL2_ACTV_18_Name</t>
  </si>
  <si>
    <t>Name of sensitisation activity 6</t>
  </si>
  <si>
    <t>HL_LVL2_ACTV_19_Name</t>
  </si>
  <si>
    <t>Name of social mobilisation and IEC activity 1</t>
  </si>
  <si>
    <t>HL_TOP_ACTV_4_Name</t>
  </si>
  <si>
    <t>Name of social mobilisation and IEC activity 2</t>
  </si>
  <si>
    <t>HL_TOP_ACTV_15_Name</t>
  </si>
  <si>
    <t>Name of social mobilisation and IEC activity 3</t>
  </si>
  <si>
    <t>HL_TOP_ACTV_16_Name</t>
  </si>
  <si>
    <t>Name of social mobilisation and IEC activity 4</t>
  </si>
  <si>
    <t>HL_LVL2_ACTV_4_Name</t>
  </si>
  <si>
    <t>Name of social mobilisation and IEC activity 5</t>
  </si>
  <si>
    <t>HL_LVL2_ACTV_10_Name</t>
  </si>
  <si>
    <t>Name of social mobilisation and IEC activity 6</t>
  </si>
  <si>
    <t>HL_LVL2_ACTV_11_Name</t>
  </si>
  <si>
    <t>Name of social mobilisation and IEC activity 7</t>
  </si>
  <si>
    <t>HL_LVL2_ACTV_8_Name</t>
  </si>
  <si>
    <t>Name of social mobilisation and IEC activity 8</t>
  </si>
  <si>
    <t>HL_LVL2_ACTV_21_Name</t>
  </si>
  <si>
    <t>Name of supervision activity 1</t>
  </si>
  <si>
    <t>HL_TOP_ACTV_5_Name</t>
  </si>
  <si>
    <t>Name of supervision activity 2</t>
  </si>
  <si>
    <t>HL_TOP_ACTV_17_Name</t>
  </si>
  <si>
    <t>Name of supervision activity 3</t>
  </si>
  <si>
    <t>HL_TOP_ACTV_18_Name</t>
  </si>
  <si>
    <t>Name of supervision activity 4</t>
  </si>
  <si>
    <t>HL_TOP_ACTV_8_Name</t>
  </si>
  <si>
    <t>Name of supervision activity 5</t>
  </si>
  <si>
    <t>HL_LVL2_ACTV_5_Name</t>
  </si>
  <si>
    <t>Name of supervision activity 6</t>
  </si>
  <si>
    <t>HL_LVL2_ACTV_14_Name</t>
  </si>
  <si>
    <t>Name of supervision activity 7</t>
  </si>
  <si>
    <t>HL_LVL2_ACTV_15_Name</t>
  </si>
  <si>
    <t>Name of other recurrent activity 1</t>
  </si>
  <si>
    <t>HL_TOP_ACTV_6_Name</t>
  </si>
  <si>
    <t>Name of other recurrent activity 2</t>
  </si>
  <si>
    <t>HL_TOP_ACTV_20_Name</t>
  </si>
  <si>
    <t>Name of other recurrent activity 3</t>
  </si>
  <si>
    <t>HL_TOP_ACTV_19_Name</t>
  </si>
  <si>
    <t>Name of other recurrent activity 4</t>
  </si>
  <si>
    <t>HL_LVL2_ACTV_7_Name</t>
  </si>
  <si>
    <t>Name of other recurrent activity 5</t>
  </si>
  <si>
    <t>HL_LVL2_ACTV_16_Name</t>
  </si>
  <si>
    <t>Name of other capital investment 1</t>
  </si>
  <si>
    <t>CAPITAL_INVESTS_OTH!B21</t>
  </si>
  <si>
    <t>Name of other capital investment 2</t>
  </si>
  <si>
    <t>CAPITAL_INVESTS_OTH!B22</t>
  </si>
  <si>
    <t>Name of other capital investment 3</t>
  </si>
  <si>
    <t>CAPITAL_INVESTS_OTH!B23</t>
  </si>
  <si>
    <t>Name of other capital investment 4</t>
  </si>
  <si>
    <t>CAPITAL_INVESTS_OTH!B24</t>
  </si>
  <si>
    <t>Name of other capital investment 5</t>
  </si>
  <si>
    <t>CAPITAL_INVESTS_OTH!B25</t>
  </si>
  <si>
    <t>Name of other capital investment 6</t>
  </si>
  <si>
    <t>CAPITAL_INVESTS_OTH!B26</t>
  </si>
  <si>
    <t>Name of other capital investment 7</t>
  </si>
  <si>
    <t>CAPITAL_INVESTS_OTH!B27</t>
  </si>
  <si>
    <t>Name of other capital investment 8</t>
  </si>
  <si>
    <t>CAPITAL_INVESTS_OTH!B28</t>
  </si>
  <si>
    <t>Name of other capital investment 9</t>
  </si>
  <si>
    <t>CAPITAL_INVESTS_OTH!B29</t>
  </si>
  <si>
    <t>Name of other capital investment 10</t>
  </si>
  <si>
    <t>CAPITAL_INVESTS_OTH!B30</t>
  </si>
  <si>
    <t>Name of cold storage equipment 1</t>
  </si>
  <si>
    <t>COLD_CHAIN_EXPANS!B20</t>
  </si>
  <si>
    <t>Name of cold storage equipment 2</t>
  </si>
  <si>
    <t>COLD_CHAIN_EXPANS!B21</t>
  </si>
  <si>
    <t>Name of cold storage equipment 3</t>
  </si>
  <si>
    <t>COLD_CHAIN_EXPANS!B22</t>
  </si>
  <si>
    <t>Name of cold storage equipment 4</t>
  </si>
  <si>
    <t>COLD_CHAIN_EXPANS!B23</t>
  </si>
  <si>
    <t>Name of cold storage equipment 5</t>
  </si>
  <si>
    <t>COLD_CHAIN_EXPANS!B24</t>
  </si>
  <si>
    <t>Name of cold storage equipment 6</t>
  </si>
  <si>
    <t>COLD_CHAIN_EXPANS!B25</t>
  </si>
  <si>
    <t>Name of cold storage equipment 7</t>
  </si>
  <si>
    <t>COLD_CHAIN_EXPANS!B26</t>
  </si>
  <si>
    <t>Name of cold storage equipment 8</t>
  </si>
  <si>
    <t>COLD_CHAIN_EXPANS!B27</t>
  </si>
  <si>
    <t>Name of cold storage equipment 9</t>
  </si>
  <si>
    <t>COLD_CHAIN_EXPANS!B28</t>
  </si>
  <si>
    <t>Name of cold storage equipment 10</t>
  </si>
  <si>
    <t>COLD_CHAIN_EXPANS!B29</t>
  </si>
  <si>
    <t>Analysis!I115</t>
  </si>
  <si>
    <t>Analysis!I117</t>
  </si>
  <si>
    <t>Analysis!I119</t>
  </si>
  <si>
    <t>Analysis!I121</t>
  </si>
  <si>
    <t>Analysis!I183</t>
  </si>
  <si>
    <t>Analysis!I185</t>
  </si>
  <si>
    <t>Analysis!I187</t>
  </si>
  <si>
    <t>Analysis!I189</t>
  </si>
  <si>
    <t>Analysis!I250</t>
  </si>
  <si>
    <t>Analysis!I252</t>
  </si>
  <si>
    <t>Analysis!I254</t>
  </si>
  <si>
    <t>Analysis!I256</t>
  </si>
  <si>
    <t>Analysis!I258</t>
  </si>
  <si>
    <t>Analysis!I260</t>
  </si>
  <si>
    <t>Analysis!I329</t>
  </si>
  <si>
    <t>Analysis!I331</t>
  </si>
  <si>
    <t>Analysis!I333</t>
  </si>
  <si>
    <t>Analysis!I335</t>
  </si>
  <si>
    <t>Analysis!I337</t>
  </si>
  <si>
    <t>Analysis!I339</t>
  </si>
  <si>
    <t>Analysis!I341</t>
  </si>
  <si>
    <t>Analysis!I343</t>
  </si>
  <si>
    <t>Analysis!I420</t>
  </si>
  <si>
    <t>Analysis!I421</t>
  </si>
  <si>
    <t>Analysis!I422</t>
  </si>
  <si>
    <t>Analysis!I423</t>
  </si>
  <si>
    <t>Analysis!I481</t>
  </si>
  <si>
    <t>Analysis!I482</t>
  </si>
  <si>
    <t>Analysis!I483</t>
  </si>
  <si>
    <t>Analysis!I484</t>
  </si>
  <si>
    <t>Analysis!I485</t>
  </si>
  <si>
    <t>Analysis!I486</t>
  </si>
  <si>
    <t>Analysis!I487</t>
  </si>
  <si>
    <t>Analysis!I560</t>
  </si>
  <si>
    <t>Analysis!I562</t>
  </si>
  <si>
    <t>Analysis!I564</t>
  </si>
  <si>
    <t>Analysis!I566</t>
  </si>
  <si>
    <t>Analysis!I568</t>
  </si>
  <si>
    <t>Analysis!I790</t>
  </si>
  <si>
    <t>Analysis!I791</t>
  </si>
  <si>
    <t>Analysis!I792</t>
  </si>
  <si>
    <t>Analysis!I793</t>
  </si>
  <si>
    <t>Analysis!I794</t>
  </si>
  <si>
    <t>Analysis!I795</t>
  </si>
  <si>
    <t>Analysis!I796</t>
  </si>
  <si>
    <t>Analysis!I797</t>
  </si>
  <si>
    <t>Analysis!I798</t>
  </si>
  <si>
    <t>Analysis!I799</t>
  </si>
  <si>
    <t>COUNTS_and_COVERAGE_Summary!I76</t>
  </si>
  <si>
    <t>COUNTS_and_COVERAGE_Summary!I109</t>
  </si>
  <si>
    <t>SERVICE_DELIVERY!J61</t>
  </si>
  <si>
    <t>SERVICE_DELIVERY!K61</t>
  </si>
  <si>
    <t>SERVICE_DELIVERY!L61</t>
  </si>
  <si>
    <t>SERVICE_DELIVERY!M61</t>
  </si>
  <si>
    <t>SERVICE_DELIVERY!N61</t>
  </si>
  <si>
    <t>SERVICE_DELIVERY!J68</t>
  </si>
  <si>
    <t>SERVICE_DELIVERY!K68</t>
  </si>
  <si>
    <t>SERVICE_DELIVERY!L68</t>
  </si>
  <si>
    <t>SERVICE_DELIVERY!M68</t>
  </si>
  <si>
    <t>SERVICE_DELIVERY!N68</t>
  </si>
  <si>
    <t>SERVICE_DELIVERY!J114</t>
  </si>
  <si>
    <t>SERVICE_DELIVERY!L114</t>
  </si>
  <si>
    <t>SERVICE_DELIVERY!M114</t>
  </si>
  <si>
    <t>SERVICE_DELIVERY!N114</t>
  </si>
  <si>
    <t>SERVICE_DELIVERY!K114</t>
  </si>
  <si>
    <t>SERVICE_DELIVERY!J115</t>
  </si>
  <si>
    <t>SERVICE_DELIVERY!K115</t>
  </si>
  <si>
    <t>SERVICE_DELIVERY!L115</t>
  </si>
  <si>
    <t>SERVICE_DELIVERY!M115</t>
  </si>
  <si>
    <t>SERVICE_DELIVERY!N115</t>
  </si>
  <si>
    <t>SERVICE_DELIVERY!J121</t>
  </si>
  <si>
    <t>SERVICE_DELIVERY!K121</t>
  </si>
  <si>
    <t>SERVICE_DELIVERY!L121</t>
  </si>
  <si>
    <t>SERVICE_DELIVERY!M121</t>
  </si>
  <si>
    <t>SERVICE_DELIVERY!N121</t>
  </si>
  <si>
    <t>SERVICE_DELIVERY!J122</t>
  </si>
  <si>
    <t>SERVICE_DELIVERY!K122</t>
  </si>
  <si>
    <t>SERVICE_DELIVERY!L122</t>
  </si>
  <si>
    <t>SERVICE_DELIVERY!M122</t>
  </si>
  <si>
    <t>SERVICE_DELIVERY!N122</t>
  </si>
  <si>
    <t>SERVICE_DELIVERY!J178</t>
  </si>
  <si>
    <t>SERVICE_DELIVERY!K178</t>
  </si>
  <si>
    <t>SERVICE_DELIVERY!L178</t>
  </si>
  <si>
    <t>SERVICE_DELIVERY!M178</t>
  </si>
  <si>
    <t>SERVICE_DELIVERY!N178</t>
  </si>
  <si>
    <t>SERVICE_DELIVERY!J179</t>
  </si>
  <si>
    <t>SERVICE_DELIVERY!K179</t>
  </si>
  <si>
    <t>SERVICE_DELIVERY!L179</t>
  </si>
  <si>
    <t>SERVICE_DELIVERY!M179</t>
  </si>
  <si>
    <t>SERVICE_DELIVERY!N179</t>
  </si>
  <si>
    <t>SERVICE_DELIVERY!J182</t>
  </si>
  <si>
    <t>SERVICE_DELIVERY!K182</t>
  </si>
  <si>
    <t>SERVICE_DELIVERY!L182</t>
  </si>
  <si>
    <t>SERVICE_DELIVERY!M182</t>
  </si>
  <si>
    <t>SERVICE_DELIVERY!N182</t>
  </si>
  <si>
    <t>SERVICE_DELIVERY!J183</t>
  </si>
  <si>
    <t>SERVICE_DELIVERY!K183</t>
  </si>
  <si>
    <t>SERVICE_DELIVERY!L183</t>
  </si>
  <si>
    <t>SERVICE_DELIVERY!M183</t>
  </si>
  <si>
    <t>SERVICE_DELIVERY!N183</t>
  </si>
  <si>
    <t>SERVICE_DELIVERY!J199</t>
  </si>
  <si>
    <t>SERVICE_DELIVERY!K199</t>
  </si>
  <si>
    <t>SERVICE_DELIVERY!L199</t>
  </si>
  <si>
    <t>SERVICE_DELIVERY!M199</t>
  </si>
  <si>
    <t>SERVICE_DELIVERY!N199</t>
  </si>
  <si>
    <t>SERVICE_DELIVERY!J200</t>
  </si>
  <si>
    <t>SERVICE_DELIVERY!K200</t>
  </si>
  <si>
    <t>SERVICE_DELIVERY!L200</t>
  </si>
  <si>
    <t>SERVICE_DELIVERY!M200</t>
  </si>
  <si>
    <t>SERVICE_DELIVERY!N200</t>
  </si>
  <si>
    <t>SERVICE_DELIVERY!J203</t>
  </si>
  <si>
    <t>SERVICE_DELIVERY!K203</t>
  </si>
  <si>
    <t>SERVICE_DELIVERY!L203</t>
  </si>
  <si>
    <t>SERVICE_DELIVERY!M203</t>
  </si>
  <si>
    <t>SERVICE_DELIVERY!N203</t>
  </si>
  <si>
    <t>SERVICE_DELIVERY!J204</t>
  </si>
  <si>
    <t>SERVICE_DELIVERY!K204</t>
  </si>
  <si>
    <t>SERVICE_DELIVERY!L204</t>
  </si>
  <si>
    <t>SERVICE_DELIVERY!M204</t>
  </si>
  <si>
    <t>SERVICE_DELIVERY!N204</t>
  </si>
  <si>
    <t>`</t>
  </si>
  <si>
    <t>Lang_Cant_Divide_By_Zero</t>
  </si>
  <si>
    <t>Can't Divide by Zero</t>
  </si>
  <si>
    <t>Impossible de diviser par zéro</t>
  </si>
  <si>
    <t>n.</t>
  </si>
  <si>
    <t>o.</t>
  </si>
  <si>
    <t>IN-SCHOOL</t>
  </si>
  <si>
    <t>OUT OF SCHOOL</t>
  </si>
  <si>
    <t>Lang_Vaccine_And_Supply_Costs_Assumptions_Projection_Or_Retrospective</t>
  </si>
  <si>
    <t>Vaccine and Supply Costs - Assumptions (Projection or Retrospective)</t>
  </si>
  <si>
    <t>Coûts des vaccins et des fournitures - Hypothèses (Projections ou Rétrospectives)</t>
  </si>
  <si>
    <t>Lang_Projection_Assumptions</t>
  </si>
  <si>
    <t>Projection Assumptions</t>
  </si>
  <si>
    <t>Hypothèses Projections</t>
  </si>
  <si>
    <t>Lang_Avg_Number_Of_Vacc_Delivered_During_Service_Delivery_Activities_Projection_Or_Retrospective</t>
  </si>
  <si>
    <t>Average Number of Vaccinations Delivered During Service Delivery Activities (Projection or Retrospective)</t>
  </si>
  <si>
    <t>Nombre moyen de vaccins administrés pendant les activités de prestation de services (Projections ou Rétrospectives)</t>
  </si>
  <si>
    <t>Lang_Proportion_And_Number_Of_Vacc_Delivered_By_Year_And_Service_Delivery_Type_Projection</t>
  </si>
  <si>
    <t>Proportion and Number of Vaccinations Delivered, by Year and Service Delivery Type (Projection)</t>
  </si>
  <si>
    <t>Proportion et nombre de vaccins administrés, par année et type de prestation de services (Projection)</t>
  </si>
  <si>
    <t>Lang_Proportion_Of_Vacc_Delivered_Projection</t>
  </si>
  <si>
    <t>Proportion of Vaccinations Delivered (Projection)</t>
  </si>
  <si>
    <t>Proportion de vaccins administrés (Projections)</t>
  </si>
  <si>
    <t>Lang_Projection_Or_Retrospective</t>
  </si>
  <si>
    <t>Projection or Retrospective</t>
  </si>
  <si>
    <t>Projection ou Rétrospective</t>
  </si>
  <si>
    <t>Lang_Projection_Projection</t>
  </si>
  <si>
    <t>Projection Projection</t>
  </si>
  <si>
    <t>Prévision Projection</t>
  </si>
  <si>
    <t>IF 1-Dose Schedule, Please input [Not in Use] for vaccine dose 2 label.</t>
  </si>
  <si>
    <t>Local Currency Unit</t>
  </si>
  <si>
    <t>LCU</t>
  </si>
  <si>
    <t>HPV Vaccination Module</t>
  </si>
  <si>
    <t>VPH Module de vaccination</t>
  </si>
  <si>
    <t>Password to unprotect of unprotect worksheets: MYC4P</t>
  </si>
  <si>
    <t>PROPORTIONS HAVE BEEN CHANGED FROM STATIC TO VARIABLE BY YEAR</t>
  </si>
  <si>
    <t>Small Group Vaccination Activity (30 people vaccinated)</t>
  </si>
  <si>
    <t>Large Group Vaccination Activity (100 people vaccinated)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</si>
</sst>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###0_);\(###0\);_(&quot;-&quot;_);_)@_)"/>
    <numFmt numFmtId="165" formatCode="_(#,##0.0_);\(#,##0.0\);_(&quot;-&quot;_);_)@_)"/>
    <numFmt numFmtId="166" formatCode="_(#,##0.0%_);\(#,##0.0%\);_(&quot;-&quot;_);_)@_)"/>
    <numFmt numFmtId="167" formatCode="_(#,##0.0\x_);\(#,##0.0\x\);_(&quot;-&quot;_);_)@_)"/>
    <numFmt numFmtId="168" formatCode="_(&quot;$&quot;#,##0.0_);\(&quot;$&quot;#,##0.0\);_(&quot;-&quot;_);_)@_)"/>
    <numFmt numFmtId="169" formatCode="_(#,##0_);\(#,##0\);_(#,##0_);_)@_)"/>
    <numFmt numFmtId="170" formatCode="_(#,##0_);\(#,##0\);_(&quot;-&quot;_);_)@_)"/>
    <numFmt numFmtId="171" formatCode="#,##0."/>
    <numFmt numFmtId="172" formatCode="_(#,##0.00_);\(#,##0.00\);_(&quot;-&quot;_);_)@_)"/>
    <numFmt numFmtId="173" formatCode="_(#,##0%_);\(#,##0%\);_(&quot;-&quot;_);_)@_)"/>
    <numFmt numFmtId="174" formatCode="_(&quot;$&quot;#,##0.00_);\(&quot;$&quot;#,##0.00\);_(&quot;-&quot;_);_)@_)"/>
    <numFmt numFmtId="175" formatCode="_(&quot;$&quot;#,##0_);\(&quot;$&quot;#,##0\);_(&quot;-&quot;_);_)@_)"/>
    <numFmt numFmtId="176" formatCode="_)m/d/yy_);_)m/d/yy_);_)&quot;-&quot;_);_)@_)"/>
    <numFmt numFmtId="177" formatCode="0.0%"/>
  </numFmts>
  <fonts count="55" x14ac:knownFonts="1">
    <font>
      <sz val="9"/>
      <color theme="1" tint="0.2499465926084170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8"/>
      <color indexed="60"/>
      <name val="Arial"/>
      <family val="2"/>
      <scheme val="major"/>
    </font>
    <font>
      <u/>
      <sz val="10"/>
      <color theme="10"/>
      <name val="Arial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rgb="FF000000"/>
      <name val="Tahoma"/>
      <family val="2"/>
    </font>
    <font>
      <sz val="10"/>
      <name val="Arial Black"/>
      <family val="2"/>
    </font>
    <font>
      <b/>
      <sz val="11"/>
      <color theme="1" tint="0.24994659260841701"/>
      <name val="Arial"/>
      <family val="2"/>
      <scheme val="major"/>
    </font>
    <font>
      <b/>
      <sz val="10"/>
      <color theme="1" tint="0.24994659260841701"/>
      <name val="Arial"/>
      <family val="2"/>
      <scheme val="major"/>
    </font>
    <font>
      <sz val="9"/>
      <color theme="0"/>
      <name val="Arial"/>
      <family val="2"/>
      <scheme val="major"/>
    </font>
    <font>
      <b/>
      <sz val="9"/>
      <color theme="4" tint="-0.49995422223578601"/>
      <name val="Arial"/>
      <family val="2"/>
      <scheme val="major"/>
    </font>
    <font>
      <b/>
      <sz val="9"/>
      <color theme="1" tint="0.24994659260841701"/>
      <name val="Arial"/>
      <family val="2"/>
      <scheme val="major"/>
    </font>
    <font>
      <sz val="9"/>
      <color theme="1" tint="0.24994659260841701"/>
      <name val="Arial"/>
      <family val="2"/>
      <scheme val="major"/>
    </font>
    <font>
      <sz val="9"/>
      <color theme="4" tint="-0.49995422223578601"/>
      <name val="Arial"/>
      <family val="2"/>
      <scheme val="minor"/>
    </font>
    <font>
      <sz val="9"/>
      <color theme="1" tint="0.24994659260841701"/>
      <name val="Arial"/>
      <family val="2"/>
      <scheme val="minor"/>
    </font>
    <font>
      <sz val="9"/>
      <color theme="0"/>
      <name val="Arial"/>
      <family val="2"/>
      <scheme val="minor"/>
    </font>
    <font>
      <b/>
      <sz val="9"/>
      <color theme="1" tint="0.24994659260841701"/>
      <name val="Arial"/>
      <family val="2"/>
      <scheme val="minor"/>
    </font>
    <font>
      <u/>
      <sz val="9"/>
      <color theme="11"/>
      <name val="Arial"/>
      <family val="2"/>
      <scheme val="minor"/>
    </font>
    <font>
      <sz val="9"/>
      <color theme="11"/>
      <name val="Wingdings"/>
      <charset val="2"/>
    </font>
    <font>
      <b/>
      <u/>
      <sz val="9"/>
      <color theme="11"/>
      <name val="Arial"/>
      <family val="2"/>
      <scheme val="minor"/>
    </font>
    <font>
      <sz val="9"/>
      <color theme="11"/>
      <name val="Arial"/>
      <family val="2"/>
      <scheme val="minor"/>
    </font>
    <font>
      <sz val="9"/>
      <color rgb="FF203764"/>
      <name val="Arial"/>
      <family val="2"/>
      <scheme val="major"/>
    </font>
    <font>
      <sz val="9"/>
      <color rgb="FF203764"/>
      <name val="Arial"/>
      <family val="2"/>
      <scheme val="minor"/>
    </font>
    <font>
      <sz val="9"/>
      <color rgb="FFFFFFFF"/>
      <name val="Arial"/>
      <family val="2"/>
      <scheme val="minor"/>
    </font>
    <font>
      <b/>
      <sz val="9"/>
      <color rgb="FF203764"/>
      <name val="Arial"/>
      <family val="2"/>
      <scheme val="minor"/>
    </font>
    <font>
      <sz val="9"/>
      <color rgb="FF375623"/>
      <name val="Arial"/>
      <family val="2"/>
      <scheme val="minor"/>
    </font>
    <font>
      <sz val="9"/>
      <color rgb="FF375623"/>
      <name val="Arial"/>
      <family val="2"/>
      <scheme val="major"/>
    </font>
    <font>
      <b/>
      <sz val="9"/>
      <color rgb="FF203764"/>
      <name val="Arial"/>
      <family val="2"/>
      <scheme val="major"/>
    </font>
    <font>
      <b/>
      <sz val="9"/>
      <color rgb="FF375623"/>
      <name val="Arial"/>
      <family val="2"/>
      <scheme val="major"/>
    </font>
    <font>
      <b/>
      <sz val="9"/>
      <color rgb="FF375623"/>
      <name val="Arial"/>
      <family val="2"/>
      <scheme val="minor"/>
    </font>
    <font>
      <b/>
      <sz val="11"/>
      <color rgb="FF203764"/>
      <name val="Arial"/>
      <family val="2"/>
      <scheme val="major"/>
    </font>
    <font>
      <b/>
      <sz val="10"/>
      <color rgb="FF375623"/>
      <name val="Arial"/>
      <family val="2"/>
      <scheme val="major"/>
    </font>
    <font>
      <b/>
      <sz val="10"/>
      <color rgb="FF203764"/>
      <name val="Arial"/>
      <family val="2"/>
      <scheme val="major"/>
    </font>
    <font>
      <b/>
      <sz val="10"/>
      <color theme="1"/>
      <name val="Arial"/>
      <family val="2"/>
      <scheme val="major"/>
    </font>
    <font>
      <b/>
      <sz val="9"/>
      <color theme="1"/>
      <name val="Arial"/>
      <family val="2"/>
      <scheme val="major"/>
    </font>
    <font>
      <sz val="9"/>
      <color theme="1"/>
      <name val="Arial"/>
      <family val="2"/>
      <scheme val="major"/>
    </font>
    <font>
      <sz val="9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i/>
      <sz val="9"/>
      <color theme="1"/>
      <name val="Arial"/>
      <family val="2"/>
      <scheme val="minor"/>
    </font>
    <font>
      <b/>
      <sz val="14"/>
      <color theme="1"/>
      <name val="Arial"/>
      <family val="2"/>
      <scheme val="major"/>
    </font>
    <font>
      <i/>
      <sz val="9"/>
      <color theme="1"/>
      <name val="Arial"/>
      <family val="2"/>
      <scheme val="major"/>
    </font>
    <font>
      <i/>
      <sz val="9"/>
      <color rgb="FF375623"/>
      <name val="Arial"/>
      <family val="2"/>
      <scheme val="major"/>
    </font>
    <font>
      <b/>
      <i/>
      <sz val="9"/>
      <color theme="1"/>
      <name val="Arial"/>
      <family val="2"/>
      <scheme val="minor"/>
    </font>
    <font>
      <b/>
      <sz val="11"/>
      <color theme="0"/>
      <name val="Arial"/>
      <family val="2"/>
      <scheme val="major"/>
    </font>
    <font>
      <b/>
      <sz val="9"/>
      <color theme="0"/>
      <name val="Arial"/>
      <family val="2"/>
      <scheme val="major"/>
    </font>
    <font>
      <b/>
      <sz val="11"/>
      <color theme="1" tint="0.24994659260841701"/>
      <name val="Arial"/>
      <family val="2"/>
      <scheme val="minor"/>
    </font>
    <font>
      <b/>
      <sz val="11"/>
      <color theme="8"/>
      <name val="Arial"/>
      <family val="2"/>
      <scheme val="minor"/>
    </font>
    <font>
      <b/>
      <sz val="11"/>
      <color rgb="FFFF0000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9"/>
      <color rgb="FFFF0000"/>
      <name val="Arial"/>
      <family val="2"/>
      <scheme val="minor"/>
    </font>
    <font>
      <b/>
      <sz val="9"/>
      <color theme="0"/>
      <name val="Arial"/>
      <family val="2"/>
      <scheme val="minor"/>
    </font>
    <font>
      <b/>
      <sz val="10"/>
      <color rgb="FFFF0000"/>
      <name val="Arial"/>
      <family val="2"/>
      <scheme val="minor"/>
    </font>
    <font>
      <b/>
      <sz val="16"/>
      <color theme="1" tint="0.24994659260841701"/>
      <name val="Arial"/>
      <family val="2"/>
      <scheme val="major"/>
    </font>
    <font>
      <sz val="9"/>
      <color theme="9" tint="-0.49995422223578601"/>
      <name val="Arial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1" tint="0.349955748161259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24"/>
      </patternFill>
    </fill>
    <fill>
      <patternFill patternType="solid">
        <fgColor theme="4"/>
        <bgColor indexed="45"/>
      </patternFill>
    </fill>
    <fill>
      <patternFill patternType="solid">
        <fgColor theme="1" tint="0.34995574816125979"/>
        <bgColor rgb="FF00FFFF"/>
      </patternFill>
    </fill>
    <fill>
      <patternFill patternType="solid">
        <fgColor theme="4"/>
        <bgColor rgb="FF00FFFF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/>
      <bottom style="thin">
        <color theme="4" tint="-0.499954222235786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 style="thin">
        <color theme="4" tint="0.39997558519241921"/>
      </top>
      <bottom style="medium">
        <color indexed="64"/>
      </bottom>
      <diagonal/>
    </border>
  </borders>
  <cellStyleXfs count="61">
    <xf numFmtId="0" fontId="0" fillId="0" borderId="0" applyFill="0" applyBorder="0">
      <alignment vertical="center"/>
    </xf>
    <xf numFmtId="0" fontId="8" fillId="0" borderId="0" applyFill="0" applyBorder="0">
      <alignment vertical="center"/>
    </xf>
    <xf numFmtId="0" fontId="9" fillId="0" borderId="0" applyFill="0" applyBorder="0">
      <alignment vertical="center"/>
    </xf>
    <xf numFmtId="0" fontId="9" fillId="0" borderId="0" applyFill="0" applyBorder="0">
      <alignment vertical="center"/>
    </xf>
    <xf numFmtId="0" fontId="10" fillId="2" borderId="0" applyBorder="0">
      <alignment vertical="center"/>
    </xf>
    <xf numFmtId="0" fontId="11" fillId="3" borderId="9">
      <alignment vertical="center"/>
    </xf>
    <xf numFmtId="0" fontId="12" fillId="0" borderId="0" applyFill="0" applyBorder="0">
      <alignment vertical="center"/>
    </xf>
    <xf numFmtId="0" fontId="13" fillId="0" borderId="0" applyFill="0" applyBorder="0">
      <alignment vertical="center"/>
    </xf>
    <xf numFmtId="0" fontId="13" fillId="0" borderId="0" applyFill="0" applyBorder="0">
      <alignment vertical="center"/>
      <protection locked="0"/>
    </xf>
    <xf numFmtId="0" fontId="14" fillId="5" borderId="10">
      <alignment vertical="center"/>
      <protection locked="0"/>
    </xf>
    <xf numFmtId="164" fontId="14" fillId="5" borderId="10">
      <alignment vertical="center"/>
      <protection locked="0"/>
    </xf>
    <xf numFmtId="176" fontId="14" fillId="5" borderId="10">
      <alignment vertical="center"/>
      <protection locked="0"/>
    </xf>
    <xf numFmtId="165" fontId="14" fillId="5" borderId="10">
      <alignment vertical="center"/>
      <protection locked="0"/>
    </xf>
    <xf numFmtId="166" fontId="14" fillId="5" borderId="10">
      <alignment vertical="center"/>
      <protection locked="0"/>
    </xf>
    <xf numFmtId="167" fontId="14" fillId="5" borderId="10">
      <alignment vertical="center"/>
      <protection locked="0"/>
    </xf>
    <xf numFmtId="168" fontId="14" fillId="5" borderId="10">
      <alignment vertical="center"/>
      <protection locked="0"/>
    </xf>
    <xf numFmtId="0" fontId="15" fillId="0" borderId="0" applyNumberFormat="0" applyFill="0" applyBorder="0">
      <alignment horizontal="center" vertical="center"/>
      <protection locked="0"/>
    </xf>
    <xf numFmtId="164" fontId="15" fillId="0" borderId="0" applyFill="0" applyBorder="0">
      <alignment vertical="center"/>
    </xf>
    <xf numFmtId="176" fontId="15" fillId="0" borderId="0" applyFill="0" applyBorder="0">
      <alignment vertical="center"/>
    </xf>
    <xf numFmtId="165" fontId="15" fillId="0" borderId="0" applyFill="0" applyBorder="0">
      <alignment vertical="center"/>
    </xf>
    <xf numFmtId="166" fontId="15" fillId="0" borderId="0" applyFill="0" applyBorder="0">
      <alignment vertical="center"/>
    </xf>
    <xf numFmtId="167" fontId="15" fillId="0" borderId="0" applyFill="0" applyBorder="0">
      <alignment vertical="center"/>
    </xf>
    <xf numFmtId="168" fontId="15" fillId="0" borderId="0" applyFill="0" applyBorder="0">
      <alignment vertical="center"/>
    </xf>
    <xf numFmtId="0" fontId="16" fillId="4" borderId="0" applyBorder="0">
      <alignment vertical="center"/>
    </xf>
    <xf numFmtId="0" fontId="17" fillId="0" borderId="1" applyFill="0">
      <alignment horizontal="center" vertical="center"/>
    </xf>
    <xf numFmtId="169" fontId="15" fillId="0" borderId="1" applyFill="0">
      <alignment horizontal="center" vertical="center"/>
    </xf>
    <xf numFmtId="0" fontId="15" fillId="0" borderId="1" applyFill="0">
      <alignment horizontal="center" vertical="center"/>
    </xf>
    <xf numFmtId="0" fontId="18" fillId="0" borderId="0" applyFill="0" applyBorder="0">
      <alignment vertical="center"/>
    </xf>
    <xf numFmtId="0" fontId="19" fillId="0" borderId="0" applyFill="0" applyBorder="0">
      <alignment horizontal="center" vertical="center"/>
    </xf>
    <xf numFmtId="0" fontId="19" fillId="0" borderId="0" applyFill="0" applyBorder="0">
      <alignment horizontal="center" vertical="center"/>
    </xf>
    <xf numFmtId="0" fontId="20" fillId="0" borderId="0" applyFill="0" applyBorder="0">
      <alignment vertical="center"/>
    </xf>
    <xf numFmtId="0" fontId="18" fillId="0" borderId="0" applyFill="0" applyBorder="0">
      <alignment vertical="center"/>
    </xf>
    <xf numFmtId="0" fontId="21" fillId="0" borderId="0" applyFill="0" applyBorder="0">
      <alignment vertical="center"/>
    </xf>
    <xf numFmtId="0" fontId="21" fillId="0" borderId="0" applyFill="0" applyBorder="0">
      <alignment vertical="center"/>
    </xf>
    <xf numFmtId="0" fontId="8" fillId="0" borderId="0" applyFill="0" applyBorder="0">
      <alignment vertical="center"/>
    </xf>
    <xf numFmtId="0" fontId="9" fillId="0" borderId="0" applyFill="0" applyBorder="0">
      <alignment vertical="center"/>
    </xf>
    <xf numFmtId="0" fontId="9" fillId="0" borderId="0" applyFill="0" applyBorder="0">
      <alignment vertical="center"/>
    </xf>
    <xf numFmtId="0" fontId="10" fillId="2" borderId="0" applyBorder="0">
      <alignment vertical="center"/>
    </xf>
    <xf numFmtId="0" fontId="11" fillId="3" borderId="9">
      <alignment vertical="center"/>
    </xf>
    <xf numFmtId="0" fontId="12" fillId="0" borderId="0" applyFill="0" applyBorder="0">
      <alignment vertical="center"/>
    </xf>
    <xf numFmtId="0" fontId="13" fillId="0" borderId="0" applyFill="0" applyBorder="0">
      <alignment vertical="center"/>
    </xf>
    <xf numFmtId="0" fontId="13" fillId="0" borderId="0" applyFill="0" applyBorder="0">
      <alignment vertical="center"/>
      <protection locked="0"/>
    </xf>
    <xf numFmtId="165" fontId="15" fillId="0" borderId="0" applyFill="0" applyBorder="0">
      <alignment vertical="center"/>
    </xf>
    <xf numFmtId="166" fontId="15" fillId="0" borderId="0" applyFill="0" applyBorder="0">
      <alignment vertical="center"/>
    </xf>
    <xf numFmtId="167" fontId="15" fillId="0" borderId="0" applyFill="0" applyBorder="0">
      <alignment vertical="center"/>
    </xf>
    <xf numFmtId="168" fontId="15" fillId="0" borderId="0" applyFill="0" applyBorder="0">
      <alignment vertical="center"/>
    </xf>
    <xf numFmtId="164" fontId="15" fillId="0" borderId="0" applyFill="0" applyBorder="0">
      <alignment vertical="center"/>
    </xf>
    <xf numFmtId="176" fontId="15" fillId="0" borderId="0" applyFill="0" applyBorder="0">
      <alignment vertical="center"/>
    </xf>
    <xf numFmtId="0" fontId="16" fillId="4" borderId="0" applyBorder="0">
      <alignment vertical="center"/>
    </xf>
    <xf numFmtId="0" fontId="18" fillId="0" borderId="0" applyFill="0" applyBorder="0">
      <alignment vertical="center"/>
    </xf>
    <xf numFmtId="0" fontId="19" fillId="0" borderId="0" applyFill="0" applyBorder="0">
      <alignment horizontal="center" vertical="center"/>
    </xf>
    <xf numFmtId="0" fontId="19" fillId="0" borderId="0" applyFill="0" applyBorder="0">
      <alignment horizontal="center" vertical="center"/>
    </xf>
    <xf numFmtId="0" fontId="20" fillId="0" borderId="0" applyFill="0" applyBorder="0">
      <alignment vertical="center"/>
    </xf>
    <xf numFmtId="0" fontId="18" fillId="0" borderId="0" applyFill="0" applyBorder="0">
      <alignment vertical="center"/>
    </xf>
    <xf numFmtId="0" fontId="21" fillId="0" borderId="0" applyFill="0" applyBorder="0">
      <alignment vertical="center"/>
    </xf>
    <xf numFmtId="0" fontId="21" fillId="0" borderId="0" applyFill="0" applyBorder="0">
      <alignment vertical="center"/>
    </xf>
    <xf numFmtId="0" fontId="15" fillId="0" borderId="0" applyFill="0" applyBorder="0">
      <alignment vertical="center"/>
    </xf>
    <xf numFmtId="0" fontId="3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0" borderId="0"/>
  </cellStyleXfs>
  <cellXfs count="495">
    <xf numFmtId="0" fontId="0" fillId="0" borderId="0" xfId="0">
      <alignment vertical="center"/>
    </xf>
    <xf numFmtId="0" fontId="2" fillId="0" borderId="0" xfId="1" applyFont="1">
      <alignment vertical="center"/>
    </xf>
    <xf numFmtId="0" fontId="19" fillId="0" borderId="0" xfId="28">
      <alignment horizontal="center" vertical="center"/>
    </xf>
    <xf numFmtId="0" fontId="19" fillId="0" borderId="0" xfId="28" applyBorder="1">
      <alignment horizontal="center" vertical="center"/>
    </xf>
    <xf numFmtId="0" fontId="15" fillId="0" borderId="0" xfId="56">
      <alignment vertical="center"/>
    </xf>
    <xf numFmtId="0" fontId="9" fillId="0" borderId="0" xfId="36">
      <alignment vertical="center"/>
    </xf>
    <xf numFmtId="0" fontId="19" fillId="0" borderId="0" xfId="50">
      <alignment horizontal="center" vertical="center"/>
    </xf>
    <xf numFmtId="0" fontId="7" fillId="0" borderId="0" xfId="0" applyFont="1">
      <alignment vertical="center"/>
    </xf>
    <xf numFmtId="0" fontId="8" fillId="0" borderId="0" xfId="34" quotePrefix="1">
      <alignment vertical="center"/>
    </xf>
    <xf numFmtId="0" fontId="3" fillId="0" borderId="0" xfId="57">
      <alignment vertical="center"/>
    </xf>
    <xf numFmtId="0" fontId="0" fillId="0" borderId="0" xfId="0" applyFill="1">
      <alignment vertical="center"/>
    </xf>
    <xf numFmtId="0" fontId="15" fillId="0" borderId="0" xfId="56" applyFill="1">
      <alignment vertical="center"/>
    </xf>
    <xf numFmtId="0" fontId="19" fillId="0" borderId="0" xfId="50" applyFill="1">
      <alignment horizontal="center" vertical="center"/>
    </xf>
    <xf numFmtId="0" fontId="10" fillId="2" borderId="0" xfId="4">
      <alignment vertical="center"/>
    </xf>
    <xf numFmtId="0" fontId="0" fillId="0" borderId="2" xfId="0" applyBorder="1">
      <alignment vertical="center"/>
    </xf>
    <xf numFmtId="0" fontId="22" fillId="0" borderId="0" xfId="7" applyFont="1">
      <alignment vertical="center"/>
    </xf>
    <xf numFmtId="0" fontId="23" fillId="0" borderId="1" xfId="26" applyFont="1">
      <alignment horizontal="center" vertical="center"/>
    </xf>
    <xf numFmtId="0" fontId="25" fillId="0" borderId="1" xfId="24" applyFont="1">
      <alignment horizontal="center" vertical="center"/>
    </xf>
    <xf numFmtId="0" fontId="29" fillId="0" borderId="0" xfId="6" applyFont="1">
      <alignment vertical="center"/>
    </xf>
    <xf numFmtId="165" fontId="23" fillId="5" borderId="10" xfId="12" applyFont="1">
      <alignment vertical="center"/>
      <protection locked="0"/>
    </xf>
    <xf numFmtId="0" fontId="10" fillId="2" borderId="0" xfId="4" applyAlignment="1">
      <alignment horizontal="left" vertical="center"/>
    </xf>
    <xf numFmtId="0" fontId="23" fillId="0" borderId="0" xfId="16" applyFont="1">
      <alignment horizontal="center" vertical="center"/>
      <protection locked="0"/>
    </xf>
    <xf numFmtId="0" fontId="24" fillId="0" borderId="0" xfId="16" applyFont="1">
      <alignment horizontal="center" vertical="center"/>
      <protection locked="0"/>
    </xf>
    <xf numFmtId="0" fontId="28" fillId="0" borderId="0" xfId="6" applyFont="1" applyAlignment="1">
      <alignment horizontal="left" vertical="center"/>
    </xf>
    <xf numFmtId="0" fontId="28" fillId="0" borderId="2" xfId="6" applyFont="1" applyBorder="1" applyAlignment="1">
      <alignment horizontal="left" vertical="center"/>
    </xf>
    <xf numFmtId="0" fontId="28" fillId="0" borderId="2" xfId="6" applyFont="1" applyBorder="1" applyAlignment="1">
      <alignment horizontal="center" vertical="center"/>
    </xf>
    <xf numFmtId="170" fontId="26" fillId="0" borderId="0" xfId="19" applyNumberFormat="1" applyFont="1" applyAlignment="1">
      <alignment horizontal="center" vertical="center"/>
    </xf>
    <xf numFmtId="170" fontId="30" fillId="0" borderId="1" xfId="19" applyNumberFormat="1" applyFont="1" applyBorder="1" applyAlignment="1">
      <alignment horizontal="center" vertical="center"/>
    </xf>
    <xf numFmtId="0" fontId="22" fillId="0" borderId="0" xfId="7" applyFont="1" applyAlignment="1">
      <alignment horizontal="left" vertical="center"/>
    </xf>
    <xf numFmtId="170" fontId="29" fillId="0" borderId="8" xfId="7" applyNumberFormat="1" applyFont="1" applyBorder="1" applyAlignment="1">
      <alignment horizontal="left" vertical="center"/>
    </xf>
    <xf numFmtId="0" fontId="31" fillId="0" borderId="0" xfId="1" applyFont="1">
      <alignment vertical="center"/>
    </xf>
    <xf numFmtId="0" fontId="31" fillId="0" borderId="0" xfId="1" quotePrefix="1" applyFont="1">
      <alignment vertical="center"/>
    </xf>
    <xf numFmtId="0" fontId="33" fillId="0" borderId="0" xfId="2" applyFont="1">
      <alignment vertical="center"/>
    </xf>
    <xf numFmtId="0" fontId="31" fillId="0" borderId="0" xfId="1" applyFont="1" applyFill="1">
      <alignment vertical="center"/>
    </xf>
    <xf numFmtId="0" fontId="21" fillId="0" borderId="0" xfId="33" applyAlignment="1">
      <alignment horizontal="center" vertical="center"/>
    </xf>
    <xf numFmtId="0" fontId="19" fillId="0" borderId="0" xfId="29" applyFill="1">
      <alignment horizontal="center" vertical="center"/>
    </xf>
    <xf numFmtId="0" fontId="19" fillId="0" borderId="0" xfId="29">
      <alignment horizontal="center" vertical="center"/>
    </xf>
    <xf numFmtId="0" fontId="22" fillId="0" borderId="0" xfId="7" applyFont="1" applyAlignment="1">
      <alignment horizontal="left" vertical="top"/>
    </xf>
    <xf numFmtId="0" fontId="19" fillId="0" borderId="0" xfId="28" applyAlignment="1">
      <alignment horizontal="right" vertical="center"/>
    </xf>
    <xf numFmtId="0" fontId="19" fillId="0" borderId="0" xfId="28" applyAlignment="1">
      <alignment horizontal="left" vertical="center"/>
    </xf>
    <xf numFmtId="0" fontId="37" fillId="0" borderId="1" xfId="26" applyFont="1">
      <alignment horizontal="center" vertical="center"/>
    </xf>
    <xf numFmtId="165" fontId="37" fillId="0" borderId="0" xfId="19" applyFont="1">
      <alignment vertical="center"/>
    </xf>
    <xf numFmtId="170" fontId="37" fillId="0" borderId="0" xfId="19" applyNumberFormat="1" applyFont="1">
      <alignment vertical="center"/>
    </xf>
    <xf numFmtId="170" fontId="38" fillId="0" borderId="3" xfId="19" applyNumberFormat="1" applyFont="1" applyBorder="1">
      <alignment vertical="center"/>
    </xf>
    <xf numFmtId="170" fontId="38" fillId="0" borderId="7" xfId="19" applyNumberFormat="1" applyFont="1" applyBorder="1" applyAlignment="1">
      <alignment horizontal="center" vertical="center"/>
    </xf>
    <xf numFmtId="0" fontId="34" fillId="0" borderId="0" xfId="3" applyFont="1">
      <alignment vertical="center"/>
    </xf>
    <xf numFmtId="0" fontId="34" fillId="0" borderId="0" xfId="3" applyFont="1" applyFill="1">
      <alignment vertical="center"/>
    </xf>
    <xf numFmtId="0" fontId="18" fillId="0" borderId="0" xfId="27">
      <alignment vertical="center"/>
    </xf>
    <xf numFmtId="0" fontId="28" fillId="0" borderId="0" xfId="6" applyFont="1">
      <alignment vertical="center"/>
    </xf>
    <xf numFmtId="0" fontId="36" fillId="0" borderId="0" xfId="7" applyFont="1">
      <alignment vertical="center"/>
    </xf>
    <xf numFmtId="0" fontId="22" fillId="0" borderId="0" xfId="7" applyFont="1" applyFill="1">
      <alignment vertical="center"/>
    </xf>
    <xf numFmtId="170" fontId="37" fillId="0" borderId="0" xfId="19" applyNumberFormat="1" applyFont="1" applyFill="1">
      <alignment vertical="center"/>
    </xf>
    <xf numFmtId="0" fontId="36" fillId="0" borderId="0" xfId="7" applyFont="1" applyFill="1">
      <alignment vertical="center"/>
    </xf>
    <xf numFmtId="0" fontId="27" fillId="0" borderId="0" xfId="7" applyFont="1" applyFill="1">
      <alignment vertical="center"/>
    </xf>
    <xf numFmtId="0" fontId="28" fillId="0" borderId="0" xfId="7" applyFont="1">
      <alignment vertical="center"/>
    </xf>
    <xf numFmtId="0" fontId="28" fillId="0" borderId="0" xfId="7" applyFont="1" applyFill="1">
      <alignment vertical="center"/>
    </xf>
    <xf numFmtId="0" fontId="23" fillId="0" borderId="0" xfId="0" applyFont="1">
      <alignment vertical="center"/>
    </xf>
    <xf numFmtId="0" fontId="19" fillId="0" borderId="0" xfId="29" applyAlignment="1">
      <alignment horizontal="right" vertical="center"/>
    </xf>
    <xf numFmtId="0" fontId="19" fillId="0" borderId="0" xfId="29" applyAlignment="1">
      <alignment horizontal="left" vertical="center"/>
    </xf>
    <xf numFmtId="0" fontId="0" fillId="6" borderId="0" xfId="0" applyFill="1">
      <alignment vertical="center"/>
    </xf>
    <xf numFmtId="0" fontId="40" fillId="0" borderId="0" xfId="3" applyFont="1">
      <alignment vertical="center"/>
    </xf>
    <xf numFmtId="170" fontId="39" fillId="0" borderId="3" xfId="19" applyNumberFormat="1" applyFont="1" applyFill="1" applyBorder="1">
      <alignment vertical="center"/>
    </xf>
    <xf numFmtId="0" fontId="23" fillId="5" borderId="10" xfId="9" applyFont="1">
      <alignment vertical="center"/>
      <protection locked="0"/>
    </xf>
    <xf numFmtId="0" fontId="29" fillId="0" borderId="0" xfId="6" applyFont="1" applyAlignment="1">
      <alignment horizontal="center" vertical="center" wrapText="1"/>
    </xf>
    <xf numFmtId="0" fontId="14" fillId="5" borderId="10" xfId="9">
      <alignment vertical="center"/>
      <protection locked="0"/>
    </xf>
    <xf numFmtId="0" fontId="11" fillId="3" borderId="9" xfId="5">
      <alignment vertical="center"/>
    </xf>
    <xf numFmtId="0" fontId="8" fillId="0" borderId="0" xfId="1">
      <alignment vertical="center"/>
    </xf>
    <xf numFmtId="170" fontId="37" fillId="0" borderId="0" xfId="19" applyNumberFormat="1" applyFont="1" applyAlignment="1">
      <alignment horizontal="center" vertical="center"/>
    </xf>
    <xf numFmtId="165" fontId="15" fillId="0" borderId="0" xfId="42" applyFill="1">
      <alignment vertical="center"/>
    </xf>
    <xf numFmtId="0" fontId="0" fillId="0" borderId="2" xfId="0" applyFill="1" applyBorder="1">
      <alignment vertical="center"/>
    </xf>
    <xf numFmtId="0" fontId="12" fillId="0" borderId="0" xfId="39" applyFill="1">
      <alignment vertical="center"/>
    </xf>
    <xf numFmtId="0" fontId="29" fillId="0" borderId="0" xfId="6" applyFont="1" applyFill="1">
      <alignment vertical="center"/>
    </xf>
    <xf numFmtId="0" fontId="24" fillId="0" borderId="0" xfId="16" applyFont="1" applyFill="1">
      <alignment horizontal="center" vertical="center"/>
      <protection locked="0"/>
    </xf>
    <xf numFmtId="0" fontId="23" fillId="7" borderId="10" xfId="9" applyFont="1" applyFill="1" applyAlignment="1">
      <alignment horizontal="center" vertical="center"/>
      <protection locked="0"/>
    </xf>
    <xf numFmtId="0" fontId="28" fillId="0" borderId="0" xfId="6" applyFont="1" applyFill="1">
      <alignment vertical="center"/>
    </xf>
    <xf numFmtId="0" fontId="23" fillId="7" borderId="10" xfId="9" applyFont="1" applyFill="1">
      <alignment vertical="center"/>
      <protection locked="0"/>
    </xf>
    <xf numFmtId="0" fontId="18" fillId="0" borderId="0" xfId="27" applyFill="1">
      <alignment vertical="center"/>
    </xf>
    <xf numFmtId="170" fontId="23" fillId="7" borderId="10" xfId="12" applyNumberFormat="1" applyFont="1" applyFill="1">
      <alignment vertical="center"/>
      <protection locked="0"/>
    </xf>
    <xf numFmtId="0" fontId="35" fillId="0" borderId="0" xfId="6" applyFont="1" applyFill="1">
      <alignment vertical="center"/>
    </xf>
    <xf numFmtId="165" fontId="26" fillId="0" borderId="0" xfId="19" applyFont="1" applyFill="1">
      <alignment vertical="center"/>
    </xf>
    <xf numFmtId="165" fontId="23" fillId="7" borderId="10" xfId="12" applyFont="1" applyFill="1">
      <alignment vertical="center"/>
      <protection locked="0"/>
    </xf>
    <xf numFmtId="0" fontId="13" fillId="0" borderId="0" xfId="40" applyFill="1">
      <alignment vertical="center"/>
    </xf>
    <xf numFmtId="175" fontId="37" fillId="0" borderId="0" xfId="22" applyNumberFormat="1" applyFont="1" applyFill="1">
      <alignment vertical="center"/>
    </xf>
    <xf numFmtId="170" fontId="15" fillId="0" borderId="0" xfId="42" applyNumberFormat="1" applyFill="1">
      <alignment vertical="center"/>
    </xf>
    <xf numFmtId="0" fontId="12" fillId="0" borderId="0" xfId="40" applyFont="1" applyFill="1">
      <alignment vertical="center"/>
    </xf>
    <xf numFmtId="0" fontId="28" fillId="0" borderId="0" xfId="7" applyFont="1" applyFill="1" applyAlignment="1">
      <alignment horizontal="center" vertical="center" wrapText="1"/>
    </xf>
    <xf numFmtId="0" fontId="29" fillId="0" borderId="0" xfId="6" applyFont="1" applyFill="1" applyAlignment="1">
      <alignment horizontal="center" vertical="center" wrapText="1"/>
    </xf>
    <xf numFmtId="0" fontId="28" fillId="0" borderId="0" xfId="6" applyFont="1" applyFill="1" applyAlignment="1">
      <alignment vertical="center" wrapText="1"/>
    </xf>
    <xf numFmtId="0" fontId="14" fillId="7" borderId="10" xfId="9" applyFill="1">
      <alignment vertical="center"/>
      <protection locked="0"/>
    </xf>
    <xf numFmtId="170" fontId="38" fillId="0" borderId="3" xfId="19" applyNumberFormat="1" applyFont="1" applyFill="1" applyBorder="1">
      <alignment vertical="center"/>
    </xf>
    <xf numFmtId="0" fontId="16" fillId="8" borderId="2" xfId="23" applyFill="1" applyBorder="1">
      <alignment vertical="center"/>
    </xf>
    <xf numFmtId="0" fontId="22" fillId="0" borderId="2" xfId="7" applyFont="1" applyFill="1" applyBorder="1">
      <alignment vertical="center"/>
    </xf>
    <xf numFmtId="0" fontId="35" fillId="0" borderId="0" xfId="7" applyFont="1" applyFill="1">
      <alignment vertical="center"/>
    </xf>
    <xf numFmtId="0" fontId="28" fillId="0" borderId="2" xfId="7" applyFont="1" applyFill="1" applyBorder="1">
      <alignment vertical="center"/>
    </xf>
    <xf numFmtId="0" fontId="29" fillId="0" borderId="2" xfId="6" applyFont="1" applyFill="1" applyBorder="1" applyAlignment="1">
      <alignment horizontal="center" vertical="center" wrapText="1"/>
    </xf>
    <xf numFmtId="0" fontId="28" fillId="0" borderId="6" xfId="7" applyFont="1" applyFill="1" applyBorder="1">
      <alignment vertical="center"/>
    </xf>
    <xf numFmtId="166" fontId="23" fillId="7" borderId="10" xfId="13" applyFont="1" applyFill="1">
      <alignment vertical="center"/>
      <protection locked="0"/>
    </xf>
    <xf numFmtId="166" fontId="23" fillId="0" borderId="0" xfId="20" applyFont="1" applyFill="1">
      <alignment vertical="center"/>
    </xf>
    <xf numFmtId="173" fontId="23" fillId="7" borderId="10" xfId="13" applyNumberFormat="1" applyFont="1" applyFill="1">
      <alignment vertical="center"/>
      <protection locked="0"/>
    </xf>
    <xf numFmtId="0" fontId="28" fillId="0" borderId="0" xfId="7" applyFont="1" applyFill="1" applyAlignment="1">
      <alignment vertical="center" wrapText="1"/>
    </xf>
    <xf numFmtId="165" fontId="14" fillId="7" borderId="10" xfId="12" applyFill="1">
      <alignment vertical="center"/>
      <protection locked="0"/>
    </xf>
    <xf numFmtId="0" fontId="42" fillId="0" borderId="0" xfId="7" applyFont="1" applyFill="1">
      <alignment vertical="center"/>
    </xf>
    <xf numFmtId="175" fontId="39" fillId="0" borderId="3" xfId="22" applyNumberFormat="1" applyFont="1" applyFill="1" applyBorder="1">
      <alignment vertical="center"/>
    </xf>
    <xf numFmtId="170" fontId="17" fillId="0" borderId="0" xfId="42" applyNumberFormat="1" applyFont="1" applyFill="1">
      <alignment vertical="center"/>
    </xf>
    <xf numFmtId="164" fontId="23" fillId="7" borderId="10" xfId="10" applyFont="1" applyFill="1">
      <alignment vertical="center"/>
      <protection locked="0"/>
    </xf>
    <xf numFmtId="0" fontId="29" fillId="0" borderId="0" xfId="7" applyFont="1" applyFill="1">
      <alignment vertical="center"/>
    </xf>
    <xf numFmtId="164" fontId="16" fillId="8" borderId="2" xfId="23" applyNumberFormat="1" applyFill="1" applyBorder="1" applyAlignment="1">
      <alignment horizontal="right" vertical="center"/>
    </xf>
    <xf numFmtId="172" fontId="23" fillId="7" borderId="10" xfId="12" applyNumberFormat="1" applyFont="1" applyFill="1">
      <alignment vertical="center"/>
      <protection locked="0"/>
    </xf>
    <xf numFmtId="170" fontId="26" fillId="0" borderId="0" xfId="19" applyNumberFormat="1" applyFont="1" applyFill="1">
      <alignment vertical="center"/>
    </xf>
    <xf numFmtId="0" fontId="25" fillId="0" borderId="1" xfId="24" applyFont="1" applyFill="1">
      <alignment horizontal="center" vertical="center"/>
    </xf>
    <xf numFmtId="0" fontId="23" fillId="0" borderId="1" xfId="26" applyFont="1" applyFill="1">
      <alignment horizontal="center" vertical="center"/>
    </xf>
    <xf numFmtId="0" fontId="26" fillId="0" borderId="1" xfId="26" applyFont="1" applyFill="1">
      <alignment horizontal="center" vertical="center"/>
    </xf>
    <xf numFmtId="169" fontId="23" fillId="0" borderId="1" xfId="25" applyFont="1" applyFill="1">
      <alignment horizontal="center" vertical="center"/>
    </xf>
    <xf numFmtId="170" fontId="39" fillId="0" borderId="3" xfId="19" applyNumberFormat="1" applyFont="1" applyBorder="1">
      <alignment vertical="center"/>
    </xf>
    <xf numFmtId="0" fontId="35" fillId="0" borderId="0" xfId="6" applyFont="1">
      <alignment vertical="center"/>
    </xf>
    <xf numFmtId="165" fontId="26" fillId="0" borderId="0" xfId="19" applyFont="1">
      <alignment vertical="center"/>
    </xf>
    <xf numFmtId="174" fontId="37" fillId="0" borderId="0" xfId="22" applyNumberFormat="1" applyFont="1">
      <alignment vertical="center"/>
    </xf>
    <xf numFmtId="165" fontId="39" fillId="0" borderId="0" xfId="19" applyFont="1">
      <alignment vertical="center"/>
    </xf>
    <xf numFmtId="174" fontId="39" fillId="0" borderId="0" xfId="22" applyNumberFormat="1" applyFont="1">
      <alignment vertical="center"/>
    </xf>
    <xf numFmtId="175" fontId="37" fillId="0" borderId="0" xfId="22" applyNumberFormat="1" applyFont="1">
      <alignment vertical="center"/>
    </xf>
    <xf numFmtId="165" fontId="39" fillId="0" borderId="3" xfId="19" applyFont="1" applyBorder="1">
      <alignment vertical="center"/>
    </xf>
    <xf numFmtId="174" fontId="39" fillId="0" borderId="3" xfId="22" applyNumberFormat="1" applyFont="1" applyBorder="1">
      <alignment vertical="center"/>
    </xf>
    <xf numFmtId="0" fontId="29" fillId="0" borderId="2" xfId="6" applyFont="1" applyBorder="1" applyAlignment="1">
      <alignment horizontal="center" vertical="center" wrapText="1"/>
    </xf>
    <xf numFmtId="165" fontId="38" fillId="0" borderId="6" xfId="19" applyFont="1" applyBorder="1">
      <alignment vertical="center"/>
    </xf>
    <xf numFmtId="174" fontId="38" fillId="0" borderId="6" xfId="22" applyNumberFormat="1" applyFont="1" applyBorder="1">
      <alignment vertical="center"/>
    </xf>
    <xf numFmtId="175" fontId="39" fillId="0" borderId="3" xfId="22" applyNumberFormat="1" applyFont="1" applyBorder="1">
      <alignment vertical="center"/>
    </xf>
    <xf numFmtId="0" fontId="19" fillId="0" borderId="0" xfId="51">
      <alignment horizontal="center" vertical="center"/>
    </xf>
    <xf numFmtId="0" fontId="13" fillId="0" borderId="0" xfId="40" applyFill="1" applyAlignment="1">
      <alignment horizontal="left" vertical="center" indent="2"/>
    </xf>
    <xf numFmtId="0" fontId="27" fillId="0" borderId="0" xfId="7" applyFont="1" applyFill="1" applyAlignment="1">
      <alignment horizontal="left" vertical="center" indent="2"/>
    </xf>
    <xf numFmtId="0" fontId="29" fillId="0" borderId="0" xfId="6" applyFont="1" applyFill="1" applyAlignment="1">
      <alignment horizontal="center" vertical="center"/>
    </xf>
    <xf numFmtId="0" fontId="29" fillId="0" borderId="3" xfId="6" applyFont="1" applyFill="1" applyBorder="1">
      <alignment vertical="center"/>
    </xf>
    <xf numFmtId="166" fontId="23" fillId="5" borderId="10" xfId="13" applyFont="1">
      <alignment vertical="center"/>
      <protection locked="0"/>
    </xf>
    <xf numFmtId="0" fontId="27" fillId="0" borderId="0" xfId="7" applyFont="1" applyFill="1" applyAlignment="1">
      <alignment horizontal="left" vertical="center" indent="3"/>
    </xf>
    <xf numFmtId="0" fontId="22" fillId="0" borderId="0" xfId="7" applyFont="1" applyFill="1" applyAlignment="1">
      <alignment horizontal="right" vertical="center"/>
    </xf>
    <xf numFmtId="0" fontId="29" fillId="0" borderId="0" xfId="7" applyFont="1" applyFill="1" applyAlignment="1">
      <alignment horizontal="center" vertical="center"/>
    </xf>
    <xf numFmtId="0" fontId="27" fillId="0" borderId="0" xfId="7" applyFont="1" applyFill="1" applyAlignment="1">
      <alignment horizontal="left" vertical="center" indent="1"/>
    </xf>
    <xf numFmtId="0" fontId="36" fillId="0" borderId="0" xfId="7" applyFont="1" applyAlignment="1">
      <alignment horizontal="left" vertical="center" indent="2"/>
    </xf>
    <xf numFmtId="168" fontId="37" fillId="0" borderId="0" xfId="22" applyFont="1">
      <alignment vertical="center"/>
    </xf>
    <xf numFmtId="175" fontId="37" fillId="0" borderId="2" xfId="22" applyNumberFormat="1" applyFont="1" applyBorder="1">
      <alignment vertical="center"/>
    </xf>
    <xf numFmtId="168" fontId="37" fillId="0" borderId="2" xfId="22" applyFont="1" applyBorder="1">
      <alignment vertical="center"/>
    </xf>
    <xf numFmtId="165" fontId="26" fillId="0" borderId="2" xfId="19" applyFont="1" applyBorder="1">
      <alignment vertical="center"/>
    </xf>
    <xf numFmtId="170" fontId="26" fillId="0" borderId="2" xfId="19" applyNumberFormat="1" applyFont="1" applyBorder="1">
      <alignment vertical="center"/>
    </xf>
    <xf numFmtId="170" fontId="38" fillId="0" borderId="0" xfId="19" applyNumberFormat="1" applyFont="1">
      <alignment vertical="center"/>
    </xf>
    <xf numFmtId="175" fontId="38" fillId="0" borderId="0" xfId="22" applyNumberFormat="1" applyFont="1">
      <alignment vertical="center"/>
    </xf>
    <xf numFmtId="170" fontId="23" fillId="0" borderId="0" xfId="19" applyNumberFormat="1" applyFont="1" applyFill="1">
      <alignment vertical="center"/>
    </xf>
    <xf numFmtId="170" fontId="38" fillId="0" borderId="4" xfId="19" applyNumberFormat="1" applyFont="1" applyBorder="1">
      <alignment vertical="center"/>
    </xf>
    <xf numFmtId="0" fontId="47" fillId="0" borderId="0" xfId="56" applyFont="1">
      <alignment vertical="center"/>
    </xf>
    <xf numFmtId="170" fontId="38" fillId="0" borderId="18" xfId="19" applyNumberFormat="1" applyFont="1" applyBorder="1">
      <alignment vertical="center"/>
    </xf>
    <xf numFmtId="170" fontId="15" fillId="9" borderId="19" xfId="19" applyNumberFormat="1" applyFill="1" applyBorder="1">
      <alignment vertical="center"/>
    </xf>
    <xf numFmtId="170" fontId="37" fillId="0" borderId="19" xfId="19" applyNumberFormat="1" applyFont="1" applyBorder="1">
      <alignment vertical="center"/>
    </xf>
    <xf numFmtId="170" fontId="15" fillId="9" borderId="20" xfId="19" applyNumberFormat="1" applyFill="1" applyBorder="1">
      <alignment vertical="center"/>
    </xf>
    <xf numFmtId="170" fontId="15" fillId="9" borderId="0" xfId="19" applyNumberFormat="1" applyFill="1" applyBorder="1">
      <alignment vertical="center"/>
    </xf>
    <xf numFmtId="170" fontId="37" fillId="0" borderId="0" xfId="19" applyNumberFormat="1" applyFont="1" applyBorder="1">
      <alignment vertical="center"/>
    </xf>
    <xf numFmtId="170" fontId="37" fillId="0" borderId="21" xfId="19" applyNumberFormat="1" applyFont="1" applyBorder="1">
      <alignment vertical="center"/>
    </xf>
    <xf numFmtId="170" fontId="15" fillId="9" borderId="21" xfId="19" applyNumberFormat="1" applyFill="1" applyBorder="1">
      <alignment vertical="center"/>
    </xf>
    <xf numFmtId="170" fontId="38" fillId="0" borderId="6" xfId="19" applyNumberFormat="1" applyFont="1" applyBorder="1">
      <alignment vertical="center"/>
    </xf>
    <xf numFmtId="170" fontId="38" fillId="0" borderId="22" xfId="19" applyNumberFormat="1" applyFont="1" applyBorder="1">
      <alignment vertical="center"/>
    </xf>
    <xf numFmtId="175" fontId="15" fillId="0" borderId="19" xfId="56" applyNumberFormat="1" applyBorder="1">
      <alignment vertical="center"/>
    </xf>
    <xf numFmtId="170" fontId="15" fillId="0" borderId="0" xfId="19" applyNumberFormat="1" applyBorder="1">
      <alignment vertical="center"/>
    </xf>
    <xf numFmtId="175" fontId="15" fillId="0" borderId="0" xfId="56" applyNumberFormat="1" applyBorder="1">
      <alignment vertical="center"/>
    </xf>
    <xf numFmtId="175" fontId="15" fillId="0" borderId="21" xfId="56" applyNumberFormat="1" applyBorder="1">
      <alignment vertical="center"/>
    </xf>
    <xf numFmtId="175" fontId="17" fillId="0" borderId="6" xfId="56" applyNumberFormat="1" applyFont="1" applyBorder="1">
      <alignment vertical="center"/>
    </xf>
    <xf numFmtId="175" fontId="17" fillId="0" borderId="22" xfId="56" applyNumberFormat="1" applyFont="1" applyBorder="1">
      <alignment vertical="center"/>
    </xf>
    <xf numFmtId="175" fontId="38" fillId="0" borderId="26" xfId="22" applyNumberFormat="1" applyFont="1" applyBorder="1">
      <alignment vertical="center"/>
    </xf>
    <xf numFmtId="175" fontId="38" fillId="0" borderId="27" xfId="22" applyNumberFormat="1" applyFont="1" applyBorder="1">
      <alignment vertical="center"/>
    </xf>
    <xf numFmtId="174" fontId="37" fillId="0" borderId="20" xfId="22" applyNumberFormat="1" applyFont="1" applyBorder="1">
      <alignment vertical="center"/>
    </xf>
    <xf numFmtId="174" fontId="37" fillId="0" borderId="21" xfId="22" applyNumberFormat="1" applyFont="1" applyBorder="1">
      <alignment vertical="center"/>
    </xf>
    <xf numFmtId="174" fontId="37" fillId="0" borderId="31" xfId="22" applyNumberFormat="1" applyFont="1" applyBorder="1">
      <alignment vertical="center"/>
    </xf>
    <xf numFmtId="0" fontId="17" fillId="0" borderId="32" xfId="56" applyFont="1" applyBorder="1" applyAlignment="1">
      <alignment horizontal="center" vertical="center"/>
    </xf>
    <xf numFmtId="0" fontId="17" fillId="0" borderId="33" xfId="56" applyFont="1" applyBorder="1" applyAlignment="1">
      <alignment horizontal="center" vertical="center"/>
    </xf>
    <xf numFmtId="0" fontId="17" fillId="0" borderId="34" xfId="56" applyFont="1" applyBorder="1" applyAlignment="1">
      <alignment horizontal="center" vertical="center"/>
    </xf>
    <xf numFmtId="174" fontId="37" fillId="0" borderId="17" xfId="22" applyNumberFormat="1" applyFont="1" applyBorder="1">
      <alignment vertical="center"/>
    </xf>
    <xf numFmtId="174" fontId="37" fillId="0" borderId="12" xfId="22" applyNumberFormat="1" applyFont="1" applyBorder="1">
      <alignment vertical="center"/>
    </xf>
    <xf numFmtId="174" fontId="37" fillId="0" borderId="29" xfId="22" applyNumberFormat="1" applyFont="1" applyBorder="1">
      <alignment vertical="center"/>
    </xf>
    <xf numFmtId="0" fontId="46" fillId="0" borderId="0" xfId="56" applyFont="1" applyBorder="1">
      <alignment vertical="center"/>
    </xf>
    <xf numFmtId="0" fontId="17" fillId="0" borderId="26" xfId="56" applyFont="1" applyBorder="1">
      <alignment vertical="center"/>
    </xf>
    <xf numFmtId="0" fontId="17" fillId="0" borderId="28" xfId="56" applyFont="1" applyBorder="1">
      <alignment vertical="center"/>
    </xf>
    <xf numFmtId="170" fontId="17" fillId="0" borderId="5" xfId="56" applyNumberFormat="1" applyFont="1" applyBorder="1">
      <alignment vertical="center"/>
    </xf>
    <xf numFmtId="170" fontId="17" fillId="0" borderId="19" xfId="56" applyNumberFormat="1" applyFont="1" applyBorder="1">
      <alignment vertical="center"/>
    </xf>
    <xf numFmtId="174" fontId="38" fillId="0" borderId="19" xfId="22" applyNumberFormat="1" applyFont="1" applyBorder="1">
      <alignment vertical="center"/>
    </xf>
    <xf numFmtId="174" fontId="38" fillId="0" borderId="20" xfId="22" applyNumberFormat="1" applyFont="1" applyBorder="1">
      <alignment vertical="center"/>
    </xf>
    <xf numFmtId="170" fontId="17" fillId="0" borderId="25" xfId="56" applyNumberFormat="1" applyFont="1" applyBorder="1">
      <alignment vertical="center"/>
    </xf>
    <xf numFmtId="170" fontId="17" fillId="0" borderId="30" xfId="56" applyNumberFormat="1" applyFont="1" applyBorder="1">
      <alignment vertical="center"/>
    </xf>
    <xf numFmtId="174" fontId="38" fillId="0" borderId="30" xfId="22" applyNumberFormat="1" applyFont="1" applyBorder="1">
      <alignment vertical="center"/>
    </xf>
    <xf numFmtId="174" fontId="38" fillId="0" borderId="31" xfId="22" applyNumberFormat="1" applyFont="1" applyBorder="1">
      <alignment vertical="center"/>
    </xf>
    <xf numFmtId="9" fontId="17" fillId="0" borderId="21" xfId="58" applyFont="1" applyBorder="1" applyAlignment="1">
      <alignment vertical="center"/>
    </xf>
    <xf numFmtId="9" fontId="17" fillId="0" borderId="36" xfId="58" applyFont="1" applyBorder="1" applyAlignment="1">
      <alignment vertical="center"/>
    </xf>
    <xf numFmtId="9" fontId="17" fillId="0" borderId="22" xfId="58" applyFont="1" applyBorder="1" applyAlignment="1">
      <alignment vertical="center"/>
    </xf>
    <xf numFmtId="170" fontId="38" fillId="0" borderId="37" xfId="19" applyNumberFormat="1" applyFont="1" applyBorder="1">
      <alignment vertical="center"/>
    </xf>
    <xf numFmtId="170" fontId="38" fillId="0" borderId="38" xfId="19" applyNumberFormat="1" applyFont="1" applyBorder="1">
      <alignment vertical="center"/>
    </xf>
    <xf numFmtId="0" fontId="45" fillId="2" borderId="5" xfId="37" applyFont="1" applyBorder="1" applyAlignment="1">
      <alignment horizontal="center" vertical="center"/>
    </xf>
    <xf numFmtId="0" fontId="45" fillId="2" borderId="19" xfId="37" applyFont="1" applyBorder="1" applyAlignment="1">
      <alignment horizontal="center" vertical="center"/>
    </xf>
    <xf numFmtId="0" fontId="45" fillId="2" borderId="20" xfId="37" applyFont="1" applyBorder="1" applyAlignment="1">
      <alignment horizontal="center" vertical="center"/>
    </xf>
    <xf numFmtId="0" fontId="45" fillId="2" borderId="23" xfId="37" applyFont="1" applyBorder="1" applyAlignment="1">
      <alignment horizontal="center" vertical="center"/>
    </xf>
    <xf numFmtId="0" fontId="45" fillId="2" borderId="0" xfId="37" applyFont="1" applyBorder="1" applyAlignment="1">
      <alignment horizontal="center" vertical="center"/>
    </xf>
    <xf numFmtId="0" fontId="45" fillId="2" borderId="21" xfId="37" applyFont="1" applyBorder="1" applyAlignment="1">
      <alignment horizontal="center" vertical="center"/>
    </xf>
    <xf numFmtId="0" fontId="17" fillId="0" borderId="0" xfId="56" applyFont="1">
      <alignment vertical="center"/>
    </xf>
    <xf numFmtId="0" fontId="17" fillId="0" borderId="39" xfId="56" applyFont="1" applyBorder="1" applyAlignment="1">
      <alignment horizontal="center" vertical="center"/>
    </xf>
    <xf numFmtId="0" fontId="17" fillId="0" borderId="40" xfId="56" applyFont="1" applyBorder="1" applyAlignment="1">
      <alignment horizontal="center" vertical="center"/>
    </xf>
    <xf numFmtId="0" fontId="10" fillId="2" borderId="0" xfId="37">
      <alignment vertical="center"/>
    </xf>
    <xf numFmtId="0" fontId="0" fillId="0" borderId="0" xfId="56" applyFont="1">
      <alignment vertical="center"/>
    </xf>
    <xf numFmtId="0" fontId="17" fillId="0" borderId="0" xfId="56" applyFont="1" applyBorder="1" applyAlignment="1">
      <alignment vertical="center" wrapText="1"/>
    </xf>
    <xf numFmtId="170" fontId="38" fillId="0" borderId="0" xfId="19" applyNumberFormat="1" applyFont="1" applyBorder="1">
      <alignment vertical="center"/>
    </xf>
    <xf numFmtId="9" fontId="17" fillId="0" borderId="0" xfId="58" applyFont="1" applyBorder="1" applyAlignment="1">
      <alignment vertical="center"/>
    </xf>
    <xf numFmtId="0" fontId="48" fillId="0" borderId="0" xfId="56" applyFont="1">
      <alignment vertical="center"/>
    </xf>
    <xf numFmtId="0" fontId="49" fillId="0" borderId="0" xfId="56" applyFont="1">
      <alignment vertical="center"/>
    </xf>
    <xf numFmtId="0" fontId="50" fillId="0" borderId="0" xfId="56" applyFont="1">
      <alignment vertical="center"/>
    </xf>
    <xf numFmtId="0" fontId="17" fillId="0" borderId="5" xfId="56" applyFont="1" applyBorder="1">
      <alignment vertical="center"/>
    </xf>
    <xf numFmtId="0" fontId="17" fillId="0" borderId="25" xfId="56" applyFont="1" applyBorder="1">
      <alignment vertical="center"/>
    </xf>
    <xf numFmtId="9" fontId="17" fillId="0" borderId="1" xfId="58" applyFont="1" applyBorder="1" applyAlignment="1">
      <alignment vertical="center"/>
    </xf>
    <xf numFmtId="9" fontId="17" fillId="0" borderId="43" xfId="58" applyFont="1" applyBorder="1" applyAlignment="1">
      <alignment vertical="center"/>
    </xf>
    <xf numFmtId="0" fontId="24" fillId="0" borderId="0" xfId="16" applyFont="1" applyBorder="1">
      <alignment horizontal="center" vertical="center"/>
      <protection locked="0"/>
    </xf>
    <xf numFmtId="0" fontId="17" fillId="0" borderId="35" xfId="56" applyFont="1" applyBorder="1" applyAlignment="1">
      <alignment horizontal="center" vertical="center"/>
    </xf>
    <xf numFmtId="0" fontId="17" fillId="0" borderId="44" xfId="56" applyFont="1" applyBorder="1" applyAlignment="1">
      <alignment horizontal="center" vertical="center"/>
    </xf>
    <xf numFmtId="170" fontId="37" fillId="0" borderId="1" xfId="19" applyNumberFormat="1" applyFont="1" applyBorder="1">
      <alignment vertical="center"/>
    </xf>
    <xf numFmtId="0" fontId="0" fillId="0" borderId="0" xfId="0" applyAlignment="1">
      <alignment horizontal="center" vertical="center"/>
    </xf>
    <xf numFmtId="170" fontId="0" fillId="0" borderId="0" xfId="0" applyNumberFormat="1">
      <alignment vertical="center"/>
    </xf>
    <xf numFmtId="170" fontId="37" fillId="0" borderId="0" xfId="18" applyNumberFormat="1" applyFont="1">
      <alignment vertical="center"/>
    </xf>
    <xf numFmtId="0" fontId="16" fillId="4" borderId="2" xfId="23" applyBorder="1">
      <alignment vertical="center"/>
    </xf>
    <xf numFmtId="0" fontId="0" fillId="0" borderId="2" xfId="0" applyBorder="1" applyAlignment="1">
      <alignment horizontal="center" vertical="center"/>
    </xf>
    <xf numFmtId="164" fontId="16" fillId="4" borderId="2" xfId="23" applyNumberFormat="1" applyBorder="1" applyAlignment="1">
      <alignment horizontal="right" vertical="center"/>
    </xf>
    <xf numFmtId="0" fontId="22" fillId="0" borderId="2" xfId="7" applyFont="1" applyBorder="1">
      <alignment vertical="center"/>
    </xf>
    <xf numFmtId="170" fontId="37" fillId="0" borderId="2" xfId="17" applyNumberFormat="1" applyFont="1" applyBorder="1">
      <alignment vertical="center"/>
    </xf>
    <xf numFmtId="0" fontId="28" fillId="0" borderId="0" xfId="7" applyFont="1" applyFill="1" applyAlignment="1">
      <alignment horizontal="right" vertical="center"/>
    </xf>
    <xf numFmtId="0" fontId="28" fillId="0" borderId="0" xfId="6" applyFont="1" applyFill="1" applyAlignment="1">
      <alignment horizontal="center" vertical="center" wrapText="1"/>
    </xf>
    <xf numFmtId="0" fontId="29" fillId="0" borderId="0" xfId="7" applyFont="1" applyFill="1" applyAlignment="1">
      <alignment horizontal="center" vertical="center" wrapText="1"/>
    </xf>
    <xf numFmtId="0" fontId="0" fillId="0" borderId="4" xfId="0" applyFill="1" applyBorder="1">
      <alignment vertical="center"/>
    </xf>
    <xf numFmtId="168" fontId="23" fillId="0" borderId="0" xfId="22" applyFont="1" applyFill="1">
      <alignment vertical="center"/>
    </xf>
    <xf numFmtId="0" fontId="28" fillId="0" borderId="0" xfId="7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0" fontId="0" fillId="0" borderId="0" xfId="0" applyNumberFormat="1" applyFill="1">
      <alignment vertical="center"/>
    </xf>
    <xf numFmtId="0" fontId="0" fillId="0" borderId="2" xfId="0" applyFill="1" applyBorder="1" applyAlignment="1">
      <alignment horizontal="center" vertical="center"/>
    </xf>
    <xf numFmtId="170" fontId="37" fillId="0" borderId="0" xfId="19" applyNumberFormat="1" applyFont="1" applyFill="1" applyBorder="1">
      <alignment vertical="center"/>
    </xf>
    <xf numFmtId="0" fontId="22" fillId="0" borderId="0" xfId="7" applyFont="1" applyAlignment="1">
      <alignment horizontal="right" vertical="center"/>
    </xf>
    <xf numFmtId="166" fontId="37" fillId="0" borderId="0" xfId="20" applyFont="1">
      <alignment vertical="center"/>
    </xf>
    <xf numFmtId="175" fontId="26" fillId="0" borderId="0" xfId="22" applyNumberFormat="1" applyFont="1" applyFill="1">
      <alignment vertical="center"/>
    </xf>
    <xf numFmtId="170" fontId="37" fillId="0" borderId="21" xfId="19" applyNumberFormat="1" applyFont="1" applyFill="1" applyBorder="1">
      <alignment vertical="center"/>
    </xf>
    <xf numFmtId="170" fontId="17" fillId="0" borderId="4" xfId="19" applyNumberFormat="1" applyFont="1" applyFill="1" applyBorder="1">
      <alignment vertical="center"/>
    </xf>
    <xf numFmtId="170" fontId="15" fillId="0" borderId="0" xfId="19" applyNumberFormat="1" applyFill="1" applyBorder="1">
      <alignment vertical="center"/>
    </xf>
    <xf numFmtId="170" fontId="15" fillId="0" borderId="21" xfId="19" applyNumberFormat="1" applyFill="1" applyBorder="1">
      <alignment vertical="center"/>
    </xf>
    <xf numFmtId="175" fontId="17" fillId="0" borderId="27" xfId="22" applyNumberFormat="1" applyFont="1" applyFill="1" applyBorder="1">
      <alignment vertical="center"/>
    </xf>
    <xf numFmtId="175" fontId="37" fillId="0" borderId="0" xfId="22" applyNumberFormat="1" applyFont="1" applyFill="1" applyBorder="1">
      <alignment vertical="center"/>
    </xf>
    <xf numFmtId="175" fontId="37" fillId="0" borderId="21" xfId="22" applyNumberFormat="1" applyFont="1" applyFill="1" applyBorder="1">
      <alignment vertical="center"/>
    </xf>
    <xf numFmtId="174" fontId="37" fillId="0" borderId="12" xfId="22" applyNumberFormat="1" applyFont="1" applyFill="1" applyBorder="1">
      <alignment vertical="center"/>
    </xf>
    <xf numFmtId="174" fontId="37" fillId="0" borderId="21" xfId="22" applyNumberFormat="1" applyFont="1" applyFill="1" applyBorder="1">
      <alignment vertical="center"/>
    </xf>
    <xf numFmtId="175" fontId="38" fillId="0" borderId="3" xfId="22" applyNumberFormat="1" applyFont="1" applyBorder="1">
      <alignment vertical="center"/>
    </xf>
    <xf numFmtId="175" fontId="38" fillId="0" borderId="14" xfId="22" applyNumberFormat="1" applyFont="1" applyBorder="1">
      <alignment vertical="center"/>
    </xf>
    <xf numFmtId="170" fontId="38" fillId="0" borderId="14" xfId="19" applyNumberFormat="1" applyFont="1" applyBorder="1">
      <alignment vertical="center"/>
    </xf>
    <xf numFmtId="170" fontId="36" fillId="0" borderId="0" xfId="7" applyNumberFormat="1" applyFont="1">
      <alignment vertical="center"/>
    </xf>
    <xf numFmtId="0" fontId="29" fillId="0" borderId="3" xfId="6" applyFont="1" applyBorder="1">
      <alignment vertical="center"/>
    </xf>
    <xf numFmtId="170" fontId="23" fillId="0" borderId="3" xfId="19" applyNumberFormat="1" applyFont="1" applyBorder="1">
      <alignment vertical="center"/>
    </xf>
    <xf numFmtId="0" fontId="29" fillId="0" borderId="3" xfId="7" applyFont="1" applyBorder="1">
      <alignment vertical="center"/>
    </xf>
    <xf numFmtId="168" fontId="23" fillId="0" borderId="3" xfId="22" applyFont="1" applyBorder="1">
      <alignment vertical="center"/>
    </xf>
    <xf numFmtId="165" fontId="23" fillId="0" borderId="3" xfId="19" applyFont="1" applyBorder="1">
      <alignment vertical="center"/>
    </xf>
    <xf numFmtId="170" fontId="38" fillId="0" borderId="13" xfId="19" applyNumberFormat="1" applyFont="1" applyBorder="1">
      <alignment vertical="center"/>
    </xf>
    <xf numFmtId="175" fontId="38" fillId="0" borderId="4" xfId="22" applyNumberFormat="1" applyFont="1" applyBorder="1">
      <alignment vertical="center"/>
    </xf>
    <xf numFmtId="0" fontId="15" fillId="0" borderId="0" xfId="56" applyAlignment="1">
      <alignment vertical="center" wrapText="1"/>
    </xf>
    <xf numFmtId="0" fontId="45" fillId="14" borderId="0" xfId="37" applyFont="1" applyFill="1" applyAlignment="1">
      <alignment horizontal="center" vertical="center"/>
    </xf>
    <xf numFmtId="0" fontId="45" fillId="14" borderId="0" xfId="37" applyFont="1" applyFill="1" applyAlignment="1">
      <alignment horizontal="center" vertical="center" wrapText="1"/>
    </xf>
    <xf numFmtId="0" fontId="45" fillId="15" borderId="0" xfId="37" applyFont="1" applyFill="1" applyAlignment="1">
      <alignment horizontal="center" vertical="center"/>
    </xf>
    <xf numFmtId="0" fontId="45" fillId="15" borderId="0" xfId="37" applyFont="1" applyFill="1" applyAlignment="1">
      <alignment horizontal="center" vertical="center" wrapText="1"/>
    </xf>
    <xf numFmtId="0" fontId="17" fillId="0" borderId="0" xfId="56" applyFont="1" applyBorder="1" applyAlignment="1">
      <alignment horizontal="center" vertical="center" wrapText="1"/>
    </xf>
    <xf numFmtId="0" fontId="0" fillId="0" borderId="0" xfId="56" applyFont="1" applyBorder="1" applyAlignment="1">
      <alignment vertical="center" wrapText="1"/>
    </xf>
    <xf numFmtId="0" fontId="52" fillId="0" borderId="0" xfId="56" applyFont="1">
      <alignment vertical="center"/>
    </xf>
    <xf numFmtId="172" fontId="38" fillId="0" borderId="50" xfId="19" applyNumberFormat="1" applyFont="1" applyBorder="1">
      <alignment vertical="center"/>
    </xf>
    <xf numFmtId="172" fontId="38" fillId="0" borderId="46" xfId="19" applyNumberFormat="1" applyFont="1" applyBorder="1">
      <alignment vertical="center"/>
    </xf>
    <xf numFmtId="172" fontId="38" fillId="0" borderId="32" xfId="19" applyNumberFormat="1" applyFont="1" applyBorder="1">
      <alignment vertical="center"/>
    </xf>
    <xf numFmtId="172" fontId="38" fillId="0" borderId="40" xfId="19" applyNumberFormat="1" applyFont="1" applyBorder="1">
      <alignment vertical="center"/>
    </xf>
    <xf numFmtId="0" fontId="45" fillId="2" borderId="0" xfId="37" applyFont="1" applyAlignment="1">
      <alignment horizontal="center" vertical="center"/>
    </xf>
    <xf numFmtId="170" fontId="38" fillId="0" borderId="1" xfId="19" applyNumberFormat="1" applyFont="1" applyBorder="1">
      <alignment vertical="center"/>
    </xf>
    <xf numFmtId="0" fontId="17" fillId="10" borderId="1" xfId="56" applyFont="1" applyFill="1" applyBorder="1" applyAlignment="1">
      <alignment vertical="center" wrapText="1"/>
    </xf>
    <xf numFmtId="0" fontId="17" fillId="12" borderId="1" xfId="56" applyFont="1" applyFill="1" applyBorder="1" applyAlignment="1">
      <alignment vertical="center" wrapText="1"/>
    </xf>
    <xf numFmtId="0" fontId="17" fillId="10" borderId="1" xfId="56" applyFont="1" applyFill="1" applyBorder="1" applyAlignment="1">
      <alignment horizontal="center" vertical="center" wrapText="1"/>
    </xf>
    <xf numFmtId="0" fontId="17" fillId="12" borderId="1" xfId="56" applyFont="1" applyFill="1" applyBorder="1" applyAlignment="1">
      <alignment horizontal="center" vertical="center" wrapText="1"/>
    </xf>
    <xf numFmtId="0" fontId="51" fillId="16" borderId="1" xfId="56" applyFont="1" applyFill="1" applyBorder="1" applyAlignment="1">
      <alignment horizontal="center" vertical="center" wrapText="1"/>
    </xf>
    <xf numFmtId="0" fontId="51" fillId="11" borderId="1" xfId="56" applyFont="1" applyFill="1" applyBorder="1" applyAlignment="1">
      <alignment horizontal="center" vertical="center" wrapText="1"/>
    </xf>
    <xf numFmtId="170" fontId="16" fillId="13" borderId="1" xfId="19" applyNumberFormat="1" applyFont="1" applyFill="1" applyBorder="1">
      <alignment vertical="center"/>
    </xf>
    <xf numFmtId="170" fontId="16" fillId="11" borderId="1" xfId="19" applyNumberFormat="1" applyFont="1" applyFill="1" applyBorder="1">
      <alignment vertical="center"/>
    </xf>
    <xf numFmtId="170" fontId="51" fillId="13" borderId="1" xfId="19" applyNumberFormat="1" applyFont="1" applyFill="1" applyBorder="1">
      <alignment vertical="center"/>
    </xf>
    <xf numFmtId="170" fontId="51" fillId="11" borderId="1" xfId="19" applyNumberFormat="1" applyFont="1" applyFill="1" applyBorder="1">
      <alignment vertical="center"/>
    </xf>
    <xf numFmtId="0" fontId="51" fillId="11" borderId="1" xfId="56" applyFont="1" applyFill="1" applyBorder="1" applyAlignment="1">
      <alignment horizontal="left" vertical="center" wrapText="1"/>
    </xf>
    <xf numFmtId="0" fontId="51" fillId="13" borderId="1" xfId="56" applyFont="1" applyFill="1" applyBorder="1" applyAlignment="1">
      <alignment horizontal="left" vertical="center" wrapText="1"/>
    </xf>
    <xf numFmtId="0" fontId="17" fillId="0" borderId="1" xfId="56" applyFont="1" applyBorder="1" applyAlignment="1">
      <alignment vertical="center" wrapText="1"/>
    </xf>
    <xf numFmtId="170" fontId="37" fillId="10" borderId="1" xfId="19" applyNumberFormat="1" applyFont="1" applyFill="1" applyBorder="1">
      <alignment vertical="center"/>
    </xf>
    <xf numFmtId="170" fontId="37" fillId="12" borderId="1" xfId="19" applyNumberFormat="1" applyFont="1" applyFill="1" applyBorder="1">
      <alignment vertical="center"/>
    </xf>
    <xf numFmtId="170" fontId="38" fillId="10" borderId="1" xfId="19" applyNumberFormat="1" applyFont="1" applyFill="1" applyBorder="1">
      <alignment vertical="center"/>
    </xf>
    <xf numFmtId="170" fontId="38" fillId="12" borderId="1" xfId="19" applyNumberFormat="1" applyFont="1" applyFill="1" applyBorder="1">
      <alignment vertical="center"/>
    </xf>
    <xf numFmtId="175" fontId="37" fillId="0" borderId="0" xfId="22" applyNumberFormat="1" applyFont="1" applyBorder="1">
      <alignment vertical="center"/>
    </xf>
    <xf numFmtId="0" fontId="17" fillId="0" borderId="0" xfId="56" applyFont="1" applyBorder="1">
      <alignment vertical="center"/>
    </xf>
    <xf numFmtId="174" fontId="37" fillId="0" borderId="0" xfId="22" applyNumberFormat="1" applyFont="1" applyBorder="1">
      <alignment vertical="center"/>
    </xf>
    <xf numFmtId="9" fontId="37" fillId="0" borderId="0" xfId="58" applyFont="1" applyBorder="1" applyAlignment="1">
      <alignment vertical="center"/>
    </xf>
    <xf numFmtId="173" fontId="37" fillId="0" borderId="0" xfId="20" applyNumberFormat="1" applyFont="1" applyBorder="1">
      <alignment vertical="center"/>
    </xf>
    <xf numFmtId="0" fontId="17" fillId="0" borderId="23" xfId="56" applyFont="1" applyFill="1" applyBorder="1">
      <alignment vertical="center"/>
    </xf>
    <xf numFmtId="0" fontId="17" fillId="0" borderId="23" xfId="56" applyFont="1" applyBorder="1">
      <alignment vertical="center"/>
    </xf>
    <xf numFmtId="0" fontId="17" fillId="0" borderId="17" xfId="56" applyFont="1" applyBorder="1" applyAlignment="1">
      <alignment horizontal="center" vertical="center"/>
    </xf>
    <xf numFmtId="0" fontId="17" fillId="0" borderId="52" xfId="56" applyFont="1" applyBorder="1">
      <alignment vertical="center"/>
    </xf>
    <xf numFmtId="0" fontId="17" fillId="0" borderId="53" xfId="56" applyFont="1" applyFill="1" applyBorder="1">
      <alignment vertical="center"/>
    </xf>
    <xf numFmtId="0" fontId="17" fillId="0" borderId="53" xfId="56" applyFont="1" applyBorder="1">
      <alignment vertical="center"/>
    </xf>
    <xf numFmtId="170" fontId="37" fillId="0" borderId="54" xfId="19" applyNumberFormat="1" applyFont="1" applyBorder="1">
      <alignment vertical="center"/>
    </xf>
    <xf numFmtId="170" fontId="37" fillId="0" borderId="26" xfId="19" applyNumberFormat="1" applyFont="1" applyBorder="1">
      <alignment vertical="center"/>
    </xf>
    <xf numFmtId="170" fontId="37" fillId="0" borderId="27" xfId="19" applyNumberFormat="1" applyFont="1" applyFill="1" applyBorder="1">
      <alignment vertical="center"/>
    </xf>
    <xf numFmtId="170" fontId="37" fillId="0" borderId="27" xfId="19" applyNumberFormat="1" applyFont="1" applyBorder="1">
      <alignment vertical="center"/>
    </xf>
    <xf numFmtId="170" fontId="37" fillId="0" borderId="28" xfId="19" applyNumberFormat="1" applyFont="1" applyBorder="1">
      <alignment vertical="center"/>
    </xf>
    <xf numFmtId="175" fontId="17" fillId="0" borderId="24" xfId="56" applyNumberFormat="1" applyFont="1" applyBorder="1">
      <alignment vertical="center"/>
    </xf>
    <xf numFmtId="175" fontId="17" fillId="0" borderId="49" xfId="56" applyNumberFormat="1" applyFont="1" applyBorder="1">
      <alignment vertical="center"/>
    </xf>
    <xf numFmtId="170" fontId="38" fillId="0" borderId="20" xfId="19" applyNumberFormat="1" applyFont="1" applyBorder="1">
      <alignment vertical="center"/>
    </xf>
    <xf numFmtId="170" fontId="17" fillId="0" borderId="21" xfId="19" applyNumberFormat="1" applyFont="1" applyFill="1" applyBorder="1">
      <alignment vertical="center"/>
    </xf>
    <xf numFmtId="170" fontId="38" fillId="0" borderId="21" xfId="19" applyNumberFormat="1" applyFont="1" applyBorder="1">
      <alignment vertical="center"/>
    </xf>
    <xf numFmtId="0" fontId="17" fillId="0" borderId="20" xfId="56" applyFont="1" applyBorder="1">
      <alignment vertical="center"/>
    </xf>
    <xf numFmtId="0" fontId="17" fillId="0" borderId="21" xfId="56" applyFont="1" applyFill="1" applyBorder="1">
      <alignment vertical="center"/>
    </xf>
    <xf numFmtId="0" fontId="17" fillId="0" borderId="21" xfId="56" applyFont="1" applyBorder="1">
      <alignment vertical="center"/>
    </xf>
    <xf numFmtId="170" fontId="38" fillId="0" borderId="40" xfId="19" applyNumberFormat="1" applyFont="1" applyBorder="1">
      <alignment vertical="center"/>
    </xf>
    <xf numFmtId="0" fontId="17" fillId="0" borderId="55" xfId="56" applyFont="1" applyBorder="1">
      <alignment vertical="center"/>
    </xf>
    <xf numFmtId="0" fontId="17" fillId="0" borderId="40" xfId="56" applyFont="1" applyBorder="1">
      <alignment vertical="center"/>
    </xf>
    <xf numFmtId="0" fontId="17" fillId="0" borderId="1" xfId="56" applyFont="1" applyBorder="1" applyAlignment="1">
      <alignment horizontal="center" vertical="center" wrapText="1"/>
    </xf>
    <xf numFmtId="0" fontId="17" fillId="0" borderId="38" xfId="56" applyFont="1" applyBorder="1" applyAlignment="1">
      <alignment horizontal="center" vertical="center" wrapText="1"/>
    </xf>
    <xf numFmtId="0" fontId="28" fillId="0" borderId="0" xfId="6" applyFont="1" applyFill="1" applyAlignment="1">
      <alignment horizontal="center" vertical="center"/>
    </xf>
    <xf numFmtId="170" fontId="25" fillId="0" borderId="14" xfId="19" applyNumberFormat="1" applyFont="1" applyFill="1" applyBorder="1">
      <alignment vertical="center"/>
    </xf>
    <xf numFmtId="165" fontId="25" fillId="0" borderId="0" xfId="19" applyFont="1" applyFill="1">
      <alignment vertical="center"/>
    </xf>
    <xf numFmtId="165" fontId="23" fillId="7" borderId="47" xfId="12" applyFont="1" applyFill="1" applyBorder="1">
      <alignment vertical="center"/>
      <protection locked="0"/>
    </xf>
    <xf numFmtId="170" fontId="25" fillId="0" borderId="0" xfId="19" applyNumberFormat="1" applyFont="1" applyFill="1">
      <alignment vertical="center"/>
    </xf>
    <xf numFmtId="170" fontId="38" fillId="0" borderId="15" xfId="19" applyNumberFormat="1" applyFont="1" applyBorder="1">
      <alignment vertical="center"/>
    </xf>
    <xf numFmtId="175" fontId="38" fillId="0" borderId="15" xfId="22" applyNumberFormat="1" applyFont="1" applyBorder="1">
      <alignment vertical="center"/>
    </xf>
    <xf numFmtId="0" fontId="23" fillId="7" borderId="10" xfId="9" applyFont="1" applyFill="1" applyAlignment="1">
      <alignment vertical="center" wrapText="1"/>
      <protection locked="0"/>
    </xf>
    <xf numFmtId="170" fontId="23" fillId="5" borderId="10" xfId="12" applyNumberFormat="1" applyFont="1">
      <alignment vertical="center"/>
      <protection locked="0"/>
    </xf>
    <xf numFmtId="164" fontId="23" fillId="5" borderId="10" xfId="10" applyFont="1">
      <alignment vertical="center"/>
      <protection locked="0"/>
    </xf>
    <xf numFmtId="0" fontId="29" fillId="0" borderId="0" xfId="7" applyFont="1">
      <alignment vertical="center"/>
    </xf>
    <xf numFmtId="170" fontId="26" fillId="7" borderId="10" xfId="12" applyNumberFormat="1" applyFont="1" applyFill="1">
      <alignment vertical="center"/>
      <protection locked="0"/>
    </xf>
    <xf numFmtId="170" fontId="26" fillId="5" borderId="10" xfId="12" applyNumberFormat="1" applyFont="1">
      <alignment vertical="center"/>
      <protection locked="0"/>
    </xf>
    <xf numFmtId="170" fontId="37" fillId="5" borderId="10" xfId="12" applyNumberFormat="1" applyFont="1">
      <alignment vertical="center"/>
      <protection locked="0"/>
    </xf>
    <xf numFmtId="9" fontId="37" fillId="0" borderId="26" xfId="58" applyFont="1" applyBorder="1" applyAlignment="1">
      <alignment vertical="center"/>
    </xf>
    <xf numFmtId="9" fontId="37" fillId="0" borderId="27" xfId="58" applyFont="1" applyBorder="1" applyAlignment="1">
      <alignment vertical="center"/>
    </xf>
    <xf numFmtId="9" fontId="37" fillId="0" borderId="28" xfId="58" applyFont="1" applyBorder="1" applyAlignment="1">
      <alignment vertical="center"/>
    </xf>
    <xf numFmtId="9" fontId="37" fillId="0" borderId="23" xfId="58" applyFont="1" applyBorder="1" applyAlignment="1">
      <alignment vertical="center"/>
    </xf>
    <xf numFmtId="9" fontId="37" fillId="0" borderId="25" xfId="58" applyFont="1" applyBorder="1" applyAlignment="1">
      <alignment vertical="center"/>
    </xf>
    <xf numFmtId="9" fontId="37" fillId="0" borderId="5" xfId="58" applyFont="1" applyBorder="1" applyAlignment="1">
      <alignment vertical="center"/>
    </xf>
    <xf numFmtId="170" fontId="15" fillId="9" borderId="26" xfId="19" applyNumberFormat="1" applyFill="1" applyBorder="1">
      <alignment vertical="center"/>
    </xf>
    <xf numFmtId="9" fontId="37" fillId="0" borderId="27" xfId="58" applyFont="1" applyFill="1" applyBorder="1" applyAlignment="1">
      <alignment vertical="center"/>
    </xf>
    <xf numFmtId="9" fontId="37" fillId="0" borderId="28" xfId="58" applyFont="1" applyFill="1" applyBorder="1" applyAlignment="1">
      <alignment vertical="center"/>
    </xf>
    <xf numFmtId="0" fontId="26" fillId="0" borderId="0" xfId="0" applyFont="1">
      <alignment vertical="center"/>
    </xf>
    <xf numFmtId="176" fontId="37" fillId="0" borderId="0" xfId="18" applyFont="1">
      <alignment vertical="center"/>
    </xf>
    <xf numFmtId="164" fontId="37" fillId="0" borderId="2" xfId="17" applyFont="1" applyBorder="1">
      <alignment vertical="center"/>
    </xf>
    <xf numFmtId="170" fontId="38" fillId="0" borderId="16" xfId="19" applyNumberFormat="1" applyFont="1" applyBorder="1">
      <alignment vertical="center"/>
    </xf>
    <xf numFmtId="0" fontId="28" fillId="0" borderId="0" xfId="7" applyFont="1" applyFill="1" applyBorder="1" applyAlignment="1">
      <alignment horizontal="center" vertical="center"/>
    </xf>
    <xf numFmtId="170" fontId="38" fillId="0" borderId="2" xfId="19" applyNumberFormat="1" applyFont="1" applyBorder="1">
      <alignment vertical="center"/>
    </xf>
    <xf numFmtId="170" fontId="38" fillId="0" borderId="63" xfId="19" applyNumberFormat="1" applyFont="1" applyBorder="1">
      <alignment vertical="center"/>
    </xf>
    <xf numFmtId="175" fontId="38" fillId="0" borderId="63" xfId="22" applyNumberFormat="1" applyFont="1" applyBorder="1">
      <alignment vertical="center"/>
    </xf>
    <xf numFmtId="170" fontId="37" fillId="0" borderId="4" xfId="19" applyNumberFormat="1" applyFont="1" applyBorder="1">
      <alignment vertical="center"/>
    </xf>
    <xf numFmtId="175" fontId="38" fillId="0" borderId="16" xfId="22" applyNumberFormat="1" applyFont="1" applyBorder="1">
      <alignment vertical="center"/>
    </xf>
    <xf numFmtId="165" fontId="38" fillId="0" borderId="4" xfId="19" applyFont="1" applyBorder="1">
      <alignment vertical="center"/>
    </xf>
    <xf numFmtId="165" fontId="38" fillId="0" borderId="16" xfId="19" applyFont="1" applyBorder="1">
      <alignment vertical="center"/>
    </xf>
    <xf numFmtId="170" fontId="39" fillId="0" borderId="0" xfId="19" applyNumberFormat="1" applyFont="1">
      <alignment vertical="center"/>
    </xf>
    <xf numFmtId="0" fontId="41" fillId="0" borderId="0" xfId="7" applyFont="1">
      <alignment vertical="center"/>
    </xf>
    <xf numFmtId="164" fontId="38" fillId="0" borderId="2" xfId="17" applyFont="1" applyBorder="1">
      <alignment vertical="center"/>
    </xf>
    <xf numFmtId="165" fontId="23" fillId="0" borderId="0" xfId="19" applyFont="1">
      <alignment vertical="center"/>
    </xf>
    <xf numFmtId="170" fontId="23" fillId="0" borderId="0" xfId="19" applyNumberFormat="1" applyFont="1">
      <alignment vertical="center"/>
    </xf>
    <xf numFmtId="173" fontId="37" fillId="0" borderId="0" xfId="20" applyNumberFormat="1" applyFont="1">
      <alignment vertical="center"/>
    </xf>
    <xf numFmtId="173" fontId="38" fillId="0" borderId="4" xfId="20" applyNumberFormat="1" applyFont="1" applyBorder="1">
      <alignment vertical="center"/>
    </xf>
    <xf numFmtId="0" fontId="35" fillId="0" borderId="0" xfId="7" applyFont="1">
      <alignment vertical="center"/>
    </xf>
    <xf numFmtId="174" fontId="37" fillId="0" borderId="2" xfId="22" applyNumberFormat="1" applyFont="1" applyBorder="1">
      <alignment vertical="center"/>
    </xf>
    <xf numFmtId="175" fontId="37" fillId="0" borderId="3" xfId="22" applyNumberFormat="1" applyFont="1" applyBorder="1">
      <alignment vertical="center"/>
    </xf>
    <xf numFmtId="168" fontId="37" fillId="0" borderId="3" xfId="22" applyFont="1" applyBorder="1">
      <alignment vertical="center"/>
    </xf>
    <xf numFmtId="170" fontId="26" fillId="0" borderId="0" xfId="19" applyNumberFormat="1" applyFont="1">
      <alignment vertical="center"/>
    </xf>
    <xf numFmtId="170" fontId="37" fillId="0" borderId="3" xfId="19" applyNumberFormat="1" applyFont="1" applyBorder="1">
      <alignment vertical="center"/>
    </xf>
    <xf numFmtId="170" fontId="23" fillId="18" borderId="0" xfId="19" applyNumberFormat="1" applyFont="1" applyFill="1">
      <alignment vertical="center"/>
    </xf>
    <xf numFmtId="170" fontId="14" fillId="5" borderId="10" xfId="12" applyNumberFormat="1">
      <alignment vertical="center"/>
      <protection locked="0"/>
    </xf>
    <xf numFmtId="0" fontId="35" fillId="0" borderId="0" xfId="7" applyFont="1" applyAlignment="1">
      <alignment horizontal="center" vertical="center"/>
    </xf>
    <xf numFmtId="170" fontId="39" fillId="0" borderId="14" xfId="19" applyNumberFormat="1" applyFont="1" applyBorder="1">
      <alignment vertical="center"/>
    </xf>
    <xf numFmtId="173" fontId="39" fillId="0" borderId="14" xfId="20" applyNumberFormat="1" applyFont="1" applyBorder="1">
      <alignment vertical="center"/>
    </xf>
    <xf numFmtId="0" fontId="36" fillId="0" borderId="0" xfId="7" applyFont="1" applyAlignment="1">
      <alignment horizontal="left" vertical="center" indent="1"/>
    </xf>
    <xf numFmtId="173" fontId="38" fillId="0" borderId="14" xfId="20" applyNumberFormat="1" applyFont="1" applyBorder="1">
      <alignment vertical="center"/>
    </xf>
    <xf numFmtId="173" fontId="37" fillId="0" borderId="14" xfId="20" applyNumberFormat="1" applyFont="1" applyBorder="1">
      <alignment vertical="center"/>
    </xf>
    <xf numFmtId="0" fontId="23" fillId="0" borderId="0" xfId="0" applyFont="1" applyFill="1">
      <alignment vertical="center"/>
    </xf>
    <xf numFmtId="166" fontId="37" fillId="0" borderId="14" xfId="20" applyFont="1" applyBorder="1">
      <alignment vertical="center"/>
    </xf>
    <xf numFmtId="173" fontId="37" fillId="0" borderId="0" xfId="19" applyNumberFormat="1" applyFont="1">
      <alignment vertical="center"/>
    </xf>
    <xf numFmtId="173" fontId="38" fillId="0" borderId="14" xfId="19" applyNumberFormat="1" applyFont="1" applyBorder="1">
      <alignment vertical="center"/>
    </xf>
    <xf numFmtId="166" fontId="39" fillId="0" borderId="0" xfId="20" applyFont="1">
      <alignment vertical="center"/>
    </xf>
    <xf numFmtId="170" fontId="37" fillId="0" borderId="14" xfId="19" applyNumberFormat="1" applyFont="1" applyBorder="1">
      <alignment vertical="center"/>
    </xf>
    <xf numFmtId="175" fontId="23" fillId="0" borderId="3" xfId="22" applyNumberFormat="1" applyFont="1" applyBorder="1">
      <alignment vertical="center"/>
    </xf>
    <xf numFmtId="175" fontId="37" fillId="0" borderId="4" xfId="22" applyNumberFormat="1" applyFont="1" applyBorder="1">
      <alignment vertical="center"/>
    </xf>
    <xf numFmtId="175" fontId="37" fillId="0" borderId="15" xfId="22" applyNumberFormat="1" applyFont="1" applyBorder="1">
      <alignment vertical="center"/>
    </xf>
    <xf numFmtId="175" fontId="37" fillId="0" borderId="16" xfId="22" applyNumberFormat="1" applyFont="1" applyBorder="1">
      <alignment vertical="center"/>
    </xf>
    <xf numFmtId="170" fontId="37" fillId="0" borderId="16" xfId="19" applyNumberFormat="1" applyFont="1" applyBorder="1">
      <alignment vertical="center"/>
    </xf>
    <xf numFmtId="165" fontId="37" fillId="0" borderId="3" xfId="19" applyFont="1" applyBorder="1">
      <alignment vertical="center"/>
    </xf>
    <xf numFmtId="168" fontId="37" fillId="0" borderId="4" xfId="22" applyFont="1" applyBorder="1">
      <alignment vertical="center"/>
    </xf>
    <xf numFmtId="168" fontId="37" fillId="0" borderId="16" xfId="22" applyFont="1" applyBorder="1">
      <alignment vertical="center"/>
    </xf>
    <xf numFmtId="165" fontId="37" fillId="0" borderId="4" xfId="19" applyFont="1" applyBorder="1">
      <alignment vertical="center"/>
    </xf>
    <xf numFmtId="170" fontId="38" fillId="0" borderId="51" xfId="19" applyNumberFormat="1" applyFont="1" applyBorder="1">
      <alignment vertical="center"/>
    </xf>
    <xf numFmtId="174" fontId="38" fillId="0" borderId="4" xfId="22" applyNumberFormat="1" applyFont="1" applyBorder="1">
      <alignment vertical="center"/>
    </xf>
    <xf numFmtId="174" fontId="43" fillId="0" borderId="4" xfId="22" applyNumberFormat="1" applyFont="1" applyBorder="1">
      <alignment vertical="center"/>
    </xf>
    <xf numFmtId="170" fontId="43" fillId="0" borderId="4" xfId="19" applyNumberFormat="1" applyFont="1" applyBorder="1">
      <alignment vertical="center"/>
    </xf>
    <xf numFmtId="0" fontId="17" fillId="0" borderId="0" xfId="0" applyFont="1">
      <alignment vertical="center"/>
    </xf>
    <xf numFmtId="0" fontId="1" fillId="19" borderId="0" xfId="59" applyAlignment="1">
      <alignment vertical="center"/>
    </xf>
    <xf numFmtId="0" fontId="17" fillId="0" borderId="26" xfId="0" applyFont="1" applyBorder="1">
      <alignment vertical="center"/>
    </xf>
    <xf numFmtId="0" fontId="51" fillId="20" borderId="64" xfId="0" applyFont="1" applyFill="1" applyBorder="1">
      <alignment vertical="center"/>
    </xf>
    <xf numFmtId="0" fontId="51" fillId="20" borderId="65" xfId="0" applyFont="1" applyFill="1" applyBorder="1">
      <alignment vertical="center"/>
    </xf>
    <xf numFmtId="0" fontId="1" fillId="19" borderId="0" xfId="59" applyNumberFormat="1" applyAlignment="1">
      <alignment vertical="center"/>
    </xf>
    <xf numFmtId="0" fontId="0" fillId="0" borderId="0" xfId="0" quotePrefix="1">
      <alignment vertical="center"/>
    </xf>
    <xf numFmtId="0" fontId="53" fillId="0" borderId="0" xfId="1" applyFont="1">
      <alignment vertical="center"/>
    </xf>
    <xf numFmtId="0" fontId="16" fillId="0" borderId="0" xfId="56" applyFont="1">
      <alignment vertical="center"/>
    </xf>
    <xf numFmtId="0" fontId="0" fillId="21" borderId="0" xfId="0" applyFill="1">
      <alignment vertical="center"/>
    </xf>
    <xf numFmtId="0" fontId="20" fillId="0" borderId="0" xfId="30">
      <alignment vertical="center"/>
    </xf>
    <xf numFmtId="0" fontId="37" fillId="0" borderId="0" xfId="0" applyFont="1" applyFill="1">
      <alignment vertical="center"/>
    </xf>
    <xf numFmtId="170" fontId="16" fillId="0" borderId="0" xfId="56" applyNumberFormat="1" applyFont="1" applyFill="1">
      <alignment vertical="center"/>
    </xf>
    <xf numFmtId="0" fontId="23" fillId="5" borderId="10" xfId="9" applyFont="1" applyAlignment="1">
      <alignment vertical="center" wrapText="1"/>
      <protection locked="0"/>
    </xf>
    <xf numFmtId="0" fontId="10" fillId="22" borderId="0" xfId="4" applyFill="1">
      <alignment vertical="center"/>
    </xf>
    <xf numFmtId="0" fontId="10" fillId="23" borderId="0" xfId="4" applyFill="1">
      <alignment vertical="center"/>
    </xf>
    <xf numFmtId="165" fontId="37" fillId="0" borderId="0" xfId="19" applyFont="1" applyFill="1">
      <alignment vertical="center"/>
    </xf>
    <xf numFmtId="0" fontId="8" fillId="0" borderId="0" xfId="1" applyFill="1">
      <alignment vertical="center"/>
    </xf>
    <xf numFmtId="0" fontId="0" fillId="0" borderId="0" xfId="0" applyFill="1" applyAlignment="1">
      <alignment vertical="center" wrapText="1"/>
    </xf>
    <xf numFmtId="0" fontId="31" fillId="0" borderId="0" xfId="1" quotePrefix="1" applyFont="1" applyFill="1">
      <alignment vertical="center"/>
    </xf>
    <xf numFmtId="0" fontId="16" fillId="24" borderId="2" xfId="23" applyFill="1" applyBorder="1">
      <alignment vertical="center"/>
    </xf>
    <xf numFmtId="164" fontId="16" fillId="24" borderId="2" xfId="23" applyNumberFormat="1" applyFill="1" applyBorder="1" applyAlignment="1">
      <alignment horizontal="right" vertical="center"/>
    </xf>
    <xf numFmtId="176" fontId="37" fillId="0" borderId="0" xfId="18" applyFont="1" applyFill="1">
      <alignment vertical="center"/>
    </xf>
    <xf numFmtId="164" fontId="37" fillId="0" borderId="2" xfId="17" applyFont="1" applyFill="1" applyBorder="1">
      <alignment vertical="center"/>
    </xf>
    <xf numFmtId="0" fontId="10" fillId="25" borderId="0" xfId="4" applyFill="1">
      <alignment vertical="center"/>
    </xf>
    <xf numFmtId="166" fontId="38" fillId="0" borderId="0" xfId="20" applyFont="1" applyFill="1">
      <alignment vertical="center"/>
    </xf>
    <xf numFmtId="165" fontId="54" fillId="0" borderId="0" xfId="19" applyFont="1" applyFill="1" applyBorder="1">
      <alignment vertical="center"/>
    </xf>
    <xf numFmtId="0" fontId="21" fillId="0" borderId="0" xfId="33">
      <alignment vertical="center"/>
    </xf>
    <xf numFmtId="0" fontId="21" fillId="0" borderId="0" xfId="32">
      <alignment vertical="center"/>
    </xf>
    <xf numFmtId="0" fontId="21" fillId="0" borderId="0" xfId="32" quotePrefix="1" applyAlignment="1">
      <alignment horizontal="right" vertical="center"/>
    </xf>
    <xf numFmtId="0" fontId="19" fillId="0" borderId="0" xfId="28" applyFill="1">
      <alignment horizontal="center" vertical="center"/>
    </xf>
    <xf numFmtId="0" fontId="20" fillId="0" borderId="0" xfId="27" applyFont="1">
      <alignment vertical="center"/>
    </xf>
    <xf numFmtId="166" fontId="14" fillId="5" borderId="10" xfId="13">
      <alignment vertical="center"/>
      <protection locked="0"/>
    </xf>
    <xf numFmtId="177" fontId="0" fillId="0" borderId="0" xfId="0" applyNumberFormat="1" applyFill="1">
      <alignment vertical="center"/>
    </xf>
    <xf numFmtId="0" fontId="50" fillId="0" borderId="0" xfId="0" applyFont="1" applyFill="1">
      <alignment vertical="center"/>
    </xf>
    <xf numFmtId="0" fontId="3" fillId="0" borderId="0" xfId="57">
      <alignment vertical="center"/>
    </xf>
    <xf numFmtId="0" fontId="18" fillId="0" borderId="0" xfId="49">
      <alignment vertical="center"/>
    </xf>
    <xf numFmtId="0" fontId="28" fillId="0" borderId="0" xfId="6" applyFont="1" applyAlignment="1">
      <alignment horizontal="center" vertical="center"/>
    </xf>
    <xf numFmtId="0" fontId="51" fillId="14" borderId="50" xfId="56" applyFont="1" applyFill="1" applyBorder="1" applyAlignment="1">
      <alignment horizontal="center" vertical="center"/>
    </xf>
    <xf numFmtId="0" fontId="51" fillId="14" borderId="56" xfId="56" applyFont="1" applyFill="1" applyBorder="1" applyAlignment="1">
      <alignment horizontal="center" vertical="center"/>
    </xf>
    <xf numFmtId="0" fontId="17" fillId="0" borderId="50" xfId="56" applyFont="1" applyBorder="1" applyAlignment="1">
      <alignment horizontal="left" vertical="center"/>
    </xf>
    <xf numFmtId="0" fontId="17" fillId="0" borderId="56" xfId="56" applyFont="1" applyBorder="1" applyAlignment="1">
      <alignment horizontal="left" vertical="center"/>
    </xf>
    <xf numFmtId="0" fontId="17" fillId="0" borderId="58" xfId="56" applyFont="1" applyBorder="1" applyAlignment="1">
      <alignment horizontal="left" vertical="center"/>
    </xf>
    <xf numFmtId="170" fontId="38" fillId="0" borderId="59" xfId="19" applyNumberFormat="1" applyFont="1" applyBorder="1" applyAlignment="1">
      <alignment horizontal="center" vertical="center"/>
    </xf>
    <xf numFmtId="170" fontId="38" fillId="0" borderId="1" xfId="19" applyNumberFormat="1" applyFont="1" applyBorder="1" applyAlignment="1">
      <alignment horizontal="center" vertical="center"/>
    </xf>
    <xf numFmtId="170" fontId="38" fillId="0" borderId="43" xfId="19" applyNumberFormat="1" applyFont="1" applyBorder="1" applyAlignment="1">
      <alignment horizontal="center" vertical="center"/>
    </xf>
    <xf numFmtId="0" fontId="17" fillId="0" borderId="25" xfId="56" applyFont="1" applyBorder="1" applyAlignment="1">
      <alignment horizontal="left" vertical="center"/>
    </xf>
    <xf numFmtId="0" fontId="17" fillId="0" borderId="30" xfId="56" applyFont="1" applyBorder="1" applyAlignment="1">
      <alignment horizontal="left" vertical="center"/>
    </xf>
    <xf numFmtId="170" fontId="38" fillId="0" borderId="60" xfId="19" applyNumberFormat="1" applyFont="1" applyBorder="1" applyAlignment="1">
      <alignment horizontal="center" vertical="center"/>
    </xf>
    <xf numFmtId="170" fontId="38" fillId="0" borderId="38" xfId="19" applyNumberFormat="1" applyFont="1" applyBorder="1" applyAlignment="1">
      <alignment horizontal="center" vertical="center"/>
    </xf>
    <xf numFmtId="170" fontId="38" fillId="0" borderId="61" xfId="19" applyNumberFormat="1" applyFont="1" applyBorder="1" applyAlignment="1">
      <alignment horizontal="center" vertical="center"/>
    </xf>
    <xf numFmtId="0" fontId="32" fillId="0" borderId="0" xfId="3" applyFont="1" applyAlignment="1">
      <alignment vertical="center" wrapText="1"/>
    </xf>
    <xf numFmtId="174" fontId="38" fillId="0" borderId="38" xfId="22" applyNumberFormat="1" applyFont="1" applyBorder="1" applyAlignment="1">
      <alignment horizontal="center" vertical="center"/>
    </xf>
    <xf numFmtId="174" fontId="17" fillId="0" borderId="38" xfId="22" applyNumberFormat="1" applyFont="1" applyBorder="1" applyAlignment="1">
      <alignment horizontal="center" vertical="center"/>
    </xf>
    <xf numFmtId="174" fontId="17" fillId="0" borderId="61" xfId="22" applyNumberFormat="1" applyFont="1" applyBorder="1" applyAlignment="1">
      <alignment horizontal="center" vertical="center"/>
    </xf>
    <xf numFmtId="0" fontId="51" fillId="17" borderId="62" xfId="56" applyFont="1" applyFill="1" applyBorder="1" applyAlignment="1">
      <alignment horizontal="center" vertical="center"/>
    </xf>
    <xf numFmtId="0" fontId="51" fillId="17" borderId="56" xfId="56" applyFont="1" applyFill="1" applyBorder="1" applyAlignment="1">
      <alignment horizontal="center" vertical="center"/>
    </xf>
    <xf numFmtId="0" fontId="51" fillId="17" borderId="57" xfId="56" applyFont="1" applyFill="1" applyBorder="1" applyAlignment="1">
      <alignment horizontal="center" vertical="center"/>
    </xf>
    <xf numFmtId="174" fontId="38" fillId="0" borderId="1" xfId="22" applyNumberFormat="1" applyFont="1" applyBorder="1" applyAlignment="1">
      <alignment horizontal="center" vertical="center"/>
    </xf>
    <xf numFmtId="174" fontId="17" fillId="0" borderId="1" xfId="22" applyNumberFormat="1" applyFont="1" applyBorder="1" applyAlignment="1">
      <alignment horizontal="center" vertical="center"/>
    </xf>
    <xf numFmtId="174" fontId="17" fillId="0" borderId="43" xfId="22" applyNumberFormat="1" applyFont="1" applyBorder="1" applyAlignment="1">
      <alignment horizontal="center" vertical="center"/>
    </xf>
    <xf numFmtId="171" fontId="20" fillId="0" borderId="0" xfId="30" applyNumberFormat="1" applyAlignment="1">
      <alignment horizontal="right" vertical="center"/>
    </xf>
    <xf numFmtId="0" fontId="21" fillId="0" borderId="0" xfId="32" quotePrefix="1" applyAlignment="1">
      <alignment horizontal="right" vertical="center"/>
    </xf>
    <xf numFmtId="0" fontId="18" fillId="0" borderId="0" xfId="27" quotePrefix="1">
      <alignment vertical="center"/>
    </xf>
    <xf numFmtId="0" fontId="21" fillId="0" borderId="0" xfId="32">
      <alignment vertical="center"/>
    </xf>
    <xf numFmtId="0" fontId="21" fillId="0" borderId="0" xfId="33">
      <alignment vertical="center"/>
    </xf>
    <xf numFmtId="0" fontId="20" fillId="0" borderId="0" xfId="30">
      <alignment vertical="center"/>
    </xf>
    <xf numFmtId="0" fontId="0" fillId="0" borderId="0" xfId="0">
      <alignment vertical="center"/>
    </xf>
    <xf numFmtId="0" fontId="44" fillId="2" borderId="0" xfId="37" applyFont="1" applyAlignment="1">
      <alignment horizontal="center" vertical="center"/>
    </xf>
    <xf numFmtId="0" fontId="0" fillId="0" borderId="17" xfId="56" applyFont="1" applyBorder="1" applyAlignment="1">
      <alignment horizontal="center" vertical="center" wrapText="1"/>
    </xf>
    <xf numFmtId="0" fontId="15" fillId="0" borderId="12" xfId="56" applyBorder="1" applyAlignment="1">
      <alignment horizontal="center" vertical="center" wrapText="1"/>
    </xf>
    <xf numFmtId="0" fontId="0" fillId="0" borderId="12" xfId="56" applyFont="1" applyBorder="1" applyAlignment="1">
      <alignment horizontal="center" vertical="center" wrapText="1"/>
    </xf>
    <xf numFmtId="0" fontId="15" fillId="0" borderId="41" xfId="56" applyBorder="1" applyAlignment="1">
      <alignment horizontal="center" vertical="center" wrapText="1"/>
    </xf>
    <xf numFmtId="0" fontId="17" fillId="0" borderId="42" xfId="56" applyFont="1" applyBorder="1" applyAlignment="1">
      <alignment horizontal="center" vertical="center" wrapText="1"/>
    </xf>
    <xf numFmtId="0" fontId="17" fillId="0" borderId="29" xfId="56" applyFont="1" applyBorder="1" applyAlignment="1">
      <alignment horizontal="center" vertical="center" wrapText="1"/>
    </xf>
    <xf numFmtId="0" fontId="17" fillId="0" borderId="45" xfId="56" applyFont="1" applyBorder="1" applyAlignment="1">
      <alignment horizontal="left" vertical="center"/>
    </xf>
    <xf numFmtId="0" fontId="17" fillId="0" borderId="46" xfId="56" applyFont="1" applyBorder="1" applyAlignment="1">
      <alignment horizontal="left" vertical="center"/>
    </xf>
    <xf numFmtId="0" fontId="17" fillId="0" borderId="24" xfId="56" applyFont="1" applyBorder="1" applyAlignment="1">
      <alignment horizontal="left" vertical="center"/>
    </xf>
    <xf numFmtId="0" fontId="17" fillId="0" borderId="22" xfId="56" applyFont="1" applyBorder="1" applyAlignment="1">
      <alignment horizontal="left" vertical="center"/>
    </xf>
    <xf numFmtId="170" fontId="39" fillId="0" borderId="37" xfId="19" applyNumberFormat="1" applyFont="1" applyBorder="1" applyAlignment="1">
      <alignment horizontal="center" vertical="center"/>
    </xf>
    <xf numFmtId="170" fontId="39" fillId="0" borderId="48" xfId="19" applyNumberFormat="1" applyFont="1" applyBorder="1" applyAlignment="1">
      <alignment horizontal="center" vertical="center"/>
    </xf>
    <xf numFmtId="0" fontId="19" fillId="0" borderId="0" xfId="29" applyAlignment="1">
      <alignment horizontal="left" vertical="center"/>
    </xf>
    <xf numFmtId="0" fontId="45" fillId="2" borderId="0" xfId="37" applyFont="1" applyAlignment="1">
      <alignment horizontal="center" vertical="center"/>
    </xf>
    <xf numFmtId="0" fontId="44" fillId="14" borderId="0" xfId="37" applyFont="1" applyFill="1" applyAlignment="1">
      <alignment horizontal="center" vertical="center"/>
    </xf>
    <xf numFmtId="0" fontId="44" fillId="15" borderId="0" xfId="37" applyFont="1" applyFill="1" applyAlignment="1">
      <alignment horizontal="center" vertical="center"/>
    </xf>
    <xf numFmtId="174" fontId="38" fillId="0" borderId="60" xfId="22" applyNumberFormat="1" applyFont="1" applyBorder="1" applyAlignment="1">
      <alignment horizontal="center" vertical="center"/>
    </xf>
    <xf numFmtId="0" fontId="51" fillId="17" borderId="50" xfId="56" applyFont="1" applyFill="1" applyBorder="1" applyAlignment="1">
      <alignment horizontal="center" vertical="center"/>
    </xf>
    <xf numFmtId="174" fontId="38" fillId="0" borderId="59" xfId="22" applyNumberFormat="1" applyFont="1" applyBorder="1" applyAlignment="1">
      <alignment horizontal="center" vertical="center"/>
    </xf>
    <xf numFmtId="0" fontId="51" fillId="14" borderId="57" xfId="56" applyFont="1" applyFill="1" applyBorder="1" applyAlignment="1">
      <alignment horizontal="center" vertical="center"/>
    </xf>
    <xf numFmtId="0" fontId="28" fillId="0" borderId="0" xfId="6" applyFont="1">
      <alignment vertical="center"/>
    </xf>
    <xf numFmtId="0" fontId="23" fillId="7" borderId="10" xfId="9" applyFont="1" applyFill="1">
      <alignment vertical="center"/>
      <protection locked="0"/>
    </xf>
    <xf numFmtId="0" fontId="23" fillId="5" borderId="10" xfId="9" applyFont="1" applyAlignment="1">
      <alignment vertical="center" wrapText="1"/>
      <protection locked="0"/>
    </xf>
    <xf numFmtId="170" fontId="37" fillId="0" borderId="0" xfId="19" applyNumberFormat="1" applyFont="1" applyAlignment="1">
      <alignment horizontal="center" vertical="center"/>
    </xf>
    <xf numFmtId="0" fontId="22" fillId="0" borderId="0" xfId="7" applyFont="1" applyFill="1" applyAlignment="1">
      <alignment horizontal="center" vertical="center"/>
    </xf>
    <xf numFmtId="164" fontId="23" fillId="7" borderId="10" xfId="10" applyFont="1" applyFill="1" applyAlignment="1">
      <alignment horizontal="center" vertical="center"/>
      <protection locked="0"/>
    </xf>
    <xf numFmtId="0" fontId="10" fillId="2" borderId="0" xfId="4">
      <alignment vertical="center"/>
    </xf>
    <xf numFmtId="0" fontId="24" fillId="0" borderId="0" xfId="16" applyFont="1" applyFill="1">
      <alignment horizontal="center" vertical="center"/>
      <protection locked="0"/>
    </xf>
    <xf numFmtId="170" fontId="23" fillId="7" borderId="10" xfId="12" applyNumberFormat="1" applyFont="1" applyFill="1" applyAlignment="1">
      <alignment horizontal="center" vertical="center"/>
      <protection locked="0"/>
    </xf>
    <xf numFmtId="176" fontId="37" fillId="0" borderId="11" xfId="18" applyFont="1" applyBorder="1" applyAlignment="1">
      <alignment horizontal="center" vertical="center"/>
    </xf>
    <xf numFmtId="176" fontId="37" fillId="0" borderId="0" xfId="18" applyFont="1" applyAlignment="1">
      <alignment horizontal="center" vertical="center"/>
    </xf>
    <xf numFmtId="0" fontId="18" fillId="0" borderId="0" xfId="27" applyFill="1">
      <alignment vertical="center"/>
    </xf>
    <xf numFmtId="0" fontId="23" fillId="5" borderId="10" xfId="9" applyFont="1">
      <alignment vertical="center"/>
      <protection locked="0"/>
    </xf>
    <xf numFmtId="0" fontId="36" fillId="0" borderId="0" xfId="7" applyFont="1">
      <alignment vertical="center"/>
    </xf>
    <xf numFmtId="0" fontId="11" fillId="3" borderId="9" xfId="5">
      <alignment vertical="center"/>
    </xf>
  </cellXfs>
  <cellStyles count="61">
    <cellStyle name="20% - Accent4" xfId="59" builtinId="42"/>
    <cellStyle name="Assumption Currency." xfId="15" xr:uid="{00000000-0005-0000-0000-000001000000}"/>
    <cellStyle name="Assumption Date." xfId="11" xr:uid="{00000000-0005-0000-0000-000002000000}"/>
    <cellStyle name="Assumption Heading." xfId="9" xr:uid="{00000000-0005-0000-0000-000003000000}"/>
    <cellStyle name="Assumption Multiple." xfId="14" xr:uid="{00000000-0005-0000-0000-000004000000}"/>
    <cellStyle name="Assumption Number." xfId="12" xr:uid="{00000000-0005-0000-0000-000005000000}"/>
    <cellStyle name="Assumption Percentage." xfId="13" xr:uid="{00000000-0005-0000-0000-000006000000}"/>
    <cellStyle name="Assumption Year." xfId="10" xr:uid="{00000000-0005-0000-0000-000007000000}"/>
    <cellStyle name="Cell Link." xfId="16" xr:uid="{00000000-0005-0000-0000-000008000000}"/>
    <cellStyle name="Currency." xfId="22" xr:uid="{00000000-0005-0000-0000-000009000000}"/>
    <cellStyle name="Date." xfId="18" xr:uid="{00000000-0005-0000-0000-00000A000000}"/>
    <cellStyle name="Heading 1." xfId="4" xr:uid="{00000000-0005-0000-0000-00000B000000}"/>
    <cellStyle name="Heading 2." xfId="5" xr:uid="{00000000-0005-0000-0000-00000C000000}"/>
    <cellStyle name="Heading 3." xfId="6" xr:uid="{00000000-0005-0000-0000-00000D000000}"/>
    <cellStyle name="Heading 4." xfId="7" xr:uid="{00000000-0005-0000-0000-00000E000000}"/>
    <cellStyle name="Hyperlink" xfId="57" builtinId="8"/>
    <cellStyle name="Hyperlink Arrow." xfId="28" xr:uid="{00000000-0005-0000-0000-000010000000}"/>
    <cellStyle name="Hyperlink Check." xfId="29" xr:uid="{00000000-0005-0000-0000-000011000000}"/>
    <cellStyle name="Hyperlink Text." xfId="27" xr:uid="{00000000-0005-0000-0000-000012000000}"/>
    <cellStyle name="Hyperlink TOC 1." xfId="30" xr:uid="{00000000-0005-0000-0000-000013000000}"/>
    <cellStyle name="Hyperlink TOC 2." xfId="31" xr:uid="{00000000-0005-0000-0000-000014000000}"/>
    <cellStyle name="Hyperlink TOC 3." xfId="32" xr:uid="{00000000-0005-0000-0000-000015000000}"/>
    <cellStyle name="Hyperlink TOC 4." xfId="33" xr:uid="{00000000-0005-0000-0000-000016000000}"/>
    <cellStyle name="Lookup Table Heading." xfId="24" xr:uid="{00000000-0005-0000-0000-000017000000}"/>
    <cellStyle name="Lookup Table Label." xfId="26" xr:uid="{00000000-0005-0000-0000-000018000000}"/>
    <cellStyle name="Lookup Table Number." xfId="25" xr:uid="{00000000-0005-0000-0000-000019000000}"/>
    <cellStyle name="Model Name." xfId="3" xr:uid="{00000000-0005-0000-0000-00001A000000}"/>
    <cellStyle name="Multiple." xfId="21" xr:uid="{00000000-0005-0000-0000-00001B000000}"/>
    <cellStyle name="Normal" xfId="0" builtinId="0" customBuiltin="1"/>
    <cellStyle name="Normal 10" xfId="60" xr:uid="{00000000-0005-0000-0000-00001D000000}"/>
    <cellStyle name="Number." xfId="19" xr:uid="{00000000-0005-0000-0000-00001E000000}"/>
    <cellStyle name="Percent" xfId="58" builtinId="5"/>
    <cellStyle name="Percentage." xfId="20" xr:uid="{00000000-0005-0000-0000-000020000000}"/>
    <cellStyle name="Period Title." xfId="23" xr:uid="{00000000-0005-0000-0000-000021000000}"/>
    <cellStyle name="Presentation Currency." xfId="45" xr:uid="{00000000-0005-0000-0000-000022000000}"/>
    <cellStyle name="Presentation Date." xfId="47" xr:uid="{00000000-0005-0000-0000-000023000000}"/>
    <cellStyle name="Presentation Heading 1." xfId="37" xr:uid="{00000000-0005-0000-0000-000024000000}"/>
    <cellStyle name="Presentation Heading 2." xfId="38" xr:uid="{00000000-0005-0000-0000-000025000000}"/>
    <cellStyle name="Presentation Heading 3." xfId="39" xr:uid="{00000000-0005-0000-0000-000026000000}"/>
    <cellStyle name="Presentation Heading 4." xfId="40" xr:uid="{00000000-0005-0000-0000-000027000000}"/>
    <cellStyle name="Presentation Hyperlink Arrow." xfId="50" xr:uid="{00000000-0005-0000-0000-000028000000}"/>
    <cellStyle name="Presentation Hyperlink Check." xfId="51" xr:uid="{00000000-0005-0000-0000-000029000000}"/>
    <cellStyle name="Presentation Hyperlink Text." xfId="49" xr:uid="{00000000-0005-0000-0000-00002A000000}"/>
    <cellStyle name="Presentation Model Name." xfId="36" xr:uid="{00000000-0005-0000-0000-00002B000000}"/>
    <cellStyle name="Presentation Multiple." xfId="44" xr:uid="{00000000-0005-0000-0000-00002C000000}"/>
    <cellStyle name="Presentation Normal." xfId="56" xr:uid="{00000000-0005-0000-0000-00002D000000}"/>
    <cellStyle name="Presentation Number." xfId="42" xr:uid="{00000000-0005-0000-0000-00002E000000}"/>
    <cellStyle name="Presentation Percentage." xfId="43" xr:uid="{00000000-0005-0000-0000-00002F000000}"/>
    <cellStyle name="Presentation Period Title." xfId="48" xr:uid="{00000000-0005-0000-0000-000030000000}"/>
    <cellStyle name="Presentation Section Number." xfId="35" xr:uid="{00000000-0005-0000-0000-000031000000}"/>
    <cellStyle name="Presentation Sheet Title." xfId="34" xr:uid="{00000000-0005-0000-0000-000032000000}"/>
    <cellStyle name="Presentation Sub Total." xfId="41" xr:uid="{00000000-0005-0000-0000-000033000000}"/>
    <cellStyle name="Presentation TOC 1." xfId="52" xr:uid="{00000000-0005-0000-0000-000034000000}"/>
    <cellStyle name="Presentation TOC 2." xfId="53" xr:uid="{00000000-0005-0000-0000-000035000000}"/>
    <cellStyle name="Presentation TOC 3." xfId="54" xr:uid="{00000000-0005-0000-0000-000036000000}"/>
    <cellStyle name="Presentation TOC 4." xfId="55" xr:uid="{00000000-0005-0000-0000-000037000000}"/>
    <cellStyle name="Presentation Year." xfId="46" xr:uid="{00000000-0005-0000-0000-000038000000}"/>
    <cellStyle name="Section Number." xfId="2" xr:uid="{00000000-0005-0000-0000-000039000000}"/>
    <cellStyle name="Sheet Title." xfId="1" xr:uid="{00000000-0005-0000-0000-00003A000000}"/>
    <cellStyle name="Sub Total." xfId="8" xr:uid="{00000000-0005-0000-0000-00003B000000}"/>
    <cellStyle name="Year." xfId="17" xr:uid="{00000000-0005-0000-0000-00003C000000}"/>
  </cellStyles>
  <dxfs count="363">
    <dxf>
      <font>
        <b/>
        <i val="0"/>
        <color indexed="58"/>
      </font>
    </dxf>
    <dxf>
      <font>
        <b/>
        <i/>
        <color indexed="58"/>
      </font>
    </dxf>
    <dxf>
      <font>
        <b/>
        <i val="0"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numFmt numFmtId="178" formatCode="&quot;$&quot;#,##0.00"/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ill>
        <patternFill patternType="solid">
          <fgColor indexed="64"/>
          <bgColor rgb="FFFF0000"/>
        </patternFill>
      </fill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numFmt numFmtId="179" formatCode="_(&quot;$&quot;#,##0.00_);\(&quot;$&quot;#,##0.00\);_(&quot;$&quot;#,##0.00_);_)@_)"/>
    </dxf>
    <dxf>
      <numFmt numFmtId="179" formatCode="_(&quot;$&quot;#,##0.00_);\(&quot;$&quot;#,##0.00\);_(&quot;$&quot;#,##0.00_);_)@_)"/>
    </dxf>
    <dxf>
      <numFmt numFmtId="179" formatCode="_(&quot;$&quot;#,##0.00_);\(&quot;$&quot;#,##0.00\);_(&quot;$&quot;#,##0.00_);_)@_)"/>
    </dxf>
    <dxf>
      <numFmt numFmtId="178" formatCode="&quot;$&quot;#,##0.00"/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numFmt numFmtId="178" formatCode="&quot;$&quot;#,##0.00"/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numFmt numFmtId="0" formatCode="General"/>
    </dxf>
    <dxf>
      <numFmt numFmtId="0" formatCode="General"/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04040"/>
      <rgbColor rgb="00FFFFFF"/>
      <rgbColor rgb="00FF0000"/>
      <rgbColor rgb="0000FF00"/>
      <rgbColor rgb="000000FF"/>
      <rgbColor rgb="00FFFFDC"/>
      <rgbColor rgb="00FF00FF"/>
      <rgbColor rgb="0000FFFF"/>
      <rgbColor rgb="00800000"/>
      <rgbColor rgb="00008000"/>
      <rgbColor rgb="00E6E6E6"/>
      <rgbColor rgb="00808000"/>
      <rgbColor rgb="00800080"/>
      <rgbColor rgb="00008080"/>
      <rgbColor rgb="00F0F0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954F72"/>
      <rgbColor rgb="00339966"/>
      <rgbColor rgb="00CB2840"/>
      <rgbColor rgb="00375623"/>
      <rgbColor rgb="00203764"/>
      <rgbColor rgb="00993366"/>
      <rgbColor rgb="00FFFF78"/>
      <rgbColor rgb="00FFFFFF"/>
    </indexedColors>
    <mruColors>
      <color rgb="FFFFCCFF"/>
      <color rgb="FFCCFFFF"/>
      <color rgb="FF2A50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74" Type="http://schemas.openxmlformats.org/officeDocument/2006/relationships/customXml" Target="../customXml/item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onnections" Target="connections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powerPivotData" Target="model/item.data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73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5"/>
          <c:order val="0"/>
          <c:tx>
            <c:strRef>
              <c:f>Dashboard!$C$85</c:f>
              <c:strCache>
                <c:ptCount val="1"/>
                <c:pt idx="0">
                  <c:v>HPV 1:   All Target Populations Coverage (Projection Projection):  IN-SCHOOL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numRef>
              <c:f>Dashboard!$F$84:$J$84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Dashboard!$F$85:$J$85</c:f>
              <c:numCache>
                <c:formatCode>_(#,##0_);\(#,##0\);_("-"_);_)@_)</c:formatCode>
                <c:ptCount val="5"/>
                <c:pt idx="0">
                  <c:v>35000</c:v>
                </c:pt>
                <c:pt idx="1">
                  <c:v>50750</c:v>
                </c:pt>
                <c:pt idx="2">
                  <c:v>41218</c:v>
                </c:pt>
                <c:pt idx="3">
                  <c:v>31391</c:v>
                </c:pt>
                <c:pt idx="4">
                  <c:v>61275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52-4938-8C7F-F8E64F9AC00A}"/>
            </c:ext>
          </c:extLst>
        </c:ser>
        <c:ser>
          <c:idx val="0"/>
          <c:order val="1"/>
          <c:tx>
            <c:strRef>
              <c:f>Dashboard!$C$86</c:f>
              <c:strCache>
                <c:ptCount val="1"/>
                <c:pt idx="0">
                  <c:v>HPV 2:   All Target Populations Coverage (Projection Projection):  IN-SCHOOL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Dashboard!$F$84:$J$84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Dashboard!$F$86:$J$86</c:f>
              <c:numCache>
                <c:formatCode>_(#,##0_);\(#,##0\);_("-"_);_)@_)</c:formatCode>
                <c:ptCount val="5"/>
                <c:pt idx="0">
                  <c:v>31500</c:v>
                </c:pt>
                <c:pt idx="1">
                  <c:v>45675</c:v>
                </c:pt>
                <c:pt idx="2">
                  <c:v>37096.199999999997</c:v>
                </c:pt>
                <c:pt idx="3">
                  <c:v>28251.9</c:v>
                </c:pt>
                <c:pt idx="4">
                  <c:v>55147.5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6-4903-BD01-6737F9603A15}"/>
            </c:ext>
          </c:extLst>
        </c:ser>
        <c:ser>
          <c:idx val="6"/>
          <c:order val="2"/>
          <c:tx>
            <c:strRef>
              <c:f>Dashboard!$C$91</c:f>
              <c:strCache>
                <c:ptCount val="1"/>
                <c:pt idx="0">
                  <c:v>HPV 1:   All Target Populations Coverage (Projection Projection):  OUT OF SCHOOL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Dashboard!$F$84:$J$84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Dashboard!$F$91:$J$91</c:f>
              <c:numCache>
                <c:formatCode>_(#,##0_);\(#,##0\);_("-"_);_)@_)</c:formatCode>
                <c:ptCount val="5"/>
                <c:pt idx="0">
                  <c:v>64999</c:v>
                </c:pt>
                <c:pt idx="1">
                  <c:v>50750</c:v>
                </c:pt>
                <c:pt idx="2">
                  <c:v>61826</c:v>
                </c:pt>
                <c:pt idx="3">
                  <c:v>73244.5</c:v>
                </c:pt>
                <c:pt idx="4">
                  <c:v>44999.5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52-4938-8C7F-F8E64F9AC00A}"/>
            </c:ext>
          </c:extLst>
        </c:ser>
        <c:ser>
          <c:idx val="1"/>
          <c:order val="3"/>
          <c:tx>
            <c:strRef>
              <c:f>Dashboard!$C$92</c:f>
              <c:strCache>
                <c:ptCount val="1"/>
                <c:pt idx="0">
                  <c:v>HPV 2:   All Target Populations Coverage (Projection Projection):  OUT OF SCHOOL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Dashboard!$F$84:$J$84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Dashboard!$F$92:$J$92</c:f>
              <c:numCache>
                <c:formatCode>_(#,##0_);\(#,##0\);_("-"_);_)@_)</c:formatCode>
                <c:ptCount val="5"/>
                <c:pt idx="0">
                  <c:v>58499.1</c:v>
                </c:pt>
                <c:pt idx="1">
                  <c:v>45675</c:v>
                </c:pt>
                <c:pt idx="2">
                  <c:v>55643.399999999994</c:v>
                </c:pt>
                <c:pt idx="3">
                  <c:v>65920.05</c:v>
                </c:pt>
                <c:pt idx="4">
                  <c:v>40499.550000000003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6-4903-BD01-6737F9603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278969840"/>
        <c:axId val="1278970168"/>
      </c:barChart>
      <c:dateAx>
        <c:axId val="127896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8970168"/>
        <c:crosses val="autoZero"/>
        <c:auto val="0"/>
        <c:lblOffset val="100"/>
        <c:baseTimeUnit val="days"/>
      </c:dateAx>
      <c:valAx>
        <c:axId val="12789701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8969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dbl" algn="ctr">
      <a:solidFill>
        <a:schemeClr val="accent1"/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" dropStyle="combo" dx="16" fmlaLink="DD_Current_Lang" fmlaRange="LANG!$E$2:$E$3" noThreeD="1" sel="1" val="0"/>
</file>

<file path=xl/ctrlProps/ctrlProp10.xml><?xml version="1.0" encoding="utf-8"?>
<formControlPr xmlns="http://schemas.microsoft.com/office/spreadsheetml/2009/9/main" objectType="Drop" dropLines="20" dropStyle="combo" dx="16" fmlaLink="DD_LVL2_ACTV_6_Input_Detail_or_Freeform" fmlaRange="LU_LVL2_ACTV_6_Detail_or_Freeform" noThreeD="1" sel="1" val="0"/>
</file>

<file path=xl/ctrlProps/ctrlProp100.xml><?xml version="1.0" encoding="utf-8"?>
<formControlPr xmlns="http://schemas.microsoft.com/office/spreadsheetml/2009/9/main" objectType="Drop" dropLines="20" dropStyle="combo" dx="16" fmlaLink="DD_LVL2_ACTV_3_Currency_Selected" fmlaRange="LU_LVL2_ACTV_3_Currencies" noThreeD="1" sel="1" val="0"/>
</file>

<file path=xl/ctrlProps/ctrlProp101.xml><?xml version="1.0" encoding="utf-8"?>
<formControlPr xmlns="http://schemas.microsoft.com/office/spreadsheetml/2009/9/main" objectType="Drop" dropLines="20" dropStyle="combo" dx="16" fmlaLink="DD_TOP_ACTV_10_Detailed_Currency_Used" fmlaRange="LU_TOP_ACTV_10_Currencies" noThreeD="1" sel="1" val="0"/>
</file>

<file path=xl/ctrlProps/ctrlProp102.xml><?xml version="1.0" encoding="utf-8"?>
<formControlPr xmlns="http://schemas.microsoft.com/office/spreadsheetml/2009/9/main" objectType="Drop" dropLines="20" dropStyle="combo" dx="16" fmlaLink="DD_TOP_ACTV_11_Detailed_Currency_Used" fmlaRange="LU_TOP_ACTV_11_Currencies" noThreeD="1" sel="1" val="0"/>
</file>

<file path=xl/ctrlProps/ctrlProp103.xml><?xml version="1.0" encoding="utf-8"?>
<formControlPr xmlns="http://schemas.microsoft.com/office/spreadsheetml/2009/9/main" objectType="Drop" dropLines="20" dropStyle="combo" dx="16" fmlaLink="DD_LVL2_ACTV_18_Currency_Selected" fmlaRange="LU_LVL2_ACTV_18_Currencies" noThreeD="1" sel="1" val="0"/>
</file>

<file path=xl/ctrlProps/ctrlProp104.xml><?xml version="1.0" encoding="utf-8"?>
<formControlPr xmlns="http://schemas.microsoft.com/office/spreadsheetml/2009/9/main" objectType="Drop" dropLines="20" dropStyle="combo" dx="16" fmlaLink="DD_LVL2_ACTV_19_Currency_Selected" fmlaRange="LU_LVL2_ACTV_19_Currencies" noThreeD="1" sel="1" val="0"/>
</file>

<file path=xl/ctrlProps/ctrlProp105.xml><?xml version="1.0" encoding="utf-8"?>
<formControlPr xmlns="http://schemas.microsoft.com/office/spreadsheetml/2009/9/main" objectType="Drop" dropLines="20" dropStyle="combo" dx="16" fmlaLink="DD_TOP_ACTV_4_Detailed_Currency_Used" fmlaRange="LU_TOP_ACTV_4_Currencies" noThreeD="1" sel="1" val="0"/>
</file>

<file path=xl/ctrlProps/ctrlProp106.xml><?xml version="1.0" encoding="utf-8"?>
<formControlPr xmlns="http://schemas.microsoft.com/office/spreadsheetml/2009/9/main" objectType="Drop" dropLines="20" dropStyle="combo" dx="16" fmlaLink="DD_LVL2_ACTV_4_Currency_Selected" fmlaRange="LU_LVL2_ACTV_4_Currencies" noThreeD="1" sel="1" val="0"/>
</file>

<file path=xl/ctrlProps/ctrlProp107.xml><?xml version="1.0" encoding="utf-8"?>
<formControlPr xmlns="http://schemas.microsoft.com/office/spreadsheetml/2009/9/main" objectType="Drop" dropLines="20" dropStyle="combo" dx="16" fmlaLink="DD_TOP_ACTV_15_Detailed_Currency_Used" fmlaRange="LU_TOP_ACTV_15_Currencies" noThreeD="1" sel="1" val="0"/>
</file>

<file path=xl/ctrlProps/ctrlProp108.xml><?xml version="1.0" encoding="utf-8"?>
<formControlPr xmlns="http://schemas.microsoft.com/office/spreadsheetml/2009/9/main" objectType="Drop" dropLines="20" dropStyle="combo" dx="16" fmlaLink="DD_TOP_ACTV_16_Detailed_Currency_Used" fmlaRange="LU_TOP_ACTV_16_Currencies" noThreeD="1" sel="1" val="0"/>
</file>

<file path=xl/ctrlProps/ctrlProp109.xml><?xml version="1.0" encoding="utf-8"?>
<formControlPr xmlns="http://schemas.microsoft.com/office/spreadsheetml/2009/9/main" objectType="Drop" dropLines="20" dropStyle="combo" dx="16" fmlaLink="DD_LVL2_ACTV_10_Currency_Selected" fmlaRange="LU_LVL2_ACTV_10_Currencies" noThreeD="1" sel="1" val="0"/>
</file>

<file path=xl/ctrlProps/ctrlProp11.xml><?xml version="1.0" encoding="utf-8"?>
<formControlPr xmlns="http://schemas.microsoft.com/office/spreadsheetml/2009/9/main" objectType="Drop" dropLines="20" dropStyle="combo" dx="16" fmlaLink="DD_LVL2_ACTV_13_Annual_Currency_Select" fmlaRange="LU_LVL2_ACTV_13_Currencies" noThreeD="1" sel="1" val="0"/>
</file>

<file path=xl/ctrlProps/ctrlProp110.xml><?xml version="1.0" encoding="utf-8"?>
<formControlPr xmlns="http://schemas.microsoft.com/office/spreadsheetml/2009/9/main" objectType="Drop" dropLines="20" dropStyle="combo" dx="16" fmlaLink="DD_LVL2_ACTV_11_Currency_Selected" fmlaRange="LU_LVL2_ACTV_11_Currencies" noThreeD="1" sel="1" val="0"/>
</file>

<file path=xl/ctrlProps/ctrlProp111.xml><?xml version="1.0" encoding="utf-8"?>
<formControlPr xmlns="http://schemas.microsoft.com/office/spreadsheetml/2009/9/main" objectType="Drop" dropLines="20" dropStyle="combo" dx="16" fmlaLink="DD_LVL2_ACTV_8_Currency_Selected" fmlaRange="LU_LVL2_ACTV_8_Currencies" noThreeD="1" sel="1" val="0"/>
</file>

<file path=xl/ctrlProps/ctrlProp112.xml><?xml version="1.0" encoding="utf-8"?>
<formControlPr xmlns="http://schemas.microsoft.com/office/spreadsheetml/2009/9/main" objectType="Drop" dropLines="20" dropStyle="combo" dx="16" fmlaLink="DD_LVL2_ACTV_21_Currency_Selected" fmlaRange="LU_LVL2_ACTV_21_Currencies" noThreeD="1" sel="1" val="0"/>
</file>

<file path=xl/ctrlProps/ctrlProp113.xml><?xml version="1.0" encoding="utf-8"?>
<formControlPr xmlns="http://schemas.microsoft.com/office/spreadsheetml/2009/9/main" objectType="Drop" dropLines="20" dropStyle="combo" dx="16" fmlaLink="DD_TOP_ACTV_5_Detailed_Currency_Used" fmlaRange="LU_TOP_ACTV_5_Currencies" noThreeD="1" sel="1" val="0"/>
</file>

<file path=xl/ctrlProps/ctrlProp114.xml><?xml version="1.0" encoding="utf-8"?>
<formControlPr xmlns="http://schemas.microsoft.com/office/spreadsheetml/2009/9/main" objectType="Drop" dropLines="20" dropStyle="combo" dx="16" fmlaLink="DD_LVL2_ACTV_5_Currency_Selected" fmlaRange="LU_LVL2_ACTV_5_Currencies" noThreeD="1" sel="1" val="0"/>
</file>

<file path=xl/ctrlProps/ctrlProp115.xml><?xml version="1.0" encoding="utf-8"?>
<formControlPr xmlns="http://schemas.microsoft.com/office/spreadsheetml/2009/9/main" objectType="Drop" dropLines="20" dropStyle="combo" dx="16" fmlaLink="DD_TOP_ACTV_17_Detailed_Currency_Used" fmlaRange="LU_TOP_ACTV_17_Currencies" noThreeD="1" sel="1" val="0"/>
</file>

<file path=xl/ctrlProps/ctrlProp116.xml><?xml version="1.0" encoding="utf-8"?>
<formControlPr xmlns="http://schemas.microsoft.com/office/spreadsheetml/2009/9/main" objectType="Drop" dropLines="20" dropStyle="combo" dx="16" fmlaLink="DD_TOP_ACTV_18_Detailed_Currency_Used" fmlaRange="LU_TOP_ACTV_18_Currencies" noThreeD="1" sel="1" val="0"/>
</file>

<file path=xl/ctrlProps/ctrlProp117.xml><?xml version="1.0" encoding="utf-8"?>
<formControlPr xmlns="http://schemas.microsoft.com/office/spreadsheetml/2009/9/main" objectType="Drop" dropLines="20" dropStyle="combo" dx="16" fmlaLink="DD_LVL2_ACTV_14_Currency_Selected" fmlaRange="LU_LVL2_ACTV_14_Currencies" noThreeD="1" sel="1" val="0"/>
</file>

<file path=xl/ctrlProps/ctrlProp118.xml><?xml version="1.0" encoding="utf-8"?>
<formControlPr xmlns="http://schemas.microsoft.com/office/spreadsheetml/2009/9/main" objectType="Drop" dropLines="20" dropStyle="combo" dx="16" fmlaLink="DD_LVL2_ACTV_15_Currency_Selected" fmlaRange="LU_LVL2_ACTV_15_Currencies" noThreeD="1" sel="1" val="0"/>
</file>

<file path=xl/ctrlProps/ctrlProp119.xml><?xml version="1.0" encoding="utf-8"?>
<formControlPr xmlns="http://schemas.microsoft.com/office/spreadsheetml/2009/9/main" objectType="Drop" dropLines="20" dropStyle="combo" dx="16" fmlaLink="DD_TOP_ACTV_8_Detailed_Currency_Used" fmlaRange="LU_TOP_ACTV_8_Currencies" noThreeD="1" sel="1" val="0"/>
</file>

<file path=xl/ctrlProps/ctrlProp12.xml><?xml version="1.0" encoding="utf-8"?>
<formControlPr xmlns="http://schemas.microsoft.com/office/spreadsheetml/2009/9/main" objectType="Drop" dropLines="20" dropStyle="combo" dx="16" fmlaLink="DD_LVL2_ACTV_13_Input_Detail_or_Freeform" fmlaRange="LU_LVL2_ACTV_13_Detail_or_Freeform" noThreeD="1" sel="1" val="0"/>
</file>

<file path=xl/ctrlProps/ctrlProp120.xml><?xml version="1.0" encoding="utf-8"?>
<formControlPr xmlns="http://schemas.microsoft.com/office/spreadsheetml/2009/9/main" objectType="Drop" dropLines="20" dropStyle="combo" dx="16" fmlaLink="DD_LVL2_ACTV_7_Currency_Selected" fmlaRange="LU_LVL2_ACTV_7_Currencies" noThreeD="1" sel="1" val="0"/>
</file>

<file path=xl/ctrlProps/ctrlProp121.xml><?xml version="1.0" encoding="utf-8"?>
<formControlPr xmlns="http://schemas.microsoft.com/office/spreadsheetml/2009/9/main" objectType="Drop" dropLines="20" dropStyle="combo" dx="16" fmlaLink="DD_TOP_ACTV_6_Detailed_Currency_Used" fmlaRange="LU_TOP_ACTV_6_Currencies" noThreeD="1" sel="1" val="0"/>
</file>

<file path=xl/ctrlProps/ctrlProp122.xml><?xml version="1.0" encoding="utf-8"?>
<formControlPr xmlns="http://schemas.microsoft.com/office/spreadsheetml/2009/9/main" objectType="Drop" dropLines="20" dropStyle="combo" dx="16" fmlaLink="DD_TOP_ACTV_19_Detailed_Currency_Used" fmlaRange="LU_TOP_ACTV_19_Currencies" noThreeD="1" sel="1" val="0"/>
</file>

<file path=xl/ctrlProps/ctrlProp123.xml><?xml version="1.0" encoding="utf-8"?>
<formControlPr xmlns="http://schemas.microsoft.com/office/spreadsheetml/2009/9/main" objectType="Drop" dropLines="20" dropStyle="combo" dx="16" fmlaLink="DD_TOP_ACTV_20_Detailed_Currency_Used" fmlaRange="LU_TOP_ACTV_20_Currencies" noThreeD="1" sel="1" val="0"/>
</file>

<file path=xl/ctrlProps/ctrlProp124.xml><?xml version="1.0" encoding="utf-8"?>
<formControlPr xmlns="http://schemas.microsoft.com/office/spreadsheetml/2009/9/main" objectType="Drop" dropLines="20" dropStyle="combo" dx="16" fmlaLink="DD_LVL2_ACTV_16_Currency_Selected" fmlaRange="LU_LVL2_ACTV_16_Currencies" noThreeD="1" sel="1" val="0"/>
</file>

<file path=xl/ctrlProps/ctrlProp125.xml><?xml version="1.0" encoding="utf-8"?>
<formControlPr xmlns="http://schemas.microsoft.com/office/spreadsheetml/2009/9/main" objectType="CheckBox" fmlaLink="CB_Err_Chks_Show_Msg" lockText="1" noThreeD="1"/>
</file>

<file path=xl/ctrlProps/ctrlProp126.xml><?xml version="1.0" encoding="utf-8"?>
<formControlPr xmlns="http://schemas.microsoft.com/office/spreadsheetml/2009/9/main" objectType="CheckBox" fmlaLink="CB_Alt_Chks_Show_Msg" lockText="1" noThreeD="1"/>
</file>

<file path=xl/ctrlProps/ctrlProp13.xml><?xml version="1.0" encoding="utf-8"?>
<formControlPr xmlns="http://schemas.microsoft.com/office/spreadsheetml/2009/9/main" objectType="Drop" dropLines="20" dropStyle="combo" dx="16" fmlaLink="DD_LVL2_ACTV_12_Annual_Currency_Select" fmlaRange="LU_LVL2_ACTV_12_Currencies" noThreeD="1" sel="1" val="0"/>
</file>

<file path=xl/ctrlProps/ctrlProp14.xml><?xml version="1.0" encoding="utf-8"?>
<formControlPr xmlns="http://schemas.microsoft.com/office/spreadsheetml/2009/9/main" objectType="Drop" dropLines="20" dropStyle="combo" dx="16" fmlaLink="DD_LVL2_ACTV_12_Input_Detail_or_Freeform" fmlaRange="LU_LVL2_ACTV_12_Detail_or_Freeform" noThreeD="1" sel="1" val="0"/>
</file>

<file path=xl/ctrlProps/ctrlProp15.xml><?xml version="1.0" encoding="utf-8"?>
<formControlPr xmlns="http://schemas.microsoft.com/office/spreadsheetml/2009/9/main" objectType="Drop" dropLines="20" dropStyle="combo" dx="16" fmlaLink="DD_LVL2_ACTV_9_Annual_Currency_Select" fmlaRange="LU_LVL2_ACTV_9_Currencies" noThreeD="1" sel="1" val="0"/>
</file>

<file path=xl/ctrlProps/ctrlProp16.xml><?xml version="1.0" encoding="utf-8"?>
<formControlPr xmlns="http://schemas.microsoft.com/office/spreadsheetml/2009/9/main" objectType="Drop" dropLines="20" dropStyle="combo" dx="16" fmlaLink="DD_LVL2_ACTV_9_Input_Detail_or_Freeform" fmlaRange="LU_LVL2_ACTV_9_Detail_or_Freeform" noThreeD="1" sel="1" val="0"/>
</file>

<file path=xl/ctrlProps/ctrlProp17.xml><?xml version="1.0" encoding="utf-8"?>
<formControlPr xmlns="http://schemas.microsoft.com/office/spreadsheetml/2009/9/main" objectType="Drop" dropLines="20" dropStyle="combo" dx="16" fmlaLink="DD_TOP_ACTV_Annual_Currency_Used" fmlaRange="LU_TOP_ACTV_Currencies" noThreeD="1" sel="1" val="0"/>
</file>

<file path=xl/ctrlProps/ctrlProp18.xml><?xml version="1.0" encoding="utf-8"?>
<formControlPr xmlns="http://schemas.microsoft.com/office/spreadsheetml/2009/9/main" objectType="Drop" dropLines="20" dropStyle="combo" dx="16" fmlaLink="DD_TOP_ACTV_Input_Detail_or_Freeform" fmlaRange="LU_TOP_ACTV_Detail_or_Freeform" noThreeD="1" sel="2" val="0"/>
</file>

<file path=xl/ctrlProps/ctrlProp19.xml><?xml version="1.0" encoding="utf-8"?>
<formControlPr xmlns="http://schemas.microsoft.com/office/spreadsheetml/2009/9/main" objectType="Drop" dropLines="20" dropStyle="combo" dx="16" fmlaLink="DD_LVL2_ACTV_Annual_Currency_Select" fmlaRange="LU_LVL2_ACTV_Currencies" noThreeD="1" sel="1" val="0"/>
</file>

<file path=xl/ctrlProps/ctrlProp2.xml><?xml version="1.0" encoding="utf-8"?>
<formControlPr xmlns="http://schemas.microsoft.com/office/spreadsheetml/2009/9/main" objectType="Drop" dropLines="6" dropStyle="combo" dx="16" fmlaLink="$F$2" fmlaRange="$K$73:$K$78" noThreeD="1" sel="4" val="0"/>
</file>

<file path=xl/ctrlProps/ctrlProp20.xml><?xml version="1.0" encoding="utf-8"?>
<formControlPr xmlns="http://schemas.microsoft.com/office/spreadsheetml/2009/9/main" objectType="Drop" dropLines="20" dropStyle="combo" dx="16" fmlaLink="DD_LVL2_ACTV_Input_Detail_or_Freeform" fmlaRange="LU_LVL2_ACTV_Detail_or_Freeform" noThreeD="1" sel="2" val="0"/>
</file>

<file path=xl/ctrlProps/ctrlProp21.xml><?xml version="1.0" encoding="utf-8"?>
<formControlPr xmlns="http://schemas.microsoft.com/office/spreadsheetml/2009/9/main" objectType="Drop" dropLines="20" dropStyle="combo" dx="16" fmlaLink="DD_TOP_ACTV_7_Annual_Currency_Used" fmlaRange="LU_TOP_ACTV_7_Currencies" noThreeD="1" sel="1" val="0"/>
</file>

<file path=xl/ctrlProps/ctrlProp22.xml><?xml version="1.0" encoding="utf-8"?>
<formControlPr xmlns="http://schemas.microsoft.com/office/spreadsheetml/2009/9/main" objectType="Drop" dropLines="20" dropStyle="combo" dx="16" fmlaLink="DD_TOP_ACTV_7_Input_Detail_or_Freeform" fmlaRange="LU_TOP_ACTV_7_Detail_or_Freeform" noThreeD="1" sel="2" val="0"/>
</file>

<file path=xl/ctrlProps/ctrlProp23.xml><?xml version="1.0" encoding="utf-8"?>
<formControlPr xmlns="http://schemas.microsoft.com/office/spreadsheetml/2009/9/main" objectType="Drop" dropLines="20" dropStyle="combo" dx="16" fmlaLink="DD_LVL2_ACTV_20_Annual_Currency_Select" fmlaRange="LU_LVL2_ACTV_20_Currencies" noThreeD="1" sel="1" val="0"/>
</file>

<file path=xl/ctrlProps/ctrlProp24.xml><?xml version="1.0" encoding="utf-8"?>
<formControlPr xmlns="http://schemas.microsoft.com/office/spreadsheetml/2009/9/main" objectType="Drop" dropLines="20" dropStyle="combo" dx="16" fmlaLink="DD_LVL2_ACTV_20_Input_Detail_or_Freeform" fmlaRange="LU_LVL2_ACTV_20_Detail_or_Freeform" noThreeD="1" sel="2" val="0"/>
</file>

<file path=xl/ctrlProps/ctrlProp25.xml><?xml version="1.0" encoding="utf-8"?>
<formControlPr xmlns="http://schemas.microsoft.com/office/spreadsheetml/2009/9/main" objectType="Drop" dropLines="20" dropStyle="combo" dx="16" fmlaLink="DD_TOP_ACTV_2_Annual_Currency_Used" fmlaRange="LU_TOP_ACTV_2_Currencies" noThreeD="1" sel="1" val="0"/>
</file>

<file path=xl/ctrlProps/ctrlProp26.xml><?xml version="1.0" encoding="utf-8"?>
<formControlPr xmlns="http://schemas.microsoft.com/office/spreadsheetml/2009/9/main" objectType="Drop" dropLines="20" dropStyle="combo" dx="16" fmlaLink="DD_TOP_ACTV_2_Input_Detail_or_Freeform" fmlaRange="LU_TOP_ACTV_2_Detail_or_Freeform" noThreeD="1" sel="1" val="0"/>
</file>

<file path=xl/ctrlProps/ctrlProp27.xml><?xml version="1.0" encoding="utf-8"?>
<formControlPr xmlns="http://schemas.microsoft.com/office/spreadsheetml/2009/9/main" objectType="Drop" dropLines="20" dropStyle="combo" dx="16" fmlaLink="DD_LVL2_ACTV_2_Annual_Currency_Select" fmlaRange="LU_LVL2_ACTV_2_Currencies" noThreeD="1" sel="1" val="0"/>
</file>

<file path=xl/ctrlProps/ctrlProp28.xml><?xml version="1.0" encoding="utf-8"?>
<formControlPr xmlns="http://schemas.microsoft.com/office/spreadsheetml/2009/9/main" objectType="Drop" dropLines="20" dropStyle="combo" dx="16" fmlaLink="DD_LVL2_ACTV_2_Input_Detail_or_Freeform" fmlaRange="LU_LVL2_ACTV_2_Detail_or_Freeform" noThreeD="1" sel="1" val="0"/>
</file>

<file path=xl/ctrlProps/ctrlProp29.xml><?xml version="1.0" encoding="utf-8"?>
<formControlPr xmlns="http://schemas.microsoft.com/office/spreadsheetml/2009/9/main" objectType="Drop" dropLines="20" dropStyle="combo" dx="16" fmlaLink="DD_TOP_ACTV_14_Annual_Currency_Used" fmlaRange="LU_TOP_ACTV_14_Currencies" noThreeD="1" sel="1" val="0"/>
</file>

<file path=xl/ctrlProps/ctrlProp3.xml><?xml version="1.0" encoding="utf-8"?>
<formControlPr xmlns="http://schemas.microsoft.com/office/spreadsheetml/2009/9/main" objectType="Drop" dropLines="2" dropStyle="combo" dx="16" fmlaLink="$D$18" fmlaRange="LU_Analy_Currencies" noThreeD="1" sel="1" val="0"/>
</file>

<file path=xl/ctrlProps/ctrlProp30.xml><?xml version="1.0" encoding="utf-8"?>
<formControlPr xmlns="http://schemas.microsoft.com/office/spreadsheetml/2009/9/main" objectType="Drop" dropLines="20" dropStyle="combo" dx="16" fmlaLink="DD_TOP_ACTV_14_Input_Detail_or_Freeform" fmlaRange="LU_TOP_ACTV_14_Detail_or_Freeform" noThreeD="1" sel="2" val="0"/>
</file>

<file path=xl/ctrlProps/ctrlProp31.xml><?xml version="1.0" encoding="utf-8"?>
<formControlPr xmlns="http://schemas.microsoft.com/office/spreadsheetml/2009/9/main" objectType="Drop" dropLines="20" dropStyle="combo" dx="16" fmlaLink="DD_TOP_ACTV_13_Annual_Currency_Used" fmlaRange="LU_TOP_ACTV_13_Currencies" noThreeD="1" sel="1" val="0"/>
</file>

<file path=xl/ctrlProps/ctrlProp32.xml><?xml version="1.0" encoding="utf-8"?>
<formControlPr xmlns="http://schemas.microsoft.com/office/spreadsheetml/2009/9/main" objectType="Drop" dropLines="20" dropStyle="combo" dx="16" fmlaLink="DD_TOP_ACTV_13_Input_Detail_or_Freeform" fmlaRange="LU_TOP_ACTV_13_Detail_or_Freeform" noThreeD="1" sel="1" val="0"/>
</file>

<file path=xl/ctrlProps/ctrlProp33.xml><?xml version="1.0" encoding="utf-8"?>
<formControlPr xmlns="http://schemas.microsoft.com/office/spreadsheetml/2009/9/main" objectType="Drop" dropLines="20" dropStyle="combo" dx="16" fmlaLink="DD_TOP_ACTV_3_Annual_Currency_Used" fmlaRange="LU_TOP_ACTV_3_Currencies" noThreeD="1" sel="1" val="0"/>
</file>

<file path=xl/ctrlProps/ctrlProp34.xml><?xml version="1.0" encoding="utf-8"?>
<formControlPr xmlns="http://schemas.microsoft.com/office/spreadsheetml/2009/9/main" objectType="Drop" dropLines="20" dropStyle="combo" dx="16" fmlaLink="DD_TOP_ACTV_3_Input_Detail_or_Freeform" fmlaRange="LU_TOP_ACTV_3_Detail_or_Freeform" noThreeD="1" sel="2" val="0"/>
</file>

<file path=xl/ctrlProps/ctrlProp35.xml><?xml version="1.0" encoding="utf-8"?>
<formControlPr xmlns="http://schemas.microsoft.com/office/spreadsheetml/2009/9/main" objectType="Drop" dropLines="20" dropStyle="combo" dx="16" fmlaLink="DD_LVL2_ACTV_3_Annual_Currency_Select" fmlaRange="LU_LVL2_ACTV_3_Currencies" noThreeD="1" sel="1" val="0"/>
</file>

<file path=xl/ctrlProps/ctrlProp36.xml><?xml version="1.0" encoding="utf-8"?>
<formControlPr xmlns="http://schemas.microsoft.com/office/spreadsheetml/2009/9/main" objectType="Drop" dropLines="20" dropStyle="combo" dx="16" fmlaLink="DD_LVL2_ACTV_3_Input_Detail_or_Freeform" fmlaRange="LU_LVL2_ACTV_3_Detail_or_Freeform" noThreeD="1" sel="2" val="0"/>
</file>

<file path=xl/ctrlProps/ctrlProp37.xml><?xml version="1.0" encoding="utf-8"?>
<formControlPr xmlns="http://schemas.microsoft.com/office/spreadsheetml/2009/9/main" objectType="Drop" dropLines="20" dropStyle="combo" dx="16" fmlaLink="DD_TOP_ACTV_11_Annual_Currency_Used" fmlaRange="LU_TOP_ACTV_11_Currencies" noThreeD="1" sel="1" val="0"/>
</file>

<file path=xl/ctrlProps/ctrlProp38.xml><?xml version="1.0" encoding="utf-8"?>
<formControlPr xmlns="http://schemas.microsoft.com/office/spreadsheetml/2009/9/main" objectType="Drop" dropLines="20" dropStyle="combo" dx="16" fmlaLink="DD_TOP_ACTV_11_Input_Detail_or_Freeform" fmlaRange="LU_TOP_ACTV_11_Detail_or_Freeform" noThreeD="1" sel="2" val="0"/>
</file>

<file path=xl/ctrlProps/ctrlProp39.xml><?xml version="1.0" encoding="utf-8"?>
<formControlPr xmlns="http://schemas.microsoft.com/office/spreadsheetml/2009/9/main" objectType="Drop" dropLines="20" dropStyle="combo" dx="16" fmlaLink="DD_TOP_ACTV_10_Annual_Currency_Used" fmlaRange="LU_TOP_ACTV_10_Currencies" noThreeD="1" sel="1" val="0"/>
</file>

<file path=xl/ctrlProps/ctrlProp4.xml><?xml version="1.0" encoding="utf-8"?>
<formControlPr xmlns="http://schemas.microsoft.com/office/spreadsheetml/2009/9/main" objectType="Drop" dropLines="20" dropStyle="combo" dx="16" fmlaLink="DD_TS_Fin_Yr_End_Mth" fmlaRange="LU_TS_Mth_Names" noThreeD="1" sel="12" val="0"/>
</file>

<file path=xl/ctrlProps/ctrlProp40.xml><?xml version="1.0" encoding="utf-8"?>
<formControlPr xmlns="http://schemas.microsoft.com/office/spreadsheetml/2009/9/main" objectType="Drop" dropLines="20" dropStyle="combo" dx="16" fmlaLink="DD_TOP_ACTV_10_Input_Detail_or_Freeform" fmlaRange="LU_TOP_ACTV_10_Detail_or_Freeform" noThreeD="1" sel="2" val="0"/>
</file>

<file path=xl/ctrlProps/ctrlProp41.xml><?xml version="1.0" encoding="utf-8"?>
<formControlPr xmlns="http://schemas.microsoft.com/office/spreadsheetml/2009/9/main" objectType="Drop" dropLines="20" dropStyle="combo" dx="16" fmlaLink="DD_LVL2_ACTV_19_Annual_Currency_Select" fmlaRange="LU_LVL2_ACTV_19_Currencies" noThreeD="1" sel="1" val="0"/>
</file>

<file path=xl/ctrlProps/ctrlProp42.xml><?xml version="1.0" encoding="utf-8"?>
<formControlPr xmlns="http://schemas.microsoft.com/office/spreadsheetml/2009/9/main" objectType="Drop" dropLines="20" dropStyle="combo" dx="16" fmlaLink="DD_LVL2_ACTV_19_Input_Detail_or_Freeform" fmlaRange="LU_LVL2_ACTV_19_Detail_or_Freeform" noThreeD="1" sel="2" val="0"/>
</file>

<file path=xl/ctrlProps/ctrlProp43.xml><?xml version="1.0" encoding="utf-8"?>
<formControlPr xmlns="http://schemas.microsoft.com/office/spreadsheetml/2009/9/main" objectType="Drop" dropLines="20" dropStyle="combo" dx="16" fmlaLink="DD_LVL2_ACTV_18_Annual_Currency_Select" fmlaRange="LU_LVL2_ACTV_18_Currencies" noThreeD="1" sel="1" val="0"/>
</file>

<file path=xl/ctrlProps/ctrlProp44.xml><?xml version="1.0" encoding="utf-8"?>
<formControlPr xmlns="http://schemas.microsoft.com/office/spreadsheetml/2009/9/main" objectType="Drop" dropLines="20" dropStyle="combo" dx="16" fmlaLink="DD_LVL2_ACTV_18_Input_Detail_or_Freeform" fmlaRange="LU_LVL2_ACTV_18_Detail_or_Freeform" noThreeD="1" sel="2" val="0"/>
</file>

<file path=xl/ctrlProps/ctrlProp45.xml><?xml version="1.0" encoding="utf-8"?>
<formControlPr xmlns="http://schemas.microsoft.com/office/spreadsheetml/2009/9/main" objectType="Drop" dropLines="20" dropStyle="combo" dx="16" fmlaLink="DD_TOP_ACTV_4_Annual_Currency_Used" fmlaRange="LU_TOP_ACTV_4_Currencies" noThreeD="1" sel="1" val="0"/>
</file>

<file path=xl/ctrlProps/ctrlProp46.xml><?xml version="1.0" encoding="utf-8"?>
<formControlPr xmlns="http://schemas.microsoft.com/office/spreadsheetml/2009/9/main" objectType="Drop" dropLines="20" dropStyle="combo" dx="16" fmlaLink="DD_TOP_ACTV_4_Input_Detail_or_Freeform" fmlaRange="LU_TOP_ACTV_4_Detail_or_Freeform" noThreeD="1" sel="2" val="0"/>
</file>

<file path=xl/ctrlProps/ctrlProp47.xml><?xml version="1.0" encoding="utf-8"?>
<formControlPr xmlns="http://schemas.microsoft.com/office/spreadsheetml/2009/9/main" objectType="Drop" dropLines="20" dropStyle="combo" dx="16" fmlaLink="DD_LVL2_ACTV_4_Annual_Currency_Select" fmlaRange="LU_LVL2_ACTV_4_Currencies" noThreeD="1" sel="1" val="0"/>
</file>

<file path=xl/ctrlProps/ctrlProp48.xml><?xml version="1.0" encoding="utf-8"?>
<formControlPr xmlns="http://schemas.microsoft.com/office/spreadsheetml/2009/9/main" objectType="Drop" dropLines="20" dropStyle="combo" dx="16" fmlaLink="DD_LVL2_ACTV_4_Input_Detail_or_Freeform" fmlaRange="LU_LVL2_ACTV_4_Detail_or_Freeform" noThreeD="1" sel="2" val="0"/>
</file>

<file path=xl/ctrlProps/ctrlProp49.xml><?xml version="1.0" encoding="utf-8"?>
<formControlPr xmlns="http://schemas.microsoft.com/office/spreadsheetml/2009/9/main" objectType="Drop" dropLines="20" dropStyle="combo" dx="16" fmlaLink="DD_TOP_ACTV_16_Annual_Currency_Used" fmlaRange="LU_TOP_ACTV_16_Currencies" noThreeD="1" sel="1" val="0"/>
</file>

<file path=xl/ctrlProps/ctrlProp5.xml><?xml version="1.0" encoding="utf-8"?>
<formControlPr xmlns="http://schemas.microsoft.com/office/spreadsheetml/2009/9/main" objectType="Drop" dropLines="20" dropStyle="combo" dx="16" fmlaLink="DD_TS_Denom" fmlaRange="LU_TS_Denom" noThreeD="1" sel="1" val="0"/>
</file>

<file path=xl/ctrlProps/ctrlProp50.xml><?xml version="1.0" encoding="utf-8"?>
<formControlPr xmlns="http://schemas.microsoft.com/office/spreadsheetml/2009/9/main" objectType="Drop" dropLines="20" dropStyle="combo" dx="16" fmlaLink="DD_TOP_ACTV_16_Input_Detail_or_Freeform" fmlaRange="LU_TOP_ACTV_16_Detail_or_Freeform" noThreeD="1" sel="2" val="0"/>
</file>

<file path=xl/ctrlProps/ctrlProp51.xml><?xml version="1.0" encoding="utf-8"?>
<formControlPr xmlns="http://schemas.microsoft.com/office/spreadsheetml/2009/9/main" objectType="Drop" dropLines="20" dropStyle="combo" dx="16" fmlaLink="DD_TOP_ACTV_15_Annual_Currency_Used" fmlaRange="LU_TOP_ACTV_15_Currencies" noThreeD="1" sel="1" val="0"/>
</file>

<file path=xl/ctrlProps/ctrlProp52.xml><?xml version="1.0" encoding="utf-8"?>
<formControlPr xmlns="http://schemas.microsoft.com/office/spreadsheetml/2009/9/main" objectType="Drop" dropLines="20" dropStyle="combo" dx="16" fmlaLink="DD_TOP_ACTV_15_Input_Detail_or_Freeform" fmlaRange="LU_TOP_ACTV_15_Detail_or_Freeform" noThreeD="1" sel="2" val="0"/>
</file>

<file path=xl/ctrlProps/ctrlProp53.xml><?xml version="1.0" encoding="utf-8"?>
<formControlPr xmlns="http://schemas.microsoft.com/office/spreadsheetml/2009/9/main" objectType="Drop" dropLines="20" dropStyle="combo" dx="16" fmlaLink="DD_LVL2_ACTV_11_Annual_Currency_Select" fmlaRange="LU_LVL2_ACTV_11_Currencies" noThreeD="1" sel="1" val="0"/>
</file>

<file path=xl/ctrlProps/ctrlProp54.xml><?xml version="1.0" encoding="utf-8"?>
<formControlPr xmlns="http://schemas.microsoft.com/office/spreadsheetml/2009/9/main" objectType="Drop" dropLines="20" dropStyle="combo" dx="16" fmlaLink="DD_LVL2_ACTV_11_Input_Detail_or_Freeform" fmlaRange="LU_LVL2_ACTV_11_Detail_or_Freeform" noThreeD="1" sel="2" val="0"/>
</file>

<file path=xl/ctrlProps/ctrlProp55.xml><?xml version="1.0" encoding="utf-8"?>
<formControlPr xmlns="http://schemas.microsoft.com/office/spreadsheetml/2009/9/main" objectType="Drop" dropLines="20" dropStyle="combo" dx="16" fmlaLink="DD_LVL2_ACTV_10_Annual_Currency_Select" fmlaRange="LU_LVL2_ACTV_10_Currencies" noThreeD="1" sel="1" val="0"/>
</file>

<file path=xl/ctrlProps/ctrlProp56.xml><?xml version="1.0" encoding="utf-8"?>
<formControlPr xmlns="http://schemas.microsoft.com/office/spreadsheetml/2009/9/main" objectType="Drop" dropLines="20" dropStyle="combo" dx="16" fmlaLink="DD_LVL2_ACTV_10_Input_Detail_or_Freeform" fmlaRange="LU_LVL2_ACTV_10_Detail_or_Freeform" noThreeD="1" sel="2" val="0"/>
</file>

<file path=xl/ctrlProps/ctrlProp57.xml><?xml version="1.0" encoding="utf-8"?>
<formControlPr xmlns="http://schemas.microsoft.com/office/spreadsheetml/2009/9/main" objectType="Drop" dropLines="20" dropStyle="combo" dx="16" fmlaLink="DD_LVL2_ACTV_21_Annual_Currency_Select" fmlaRange="LU_LVL2_ACTV_21_Currencies" noThreeD="1" sel="1" val="0"/>
</file>

<file path=xl/ctrlProps/ctrlProp58.xml><?xml version="1.0" encoding="utf-8"?>
<formControlPr xmlns="http://schemas.microsoft.com/office/spreadsheetml/2009/9/main" objectType="Drop" dropLines="20" dropStyle="combo" dx="16" fmlaLink="DD_LVL2_ACTV_21_Input_Detail_or_Freeform" fmlaRange="LU_LVL2_ACTV_21_Detail_or_Freeform" noThreeD="1" sel="2" val="0"/>
</file>

<file path=xl/ctrlProps/ctrlProp59.xml><?xml version="1.0" encoding="utf-8"?>
<formControlPr xmlns="http://schemas.microsoft.com/office/spreadsheetml/2009/9/main" objectType="Drop" dropLines="20" dropStyle="combo" dx="16" fmlaLink="DD_LVL2_ACTV_8_Annual_Currency_Select" fmlaRange="LU_LVL2_ACTV_8_Currencies" noThreeD="1" sel="1" val="0"/>
</file>

<file path=xl/ctrlProps/ctrlProp6.xml><?xml version="1.0" encoding="utf-8"?>
<formControlPr xmlns="http://schemas.microsoft.com/office/spreadsheetml/2009/9/main" objectType="Drop" dropLines="20" dropStyle="combo" dx="16" fmlaLink="$H$6" fmlaRange="LU_TS_PROSPECTIVE_OR_RETROSPECTIVE" noThreeD="1" sel="1" val="0"/>
</file>

<file path=xl/ctrlProps/ctrlProp60.xml><?xml version="1.0" encoding="utf-8"?>
<formControlPr xmlns="http://schemas.microsoft.com/office/spreadsheetml/2009/9/main" objectType="Drop" dropLines="20" dropStyle="combo" dx="16" fmlaLink="DD_LVL2_ACTV_8_Input_Detail_or_Freeform" fmlaRange="LU_LVL2_ACTV_8_Detail_or_Freeform" noThreeD="1" sel="2" val="0"/>
</file>

<file path=xl/ctrlProps/ctrlProp61.xml><?xml version="1.0" encoding="utf-8"?>
<formControlPr xmlns="http://schemas.microsoft.com/office/spreadsheetml/2009/9/main" objectType="Drop" dropLines="20" dropStyle="combo" dx="16" fmlaLink="DD_TOP_ACTV_5_Annual_Currency_Used" fmlaRange="LU_TOP_ACTV_5_Currencies" noThreeD="1" sel="1" val="0"/>
</file>

<file path=xl/ctrlProps/ctrlProp62.xml><?xml version="1.0" encoding="utf-8"?>
<formControlPr xmlns="http://schemas.microsoft.com/office/spreadsheetml/2009/9/main" objectType="Drop" dropLines="20" dropStyle="combo" dx="16" fmlaLink="DD_TOP_ACTV_5_Input_Detail_or_Freeform" fmlaRange="LU_TOP_ACTV_5_Detail_or_Freeform" noThreeD="1" sel="1" val="0"/>
</file>

<file path=xl/ctrlProps/ctrlProp63.xml><?xml version="1.0" encoding="utf-8"?>
<formControlPr xmlns="http://schemas.microsoft.com/office/spreadsheetml/2009/9/main" objectType="Drop" dropLines="20" dropStyle="combo" dx="16" fmlaLink="DD_LVL2_ACTV_5_Annual_Currency_Select" fmlaRange="LU_LVL2_ACTV_5_Currencies" noThreeD="1" sel="1" val="0"/>
</file>

<file path=xl/ctrlProps/ctrlProp64.xml><?xml version="1.0" encoding="utf-8"?>
<formControlPr xmlns="http://schemas.microsoft.com/office/spreadsheetml/2009/9/main" objectType="Drop" dropLines="20" dropStyle="combo" dx="16" fmlaLink="DD_LVL2_ACTV_5_Input_Detail_or_Freeform" fmlaRange="LU_LVL2_ACTV_5_Detail_or_Freeform" noThreeD="1" sel="2" val="0"/>
</file>

<file path=xl/ctrlProps/ctrlProp65.xml><?xml version="1.0" encoding="utf-8"?>
<formControlPr xmlns="http://schemas.microsoft.com/office/spreadsheetml/2009/9/main" objectType="Drop" dropLines="20" dropStyle="combo" dx="16" fmlaLink="DD_TOP_ACTV_18_Annual_Currency_Used" fmlaRange="LU_TOP_ACTV_18_Currencies" noThreeD="1" sel="1" val="0"/>
</file>

<file path=xl/ctrlProps/ctrlProp66.xml><?xml version="1.0" encoding="utf-8"?>
<formControlPr xmlns="http://schemas.microsoft.com/office/spreadsheetml/2009/9/main" objectType="Drop" dropLines="20" dropStyle="combo" dx="16" fmlaLink="DD_TOP_ACTV_18_Input_Detail_or_Freeform" fmlaRange="LU_TOP_ACTV_18_Detail_or_Freeform" noThreeD="1" sel="2" val="0"/>
</file>

<file path=xl/ctrlProps/ctrlProp67.xml><?xml version="1.0" encoding="utf-8"?>
<formControlPr xmlns="http://schemas.microsoft.com/office/spreadsheetml/2009/9/main" objectType="Drop" dropLines="20" dropStyle="combo" dx="16" fmlaLink="DD_TOP_ACTV_17_Annual_Currency_Used" fmlaRange="LU_TOP_ACTV_17_Currencies" noThreeD="1" sel="1" val="0"/>
</file>

<file path=xl/ctrlProps/ctrlProp68.xml><?xml version="1.0" encoding="utf-8"?>
<formControlPr xmlns="http://schemas.microsoft.com/office/spreadsheetml/2009/9/main" objectType="Drop" dropLines="20" dropStyle="combo" dx="16" fmlaLink="DD_TOP_ACTV_17_Input_Detail_or_Freeform" fmlaRange="LU_TOP_ACTV_17_Detail_or_Freeform" noThreeD="1" sel="2" val="0"/>
</file>

<file path=xl/ctrlProps/ctrlProp69.xml><?xml version="1.0" encoding="utf-8"?>
<formControlPr xmlns="http://schemas.microsoft.com/office/spreadsheetml/2009/9/main" objectType="Drop" dropLines="20" dropStyle="combo" dx="16" fmlaLink="DD_LVL2_ACTV_15_Annual_Currency_Select" fmlaRange="LU_LVL2_ACTV_15_Currencies" noThreeD="1" sel="1" val="0"/>
</file>

<file path=xl/ctrlProps/ctrlProp7.xml><?xml version="1.0" encoding="utf-8"?>
<formControlPr xmlns="http://schemas.microsoft.com/office/spreadsheetml/2009/9/main" objectType="Drop" dropLines="20" dropStyle="combo" dx="16" fmlaLink="DD_TS_Fin_Yr_End_Mth" fmlaRange="LU_TS_Mth_Names" noThreeD="1" sel="12" val="0"/>
</file>

<file path=xl/ctrlProps/ctrlProp70.xml><?xml version="1.0" encoding="utf-8"?>
<formControlPr xmlns="http://schemas.microsoft.com/office/spreadsheetml/2009/9/main" objectType="Drop" dropLines="20" dropStyle="combo" dx="16" fmlaLink="DD_LVL2_ACTV_15_Input_Detail_or_Freeform" fmlaRange="LU_LVL2_ACTV_15_Detail_or_Freeform" noThreeD="1" sel="2" val="0"/>
</file>

<file path=xl/ctrlProps/ctrlProp71.xml><?xml version="1.0" encoding="utf-8"?>
<formControlPr xmlns="http://schemas.microsoft.com/office/spreadsheetml/2009/9/main" objectType="Drop" dropLines="20" dropStyle="combo" dx="16" fmlaLink="DD_LVL2_ACTV_14_Annual_Currency_Select" fmlaRange="LU_LVL2_ACTV_14_Currencies" noThreeD="1" sel="1" val="0"/>
</file>

<file path=xl/ctrlProps/ctrlProp72.xml><?xml version="1.0" encoding="utf-8"?>
<formControlPr xmlns="http://schemas.microsoft.com/office/spreadsheetml/2009/9/main" objectType="Drop" dropLines="20" dropStyle="combo" dx="16" fmlaLink="DD_LVL2_ACTV_14_Input_Detail_or_Freeform" fmlaRange="LU_LVL2_ACTV_14_Detail_or_Freeform" noThreeD="1" sel="2" val="0"/>
</file>

<file path=xl/ctrlProps/ctrlProp73.xml><?xml version="1.0" encoding="utf-8"?>
<formControlPr xmlns="http://schemas.microsoft.com/office/spreadsheetml/2009/9/main" objectType="Drop" dropLines="20" dropStyle="combo" dx="16" fmlaLink="DD_TOP_ACTV_8_Annual_Currency_Used" fmlaRange="LU_TOP_ACTV_8_Currencies" noThreeD="1" sel="1" val="0"/>
</file>

<file path=xl/ctrlProps/ctrlProp74.xml><?xml version="1.0" encoding="utf-8"?>
<formControlPr xmlns="http://schemas.microsoft.com/office/spreadsheetml/2009/9/main" objectType="Drop" dropLines="20" dropStyle="combo" dx="16" fmlaLink="DD_TOP_ACTV_8_Input_Detail_or_Freeform" fmlaRange="LU_TOP_ACTV_8_Detail_or_Freeform" noThreeD="1" sel="2" val="0"/>
</file>

<file path=xl/ctrlProps/ctrlProp75.xml><?xml version="1.0" encoding="utf-8"?>
<formControlPr xmlns="http://schemas.microsoft.com/office/spreadsheetml/2009/9/main" objectType="Drop" dropLines="20" dropStyle="combo" dx="16" fmlaLink="DD_LVL2_ACTV_7_Annual_Currency_Select" fmlaRange="LU_LVL2_ACTV_7_Currencies" noThreeD="1" sel="1" val="0"/>
</file>

<file path=xl/ctrlProps/ctrlProp76.xml><?xml version="1.0" encoding="utf-8"?>
<formControlPr xmlns="http://schemas.microsoft.com/office/spreadsheetml/2009/9/main" objectType="Drop" dropLines="20" dropStyle="combo" dx="16" fmlaLink="DD_LVL2_ACTV_7_Input_Detail_or_Freeform" fmlaRange="LU_LVL2_ACTV_7_Detail_or_Freeform" noThreeD="1" sel="2" val="0"/>
</file>

<file path=xl/ctrlProps/ctrlProp77.xml><?xml version="1.0" encoding="utf-8"?>
<formControlPr xmlns="http://schemas.microsoft.com/office/spreadsheetml/2009/9/main" objectType="Drop" dropLines="20" dropStyle="combo" dx="16" fmlaLink="DD_TOP_ACTV_6_Annual_Currency_Used" fmlaRange="LU_TOP_ACTV_6_Currencies" noThreeD="1" sel="1" val="0"/>
</file>

<file path=xl/ctrlProps/ctrlProp78.xml><?xml version="1.0" encoding="utf-8"?>
<formControlPr xmlns="http://schemas.microsoft.com/office/spreadsheetml/2009/9/main" objectType="Drop" dropLines="20" dropStyle="combo" dx="16" fmlaLink="DD_TOP_ACTV_6_Input_Detail_or_Freeform" fmlaRange="LU_TOP_ACTV_6_Detail_or_Freeform" noThreeD="1" sel="2" val="0"/>
</file>

<file path=xl/ctrlProps/ctrlProp79.xml><?xml version="1.0" encoding="utf-8"?>
<formControlPr xmlns="http://schemas.microsoft.com/office/spreadsheetml/2009/9/main" objectType="Drop" dropLines="20" dropStyle="combo" dx="16" fmlaLink="DD_TOP_ACTV_20_Annual_Currency_Used" fmlaRange="LU_TOP_ACTV_20_Currencies" noThreeD="1" sel="1" val="0"/>
</file>

<file path=xl/ctrlProps/ctrlProp8.xml><?xml version="1.0" encoding="utf-8"?>
<formControlPr xmlns="http://schemas.microsoft.com/office/spreadsheetml/2009/9/main" objectType="Drop" dropLines="20" dropStyle="combo" dx="16" fmlaLink="$H$14" fmlaRange="LU_Vacc_Currency" noThreeD="1" sel="1" val="0"/>
</file>

<file path=xl/ctrlProps/ctrlProp80.xml><?xml version="1.0" encoding="utf-8"?>
<formControlPr xmlns="http://schemas.microsoft.com/office/spreadsheetml/2009/9/main" objectType="Drop" dropLines="20" dropStyle="combo" dx="16" fmlaLink="DD_TOP_ACTV_20_Input_Detail_or_Freeform" fmlaRange="LU_TOP_ACTV_20_Detail_or_Freeform" noThreeD="1" sel="2" val="0"/>
</file>

<file path=xl/ctrlProps/ctrlProp81.xml><?xml version="1.0" encoding="utf-8"?>
<formControlPr xmlns="http://schemas.microsoft.com/office/spreadsheetml/2009/9/main" objectType="Drop" dropLines="20" dropStyle="combo" dx="16" fmlaLink="DD_TOP_ACTV_19_Annual_Currency_Used" fmlaRange="LU_TOP_ACTV_19_Currencies" noThreeD="1" sel="1" val="0"/>
</file>

<file path=xl/ctrlProps/ctrlProp82.xml><?xml version="1.0" encoding="utf-8"?>
<formControlPr xmlns="http://schemas.microsoft.com/office/spreadsheetml/2009/9/main" objectType="Drop" dropLines="20" dropStyle="combo" dx="16" fmlaLink="DD_TOP_ACTV_19_Input_Detail_or_Freeform" fmlaRange="LU_TOP_ACTV_19_Detail_or_Freeform" noThreeD="1" sel="2" val="0"/>
</file>

<file path=xl/ctrlProps/ctrlProp83.xml><?xml version="1.0" encoding="utf-8"?>
<formControlPr xmlns="http://schemas.microsoft.com/office/spreadsheetml/2009/9/main" objectType="Drop" dropLines="20" dropStyle="combo" dx="16" fmlaLink="DD_LVL2_ACTV_16_Annual_Currency_Select" fmlaRange="LU_LVL2_ACTV_16_Currencies" noThreeD="1" sel="1" val="0"/>
</file>

<file path=xl/ctrlProps/ctrlProp84.xml><?xml version="1.0" encoding="utf-8"?>
<formControlPr xmlns="http://schemas.microsoft.com/office/spreadsheetml/2009/9/main" objectType="Drop" dropLines="20" dropStyle="combo" dx="16" fmlaLink="DD_LVL2_ACTV_16_Input_Detail_or_Freeform" fmlaRange="LU_LVL2_ACTV_16_Detail_or_Freeform" noThreeD="1" sel="2" val="0"/>
</file>

<file path=xl/ctrlProps/ctrlProp85.xml><?xml version="1.0" encoding="utf-8"?>
<formControlPr xmlns="http://schemas.microsoft.com/office/spreadsheetml/2009/9/main" objectType="Drop" dropLines="20" dropStyle="combo" dx="16" fmlaLink="$D$18" fmlaRange="LU_COLD_Currency" noThreeD="1" sel="1" val="0"/>
</file>

<file path=xl/ctrlProps/ctrlProp86.xml><?xml version="1.0" encoding="utf-8"?>
<formControlPr xmlns="http://schemas.microsoft.com/office/spreadsheetml/2009/9/main" objectType="Drop" dropLines="20" dropStyle="combo" dx="16" fmlaLink="$D$19" fmlaRange="LU_CAP_OTH_Currency" noThreeD="1" sel="1" val="0"/>
</file>

<file path=xl/ctrlProps/ctrlProp87.xml><?xml version="1.0" encoding="utf-8"?>
<formControlPr xmlns="http://schemas.microsoft.com/office/spreadsheetml/2009/9/main" objectType="Drop" dropLines="20" dropStyle="combo" dx="16" fmlaLink="DD_TOP_ACTV_Detailed_Currency_Used" fmlaRange="LU_TOP_ACTV_Currencies" noThreeD="1" sel="1" val="0"/>
</file>

<file path=xl/ctrlProps/ctrlProp88.xml><?xml version="1.0" encoding="utf-8"?>
<formControlPr xmlns="http://schemas.microsoft.com/office/spreadsheetml/2009/9/main" objectType="Drop" dropLines="20" dropStyle="combo" dx="16" fmlaLink="DD_LVL2_ACTV_Currency_Selected" fmlaRange="LU_LVL2_ACTV_Currencies" noThreeD="1" sel="2" val="0"/>
</file>

<file path=xl/ctrlProps/ctrlProp89.xml><?xml version="1.0" encoding="utf-8"?>
<formControlPr xmlns="http://schemas.microsoft.com/office/spreadsheetml/2009/9/main" objectType="Drop" dropLines="20" dropStyle="combo" dx="16" fmlaLink="DD_TOP_ACTV_7_Detailed_Currency_Used" fmlaRange="LU_TOP_ACTV_7_Currencies" noThreeD="1" sel="1" val="0"/>
</file>

<file path=xl/ctrlProps/ctrlProp9.xml><?xml version="1.0" encoding="utf-8"?>
<formControlPr xmlns="http://schemas.microsoft.com/office/spreadsheetml/2009/9/main" objectType="Drop" dropLines="20" dropStyle="combo" dx="16" fmlaLink="DD_LVL2_ACTV_6_Annual_Currency_Select" fmlaRange="LU_LVL2_ACTV_6_Currencies" noThreeD="1" sel="1" val="0"/>
</file>

<file path=xl/ctrlProps/ctrlProp90.xml><?xml version="1.0" encoding="utf-8"?>
<formControlPr xmlns="http://schemas.microsoft.com/office/spreadsheetml/2009/9/main" objectType="Drop" dropLines="20" dropStyle="combo" dx="16" fmlaLink="DD_LVL2_ACTV_20_Currency_Selected" fmlaRange="LU_LVL2_ACTV_20_Currencies" noThreeD="1" sel="1" val="0"/>
</file>

<file path=xl/ctrlProps/ctrlProp91.xml><?xml version="1.0" encoding="utf-8"?>
<formControlPr xmlns="http://schemas.microsoft.com/office/spreadsheetml/2009/9/main" objectType="Drop" dropLines="20" dropStyle="combo" dx="16" fmlaLink="DD_TOP_ACTV_2_Detailed_Currency_Used" fmlaRange="LU_TOP_ACTV_2_Currencies" noThreeD="1" sel="1" val="0"/>
</file>

<file path=xl/ctrlProps/ctrlProp92.xml><?xml version="1.0" encoding="utf-8"?>
<formControlPr xmlns="http://schemas.microsoft.com/office/spreadsheetml/2009/9/main" objectType="Drop" dropLines="20" dropStyle="combo" dx="16" fmlaLink="DD_LVL2_ACTV_2_Currency_Selected" fmlaRange="LU_LVL2_ACTV_2_Currencies" noThreeD="1" sel="1" val="0"/>
</file>

<file path=xl/ctrlProps/ctrlProp93.xml><?xml version="1.0" encoding="utf-8"?>
<formControlPr xmlns="http://schemas.microsoft.com/office/spreadsheetml/2009/9/main" objectType="Drop" dropLines="20" dropStyle="combo" dx="16" fmlaLink="DD_TOP_ACTV_13_Detailed_Currency_Used" fmlaRange="LU_TOP_ACTV_13_Currencies" noThreeD="1" sel="1" val="0"/>
</file>

<file path=xl/ctrlProps/ctrlProp94.xml><?xml version="1.0" encoding="utf-8"?>
<formControlPr xmlns="http://schemas.microsoft.com/office/spreadsheetml/2009/9/main" objectType="Drop" dropLines="20" dropStyle="combo" dx="16" fmlaLink="DD_TOP_ACTV_14_Detailed_Currency_Used" fmlaRange="LU_TOP_ACTV_14_Currencies" noThreeD="1" sel="1" val="0"/>
</file>

<file path=xl/ctrlProps/ctrlProp95.xml><?xml version="1.0" encoding="utf-8"?>
<formControlPr xmlns="http://schemas.microsoft.com/office/spreadsheetml/2009/9/main" objectType="Drop" dropLines="20" dropStyle="combo" dx="16" fmlaLink="DD_LVL2_ACTV_6_Currency_Selected" fmlaRange="LU_LVL2_ACTV_6_Currencies" noThreeD="1" sel="1" val="0"/>
</file>

<file path=xl/ctrlProps/ctrlProp96.xml><?xml version="1.0" encoding="utf-8"?>
<formControlPr xmlns="http://schemas.microsoft.com/office/spreadsheetml/2009/9/main" objectType="Drop" dropLines="20" dropStyle="combo" dx="16" fmlaLink="DD_LVL2_ACTV_12_Currency_Selected" fmlaRange="LU_LVL2_ACTV_12_Currencies" noThreeD="1" sel="1" val="0"/>
</file>

<file path=xl/ctrlProps/ctrlProp97.xml><?xml version="1.0" encoding="utf-8"?>
<formControlPr xmlns="http://schemas.microsoft.com/office/spreadsheetml/2009/9/main" objectType="Drop" dropLines="20" dropStyle="combo" dx="16" fmlaLink="DD_LVL2_ACTV_13_Currency_Selected" fmlaRange="LU_LVL2_ACTV_13_Currencies" noThreeD="1" sel="1" val="0"/>
</file>

<file path=xl/ctrlProps/ctrlProp98.xml><?xml version="1.0" encoding="utf-8"?>
<formControlPr xmlns="http://schemas.microsoft.com/office/spreadsheetml/2009/9/main" objectType="Drop" dropLines="20" dropStyle="combo" dx="16" fmlaLink="DD_LVL2_ACTV_9_Currency_Selected" fmlaRange="LU_LVL2_ACTV_9_Currencies" noThreeD="1" sel="1" val="0"/>
</file>

<file path=xl/ctrlProps/ctrlProp99.xml><?xml version="1.0" encoding="utf-8"?>
<formControlPr xmlns="http://schemas.microsoft.com/office/spreadsheetml/2009/9/main" objectType="Drop" dropLines="20" dropStyle="combo" dx="16" fmlaLink="DD_TOP_ACTV_3_Detailed_Currency_Used" fmlaRange="LU_TOP_ACTV_3_Currencies" noThreeD="1" sel="1" val="0"/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chart" Target="../charts/chart1.xml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3036</xdr:colOff>
      <xdr:row>510</xdr:row>
      <xdr:rowOff>3066</xdr:rowOff>
    </xdr:from>
    <xdr:to>
      <xdr:col>8</xdr:col>
      <xdr:colOff>169407</xdr:colOff>
      <xdr:row>511</xdr:row>
      <xdr:rowOff>15147</xdr:rowOff>
    </xdr:to>
    <xdr:sp macro="" textlink="">
      <xdr:nvSpPr>
        <xdr:cNvPr id="1534" name="FmTQ_X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SpPr/>
      </xdr:nvSpPr>
      <xdr:spPr>
        <a:xfrm rot="2700000">
          <a:off x="12548406" y="77916621"/>
          <a:ext cx="164481" cy="166371"/>
        </a:xfrm>
        <a:prstGeom prst="plus">
          <a:avLst>
            <a:gd name="adj" fmla="val 41279"/>
          </a:avLst>
        </a:prstGeom>
        <a:solidFill>
          <a:srgbClr val="FF0000"/>
        </a:solidFill>
        <a:ln w="12700"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15</xdr:row>
          <xdr:rowOff>0</xdr:rowOff>
        </xdr:from>
        <xdr:to>
          <xdr:col>5</xdr:col>
          <xdr:colOff>0</xdr:colOff>
          <xdr:row>16</xdr:row>
          <xdr:rowOff>0</xdr:rowOff>
        </xdr:to>
        <xdr:sp macro="" textlink="">
          <xdr:nvSpPr>
            <xdr:cNvPr id="652290" name="bpmDropDownTOP_ACTV_22" hidden="1">
              <a:extLst>
                <a:ext uri="{63B3BB69-23CF-44E3-9099-C40C66FF867C}">
                  <a14:compatExt spid="_x0000_s652290"/>
                </a:ext>
                <a:ext uri="{FF2B5EF4-FFF2-40B4-BE49-F238E27FC236}">
                  <a16:creationId xmlns:a16="http://schemas.microsoft.com/office/drawing/2014/main" id="{00000000-0008-0000-1100-000002F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17</xdr:row>
          <xdr:rowOff>0</xdr:rowOff>
        </xdr:from>
        <xdr:to>
          <xdr:col>5</xdr:col>
          <xdr:colOff>0</xdr:colOff>
          <xdr:row>18</xdr:row>
          <xdr:rowOff>0</xdr:rowOff>
        </xdr:to>
        <xdr:sp macro="" textlink="">
          <xdr:nvSpPr>
            <xdr:cNvPr id="652291" name="bpmDropDownTOP_ACTV_23" hidden="1">
              <a:extLst>
                <a:ext uri="{63B3BB69-23CF-44E3-9099-C40C66FF867C}">
                  <a14:compatExt spid="_x0000_s652291"/>
                </a:ext>
                <a:ext uri="{FF2B5EF4-FFF2-40B4-BE49-F238E27FC236}">
                  <a16:creationId xmlns:a16="http://schemas.microsoft.com/office/drawing/2014/main" id="{00000000-0008-0000-1100-000003F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128</xdr:row>
          <xdr:rowOff>0</xdr:rowOff>
        </xdr:from>
        <xdr:to>
          <xdr:col>5</xdr:col>
          <xdr:colOff>0</xdr:colOff>
          <xdr:row>129</xdr:row>
          <xdr:rowOff>0</xdr:rowOff>
        </xdr:to>
        <xdr:sp macro="" textlink="">
          <xdr:nvSpPr>
            <xdr:cNvPr id="652293" name="bpmDropDownLVL2_ACTV_22" hidden="1">
              <a:extLst>
                <a:ext uri="{63B3BB69-23CF-44E3-9099-C40C66FF867C}">
                  <a14:compatExt spid="_x0000_s652293"/>
                </a:ext>
                <a:ext uri="{FF2B5EF4-FFF2-40B4-BE49-F238E27FC236}">
                  <a16:creationId xmlns:a16="http://schemas.microsoft.com/office/drawing/2014/main" id="{00000000-0008-0000-1100-000005F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130</xdr:row>
          <xdr:rowOff>0</xdr:rowOff>
        </xdr:from>
        <xdr:to>
          <xdr:col>5</xdr:col>
          <xdr:colOff>0</xdr:colOff>
          <xdr:row>131</xdr:row>
          <xdr:rowOff>0</xdr:rowOff>
        </xdr:to>
        <xdr:sp macro="" textlink="">
          <xdr:nvSpPr>
            <xdr:cNvPr id="652294" name="bpmDropDownLVL2_ACTV_23" hidden="1">
              <a:extLst>
                <a:ext uri="{63B3BB69-23CF-44E3-9099-C40C66FF867C}">
                  <a14:compatExt spid="_x0000_s652294"/>
                </a:ext>
                <a:ext uri="{FF2B5EF4-FFF2-40B4-BE49-F238E27FC236}">
                  <a16:creationId xmlns:a16="http://schemas.microsoft.com/office/drawing/2014/main" id="{00000000-0008-0000-1100-000006F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89</xdr:row>
          <xdr:rowOff>0</xdr:rowOff>
        </xdr:from>
        <xdr:to>
          <xdr:col>5</xdr:col>
          <xdr:colOff>0</xdr:colOff>
          <xdr:row>90</xdr:row>
          <xdr:rowOff>0</xdr:rowOff>
        </xdr:to>
        <xdr:sp macro="" textlink="">
          <xdr:nvSpPr>
            <xdr:cNvPr id="652299" name="bpmDropDownTOP_ACTV_142" hidden="1">
              <a:extLst>
                <a:ext uri="{63B3BB69-23CF-44E3-9099-C40C66FF867C}">
                  <a14:compatExt spid="_x0000_s652299"/>
                </a:ext>
                <a:ext uri="{FF2B5EF4-FFF2-40B4-BE49-F238E27FC236}">
                  <a16:creationId xmlns:a16="http://schemas.microsoft.com/office/drawing/2014/main" id="{00000000-0008-0000-1100-00000BF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91</xdr:row>
          <xdr:rowOff>0</xdr:rowOff>
        </xdr:from>
        <xdr:to>
          <xdr:col>5</xdr:col>
          <xdr:colOff>0</xdr:colOff>
          <xdr:row>92</xdr:row>
          <xdr:rowOff>0</xdr:rowOff>
        </xdr:to>
        <xdr:sp macro="" textlink="">
          <xdr:nvSpPr>
            <xdr:cNvPr id="652300" name="bpmDropDownTOP_ACTV_143" hidden="1">
              <a:extLst>
                <a:ext uri="{63B3BB69-23CF-44E3-9099-C40C66FF867C}">
                  <a14:compatExt spid="_x0000_s652300"/>
                </a:ext>
                <a:ext uri="{FF2B5EF4-FFF2-40B4-BE49-F238E27FC236}">
                  <a16:creationId xmlns:a16="http://schemas.microsoft.com/office/drawing/2014/main" id="{00000000-0008-0000-1100-00000CF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52</xdr:row>
          <xdr:rowOff>0</xdr:rowOff>
        </xdr:from>
        <xdr:to>
          <xdr:col>5</xdr:col>
          <xdr:colOff>0</xdr:colOff>
          <xdr:row>53</xdr:row>
          <xdr:rowOff>0</xdr:rowOff>
        </xdr:to>
        <xdr:sp macro="" textlink="">
          <xdr:nvSpPr>
            <xdr:cNvPr id="652308" name="bpmDropDownTOP_ACTV_132" hidden="1">
              <a:extLst>
                <a:ext uri="{63B3BB69-23CF-44E3-9099-C40C66FF867C}">
                  <a14:compatExt spid="_x0000_s652308"/>
                </a:ext>
                <a:ext uri="{FF2B5EF4-FFF2-40B4-BE49-F238E27FC236}">
                  <a16:creationId xmlns:a16="http://schemas.microsoft.com/office/drawing/2014/main" id="{00000000-0008-0000-1100-000014F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54</xdr:row>
          <xdr:rowOff>0</xdr:rowOff>
        </xdr:from>
        <xdr:to>
          <xdr:col>5</xdr:col>
          <xdr:colOff>0</xdr:colOff>
          <xdr:row>55</xdr:row>
          <xdr:rowOff>0</xdr:rowOff>
        </xdr:to>
        <xdr:sp macro="" textlink="">
          <xdr:nvSpPr>
            <xdr:cNvPr id="652309" name="bpmDropDownTOP_ACTV_133" hidden="1">
              <a:extLst>
                <a:ext uri="{63B3BB69-23CF-44E3-9099-C40C66FF867C}">
                  <a14:compatExt spid="_x0000_s652309"/>
                </a:ext>
                <a:ext uri="{FF2B5EF4-FFF2-40B4-BE49-F238E27FC236}">
                  <a16:creationId xmlns:a16="http://schemas.microsoft.com/office/drawing/2014/main" id="{00000000-0008-0000-1100-000015F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15</xdr:row>
          <xdr:rowOff>0</xdr:rowOff>
        </xdr:from>
        <xdr:to>
          <xdr:col>5</xdr:col>
          <xdr:colOff>0</xdr:colOff>
          <xdr:row>16</xdr:row>
          <xdr:rowOff>0</xdr:rowOff>
        </xdr:to>
        <xdr:sp macro="" textlink="">
          <xdr:nvSpPr>
            <xdr:cNvPr id="649218" name="bpmDropDownTOP_ACTV_32" hidden="1">
              <a:extLst>
                <a:ext uri="{63B3BB69-23CF-44E3-9099-C40C66FF867C}">
                  <a14:compatExt spid="_x0000_s649218"/>
                </a:ext>
                <a:ext uri="{FF2B5EF4-FFF2-40B4-BE49-F238E27FC236}">
                  <a16:creationId xmlns:a16="http://schemas.microsoft.com/office/drawing/2014/main" id="{00000000-0008-0000-1200-000002E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17</xdr:row>
          <xdr:rowOff>0</xdr:rowOff>
        </xdr:from>
        <xdr:to>
          <xdr:col>5</xdr:col>
          <xdr:colOff>0</xdr:colOff>
          <xdr:row>18</xdr:row>
          <xdr:rowOff>0</xdr:rowOff>
        </xdr:to>
        <xdr:sp macro="" textlink="">
          <xdr:nvSpPr>
            <xdr:cNvPr id="649219" name="bpmDropDownTOP_ACTV_33" hidden="1">
              <a:extLst>
                <a:ext uri="{63B3BB69-23CF-44E3-9099-C40C66FF867C}">
                  <a14:compatExt spid="_x0000_s649219"/>
                </a:ext>
                <a:ext uri="{FF2B5EF4-FFF2-40B4-BE49-F238E27FC236}">
                  <a16:creationId xmlns:a16="http://schemas.microsoft.com/office/drawing/2014/main" id="{00000000-0008-0000-1200-000003E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128</xdr:row>
          <xdr:rowOff>0</xdr:rowOff>
        </xdr:from>
        <xdr:to>
          <xdr:col>5</xdr:col>
          <xdr:colOff>0</xdr:colOff>
          <xdr:row>129</xdr:row>
          <xdr:rowOff>0</xdr:rowOff>
        </xdr:to>
        <xdr:sp macro="" textlink="">
          <xdr:nvSpPr>
            <xdr:cNvPr id="649221" name="bpmDropDownLVL2_ACTV_32" hidden="1">
              <a:extLst>
                <a:ext uri="{63B3BB69-23CF-44E3-9099-C40C66FF867C}">
                  <a14:compatExt spid="_x0000_s649221"/>
                </a:ext>
                <a:ext uri="{FF2B5EF4-FFF2-40B4-BE49-F238E27FC236}">
                  <a16:creationId xmlns:a16="http://schemas.microsoft.com/office/drawing/2014/main" id="{00000000-0008-0000-1200-000005E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130</xdr:row>
          <xdr:rowOff>0</xdr:rowOff>
        </xdr:from>
        <xdr:to>
          <xdr:col>5</xdr:col>
          <xdr:colOff>0</xdr:colOff>
          <xdr:row>131</xdr:row>
          <xdr:rowOff>0</xdr:rowOff>
        </xdr:to>
        <xdr:sp macro="" textlink="">
          <xdr:nvSpPr>
            <xdr:cNvPr id="649222" name="bpmDropDownLVL2_ACTV_33" hidden="1">
              <a:extLst>
                <a:ext uri="{63B3BB69-23CF-44E3-9099-C40C66FF867C}">
                  <a14:compatExt spid="_x0000_s649222"/>
                </a:ext>
                <a:ext uri="{FF2B5EF4-FFF2-40B4-BE49-F238E27FC236}">
                  <a16:creationId xmlns:a16="http://schemas.microsoft.com/office/drawing/2014/main" id="{00000000-0008-0000-1200-000006E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89</xdr:row>
          <xdr:rowOff>0</xdr:rowOff>
        </xdr:from>
        <xdr:to>
          <xdr:col>5</xdr:col>
          <xdr:colOff>0</xdr:colOff>
          <xdr:row>90</xdr:row>
          <xdr:rowOff>0</xdr:rowOff>
        </xdr:to>
        <xdr:sp macro="" textlink="">
          <xdr:nvSpPr>
            <xdr:cNvPr id="649233" name="bpmDropDownTOP_ACTV_112" hidden="1">
              <a:extLst>
                <a:ext uri="{63B3BB69-23CF-44E3-9099-C40C66FF867C}">
                  <a14:compatExt spid="_x0000_s649233"/>
                </a:ext>
                <a:ext uri="{FF2B5EF4-FFF2-40B4-BE49-F238E27FC236}">
                  <a16:creationId xmlns:a16="http://schemas.microsoft.com/office/drawing/2014/main" id="{00000000-0008-0000-1200-000011E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91</xdr:row>
          <xdr:rowOff>0</xdr:rowOff>
        </xdr:from>
        <xdr:to>
          <xdr:col>5</xdr:col>
          <xdr:colOff>0</xdr:colOff>
          <xdr:row>92</xdr:row>
          <xdr:rowOff>0</xdr:rowOff>
        </xdr:to>
        <xdr:sp macro="" textlink="">
          <xdr:nvSpPr>
            <xdr:cNvPr id="649234" name="bpmDropDownTOP_ACTV_113" hidden="1">
              <a:extLst>
                <a:ext uri="{63B3BB69-23CF-44E3-9099-C40C66FF867C}">
                  <a14:compatExt spid="_x0000_s649234"/>
                </a:ext>
                <a:ext uri="{FF2B5EF4-FFF2-40B4-BE49-F238E27FC236}">
                  <a16:creationId xmlns:a16="http://schemas.microsoft.com/office/drawing/2014/main" id="{00000000-0008-0000-1200-000012E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52</xdr:row>
          <xdr:rowOff>0</xdr:rowOff>
        </xdr:from>
        <xdr:to>
          <xdr:col>5</xdr:col>
          <xdr:colOff>0</xdr:colOff>
          <xdr:row>53</xdr:row>
          <xdr:rowOff>0</xdr:rowOff>
        </xdr:to>
        <xdr:sp macro="" textlink="">
          <xdr:nvSpPr>
            <xdr:cNvPr id="649236" name="bpmDropDownTOP_ACTV_102" hidden="1">
              <a:extLst>
                <a:ext uri="{63B3BB69-23CF-44E3-9099-C40C66FF867C}">
                  <a14:compatExt spid="_x0000_s649236"/>
                </a:ext>
                <a:ext uri="{FF2B5EF4-FFF2-40B4-BE49-F238E27FC236}">
                  <a16:creationId xmlns:a16="http://schemas.microsoft.com/office/drawing/2014/main" id="{00000000-0008-0000-1200-000014E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54</xdr:row>
          <xdr:rowOff>0</xdr:rowOff>
        </xdr:from>
        <xdr:to>
          <xdr:col>5</xdr:col>
          <xdr:colOff>0</xdr:colOff>
          <xdr:row>55</xdr:row>
          <xdr:rowOff>0</xdr:rowOff>
        </xdr:to>
        <xdr:sp macro="" textlink="">
          <xdr:nvSpPr>
            <xdr:cNvPr id="649237" name="bpmDropDownTOP_ACTV_103" hidden="1">
              <a:extLst>
                <a:ext uri="{63B3BB69-23CF-44E3-9099-C40C66FF867C}">
                  <a14:compatExt spid="_x0000_s649237"/>
                </a:ext>
                <a:ext uri="{FF2B5EF4-FFF2-40B4-BE49-F238E27FC236}">
                  <a16:creationId xmlns:a16="http://schemas.microsoft.com/office/drawing/2014/main" id="{00000000-0008-0000-1200-000015E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214</xdr:row>
          <xdr:rowOff>0</xdr:rowOff>
        </xdr:from>
        <xdr:to>
          <xdr:col>5</xdr:col>
          <xdr:colOff>0</xdr:colOff>
          <xdr:row>215</xdr:row>
          <xdr:rowOff>0</xdr:rowOff>
        </xdr:to>
        <xdr:sp macro="" textlink="">
          <xdr:nvSpPr>
            <xdr:cNvPr id="649239" name="bpmDropDownLVL2_ACTV_192" hidden="1">
              <a:extLst>
                <a:ext uri="{63B3BB69-23CF-44E3-9099-C40C66FF867C}">
                  <a14:compatExt spid="_x0000_s649239"/>
                </a:ext>
                <a:ext uri="{FF2B5EF4-FFF2-40B4-BE49-F238E27FC236}">
                  <a16:creationId xmlns:a16="http://schemas.microsoft.com/office/drawing/2014/main" id="{00000000-0008-0000-1200-000017E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216</xdr:row>
          <xdr:rowOff>0</xdr:rowOff>
        </xdr:from>
        <xdr:to>
          <xdr:col>5</xdr:col>
          <xdr:colOff>0</xdr:colOff>
          <xdr:row>217</xdr:row>
          <xdr:rowOff>0</xdr:rowOff>
        </xdr:to>
        <xdr:sp macro="" textlink="">
          <xdr:nvSpPr>
            <xdr:cNvPr id="649240" name="bpmDropDownLVL2_ACTV_193" hidden="1">
              <a:extLst>
                <a:ext uri="{63B3BB69-23CF-44E3-9099-C40C66FF867C}">
                  <a14:compatExt spid="_x0000_s649240"/>
                </a:ext>
                <a:ext uri="{FF2B5EF4-FFF2-40B4-BE49-F238E27FC236}">
                  <a16:creationId xmlns:a16="http://schemas.microsoft.com/office/drawing/2014/main" id="{00000000-0008-0000-1200-000018E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171</xdr:row>
          <xdr:rowOff>0</xdr:rowOff>
        </xdr:from>
        <xdr:to>
          <xdr:col>5</xdr:col>
          <xdr:colOff>0</xdr:colOff>
          <xdr:row>172</xdr:row>
          <xdr:rowOff>0</xdr:rowOff>
        </xdr:to>
        <xdr:sp macro="" textlink="">
          <xdr:nvSpPr>
            <xdr:cNvPr id="649242" name="bpmDropDownLVL2_ACTV_182" hidden="1">
              <a:extLst>
                <a:ext uri="{63B3BB69-23CF-44E3-9099-C40C66FF867C}">
                  <a14:compatExt spid="_x0000_s649242"/>
                </a:ext>
                <a:ext uri="{FF2B5EF4-FFF2-40B4-BE49-F238E27FC236}">
                  <a16:creationId xmlns:a16="http://schemas.microsoft.com/office/drawing/2014/main" id="{00000000-0008-0000-1200-00001AE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173</xdr:row>
          <xdr:rowOff>0</xdr:rowOff>
        </xdr:from>
        <xdr:to>
          <xdr:col>5</xdr:col>
          <xdr:colOff>0</xdr:colOff>
          <xdr:row>174</xdr:row>
          <xdr:rowOff>0</xdr:rowOff>
        </xdr:to>
        <xdr:sp macro="" textlink="">
          <xdr:nvSpPr>
            <xdr:cNvPr id="649243" name="bpmDropDownLVL2_ACTV_183" hidden="1">
              <a:extLst>
                <a:ext uri="{63B3BB69-23CF-44E3-9099-C40C66FF867C}">
                  <a14:compatExt spid="_x0000_s649243"/>
                </a:ext>
                <a:ext uri="{FF2B5EF4-FFF2-40B4-BE49-F238E27FC236}">
                  <a16:creationId xmlns:a16="http://schemas.microsoft.com/office/drawing/2014/main" id="{00000000-0008-0000-1200-00001BE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15</xdr:row>
          <xdr:rowOff>0</xdr:rowOff>
        </xdr:from>
        <xdr:to>
          <xdr:col>5</xdr:col>
          <xdr:colOff>0</xdr:colOff>
          <xdr:row>16</xdr:row>
          <xdr:rowOff>0</xdr:rowOff>
        </xdr:to>
        <xdr:sp macro="" textlink="">
          <xdr:nvSpPr>
            <xdr:cNvPr id="650242" name="bpmDropDownTOP_ACTV_42" hidden="1">
              <a:extLst>
                <a:ext uri="{63B3BB69-23CF-44E3-9099-C40C66FF867C}">
                  <a14:compatExt spid="_x0000_s650242"/>
                </a:ext>
                <a:ext uri="{FF2B5EF4-FFF2-40B4-BE49-F238E27FC236}">
                  <a16:creationId xmlns:a16="http://schemas.microsoft.com/office/drawing/2014/main" id="{00000000-0008-0000-1300-000002E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17</xdr:row>
          <xdr:rowOff>0</xdr:rowOff>
        </xdr:from>
        <xdr:to>
          <xdr:col>5</xdr:col>
          <xdr:colOff>0</xdr:colOff>
          <xdr:row>18</xdr:row>
          <xdr:rowOff>0</xdr:rowOff>
        </xdr:to>
        <xdr:sp macro="" textlink="">
          <xdr:nvSpPr>
            <xdr:cNvPr id="650243" name="bpmDropDownTOP_ACTV_43" hidden="1">
              <a:extLst>
                <a:ext uri="{63B3BB69-23CF-44E3-9099-C40C66FF867C}">
                  <a14:compatExt spid="_x0000_s650243"/>
                </a:ext>
                <a:ext uri="{FF2B5EF4-FFF2-40B4-BE49-F238E27FC236}">
                  <a16:creationId xmlns:a16="http://schemas.microsoft.com/office/drawing/2014/main" id="{00000000-0008-0000-1300-000003E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128</xdr:row>
          <xdr:rowOff>0</xdr:rowOff>
        </xdr:from>
        <xdr:to>
          <xdr:col>5</xdr:col>
          <xdr:colOff>0</xdr:colOff>
          <xdr:row>129</xdr:row>
          <xdr:rowOff>0</xdr:rowOff>
        </xdr:to>
        <xdr:sp macro="" textlink="">
          <xdr:nvSpPr>
            <xdr:cNvPr id="650246" name="bpmDropDownLVL2_ACTV_42" hidden="1">
              <a:extLst>
                <a:ext uri="{63B3BB69-23CF-44E3-9099-C40C66FF867C}">
                  <a14:compatExt spid="_x0000_s650246"/>
                </a:ext>
                <a:ext uri="{FF2B5EF4-FFF2-40B4-BE49-F238E27FC236}">
                  <a16:creationId xmlns:a16="http://schemas.microsoft.com/office/drawing/2014/main" id="{00000000-0008-0000-1300-000006E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130</xdr:row>
          <xdr:rowOff>0</xdr:rowOff>
        </xdr:from>
        <xdr:to>
          <xdr:col>5</xdr:col>
          <xdr:colOff>0</xdr:colOff>
          <xdr:row>131</xdr:row>
          <xdr:rowOff>0</xdr:rowOff>
        </xdr:to>
        <xdr:sp macro="" textlink="">
          <xdr:nvSpPr>
            <xdr:cNvPr id="650247" name="bpmDropDownLVL2_ACTV_43" hidden="1">
              <a:extLst>
                <a:ext uri="{63B3BB69-23CF-44E3-9099-C40C66FF867C}">
                  <a14:compatExt spid="_x0000_s650247"/>
                </a:ext>
                <a:ext uri="{FF2B5EF4-FFF2-40B4-BE49-F238E27FC236}">
                  <a16:creationId xmlns:a16="http://schemas.microsoft.com/office/drawing/2014/main" id="{00000000-0008-0000-1300-000007E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89</xdr:row>
          <xdr:rowOff>0</xdr:rowOff>
        </xdr:from>
        <xdr:to>
          <xdr:col>5</xdr:col>
          <xdr:colOff>0</xdr:colOff>
          <xdr:row>90</xdr:row>
          <xdr:rowOff>0</xdr:rowOff>
        </xdr:to>
        <xdr:sp macro="" textlink="">
          <xdr:nvSpPr>
            <xdr:cNvPr id="650251" name="bpmDropDownTOP_ACTV_162" hidden="1">
              <a:extLst>
                <a:ext uri="{63B3BB69-23CF-44E3-9099-C40C66FF867C}">
                  <a14:compatExt spid="_x0000_s650251"/>
                </a:ext>
                <a:ext uri="{FF2B5EF4-FFF2-40B4-BE49-F238E27FC236}">
                  <a16:creationId xmlns:a16="http://schemas.microsoft.com/office/drawing/2014/main" id="{00000000-0008-0000-1300-00000BE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91</xdr:row>
          <xdr:rowOff>0</xdr:rowOff>
        </xdr:from>
        <xdr:to>
          <xdr:col>5</xdr:col>
          <xdr:colOff>0</xdr:colOff>
          <xdr:row>92</xdr:row>
          <xdr:rowOff>0</xdr:rowOff>
        </xdr:to>
        <xdr:sp macro="" textlink="">
          <xdr:nvSpPr>
            <xdr:cNvPr id="650252" name="bpmDropDownTOP_ACTV_163" hidden="1">
              <a:extLst>
                <a:ext uri="{63B3BB69-23CF-44E3-9099-C40C66FF867C}">
                  <a14:compatExt spid="_x0000_s650252"/>
                </a:ext>
                <a:ext uri="{FF2B5EF4-FFF2-40B4-BE49-F238E27FC236}">
                  <a16:creationId xmlns:a16="http://schemas.microsoft.com/office/drawing/2014/main" id="{00000000-0008-0000-1300-00000CE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52</xdr:row>
          <xdr:rowOff>0</xdr:rowOff>
        </xdr:from>
        <xdr:to>
          <xdr:col>5</xdr:col>
          <xdr:colOff>0</xdr:colOff>
          <xdr:row>53</xdr:row>
          <xdr:rowOff>0</xdr:rowOff>
        </xdr:to>
        <xdr:sp macro="" textlink="">
          <xdr:nvSpPr>
            <xdr:cNvPr id="650254" name="bpmDropDownTOP_ACTV_152" hidden="1">
              <a:extLst>
                <a:ext uri="{63B3BB69-23CF-44E3-9099-C40C66FF867C}">
                  <a14:compatExt spid="_x0000_s650254"/>
                </a:ext>
                <a:ext uri="{FF2B5EF4-FFF2-40B4-BE49-F238E27FC236}">
                  <a16:creationId xmlns:a16="http://schemas.microsoft.com/office/drawing/2014/main" id="{00000000-0008-0000-1300-00000EE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54</xdr:row>
          <xdr:rowOff>0</xdr:rowOff>
        </xdr:from>
        <xdr:to>
          <xdr:col>5</xdr:col>
          <xdr:colOff>0</xdr:colOff>
          <xdr:row>55</xdr:row>
          <xdr:rowOff>0</xdr:rowOff>
        </xdr:to>
        <xdr:sp macro="" textlink="">
          <xdr:nvSpPr>
            <xdr:cNvPr id="650255" name="bpmDropDownTOP_ACTV_153" hidden="1">
              <a:extLst>
                <a:ext uri="{63B3BB69-23CF-44E3-9099-C40C66FF867C}">
                  <a14:compatExt spid="_x0000_s650255"/>
                </a:ext>
                <a:ext uri="{FF2B5EF4-FFF2-40B4-BE49-F238E27FC236}">
                  <a16:creationId xmlns:a16="http://schemas.microsoft.com/office/drawing/2014/main" id="{00000000-0008-0000-1300-00000FE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214</xdr:row>
          <xdr:rowOff>0</xdr:rowOff>
        </xdr:from>
        <xdr:to>
          <xdr:col>5</xdr:col>
          <xdr:colOff>0</xdr:colOff>
          <xdr:row>215</xdr:row>
          <xdr:rowOff>0</xdr:rowOff>
        </xdr:to>
        <xdr:sp macro="" textlink="">
          <xdr:nvSpPr>
            <xdr:cNvPr id="650257" name="bpmDropDownLVL2_ACTV_112" hidden="1">
              <a:extLst>
                <a:ext uri="{63B3BB69-23CF-44E3-9099-C40C66FF867C}">
                  <a14:compatExt spid="_x0000_s650257"/>
                </a:ext>
                <a:ext uri="{FF2B5EF4-FFF2-40B4-BE49-F238E27FC236}">
                  <a16:creationId xmlns:a16="http://schemas.microsoft.com/office/drawing/2014/main" id="{00000000-0008-0000-1300-000011E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216</xdr:row>
          <xdr:rowOff>0</xdr:rowOff>
        </xdr:from>
        <xdr:to>
          <xdr:col>5</xdr:col>
          <xdr:colOff>0</xdr:colOff>
          <xdr:row>217</xdr:row>
          <xdr:rowOff>0</xdr:rowOff>
        </xdr:to>
        <xdr:sp macro="" textlink="">
          <xdr:nvSpPr>
            <xdr:cNvPr id="650258" name="bpmDropDownLVL2_ACTV_113" hidden="1">
              <a:extLst>
                <a:ext uri="{63B3BB69-23CF-44E3-9099-C40C66FF867C}">
                  <a14:compatExt spid="_x0000_s650258"/>
                </a:ext>
                <a:ext uri="{FF2B5EF4-FFF2-40B4-BE49-F238E27FC236}">
                  <a16:creationId xmlns:a16="http://schemas.microsoft.com/office/drawing/2014/main" id="{00000000-0008-0000-1300-000012E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171</xdr:row>
          <xdr:rowOff>0</xdr:rowOff>
        </xdr:from>
        <xdr:to>
          <xdr:col>5</xdr:col>
          <xdr:colOff>0</xdr:colOff>
          <xdr:row>172</xdr:row>
          <xdr:rowOff>0</xdr:rowOff>
        </xdr:to>
        <xdr:sp macro="" textlink="">
          <xdr:nvSpPr>
            <xdr:cNvPr id="650260" name="bpmDropDownLVL2_ACTV_102" hidden="1">
              <a:extLst>
                <a:ext uri="{63B3BB69-23CF-44E3-9099-C40C66FF867C}">
                  <a14:compatExt spid="_x0000_s650260"/>
                </a:ext>
                <a:ext uri="{FF2B5EF4-FFF2-40B4-BE49-F238E27FC236}">
                  <a16:creationId xmlns:a16="http://schemas.microsoft.com/office/drawing/2014/main" id="{00000000-0008-0000-1300-000014E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173</xdr:row>
          <xdr:rowOff>0</xdr:rowOff>
        </xdr:from>
        <xdr:to>
          <xdr:col>5</xdr:col>
          <xdr:colOff>0</xdr:colOff>
          <xdr:row>174</xdr:row>
          <xdr:rowOff>0</xdr:rowOff>
        </xdr:to>
        <xdr:sp macro="" textlink="">
          <xdr:nvSpPr>
            <xdr:cNvPr id="650261" name="bpmDropDownLVL2_ACTV_103" hidden="1">
              <a:extLst>
                <a:ext uri="{63B3BB69-23CF-44E3-9099-C40C66FF867C}">
                  <a14:compatExt spid="_x0000_s650261"/>
                </a:ext>
                <a:ext uri="{FF2B5EF4-FFF2-40B4-BE49-F238E27FC236}">
                  <a16:creationId xmlns:a16="http://schemas.microsoft.com/office/drawing/2014/main" id="{00000000-0008-0000-1300-000015E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300</xdr:row>
          <xdr:rowOff>0</xdr:rowOff>
        </xdr:from>
        <xdr:to>
          <xdr:col>5</xdr:col>
          <xdr:colOff>0</xdr:colOff>
          <xdr:row>301</xdr:row>
          <xdr:rowOff>0</xdr:rowOff>
        </xdr:to>
        <xdr:sp macro="" textlink="">
          <xdr:nvSpPr>
            <xdr:cNvPr id="650263" name="bpmDropDownLVL2_ACTV_212" hidden="1">
              <a:extLst>
                <a:ext uri="{63B3BB69-23CF-44E3-9099-C40C66FF867C}">
                  <a14:compatExt spid="_x0000_s650263"/>
                </a:ext>
                <a:ext uri="{FF2B5EF4-FFF2-40B4-BE49-F238E27FC236}">
                  <a16:creationId xmlns:a16="http://schemas.microsoft.com/office/drawing/2014/main" id="{00000000-0008-0000-1300-000017E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302</xdr:row>
          <xdr:rowOff>0</xdr:rowOff>
        </xdr:from>
        <xdr:to>
          <xdr:col>5</xdr:col>
          <xdr:colOff>0</xdr:colOff>
          <xdr:row>303</xdr:row>
          <xdr:rowOff>0</xdr:rowOff>
        </xdr:to>
        <xdr:sp macro="" textlink="">
          <xdr:nvSpPr>
            <xdr:cNvPr id="650264" name="bpmDropDownLVL2_ACTV_213" hidden="1">
              <a:extLst>
                <a:ext uri="{63B3BB69-23CF-44E3-9099-C40C66FF867C}">
                  <a14:compatExt spid="_x0000_s650264"/>
                </a:ext>
                <a:ext uri="{FF2B5EF4-FFF2-40B4-BE49-F238E27FC236}">
                  <a16:creationId xmlns:a16="http://schemas.microsoft.com/office/drawing/2014/main" id="{00000000-0008-0000-1300-000018E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257</xdr:row>
          <xdr:rowOff>0</xdr:rowOff>
        </xdr:from>
        <xdr:to>
          <xdr:col>5</xdr:col>
          <xdr:colOff>0</xdr:colOff>
          <xdr:row>258</xdr:row>
          <xdr:rowOff>0</xdr:rowOff>
        </xdr:to>
        <xdr:sp macro="" textlink="">
          <xdr:nvSpPr>
            <xdr:cNvPr id="650266" name="bpmDropDownLVL2_ACTV_82" hidden="1">
              <a:extLst>
                <a:ext uri="{63B3BB69-23CF-44E3-9099-C40C66FF867C}">
                  <a14:compatExt spid="_x0000_s650266"/>
                </a:ext>
                <a:ext uri="{FF2B5EF4-FFF2-40B4-BE49-F238E27FC236}">
                  <a16:creationId xmlns:a16="http://schemas.microsoft.com/office/drawing/2014/main" id="{00000000-0008-0000-1300-00001AE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259</xdr:row>
          <xdr:rowOff>0</xdr:rowOff>
        </xdr:from>
        <xdr:to>
          <xdr:col>5</xdr:col>
          <xdr:colOff>0</xdr:colOff>
          <xdr:row>260</xdr:row>
          <xdr:rowOff>0</xdr:rowOff>
        </xdr:to>
        <xdr:sp macro="" textlink="">
          <xdr:nvSpPr>
            <xdr:cNvPr id="650267" name="bpmDropDownLVL2_ACTV_83" hidden="1">
              <a:extLst>
                <a:ext uri="{63B3BB69-23CF-44E3-9099-C40C66FF867C}">
                  <a14:compatExt spid="_x0000_s650267"/>
                </a:ext>
                <a:ext uri="{FF2B5EF4-FFF2-40B4-BE49-F238E27FC236}">
                  <a16:creationId xmlns:a16="http://schemas.microsoft.com/office/drawing/2014/main" id="{00000000-0008-0000-1300-00001BE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15</xdr:row>
          <xdr:rowOff>0</xdr:rowOff>
        </xdr:from>
        <xdr:to>
          <xdr:col>5</xdr:col>
          <xdr:colOff>0</xdr:colOff>
          <xdr:row>16</xdr:row>
          <xdr:rowOff>0</xdr:rowOff>
        </xdr:to>
        <xdr:sp macro="" textlink="">
          <xdr:nvSpPr>
            <xdr:cNvPr id="615429" name="bpmDropDownTOP_ACTV_52" hidden="1">
              <a:extLst>
                <a:ext uri="{63B3BB69-23CF-44E3-9099-C40C66FF867C}">
                  <a14:compatExt spid="_x0000_s615429"/>
                </a:ext>
                <a:ext uri="{FF2B5EF4-FFF2-40B4-BE49-F238E27FC236}">
                  <a16:creationId xmlns:a16="http://schemas.microsoft.com/office/drawing/2014/main" id="{00000000-0008-0000-1400-0000056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17</xdr:row>
          <xdr:rowOff>0</xdr:rowOff>
        </xdr:from>
        <xdr:to>
          <xdr:col>5</xdr:col>
          <xdr:colOff>0</xdr:colOff>
          <xdr:row>18</xdr:row>
          <xdr:rowOff>0</xdr:rowOff>
        </xdr:to>
        <xdr:sp macro="" textlink="">
          <xdr:nvSpPr>
            <xdr:cNvPr id="615430" name="bpmDropDownTOP_ACTV_53" hidden="1">
              <a:extLst>
                <a:ext uri="{63B3BB69-23CF-44E3-9099-C40C66FF867C}">
                  <a14:compatExt spid="_x0000_s615430"/>
                </a:ext>
                <a:ext uri="{FF2B5EF4-FFF2-40B4-BE49-F238E27FC236}">
                  <a16:creationId xmlns:a16="http://schemas.microsoft.com/office/drawing/2014/main" id="{00000000-0008-0000-1400-0000066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165</xdr:row>
          <xdr:rowOff>0</xdr:rowOff>
        </xdr:from>
        <xdr:to>
          <xdr:col>5</xdr:col>
          <xdr:colOff>0</xdr:colOff>
          <xdr:row>166</xdr:row>
          <xdr:rowOff>0</xdr:rowOff>
        </xdr:to>
        <xdr:sp macro="" textlink="">
          <xdr:nvSpPr>
            <xdr:cNvPr id="615432" name="bpmDropDownLVL2_ACTV_52" hidden="1">
              <a:extLst>
                <a:ext uri="{63B3BB69-23CF-44E3-9099-C40C66FF867C}">
                  <a14:compatExt spid="_x0000_s615432"/>
                </a:ext>
                <a:ext uri="{FF2B5EF4-FFF2-40B4-BE49-F238E27FC236}">
                  <a16:creationId xmlns:a16="http://schemas.microsoft.com/office/drawing/2014/main" id="{00000000-0008-0000-1400-0000086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167</xdr:row>
          <xdr:rowOff>0</xdr:rowOff>
        </xdr:from>
        <xdr:to>
          <xdr:col>5</xdr:col>
          <xdr:colOff>0</xdr:colOff>
          <xdr:row>168</xdr:row>
          <xdr:rowOff>0</xdr:rowOff>
        </xdr:to>
        <xdr:sp macro="" textlink="">
          <xdr:nvSpPr>
            <xdr:cNvPr id="615433" name="bpmDropDownLVL2_ACTV_53" hidden="1">
              <a:extLst>
                <a:ext uri="{63B3BB69-23CF-44E3-9099-C40C66FF867C}">
                  <a14:compatExt spid="_x0000_s615433"/>
                </a:ext>
                <a:ext uri="{FF2B5EF4-FFF2-40B4-BE49-F238E27FC236}">
                  <a16:creationId xmlns:a16="http://schemas.microsoft.com/office/drawing/2014/main" id="{00000000-0008-0000-1400-0000096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89</xdr:row>
          <xdr:rowOff>0</xdr:rowOff>
        </xdr:from>
        <xdr:to>
          <xdr:col>5</xdr:col>
          <xdr:colOff>0</xdr:colOff>
          <xdr:row>90</xdr:row>
          <xdr:rowOff>0</xdr:rowOff>
        </xdr:to>
        <xdr:sp macro="" textlink="">
          <xdr:nvSpPr>
            <xdr:cNvPr id="615438" name="bpmDropDownTOP_ACTV_182" hidden="1">
              <a:extLst>
                <a:ext uri="{63B3BB69-23CF-44E3-9099-C40C66FF867C}">
                  <a14:compatExt spid="_x0000_s615438"/>
                </a:ext>
                <a:ext uri="{FF2B5EF4-FFF2-40B4-BE49-F238E27FC236}">
                  <a16:creationId xmlns:a16="http://schemas.microsoft.com/office/drawing/2014/main" id="{00000000-0008-0000-1400-00000E6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91</xdr:row>
          <xdr:rowOff>0</xdr:rowOff>
        </xdr:from>
        <xdr:to>
          <xdr:col>5</xdr:col>
          <xdr:colOff>0</xdr:colOff>
          <xdr:row>92</xdr:row>
          <xdr:rowOff>0</xdr:rowOff>
        </xdr:to>
        <xdr:sp macro="" textlink="">
          <xdr:nvSpPr>
            <xdr:cNvPr id="615439" name="bpmDropDownTOP_ACTV_183" hidden="1">
              <a:extLst>
                <a:ext uri="{63B3BB69-23CF-44E3-9099-C40C66FF867C}">
                  <a14:compatExt spid="_x0000_s615439"/>
                </a:ext>
                <a:ext uri="{FF2B5EF4-FFF2-40B4-BE49-F238E27FC236}">
                  <a16:creationId xmlns:a16="http://schemas.microsoft.com/office/drawing/2014/main" id="{00000000-0008-0000-1400-00000F6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52</xdr:row>
          <xdr:rowOff>0</xdr:rowOff>
        </xdr:from>
        <xdr:to>
          <xdr:col>5</xdr:col>
          <xdr:colOff>0</xdr:colOff>
          <xdr:row>53</xdr:row>
          <xdr:rowOff>0</xdr:rowOff>
        </xdr:to>
        <xdr:sp macro="" textlink="">
          <xdr:nvSpPr>
            <xdr:cNvPr id="615441" name="bpmDropDownTOP_ACTV_172" hidden="1">
              <a:extLst>
                <a:ext uri="{63B3BB69-23CF-44E3-9099-C40C66FF867C}">
                  <a14:compatExt spid="_x0000_s615441"/>
                </a:ext>
                <a:ext uri="{FF2B5EF4-FFF2-40B4-BE49-F238E27FC236}">
                  <a16:creationId xmlns:a16="http://schemas.microsoft.com/office/drawing/2014/main" id="{00000000-0008-0000-1400-0000116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54</xdr:row>
          <xdr:rowOff>0</xdr:rowOff>
        </xdr:from>
        <xdr:to>
          <xdr:col>5</xdr:col>
          <xdr:colOff>0</xdr:colOff>
          <xdr:row>55</xdr:row>
          <xdr:rowOff>0</xdr:rowOff>
        </xdr:to>
        <xdr:sp macro="" textlink="">
          <xdr:nvSpPr>
            <xdr:cNvPr id="615442" name="bpmDropDownTOP_ACTV_173" hidden="1">
              <a:extLst>
                <a:ext uri="{63B3BB69-23CF-44E3-9099-C40C66FF867C}">
                  <a14:compatExt spid="_x0000_s615442"/>
                </a:ext>
                <a:ext uri="{FF2B5EF4-FFF2-40B4-BE49-F238E27FC236}">
                  <a16:creationId xmlns:a16="http://schemas.microsoft.com/office/drawing/2014/main" id="{00000000-0008-0000-1400-0000126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251</xdr:row>
          <xdr:rowOff>0</xdr:rowOff>
        </xdr:from>
        <xdr:to>
          <xdr:col>5</xdr:col>
          <xdr:colOff>0</xdr:colOff>
          <xdr:row>252</xdr:row>
          <xdr:rowOff>0</xdr:rowOff>
        </xdr:to>
        <xdr:sp macro="" textlink="">
          <xdr:nvSpPr>
            <xdr:cNvPr id="615444" name="bpmDropDownLVL2_ACTV_152" hidden="1">
              <a:extLst>
                <a:ext uri="{63B3BB69-23CF-44E3-9099-C40C66FF867C}">
                  <a14:compatExt spid="_x0000_s615444"/>
                </a:ext>
                <a:ext uri="{FF2B5EF4-FFF2-40B4-BE49-F238E27FC236}">
                  <a16:creationId xmlns:a16="http://schemas.microsoft.com/office/drawing/2014/main" id="{00000000-0008-0000-1400-0000146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253</xdr:row>
          <xdr:rowOff>0</xdr:rowOff>
        </xdr:from>
        <xdr:to>
          <xdr:col>5</xdr:col>
          <xdr:colOff>0</xdr:colOff>
          <xdr:row>254</xdr:row>
          <xdr:rowOff>0</xdr:rowOff>
        </xdr:to>
        <xdr:sp macro="" textlink="">
          <xdr:nvSpPr>
            <xdr:cNvPr id="615445" name="bpmDropDownLVL2_ACTV_153" hidden="1">
              <a:extLst>
                <a:ext uri="{63B3BB69-23CF-44E3-9099-C40C66FF867C}">
                  <a14:compatExt spid="_x0000_s615445"/>
                </a:ext>
                <a:ext uri="{FF2B5EF4-FFF2-40B4-BE49-F238E27FC236}">
                  <a16:creationId xmlns:a16="http://schemas.microsoft.com/office/drawing/2014/main" id="{00000000-0008-0000-1400-0000156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208</xdr:row>
          <xdr:rowOff>0</xdr:rowOff>
        </xdr:from>
        <xdr:to>
          <xdr:col>5</xdr:col>
          <xdr:colOff>0</xdr:colOff>
          <xdr:row>209</xdr:row>
          <xdr:rowOff>0</xdr:rowOff>
        </xdr:to>
        <xdr:sp macro="" textlink="">
          <xdr:nvSpPr>
            <xdr:cNvPr id="615447" name="bpmDropDownLVL2_ACTV_142" hidden="1">
              <a:extLst>
                <a:ext uri="{63B3BB69-23CF-44E3-9099-C40C66FF867C}">
                  <a14:compatExt spid="_x0000_s615447"/>
                </a:ext>
                <a:ext uri="{FF2B5EF4-FFF2-40B4-BE49-F238E27FC236}">
                  <a16:creationId xmlns:a16="http://schemas.microsoft.com/office/drawing/2014/main" id="{00000000-0008-0000-1400-0000176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210</xdr:row>
          <xdr:rowOff>0</xdr:rowOff>
        </xdr:from>
        <xdr:to>
          <xdr:col>5</xdr:col>
          <xdr:colOff>0</xdr:colOff>
          <xdr:row>211</xdr:row>
          <xdr:rowOff>0</xdr:rowOff>
        </xdr:to>
        <xdr:sp macro="" textlink="">
          <xdr:nvSpPr>
            <xdr:cNvPr id="615448" name="bpmDropDownLVL2_ACTV_143" hidden="1">
              <a:extLst>
                <a:ext uri="{63B3BB69-23CF-44E3-9099-C40C66FF867C}">
                  <a14:compatExt spid="_x0000_s615448"/>
                </a:ext>
                <a:ext uri="{FF2B5EF4-FFF2-40B4-BE49-F238E27FC236}">
                  <a16:creationId xmlns:a16="http://schemas.microsoft.com/office/drawing/2014/main" id="{00000000-0008-0000-1400-0000186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126</xdr:row>
          <xdr:rowOff>0</xdr:rowOff>
        </xdr:from>
        <xdr:to>
          <xdr:col>5</xdr:col>
          <xdr:colOff>0</xdr:colOff>
          <xdr:row>127</xdr:row>
          <xdr:rowOff>0</xdr:rowOff>
        </xdr:to>
        <xdr:sp macro="" textlink="">
          <xdr:nvSpPr>
            <xdr:cNvPr id="615450" name="bpmDropDownTOP_ACTV_82" hidden="1">
              <a:extLst>
                <a:ext uri="{63B3BB69-23CF-44E3-9099-C40C66FF867C}">
                  <a14:compatExt spid="_x0000_s615450"/>
                </a:ext>
                <a:ext uri="{FF2B5EF4-FFF2-40B4-BE49-F238E27FC236}">
                  <a16:creationId xmlns:a16="http://schemas.microsoft.com/office/drawing/2014/main" id="{00000000-0008-0000-1400-00001A6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128</xdr:row>
          <xdr:rowOff>0</xdr:rowOff>
        </xdr:from>
        <xdr:to>
          <xdr:col>5</xdr:col>
          <xdr:colOff>0</xdr:colOff>
          <xdr:row>129</xdr:row>
          <xdr:rowOff>0</xdr:rowOff>
        </xdr:to>
        <xdr:sp macro="" textlink="">
          <xdr:nvSpPr>
            <xdr:cNvPr id="615451" name="bpmDropDownTOP_ACTV_83" hidden="1">
              <a:extLst>
                <a:ext uri="{63B3BB69-23CF-44E3-9099-C40C66FF867C}">
                  <a14:compatExt spid="_x0000_s615451"/>
                </a:ext>
                <a:ext uri="{FF2B5EF4-FFF2-40B4-BE49-F238E27FC236}">
                  <a16:creationId xmlns:a16="http://schemas.microsoft.com/office/drawing/2014/main" id="{00000000-0008-0000-1400-00001B6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121</xdr:row>
          <xdr:rowOff>0</xdr:rowOff>
        </xdr:from>
        <xdr:to>
          <xdr:col>5</xdr:col>
          <xdr:colOff>0</xdr:colOff>
          <xdr:row>122</xdr:row>
          <xdr:rowOff>0</xdr:rowOff>
        </xdr:to>
        <xdr:sp macro="" textlink="">
          <xdr:nvSpPr>
            <xdr:cNvPr id="820226" name="bpmDropDownLVL2_ACTV_72" hidden="1">
              <a:extLst>
                <a:ext uri="{63B3BB69-23CF-44E3-9099-C40C66FF867C}">
                  <a14:compatExt spid="_x0000_s820226"/>
                </a:ext>
                <a:ext uri="{FF2B5EF4-FFF2-40B4-BE49-F238E27FC236}">
                  <a16:creationId xmlns:a16="http://schemas.microsoft.com/office/drawing/2014/main" id="{00000000-0008-0000-1500-0000028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123</xdr:row>
          <xdr:rowOff>0</xdr:rowOff>
        </xdr:from>
        <xdr:to>
          <xdr:col>5</xdr:col>
          <xdr:colOff>0</xdr:colOff>
          <xdr:row>124</xdr:row>
          <xdr:rowOff>0</xdr:rowOff>
        </xdr:to>
        <xdr:sp macro="" textlink="">
          <xdr:nvSpPr>
            <xdr:cNvPr id="820227" name="bpmDropDownLVL2_ACTV_73" hidden="1">
              <a:extLst>
                <a:ext uri="{63B3BB69-23CF-44E3-9099-C40C66FF867C}">
                  <a14:compatExt spid="_x0000_s820227"/>
                </a:ext>
                <a:ext uri="{FF2B5EF4-FFF2-40B4-BE49-F238E27FC236}">
                  <a16:creationId xmlns:a16="http://schemas.microsoft.com/office/drawing/2014/main" id="{00000000-0008-0000-1500-0000038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15</xdr:row>
          <xdr:rowOff>0</xdr:rowOff>
        </xdr:from>
        <xdr:to>
          <xdr:col>5</xdr:col>
          <xdr:colOff>0</xdr:colOff>
          <xdr:row>16</xdr:row>
          <xdr:rowOff>0</xdr:rowOff>
        </xdr:to>
        <xdr:sp macro="" textlink="">
          <xdr:nvSpPr>
            <xdr:cNvPr id="820229" name="bpmDropDownTOP_ACTV_62" hidden="1">
              <a:extLst>
                <a:ext uri="{63B3BB69-23CF-44E3-9099-C40C66FF867C}">
                  <a14:compatExt spid="_x0000_s820229"/>
                </a:ext>
                <a:ext uri="{FF2B5EF4-FFF2-40B4-BE49-F238E27FC236}">
                  <a16:creationId xmlns:a16="http://schemas.microsoft.com/office/drawing/2014/main" id="{00000000-0008-0000-1500-0000058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17</xdr:row>
          <xdr:rowOff>0</xdr:rowOff>
        </xdr:from>
        <xdr:to>
          <xdr:col>5</xdr:col>
          <xdr:colOff>0</xdr:colOff>
          <xdr:row>18</xdr:row>
          <xdr:rowOff>0</xdr:rowOff>
        </xdr:to>
        <xdr:sp macro="" textlink="">
          <xdr:nvSpPr>
            <xdr:cNvPr id="820230" name="bpmDropDownTOP_ACTV_63" hidden="1">
              <a:extLst>
                <a:ext uri="{63B3BB69-23CF-44E3-9099-C40C66FF867C}">
                  <a14:compatExt spid="_x0000_s820230"/>
                </a:ext>
                <a:ext uri="{FF2B5EF4-FFF2-40B4-BE49-F238E27FC236}">
                  <a16:creationId xmlns:a16="http://schemas.microsoft.com/office/drawing/2014/main" id="{00000000-0008-0000-1500-0000068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49</xdr:row>
          <xdr:rowOff>0</xdr:rowOff>
        </xdr:from>
        <xdr:to>
          <xdr:col>5</xdr:col>
          <xdr:colOff>0</xdr:colOff>
          <xdr:row>50</xdr:row>
          <xdr:rowOff>0</xdr:rowOff>
        </xdr:to>
        <xdr:sp macro="" textlink="">
          <xdr:nvSpPr>
            <xdr:cNvPr id="820232" name="bpmDropDownTOP_ACTV_202" hidden="1">
              <a:extLst>
                <a:ext uri="{63B3BB69-23CF-44E3-9099-C40C66FF867C}">
                  <a14:compatExt spid="_x0000_s820232"/>
                </a:ext>
                <a:ext uri="{FF2B5EF4-FFF2-40B4-BE49-F238E27FC236}">
                  <a16:creationId xmlns:a16="http://schemas.microsoft.com/office/drawing/2014/main" id="{00000000-0008-0000-1500-0000088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51</xdr:row>
          <xdr:rowOff>0</xdr:rowOff>
        </xdr:from>
        <xdr:to>
          <xdr:col>5</xdr:col>
          <xdr:colOff>0</xdr:colOff>
          <xdr:row>52</xdr:row>
          <xdr:rowOff>0</xdr:rowOff>
        </xdr:to>
        <xdr:sp macro="" textlink="">
          <xdr:nvSpPr>
            <xdr:cNvPr id="820233" name="bpmDropDownTOP_ACTV_203" hidden="1">
              <a:extLst>
                <a:ext uri="{63B3BB69-23CF-44E3-9099-C40C66FF867C}">
                  <a14:compatExt spid="_x0000_s820233"/>
                </a:ext>
                <a:ext uri="{FF2B5EF4-FFF2-40B4-BE49-F238E27FC236}">
                  <a16:creationId xmlns:a16="http://schemas.microsoft.com/office/drawing/2014/main" id="{00000000-0008-0000-1500-0000098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84</xdr:row>
          <xdr:rowOff>0</xdr:rowOff>
        </xdr:from>
        <xdr:to>
          <xdr:col>5</xdr:col>
          <xdr:colOff>0</xdr:colOff>
          <xdr:row>85</xdr:row>
          <xdr:rowOff>0</xdr:rowOff>
        </xdr:to>
        <xdr:sp macro="" textlink="">
          <xdr:nvSpPr>
            <xdr:cNvPr id="820235" name="bpmDropDownTOP_ACTV_192" hidden="1">
              <a:extLst>
                <a:ext uri="{63B3BB69-23CF-44E3-9099-C40C66FF867C}">
                  <a14:compatExt spid="_x0000_s820235"/>
                </a:ext>
                <a:ext uri="{FF2B5EF4-FFF2-40B4-BE49-F238E27FC236}">
                  <a16:creationId xmlns:a16="http://schemas.microsoft.com/office/drawing/2014/main" id="{00000000-0008-0000-1500-00000B8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86</xdr:row>
          <xdr:rowOff>0</xdr:rowOff>
        </xdr:from>
        <xdr:to>
          <xdr:col>5</xdr:col>
          <xdr:colOff>0</xdr:colOff>
          <xdr:row>87</xdr:row>
          <xdr:rowOff>0</xdr:rowOff>
        </xdr:to>
        <xdr:sp macro="" textlink="">
          <xdr:nvSpPr>
            <xdr:cNvPr id="820236" name="bpmDropDownTOP_ACTV_193" hidden="1">
              <a:extLst>
                <a:ext uri="{63B3BB69-23CF-44E3-9099-C40C66FF867C}">
                  <a14:compatExt spid="_x0000_s820236"/>
                </a:ext>
                <a:ext uri="{FF2B5EF4-FFF2-40B4-BE49-F238E27FC236}">
                  <a16:creationId xmlns:a16="http://schemas.microsoft.com/office/drawing/2014/main" id="{00000000-0008-0000-1500-00000C8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162</xdr:row>
          <xdr:rowOff>0</xdr:rowOff>
        </xdr:from>
        <xdr:to>
          <xdr:col>5</xdr:col>
          <xdr:colOff>0</xdr:colOff>
          <xdr:row>163</xdr:row>
          <xdr:rowOff>0</xdr:rowOff>
        </xdr:to>
        <xdr:sp macro="" textlink="">
          <xdr:nvSpPr>
            <xdr:cNvPr id="820241" name="bpmDropDownLVL2_ACTV_162" hidden="1">
              <a:extLst>
                <a:ext uri="{63B3BB69-23CF-44E3-9099-C40C66FF867C}">
                  <a14:compatExt spid="_x0000_s820241"/>
                </a:ext>
                <a:ext uri="{FF2B5EF4-FFF2-40B4-BE49-F238E27FC236}">
                  <a16:creationId xmlns:a16="http://schemas.microsoft.com/office/drawing/2014/main" id="{00000000-0008-0000-1500-0000118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164</xdr:row>
          <xdr:rowOff>0</xdr:rowOff>
        </xdr:from>
        <xdr:to>
          <xdr:col>5</xdr:col>
          <xdr:colOff>0</xdr:colOff>
          <xdr:row>165</xdr:row>
          <xdr:rowOff>0</xdr:rowOff>
        </xdr:to>
        <xdr:sp macro="" textlink="">
          <xdr:nvSpPr>
            <xdr:cNvPr id="820242" name="bpmDropDownLVL2_ACTV_163" hidden="1">
              <a:extLst>
                <a:ext uri="{63B3BB69-23CF-44E3-9099-C40C66FF867C}">
                  <a14:compatExt spid="_x0000_s820242"/>
                </a:ext>
                <a:ext uri="{FF2B5EF4-FFF2-40B4-BE49-F238E27FC236}">
                  <a16:creationId xmlns:a16="http://schemas.microsoft.com/office/drawing/2014/main" id="{00000000-0008-0000-1500-0000128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0</xdr:rowOff>
        </xdr:from>
        <xdr:to>
          <xdr:col>4</xdr:col>
          <xdr:colOff>0</xdr:colOff>
          <xdr:row>18</xdr:row>
          <xdr:rowOff>0</xdr:rowOff>
        </xdr:to>
        <xdr:sp macro="" textlink="">
          <xdr:nvSpPr>
            <xdr:cNvPr id="896011" name="bpmDropDownCOLD11" hidden="1">
              <a:extLst>
                <a:ext uri="{63B3BB69-23CF-44E3-9099-C40C66FF867C}">
                  <a14:compatExt spid="_x0000_s896011"/>
                </a:ext>
                <a:ext uri="{FF2B5EF4-FFF2-40B4-BE49-F238E27FC236}">
                  <a16:creationId xmlns:a16="http://schemas.microsoft.com/office/drawing/2014/main" id="{00000000-0008-0000-1600-00000BAC0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0</xdr:rowOff>
        </xdr:from>
        <xdr:to>
          <xdr:col>4</xdr:col>
          <xdr:colOff>0</xdr:colOff>
          <xdr:row>19</xdr:row>
          <xdr:rowOff>0</xdr:rowOff>
        </xdr:to>
        <xdr:sp macro="" textlink="">
          <xdr:nvSpPr>
            <xdr:cNvPr id="912385" name="bpmDropDownCAP_OTH2" hidden="1">
              <a:extLst>
                <a:ext uri="{63B3BB69-23CF-44E3-9099-C40C66FF867C}">
                  <a14:compatExt spid="_x0000_s912385"/>
                </a:ext>
                <a:ext uri="{FF2B5EF4-FFF2-40B4-BE49-F238E27FC236}">
                  <a16:creationId xmlns:a16="http://schemas.microsoft.com/office/drawing/2014/main" id="{00000000-0008-0000-1700-000001EC0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714375</xdr:colOff>
      <xdr:row>1</xdr:row>
      <xdr:rowOff>104775</xdr:rowOff>
    </xdr:from>
    <xdr:to>
      <xdr:col>8</xdr:col>
      <xdr:colOff>327650</xdr:colOff>
      <xdr:row>7</xdr:row>
      <xdr:rowOff>90451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425" y="257175"/>
          <a:ext cx="2947025" cy="900076"/>
        </a:xfrm>
        <a:prstGeom prst="rect">
          <a:avLst/>
        </a:prstGeom>
      </xdr:spPr>
    </xdr:pic>
    <xdr:clientData/>
  </xdr:twoCellAnchor>
  <xdr:twoCellAnchor>
    <xdr:from>
      <xdr:col>12</xdr:col>
      <xdr:colOff>695325</xdr:colOff>
      <xdr:row>15</xdr:row>
      <xdr:rowOff>85725</xdr:rowOff>
    </xdr:from>
    <xdr:to>
      <xdr:col>21</xdr:col>
      <xdr:colOff>209550</xdr:colOff>
      <xdr:row>30</xdr:row>
      <xdr:rowOff>76200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7934325" y="2133600"/>
          <a:ext cx="6543675" cy="2371725"/>
        </a:xfrm>
        <a:prstGeom prst="roundRect">
          <a:avLst/>
        </a:prstGeom>
        <a:noFill/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723901</xdr:colOff>
      <xdr:row>1</xdr:row>
      <xdr:rowOff>104776</xdr:rowOff>
    </xdr:from>
    <xdr:to>
      <xdr:col>8</xdr:col>
      <xdr:colOff>337176</xdr:colOff>
      <xdr:row>7</xdr:row>
      <xdr:rowOff>90452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4951" y="257176"/>
          <a:ext cx="2947025" cy="900076"/>
        </a:xfrm>
        <a:prstGeom prst="rect">
          <a:avLst/>
        </a:prstGeom>
      </xdr:spPr>
    </xdr:pic>
    <xdr:clientData/>
  </xdr:twoCellAnchor>
  <xdr:twoCellAnchor>
    <xdr:from>
      <xdr:col>14</xdr:col>
      <xdr:colOff>695325</xdr:colOff>
      <xdr:row>16</xdr:row>
      <xdr:rowOff>85725</xdr:rowOff>
    </xdr:from>
    <xdr:to>
      <xdr:col>23</xdr:col>
      <xdr:colOff>209550</xdr:colOff>
      <xdr:row>31</xdr:row>
      <xdr:rowOff>76200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7934325" y="2133600"/>
          <a:ext cx="6543675" cy="2371725"/>
        </a:xfrm>
        <a:prstGeom prst="roundRect">
          <a:avLst/>
        </a:prstGeom>
        <a:noFill/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695325</xdr:colOff>
      <xdr:row>1</xdr:row>
      <xdr:rowOff>57150</xdr:rowOff>
    </xdr:from>
    <xdr:to>
      <xdr:col>8</xdr:col>
      <xdr:colOff>308600</xdr:colOff>
      <xdr:row>7</xdr:row>
      <xdr:rowOff>42826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6375" y="209550"/>
          <a:ext cx="2947025" cy="900076"/>
        </a:xfrm>
        <a:prstGeom prst="rect">
          <a:avLst/>
        </a:prstGeom>
      </xdr:spPr>
    </xdr:pic>
    <xdr:clientData/>
  </xdr:twoCellAnchor>
  <xdr:twoCellAnchor>
    <xdr:from>
      <xdr:col>12</xdr:col>
      <xdr:colOff>695325</xdr:colOff>
      <xdr:row>18</xdr:row>
      <xdr:rowOff>85725</xdr:rowOff>
    </xdr:from>
    <xdr:to>
      <xdr:col>21</xdr:col>
      <xdr:colOff>209550</xdr:colOff>
      <xdr:row>33</xdr:row>
      <xdr:rowOff>76200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7934325" y="2133600"/>
          <a:ext cx="6543675" cy="2371725"/>
        </a:xfrm>
        <a:prstGeom prst="roundRect">
          <a:avLst/>
        </a:prstGeom>
        <a:noFill/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656168</xdr:colOff>
      <xdr:row>11</xdr:row>
      <xdr:rowOff>6101</xdr:rowOff>
    </xdr:from>
    <xdr:to>
      <xdr:col>8</xdr:col>
      <xdr:colOff>278820</xdr:colOff>
      <xdr:row>16</xdr:row>
      <xdr:rowOff>142003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7218" y="1930151"/>
          <a:ext cx="2956402" cy="916952"/>
        </a:xfrm>
        <a:prstGeom prst="rect">
          <a:avLst/>
        </a:prstGeom>
      </xdr:spPr>
    </xdr:pic>
    <xdr:clientData/>
  </xdr:twoCellAnchor>
  <xdr:twoCellAnchor editAs="oneCell">
    <xdr:from>
      <xdr:col>10</xdr:col>
      <xdr:colOff>447674</xdr:colOff>
      <xdr:row>21</xdr:row>
      <xdr:rowOff>148902</xdr:rowOff>
    </xdr:from>
    <xdr:to>
      <xdr:col>12</xdr:col>
      <xdr:colOff>57149</xdr:colOff>
      <xdr:row>25</xdr:row>
      <xdr:rowOff>28695</xdr:rowOff>
    </xdr:to>
    <xdr:pic>
      <xdr:nvPicPr>
        <xdr:cNvPr id="7" name="Picture 6" descr="C:\Users\Win\AppData\Local\Temp\SNAGHTML2eaa098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4" y="3787452"/>
          <a:ext cx="1171575" cy="489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2</xdr:row>
      <xdr:rowOff>28575</xdr:rowOff>
    </xdr:from>
    <xdr:to>
      <xdr:col>11</xdr:col>
      <xdr:colOff>419100</xdr:colOff>
      <xdr:row>4</xdr:row>
      <xdr:rowOff>159794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pSpPr/>
      </xdr:nvGrpSpPr>
      <xdr:grpSpPr>
        <a:xfrm>
          <a:off x="857250" y="333375"/>
          <a:ext cx="6019800" cy="436019"/>
          <a:chOff x="1524000" y="495300"/>
          <a:chExt cx="5381625" cy="436019"/>
        </a:xfrm>
      </xdr:grpSpPr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SpPr/>
        </xdr:nvSpPr>
        <xdr:spPr>
          <a:xfrm>
            <a:off x="1524000" y="578541"/>
            <a:ext cx="1248239" cy="3524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r>
              <a:rPr lang="en-US" sz="18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C4P</a:t>
            </a:r>
            <a:endParaRPr lang="en-US" sz="1100" b="1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grpSp>
        <xdr:nvGrpSpPr>
          <xdr:cNvPr id="11" name="Group 10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GrpSpPr/>
        </xdr:nvGrpSpPr>
        <xdr:grpSpPr>
          <a:xfrm>
            <a:off x="2609795" y="495300"/>
            <a:ext cx="4295830" cy="436019"/>
            <a:chOff x="2619320" y="581025"/>
            <a:chExt cx="4295830" cy="436019"/>
          </a:xfrm>
        </xdr:grpSpPr>
        <xdr:sp macro="" textlink="">
          <xdr:nvSpPr>
            <xdr:cNvPr id="6" name="Isosceles Triangle 5">
              <a:extLst>
                <a:ext uri="{FF2B5EF4-FFF2-40B4-BE49-F238E27FC236}">
                  <a16:creationId xmlns:a16="http://schemas.microsoft.com/office/drawing/2014/main" id="{00000000-0008-0000-0200-000006000000}"/>
                </a:ext>
              </a:extLst>
            </xdr:cNvPr>
            <xdr:cNvSpPr/>
          </xdr:nvSpPr>
          <xdr:spPr>
            <a:xfrm rot="16200000">
              <a:off x="2636626" y="852266"/>
              <a:ext cx="161738" cy="167818"/>
            </a:xfrm>
            <a:prstGeom prst="triangle">
              <a:avLst/>
            </a:prstGeom>
            <a:solidFill>
              <a:schemeClr val="tx1">
                <a:lumMod val="65000"/>
                <a:lumOff val="35000"/>
              </a:schemeClr>
            </a:solidFill>
            <a:ln>
              <a:solidFill>
                <a:schemeClr val="tx1">
                  <a:lumMod val="65000"/>
                  <a:lumOff val="3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" name="Pentagon 7">
              <a:extLst>
                <a:ext uri="{FF2B5EF4-FFF2-40B4-BE49-F238E27FC236}">
                  <a16:creationId xmlns:a16="http://schemas.microsoft.com/office/drawing/2014/main" id="{00000000-0008-0000-0200-000008000000}"/>
                </a:ext>
              </a:extLst>
            </xdr:cNvPr>
            <xdr:cNvSpPr/>
          </xdr:nvSpPr>
          <xdr:spPr>
            <a:xfrm>
              <a:off x="2619320" y="581025"/>
              <a:ext cx="4295830" cy="358588"/>
            </a:xfrm>
            <a:prstGeom prst="homePlate">
              <a:avLst/>
            </a:prstGeom>
            <a:solidFill>
              <a:schemeClr val="accent1"/>
            </a:solidFill>
            <a:ln>
              <a:noFill/>
            </a:ln>
          </xdr:spPr>
          <xdr:style>
            <a:lnRef idx="1">
              <a:schemeClr val="accent3"/>
            </a:lnRef>
            <a:fillRef idx="3">
              <a:schemeClr val="accent3"/>
            </a:fillRef>
            <a:effectRef idx="2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lang="en-US" sz="11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$C$23">
          <xdr:nvSpPr>
            <xdr:cNvPr id="17" name="Rectangle 16">
              <a:extLst>
                <a:ext uri="{FF2B5EF4-FFF2-40B4-BE49-F238E27FC236}">
                  <a16:creationId xmlns:a16="http://schemas.microsoft.com/office/drawing/2014/main" id="{00000000-0008-0000-0200-000011000000}"/>
                </a:ext>
              </a:extLst>
            </xdr:cNvPr>
            <xdr:cNvSpPr/>
          </xdr:nvSpPr>
          <xdr:spPr>
            <a:xfrm>
              <a:off x="3286124" y="590550"/>
              <a:ext cx="2876551" cy="264216"/>
            </a:xfrm>
            <a:prstGeom prst="rect">
              <a:avLst/>
            </a:prstGeom>
            <a:solidFill>
              <a:schemeClr val="accent1"/>
            </a:solidFill>
            <a:ln>
              <a:noFill/>
            </a:ln>
            <a:effectLst/>
          </xdr:spPr>
          <xdr:style>
            <a:lnRef idx="1">
              <a:schemeClr val="accent3"/>
            </a:lnRef>
            <a:fillRef idx="3">
              <a:schemeClr val="accent3"/>
            </a:fillRef>
            <a:effectRef idx="2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F886BF9D-7824-4CD7-AF25-08C658191C8F}" type="TxLink">
                <a:rPr lang="en-US" sz="1800" b="1" i="0" u="none" strike="noStrike">
                  <a:solidFill>
                    <a:schemeClr val="bg1"/>
                  </a:solidFill>
                  <a:latin typeface="Arial"/>
                  <a:ea typeface="+mn-ea"/>
                  <a:cs typeface="Arial"/>
                </a:rPr>
                <a:pPr marL="0" indent="0" algn="l"/>
                <a:t>HPV Vaccination Module</a:t>
              </a:fld>
              <a:endParaRPr lang="en-US" sz="2800" b="1">
                <a:solidFill>
                  <a:schemeClr val="bg1"/>
                </a:solidFill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  <xdr:twoCellAnchor>
    <xdr:from>
      <xdr:col>12</xdr:col>
      <xdr:colOff>695325</xdr:colOff>
      <xdr:row>6</xdr:row>
      <xdr:rowOff>85725</xdr:rowOff>
    </xdr:from>
    <xdr:to>
      <xdr:col>21</xdr:col>
      <xdr:colOff>209550</xdr:colOff>
      <xdr:row>21</xdr:row>
      <xdr:rowOff>76200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7934325" y="1038225"/>
          <a:ext cx="6543675" cy="2743200"/>
        </a:xfrm>
        <a:prstGeom prst="roundRect">
          <a:avLst/>
        </a:prstGeom>
        <a:noFill/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447675</xdr:colOff>
          <xdr:row>2</xdr:row>
          <xdr:rowOff>142875</xdr:rowOff>
        </xdr:from>
        <xdr:to>
          <xdr:col>15</xdr:col>
          <xdr:colOff>666750</xdr:colOff>
          <xdr:row>4</xdr:row>
          <xdr:rowOff>38100</xdr:rowOff>
        </xdr:to>
        <xdr:sp macro="" textlink="">
          <xdr:nvSpPr>
            <xdr:cNvPr id="961539" name="DropDown" hidden="1">
              <a:extLst>
                <a:ext uri="{63B3BB69-23CF-44E3-9099-C40C66FF867C}">
                  <a14:compatExt spid="_x0000_s961539"/>
                </a:ext>
                <a:ext uri="{FF2B5EF4-FFF2-40B4-BE49-F238E27FC236}">
                  <a16:creationId xmlns:a16="http://schemas.microsoft.com/office/drawing/2014/main" id="{00000000-0008-0000-0200-000003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704850</xdr:colOff>
      <xdr:row>2</xdr:row>
      <xdr:rowOff>28575</xdr:rowOff>
    </xdr:from>
    <xdr:to>
      <xdr:col>16</xdr:col>
      <xdr:colOff>28575</xdr:colOff>
      <xdr:row>4</xdr:row>
      <xdr:rowOff>171449</xdr:rowOff>
    </xdr:to>
    <xdr:sp macro="" textlink="">
      <xdr:nvSpPr>
        <xdr:cNvPr id="10" name="Rounded Rectangl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7162800" y="333375"/>
          <a:ext cx="3228975" cy="447674"/>
        </a:xfrm>
        <a:prstGeom prst="roundRect">
          <a:avLst/>
        </a:prstGeom>
        <a:noFill/>
        <a:ln w="57150">
          <a:solidFill>
            <a:srgbClr val="FF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14</xdr:row>
          <xdr:rowOff>0</xdr:rowOff>
        </xdr:from>
        <xdr:to>
          <xdr:col>5</xdr:col>
          <xdr:colOff>0</xdr:colOff>
          <xdr:row>15</xdr:row>
          <xdr:rowOff>0</xdr:rowOff>
        </xdr:to>
        <xdr:sp macro="" textlink="">
          <xdr:nvSpPr>
            <xdr:cNvPr id="641025" name="bpmDropDownTOP_ACTV5" hidden="1">
              <a:extLst>
                <a:ext uri="{63B3BB69-23CF-44E3-9099-C40C66FF867C}">
                  <a14:compatExt spid="_x0000_s641025"/>
                </a:ext>
                <a:ext uri="{FF2B5EF4-FFF2-40B4-BE49-F238E27FC236}">
                  <a16:creationId xmlns:a16="http://schemas.microsoft.com/office/drawing/2014/main" id="{00000000-0008-0000-2000-000001C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205</xdr:row>
          <xdr:rowOff>0</xdr:rowOff>
        </xdr:from>
        <xdr:to>
          <xdr:col>5</xdr:col>
          <xdr:colOff>0</xdr:colOff>
          <xdr:row>206</xdr:row>
          <xdr:rowOff>0</xdr:rowOff>
        </xdr:to>
        <xdr:sp macro="" textlink="">
          <xdr:nvSpPr>
            <xdr:cNvPr id="641034" name="bpmDropDownLVL2_ACTV1" hidden="1">
              <a:extLst>
                <a:ext uri="{63B3BB69-23CF-44E3-9099-C40C66FF867C}">
                  <a14:compatExt spid="_x0000_s641034"/>
                </a:ext>
                <a:ext uri="{FF2B5EF4-FFF2-40B4-BE49-F238E27FC236}">
                  <a16:creationId xmlns:a16="http://schemas.microsoft.com/office/drawing/2014/main" id="{00000000-0008-0000-2000-00000AC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106</xdr:row>
          <xdr:rowOff>0</xdr:rowOff>
        </xdr:from>
        <xdr:to>
          <xdr:col>5</xdr:col>
          <xdr:colOff>0</xdr:colOff>
          <xdr:row>107</xdr:row>
          <xdr:rowOff>0</xdr:rowOff>
        </xdr:to>
        <xdr:sp macro="" textlink="">
          <xdr:nvSpPr>
            <xdr:cNvPr id="641044" name="bpmDropDownTOP_ACTV_71" hidden="1">
              <a:extLst>
                <a:ext uri="{63B3BB69-23CF-44E3-9099-C40C66FF867C}">
                  <a14:compatExt spid="_x0000_s641044"/>
                </a:ext>
                <a:ext uri="{FF2B5EF4-FFF2-40B4-BE49-F238E27FC236}">
                  <a16:creationId xmlns:a16="http://schemas.microsoft.com/office/drawing/2014/main" id="{00000000-0008-0000-2000-000014C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304</xdr:row>
          <xdr:rowOff>0</xdr:rowOff>
        </xdr:from>
        <xdr:to>
          <xdr:col>5</xdr:col>
          <xdr:colOff>0</xdr:colOff>
          <xdr:row>305</xdr:row>
          <xdr:rowOff>0</xdr:rowOff>
        </xdr:to>
        <xdr:sp macro="" textlink="">
          <xdr:nvSpPr>
            <xdr:cNvPr id="641059" name="bpmDropDownLVL2_ACTV_201" hidden="1">
              <a:extLst>
                <a:ext uri="{63B3BB69-23CF-44E3-9099-C40C66FF867C}">
                  <a14:compatExt spid="_x0000_s641059"/>
                </a:ext>
                <a:ext uri="{FF2B5EF4-FFF2-40B4-BE49-F238E27FC236}">
                  <a16:creationId xmlns:a16="http://schemas.microsoft.com/office/drawing/2014/main" id="{00000000-0008-0000-2000-000023C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14</xdr:row>
          <xdr:rowOff>0</xdr:rowOff>
        </xdr:from>
        <xdr:to>
          <xdr:col>5</xdr:col>
          <xdr:colOff>0</xdr:colOff>
          <xdr:row>15</xdr:row>
          <xdr:rowOff>0</xdr:rowOff>
        </xdr:to>
        <xdr:sp macro="" textlink="">
          <xdr:nvSpPr>
            <xdr:cNvPr id="642049" name="bpmDropDownTOP_ACTV_21" hidden="1">
              <a:extLst>
                <a:ext uri="{63B3BB69-23CF-44E3-9099-C40C66FF867C}">
                  <a14:compatExt spid="_x0000_s642049"/>
                </a:ext>
                <a:ext uri="{FF2B5EF4-FFF2-40B4-BE49-F238E27FC236}">
                  <a16:creationId xmlns:a16="http://schemas.microsoft.com/office/drawing/2014/main" id="{00000000-0008-0000-2100-000001C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307</xdr:row>
          <xdr:rowOff>0</xdr:rowOff>
        </xdr:from>
        <xdr:to>
          <xdr:col>5</xdr:col>
          <xdr:colOff>0</xdr:colOff>
          <xdr:row>308</xdr:row>
          <xdr:rowOff>0</xdr:rowOff>
        </xdr:to>
        <xdr:sp macro="" textlink="">
          <xdr:nvSpPr>
            <xdr:cNvPr id="642063" name="bpmDropDownLVL2_ACTV_21" hidden="1">
              <a:extLst>
                <a:ext uri="{63B3BB69-23CF-44E3-9099-C40C66FF867C}">
                  <a14:compatExt spid="_x0000_s642063"/>
                </a:ext>
                <a:ext uri="{FF2B5EF4-FFF2-40B4-BE49-F238E27FC236}">
                  <a16:creationId xmlns:a16="http://schemas.microsoft.com/office/drawing/2014/main" id="{00000000-0008-0000-2100-00000FC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111</xdr:row>
          <xdr:rowOff>0</xdr:rowOff>
        </xdr:from>
        <xdr:to>
          <xdr:col>5</xdr:col>
          <xdr:colOff>0</xdr:colOff>
          <xdr:row>112</xdr:row>
          <xdr:rowOff>0</xdr:rowOff>
        </xdr:to>
        <xdr:sp macro="" textlink="">
          <xdr:nvSpPr>
            <xdr:cNvPr id="642068" name="bpmDropDownTOP_ACTV_131" hidden="1">
              <a:extLst>
                <a:ext uri="{63B3BB69-23CF-44E3-9099-C40C66FF867C}">
                  <a14:compatExt spid="_x0000_s642068"/>
                </a:ext>
                <a:ext uri="{FF2B5EF4-FFF2-40B4-BE49-F238E27FC236}">
                  <a16:creationId xmlns:a16="http://schemas.microsoft.com/office/drawing/2014/main" id="{00000000-0008-0000-2100-000014C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208</xdr:row>
          <xdr:rowOff>0</xdr:rowOff>
        </xdr:from>
        <xdr:to>
          <xdr:col>5</xdr:col>
          <xdr:colOff>0</xdr:colOff>
          <xdr:row>209</xdr:row>
          <xdr:rowOff>0</xdr:rowOff>
        </xdr:to>
        <xdr:sp macro="" textlink="">
          <xdr:nvSpPr>
            <xdr:cNvPr id="642073" name="bpmDropDownTOP_ACTV_141" hidden="1">
              <a:extLst>
                <a:ext uri="{63B3BB69-23CF-44E3-9099-C40C66FF867C}">
                  <a14:compatExt spid="_x0000_s642073"/>
                </a:ext>
                <a:ext uri="{FF2B5EF4-FFF2-40B4-BE49-F238E27FC236}">
                  <a16:creationId xmlns:a16="http://schemas.microsoft.com/office/drawing/2014/main" id="{00000000-0008-0000-2100-000019C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16</xdr:row>
          <xdr:rowOff>0</xdr:rowOff>
        </xdr:from>
        <xdr:to>
          <xdr:col>5</xdr:col>
          <xdr:colOff>0</xdr:colOff>
          <xdr:row>17</xdr:row>
          <xdr:rowOff>0</xdr:rowOff>
        </xdr:to>
        <xdr:sp macro="" textlink="">
          <xdr:nvSpPr>
            <xdr:cNvPr id="672778" name="bpmDropDownLVL2_ACTV_61" hidden="1">
              <a:extLst>
                <a:ext uri="{63B3BB69-23CF-44E3-9099-C40C66FF867C}">
                  <a14:compatExt spid="_x0000_s672778"/>
                </a:ext>
                <a:ext uri="{FF2B5EF4-FFF2-40B4-BE49-F238E27FC236}">
                  <a16:creationId xmlns:a16="http://schemas.microsoft.com/office/drawing/2014/main" id="{00000000-0008-0000-2200-00000A4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115</xdr:row>
          <xdr:rowOff>0</xdr:rowOff>
        </xdr:from>
        <xdr:to>
          <xdr:col>5</xdr:col>
          <xdr:colOff>0</xdr:colOff>
          <xdr:row>116</xdr:row>
          <xdr:rowOff>0</xdr:rowOff>
        </xdr:to>
        <xdr:sp macro="" textlink="">
          <xdr:nvSpPr>
            <xdr:cNvPr id="672783" name="bpmDropDownLVL2_ACTV_121" hidden="1">
              <a:extLst>
                <a:ext uri="{63B3BB69-23CF-44E3-9099-C40C66FF867C}">
                  <a14:compatExt spid="_x0000_s672783"/>
                </a:ext>
                <a:ext uri="{FF2B5EF4-FFF2-40B4-BE49-F238E27FC236}">
                  <a16:creationId xmlns:a16="http://schemas.microsoft.com/office/drawing/2014/main" id="{00000000-0008-0000-2200-00000F4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214</xdr:row>
          <xdr:rowOff>0</xdr:rowOff>
        </xdr:from>
        <xdr:to>
          <xdr:col>5</xdr:col>
          <xdr:colOff>0</xdr:colOff>
          <xdr:row>215</xdr:row>
          <xdr:rowOff>0</xdr:rowOff>
        </xdr:to>
        <xdr:sp macro="" textlink="">
          <xdr:nvSpPr>
            <xdr:cNvPr id="672788" name="bpmDropDownLVL2_ACTV_131" hidden="1">
              <a:extLst>
                <a:ext uri="{63B3BB69-23CF-44E3-9099-C40C66FF867C}">
                  <a14:compatExt spid="_x0000_s672788"/>
                </a:ext>
                <a:ext uri="{FF2B5EF4-FFF2-40B4-BE49-F238E27FC236}">
                  <a16:creationId xmlns:a16="http://schemas.microsoft.com/office/drawing/2014/main" id="{00000000-0008-0000-2200-0000144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313</xdr:row>
          <xdr:rowOff>0</xdr:rowOff>
        </xdr:from>
        <xdr:to>
          <xdr:col>5</xdr:col>
          <xdr:colOff>0</xdr:colOff>
          <xdr:row>314</xdr:row>
          <xdr:rowOff>0</xdr:rowOff>
        </xdr:to>
        <xdr:sp macro="" textlink="">
          <xdr:nvSpPr>
            <xdr:cNvPr id="672793" name="bpmDropDownLVL2_ACTV_91" hidden="1">
              <a:extLst>
                <a:ext uri="{63B3BB69-23CF-44E3-9099-C40C66FF867C}">
                  <a14:compatExt spid="_x0000_s672793"/>
                </a:ext>
                <a:ext uri="{FF2B5EF4-FFF2-40B4-BE49-F238E27FC236}">
                  <a16:creationId xmlns:a16="http://schemas.microsoft.com/office/drawing/2014/main" id="{00000000-0008-0000-2200-0000194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14</xdr:row>
          <xdr:rowOff>0</xdr:rowOff>
        </xdr:from>
        <xdr:to>
          <xdr:col>5</xdr:col>
          <xdr:colOff>0</xdr:colOff>
          <xdr:row>15</xdr:row>
          <xdr:rowOff>0</xdr:rowOff>
        </xdr:to>
        <xdr:sp macro="" textlink="">
          <xdr:nvSpPr>
            <xdr:cNvPr id="646145" name="bpmDropDownTOP_ACTV_31" hidden="1">
              <a:extLst>
                <a:ext uri="{63B3BB69-23CF-44E3-9099-C40C66FF867C}">
                  <a14:compatExt spid="_x0000_s646145"/>
                </a:ext>
                <a:ext uri="{FF2B5EF4-FFF2-40B4-BE49-F238E27FC236}">
                  <a16:creationId xmlns:a16="http://schemas.microsoft.com/office/drawing/2014/main" id="{00000000-0008-0000-2300-000001D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307</xdr:row>
          <xdr:rowOff>0</xdr:rowOff>
        </xdr:from>
        <xdr:to>
          <xdr:col>5</xdr:col>
          <xdr:colOff>0</xdr:colOff>
          <xdr:row>308</xdr:row>
          <xdr:rowOff>0</xdr:rowOff>
        </xdr:to>
        <xdr:sp macro="" textlink="">
          <xdr:nvSpPr>
            <xdr:cNvPr id="646159" name="bpmDropDownLVL2_ACTV_31" hidden="1">
              <a:extLst>
                <a:ext uri="{63B3BB69-23CF-44E3-9099-C40C66FF867C}">
                  <a14:compatExt spid="_x0000_s646159"/>
                </a:ext>
                <a:ext uri="{FF2B5EF4-FFF2-40B4-BE49-F238E27FC236}">
                  <a16:creationId xmlns:a16="http://schemas.microsoft.com/office/drawing/2014/main" id="{00000000-0008-0000-2300-00000FD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111</xdr:row>
          <xdr:rowOff>0</xdr:rowOff>
        </xdr:from>
        <xdr:to>
          <xdr:col>5</xdr:col>
          <xdr:colOff>0</xdr:colOff>
          <xdr:row>112</xdr:row>
          <xdr:rowOff>0</xdr:rowOff>
        </xdr:to>
        <xdr:sp macro="" textlink="">
          <xdr:nvSpPr>
            <xdr:cNvPr id="646164" name="bpmDropDownTOP_ACTV_101" hidden="1">
              <a:extLst>
                <a:ext uri="{63B3BB69-23CF-44E3-9099-C40C66FF867C}">
                  <a14:compatExt spid="_x0000_s646164"/>
                </a:ext>
                <a:ext uri="{FF2B5EF4-FFF2-40B4-BE49-F238E27FC236}">
                  <a16:creationId xmlns:a16="http://schemas.microsoft.com/office/drawing/2014/main" id="{00000000-0008-0000-2300-000014D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208</xdr:row>
          <xdr:rowOff>0</xdr:rowOff>
        </xdr:from>
        <xdr:to>
          <xdr:col>5</xdr:col>
          <xdr:colOff>0</xdr:colOff>
          <xdr:row>209</xdr:row>
          <xdr:rowOff>0</xdr:rowOff>
        </xdr:to>
        <xdr:sp macro="" textlink="">
          <xdr:nvSpPr>
            <xdr:cNvPr id="646169" name="bpmDropDownTOP_ACTV_111" hidden="1">
              <a:extLst>
                <a:ext uri="{63B3BB69-23CF-44E3-9099-C40C66FF867C}">
                  <a14:compatExt spid="_x0000_s646169"/>
                </a:ext>
                <a:ext uri="{FF2B5EF4-FFF2-40B4-BE49-F238E27FC236}">
                  <a16:creationId xmlns:a16="http://schemas.microsoft.com/office/drawing/2014/main" id="{00000000-0008-0000-2300-000019D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406</xdr:row>
          <xdr:rowOff>0</xdr:rowOff>
        </xdr:from>
        <xdr:to>
          <xdr:col>5</xdr:col>
          <xdr:colOff>0</xdr:colOff>
          <xdr:row>407</xdr:row>
          <xdr:rowOff>0</xdr:rowOff>
        </xdr:to>
        <xdr:sp macro="" textlink="">
          <xdr:nvSpPr>
            <xdr:cNvPr id="646189" name="bpmDropDownLVL2_ACTV_181" hidden="1">
              <a:extLst>
                <a:ext uri="{63B3BB69-23CF-44E3-9099-C40C66FF867C}">
                  <a14:compatExt spid="_x0000_s646189"/>
                </a:ext>
                <a:ext uri="{FF2B5EF4-FFF2-40B4-BE49-F238E27FC236}">
                  <a16:creationId xmlns:a16="http://schemas.microsoft.com/office/drawing/2014/main" id="{00000000-0008-0000-2300-00002DD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505</xdr:row>
          <xdr:rowOff>0</xdr:rowOff>
        </xdr:from>
        <xdr:to>
          <xdr:col>5</xdr:col>
          <xdr:colOff>0</xdr:colOff>
          <xdr:row>506</xdr:row>
          <xdr:rowOff>0</xdr:rowOff>
        </xdr:to>
        <xdr:sp macro="" textlink="">
          <xdr:nvSpPr>
            <xdr:cNvPr id="646194" name="bpmDropDownLVL2_ACTV_191" hidden="1">
              <a:extLst>
                <a:ext uri="{63B3BB69-23CF-44E3-9099-C40C66FF867C}">
                  <a14:compatExt spid="_x0000_s646194"/>
                </a:ext>
                <a:ext uri="{FF2B5EF4-FFF2-40B4-BE49-F238E27FC236}">
                  <a16:creationId xmlns:a16="http://schemas.microsoft.com/office/drawing/2014/main" id="{00000000-0008-0000-2300-000032D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14</xdr:row>
          <xdr:rowOff>0</xdr:rowOff>
        </xdr:from>
        <xdr:to>
          <xdr:col>5</xdr:col>
          <xdr:colOff>0</xdr:colOff>
          <xdr:row>15</xdr:row>
          <xdr:rowOff>0</xdr:rowOff>
        </xdr:to>
        <xdr:sp macro="" textlink="">
          <xdr:nvSpPr>
            <xdr:cNvPr id="640001" name="bpmDropDownTOP_ACTV_41" hidden="1">
              <a:extLst>
                <a:ext uri="{63B3BB69-23CF-44E3-9099-C40C66FF867C}">
                  <a14:compatExt spid="_x0000_s640001"/>
                </a:ext>
                <a:ext uri="{FF2B5EF4-FFF2-40B4-BE49-F238E27FC236}">
                  <a16:creationId xmlns:a16="http://schemas.microsoft.com/office/drawing/2014/main" id="{00000000-0008-0000-2400-000001C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307</xdr:row>
          <xdr:rowOff>0</xdr:rowOff>
        </xdr:from>
        <xdr:to>
          <xdr:col>5</xdr:col>
          <xdr:colOff>0</xdr:colOff>
          <xdr:row>308</xdr:row>
          <xdr:rowOff>0</xdr:rowOff>
        </xdr:to>
        <xdr:sp macro="" textlink="">
          <xdr:nvSpPr>
            <xdr:cNvPr id="640015" name="bpmDropDownLVL2_ACTV_41" hidden="1">
              <a:extLst>
                <a:ext uri="{63B3BB69-23CF-44E3-9099-C40C66FF867C}">
                  <a14:compatExt spid="_x0000_s640015"/>
                </a:ext>
                <a:ext uri="{FF2B5EF4-FFF2-40B4-BE49-F238E27FC236}">
                  <a16:creationId xmlns:a16="http://schemas.microsoft.com/office/drawing/2014/main" id="{00000000-0008-0000-2400-00000FC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111</xdr:row>
          <xdr:rowOff>0</xdr:rowOff>
        </xdr:from>
        <xdr:to>
          <xdr:col>5</xdr:col>
          <xdr:colOff>0</xdr:colOff>
          <xdr:row>112</xdr:row>
          <xdr:rowOff>0</xdr:rowOff>
        </xdr:to>
        <xdr:sp macro="" textlink="">
          <xdr:nvSpPr>
            <xdr:cNvPr id="640020" name="bpmDropDownTOP_ACTV_151" hidden="1">
              <a:extLst>
                <a:ext uri="{63B3BB69-23CF-44E3-9099-C40C66FF867C}">
                  <a14:compatExt spid="_x0000_s640020"/>
                </a:ext>
                <a:ext uri="{FF2B5EF4-FFF2-40B4-BE49-F238E27FC236}">
                  <a16:creationId xmlns:a16="http://schemas.microsoft.com/office/drawing/2014/main" id="{00000000-0008-0000-2400-000014C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208</xdr:row>
          <xdr:rowOff>0</xdr:rowOff>
        </xdr:from>
        <xdr:to>
          <xdr:col>5</xdr:col>
          <xdr:colOff>0</xdr:colOff>
          <xdr:row>209</xdr:row>
          <xdr:rowOff>0</xdr:rowOff>
        </xdr:to>
        <xdr:sp macro="" textlink="">
          <xdr:nvSpPr>
            <xdr:cNvPr id="640025" name="bpmDropDownTOP_ACTV_161" hidden="1">
              <a:extLst>
                <a:ext uri="{63B3BB69-23CF-44E3-9099-C40C66FF867C}">
                  <a14:compatExt spid="_x0000_s640025"/>
                </a:ext>
                <a:ext uri="{FF2B5EF4-FFF2-40B4-BE49-F238E27FC236}">
                  <a16:creationId xmlns:a16="http://schemas.microsoft.com/office/drawing/2014/main" id="{00000000-0008-0000-2400-000019C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406</xdr:row>
          <xdr:rowOff>0</xdr:rowOff>
        </xdr:from>
        <xdr:to>
          <xdr:col>5</xdr:col>
          <xdr:colOff>0</xdr:colOff>
          <xdr:row>407</xdr:row>
          <xdr:rowOff>0</xdr:rowOff>
        </xdr:to>
        <xdr:sp macro="" textlink="">
          <xdr:nvSpPr>
            <xdr:cNvPr id="640030" name="bpmDropDownLVL2_ACTV_101" hidden="1">
              <a:extLst>
                <a:ext uri="{63B3BB69-23CF-44E3-9099-C40C66FF867C}">
                  <a14:compatExt spid="_x0000_s640030"/>
                </a:ext>
                <a:ext uri="{FF2B5EF4-FFF2-40B4-BE49-F238E27FC236}">
                  <a16:creationId xmlns:a16="http://schemas.microsoft.com/office/drawing/2014/main" id="{00000000-0008-0000-2400-00001EC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505</xdr:row>
          <xdr:rowOff>0</xdr:rowOff>
        </xdr:from>
        <xdr:to>
          <xdr:col>5</xdr:col>
          <xdr:colOff>0</xdr:colOff>
          <xdr:row>506</xdr:row>
          <xdr:rowOff>0</xdr:rowOff>
        </xdr:to>
        <xdr:sp macro="" textlink="">
          <xdr:nvSpPr>
            <xdr:cNvPr id="640035" name="bpmDropDownLVL2_ACTV_111" hidden="1">
              <a:extLst>
                <a:ext uri="{63B3BB69-23CF-44E3-9099-C40C66FF867C}">
                  <a14:compatExt spid="_x0000_s640035"/>
                </a:ext>
                <a:ext uri="{FF2B5EF4-FFF2-40B4-BE49-F238E27FC236}">
                  <a16:creationId xmlns:a16="http://schemas.microsoft.com/office/drawing/2014/main" id="{00000000-0008-0000-2400-000023C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604</xdr:row>
          <xdr:rowOff>0</xdr:rowOff>
        </xdr:from>
        <xdr:to>
          <xdr:col>5</xdr:col>
          <xdr:colOff>0</xdr:colOff>
          <xdr:row>605</xdr:row>
          <xdr:rowOff>0</xdr:rowOff>
        </xdr:to>
        <xdr:sp macro="" textlink="">
          <xdr:nvSpPr>
            <xdr:cNvPr id="640040" name="bpmDropDownLVL2_ACTV_81" hidden="1">
              <a:extLst>
                <a:ext uri="{63B3BB69-23CF-44E3-9099-C40C66FF867C}">
                  <a14:compatExt spid="_x0000_s640040"/>
                </a:ext>
                <a:ext uri="{FF2B5EF4-FFF2-40B4-BE49-F238E27FC236}">
                  <a16:creationId xmlns:a16="http://schemas.microsoft.com/office/drawing/2014/main" id="{00000000-0008-0000-2400-000028C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703</xdr:row>
          <xdr:rowOff>0</xdr:rowOff>
        </xdr:from>
        <xdr:to>
          <xdr:col>5</xdr:col>
          <xdr:colOff>0</xdr:colOff>
          <xdr:row>704</xdr:row>
          <xdr:rowOff>0</xdr:rowOff>
        </xdr:to>
        <xdr:sp macro="" textlink="">
          <xdr:nvSpPr>
            <xdr:cNvPr id="640045" name="bpmDropDownLVL2_ACTV_211" hidden="1">
              <a:extLst>
                <a:ext uri="{63B3BB69-23CF-44E3-9099-C40C66FF867C}">
                  <a14:compatExt spid="_x0000_s640045"/>
                </a:ext>
                <a:ext uri="{FF2B5EF4-FFF2-40B4-BE49-F238E27FC236}">
                  <a16:creationId xmlns:a16="http://schemas.microsoft.com/office/drawing/2014/main" id="{00000000-0008-0000-2400-00002DC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14</xdr:row>
          <xdr:rowOff>0</xdr:rowOff>
        </xdr:from>
        <xdr:to>
          <xdr:col>5</xdr:col>
          <xdr:colOff>0</xdr:colOff>
          <xdr:row>15</xdr:row>
          <xdr:rowOff>0</xdr:rowOff>
        </xdr:to>
        <xdr:sp macro="" textlink="">
          <xdr:nvSpPr>
            <xdr:cNvPr id="611358" name="bpmDropDownTOP_ACTV_51" hidden="1">
              <a:extLst>
                <a:ext uri="{63B3BB69-23CF-44E3-9099-C40C66FF867C}">
                  <a14:compatExt spid="_x0000_s611358"/>
                </a:ext>
                <a:ext uri="{FF2B5EF4-FFF2-40B4-BE49-F238E27FC236}">
                  <a16:creationId xmlns:a16="http://schemas.microsoft.com/office/drawing/2014/main" id="{00000000-0008-0000-2500-00001E5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404</xdr:row>
          <xdr:rowOff>0</xdr:rowOff>
        </xdr:from>
        <xdr:to>
          <xdr:col>5</xdr:col>
          <xdr:colOff>0</xdr:colOff>
          <xdr:row>405</xdr:row>
          <xdr:rowOff>0</xdr:rowOff>
        </xdr:to>
        <xdr:sp macro="" textlink="">
          <xdr:nvSpPr>
            <xdr:cNvPr id="611368" name="bpmDropDownLVL2_ACTV_51" hidden="1">
              <a:extLst>
                <a:ext uri="{63B3BB69-23CF-44E3-9099-C40C66FF867C}">
                  <a14:compatExt spid="_x0000_s611368"/>
                </a:ext>
                <a:ext uri="{FF2B5EF4-FFF2-40B4-BE49-F238E27FC236}">
                  <a16:creationId xmlns:a16="http://schemas.microsoft.com/office/drawing/2014/main" id="{00000000-0008-0000-2500-0000285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111</xdr:row>
          <xdr:rowOff>0</xdr:rowOff>
        </xdr:from>
        <xdr:to>
          <xdr:col>5</xdr:col>
          <xdr:colOff>0</xdr:colOff>
          <xdr:row>112</xdr:row>
          <xdr:rowOff>0</xdr:rowOff>
        </xdr:to>
        <xdr:sp macro="" textlink="">
          <xdr:nvSpPr>
            <xdr:cNvPr id="611373" name="bpmDropDownTOP_ACTV_171" hidden="1">
              <a:extLst>
                <a:ext uri="{63B3BB69-23CF-44E3-9099-C40C66FF867C}">
                  <a14:compatExt spid="_x0000_s611373"/>
                </a:ext>
                <a:ext uri="{FF2B5EF4-FFF2-40B4-BE49-F238E27FC236}">
                  <a16:creationId xmlns:a16="http://schemas.microsoft.com/office/drawing/2014/main" id="{00000000-0008-0000-2500-00002D5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208</xdr:row>
          <xdr:rowOff>0</xdr:rowOff>
        </xdr:from>
        <xdr:to>
          <xdr:col>5</xdr:col>
          <xdr:colOff>0</xdr:colOff>
          <xdr:row>209</xdr:row>
          <xdr:rowOff>0</xdr:rowOff>
        </xdr:to>
        <xdr:sp macro="" textlink="">
          <xdr:nvSpPr>
            <xdr:cNvPr id="611378" name="bpmDropDownTOP_ACTV_181" hidden="1">
              <a:extLst>
                <a:ext uri="{63B3BB69-23CF-44E3-9099-C40C66FF867C}">
                  <a14:compatExt spid="_x0000_s611378"/>
                </a:ext>
                <a:ext uri="{FF2B5EF4-FFF2-40B4-BE49-F238E27FC236}">
                  <a16:creationId xmlns:a16="http://schemas.microsoft.com/office/drawing/2014/main" id="{00000000-0008-0000-2500-0000325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503</xdr:row>
          <xdr:rowOff>0</xdr:rowOff>
        </xdr:from>
        <xdr:to>
          <xdr:col>5</xdr:col>
          <xdr:colOff>0</xdr:colOff>
          <xdr:row>504</xdr:row>
          <xdr:rowOff>0</xdr:rowOff>
        </xdr:to>
        <xdr:sp macro="" textlink="">
          <xdr:nvSpPr>
            <xdr:cNvPr id="611383" name="bpmDropDownLVL2_ACTV_141" hidden="1">
              <a:extLst>
                <a:ext uri="{63B3BB69-23CF-44E3-9099-C40C66FF867C}">
                  <a14:compatExt spid="_x0000_s611383"/>
                </a:ext>
                <a:ext uri="{FF2B5EF4-FFF2-40B4-BE49-F238E27FC236}">
                  <a16:creationId xmlns:a16="http://schemas.microsoft.com/office/drawing/2014/main" id="{00000000-0008-0000-2500-0000375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602</xdr:row>
          <xdr:rowOff>0</xdr:rowOff>
        </xdr:from>
        <xdr:to>
          <xdr:col>5</xdr:col>
          <xdr:colOff>0</xdr:colOff>
          <xdr:row>603</xdr:row>
          <xdr:rowOff>0</xdr:rowOff>
        </xdr:to>
        <xdr:sp macro="" textlink="">
          <xdr:nvSpPr>
            <xdr:cNvPr id="611388" name="bpmDropDownLVL2_ACTV_151" hidden="1">
              <a:extLst>
                <a:ext uri="{63B3BB69-23CF-44E3-9099-C40C66FF867C}">
                  <a14:compatExt spid="_x0000_s611388"/>
                </a:ext>
                <a:ext uri="{FF2B5EF4-FFF2-40B4-BE49-F238E27FC236}">
                  <a16:creationId xmlns:a16="http://schemas.microsoft.com/office/drawing/2014/main" id="{00000000-0008-0000-2500-00003C5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305</xdr:row>
          <xdr:rowOff>0</xdr:rowOff>
        </xdr:from>
        <xdr:to>
          <xdr:col>5</xdr:col>
          <xdr:colOff>0</xdr:colOff>
          <xdr:row>306</xdr:row>
          <xdr:rowOff>0</xdr:rowOff>
        </xdr:to>
        <xdr:sp macro="" textlink="">
          <xdr:nvSpPr>
            <xdr:cNvPr id="611393" name="bpmDropDownTOP_ACTV_81" hidden="1">
              <a:extLst>
                <a:ext uri="{63B3BB69-23CF-44E3-9099-C40C66FF867C}">
                  <a14:compatExt spid="_x0000_s611393"/>
                </a:ext>
                <a:ext uri="{FF2B5EF4-FFF2-40B4-BE49-F238E27FC236}">
                  <a16:creationId xmlns:a16="http://schemas.microsoft.com/office/drawing/2014/main" id="{00000000-0008-0000-2500-0000415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307</xdr:row>
          <xdr:rowOff>0</xdr:rowOff>
        </xdr:from>
        <xdr:to>
          <xdr:col>5</xdr:col>
          <xdr:colOff>0</xdr:colOff>
          <xdr:row>308</xdr:row>
          <xdr:rowOff>0</xdr:rowOff>
        </xdr:to>
        <xdr:sp macro="" textlink="">
          <xdr:nvSpPr>
            <xdr:cNvPr id="821257" name="bpmDropDownLVL2_ACTV_71" hidden="1">
              <a:extLst>
                <a:ext uri="{63B3BB69-23CF-44E3-9099-C40C66FF867C}">
                  <a14:compatExt spid="_x0000_s821257"/>
                </a:ext>
                <a:ext uri="{FF2B5EF4-FFF2-40B4-BE49-F238E27FC236}">
                  <a16:creationId xmlns:a16="http://schemas.microsoft.com/office/drawing/2014/main" id="{00000000-0008-0000-2600-0000098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14</xdr:row>
          <xdr:rowOff>0</xdr:rowOff>
        </xdr:from>
        <xdr:to>
          <xdr:col>5</xdr:col>
          <xdr:colOff>0</xdr:colOff>
          <xdr:row>15</xdr:row>
          <xdr:rowOff>0</xdr:rowOff>
        </xdr:to>
        <xdr:sp macro="" textlink="">
          <xdr:nvSpPr>
            <xdr:cNvPr id="821258" name="bpmDropDownTOP_ACTV_61" hidden="1">
              <a:extLst>
                <a:ext uri="{63B3BB69-23CF-44E3-9099-C40C66FF867C}">
                  <a14:compatExt spid="_x0000_s821258"/>
                </a:ext>
                <a:ext uri="{FF2B5EF4-FFF2-40B4-BE49-F238E27FC236}">
                  <a16:creationId xmlns:a16="http://schemas.microsoft.com/office/drawing/2014/main" id="{00000000-0008-0000-2600-00000A8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208</xdr:row>
          <xdr:rowOff>0</xdr:rowOff>
        </xdr:from>
        <xdr:to>
          <xdr:col>5</xdr:col>
          <xdr:colOff>0</xdr:colOff>
          <xdr:row>209</xdr:row>
          <xdr:rowOff>0</xdr:rowOff>
        </xdr:to>
        <xdr:sp macro="" textlink="">
          <xdr:nvSpPr>
            <xdr:cNvPr id="821263" name="bpmDropDownTOP_ACTV_191" hidden="1">
              <a:extLst>
                <a:ext uri="{63B3BB69-23CF-44E3-9099-C40C66FF867C}">
                  <a14:compatExt spid="_x0000_s821263"/>
                </a:ext>
                <a:ext uri="{FF2B5EF4-FFF2-40B4-BE49-F238E27FC236}">
                  <a16:creationId xmlns:a16="http://schemas.microsoft.com/office/drawing/2014/main" id="{00000000-0008-0000-2600-00000F8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111</xdr:row>
          <xdr:rowOff>0</xdr:rowOff>
        </xdr:from>
        <xdr:to>
          <xdr:col>5</xdr:col>
          <xdr:colOff>0</xdr:colOff>
          <xdr:row>112</xdr:row>
          <xdr:rowOff>0</xdr:rowOff>
        </xdr:to>
        <xdr:sp macro="" textlink="">
          <xdr:nvSpPr>
            <xdr:cNvPr id="821268" name="bpmDropDownTOP_ACTV_201" hidden="1">
              <a:extLst>
                <a:ext uri="{63B3BB69-23CF-44E3-9099-C40C66FF867C}">
                  <a14:compatExt spid="_x0000_s821268"/>
                </a:ext>
                <a:ext uri="{FF2B5EF4-FFF2-40B4-BE49-F238E27FC236}">
                  <a16:creationId xmlns:a16="http://schemas.microsoft.com/office/drawing/2014/main" id="{00000000-0008-0000-2600-0000148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406</xdr:row>
          <xdr:rowOff>0</xdr:rowOff>
        </xdr:from>
        <xdr:to>
          <xdr:col>5</xdr:col>
          <xdr:colOff>0</xdr:colOff>
          <xdr:row>407</xdr:row>
          <xdr:rowOff>0</xdr:rowOff>
        </xdr:to>
        <xdr:sp macro="" textlink="">
          <xdr:nvSpPr>
            <xdr:cNvPr id="821273" name="bpmDropDownLVL2_ACTV_161" hidden="1">
              <a:extLst>
                <a:ext uri="{63B3BB69-23CF-44E3-9099-C40C66FF867C}">
                  <a14:compatExt spid="_x0000_s821273"/>
                </a:ext>
                <a:ext uri="{FF2B5EF4-FFF2-40B4-BE49-F238E27FC236}">
                  <a16:creationId xmlns:a16="http://schemas.microsoft.com/office/drawing/2014/main" id="{00000000-0008-0000-2600-0000198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</xdr:row>
          <xdr:rowOff>0</xdr:rowOff>
        </xdr:from>
        <xdr:to>
          <xdr:col>7</xdr:col>
          <xdr:colOff>0</xdr:colOff>
          <xdr:row>6</xdr:row>
          <xdr:rowOff>0</xdr:rowOff>
        </xdr:to>
        <xdr:sp macro="" textlink="">
          <xdr:nvSpPr>
            <xdr:cNvPr id="1043" name="CheckBox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27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Include summary in model name?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212</xdr:row>
          <xdr:rowOff>0</xdr:rowOff>
        </xdr:from>
        <xdr:to>
          <xdr:col>7</xdr:col>
          <xdr:colOff>0</xdr:colOff>
          <xdr:row>213</xdr:row>
          <xdr:rowOff>0</xdr:rowOff>
        </xdr:to>
        <xdr:sp macro="" textlink="">
          <xdr:nvSpPr>
            <xdr:cNvPr id="1045" name="CheckBox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27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Include summary in model name?</a:t>
              </a:r>
            </a:p>
          </xdr:txBody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752476</xdr:colOff>
      <xdr:row>1</xdr:row>
      <xdr:rowOff>57151</xdr:rowOff>
    </xdr:from>
    <xdr:to>
      <xdr:col>8</xdr:col>
      <xdr:colOff>365751</xdr:colOff>
      <xdr:row>7</xdr:row>
      <xdr:rowOff>42827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3526" y="209551"/>
          <a:ext cx="2947025" cy="9000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704850</xdr:colOff>
      <xdr:row>1</xdr:row>
      <xdr:rowOff>114300</xdr:rowOff>
    </xdr:from>
    <xdr:to>
      <xdr:col>8</xdr:col>
      <xdr:colOff>327502</xdr:colOff>
      <xdr:row>7</xdr:row>
      <xdr:rowOff>116852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266700"/>
          <a:ext cx="2956402" cy="9169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0</xdr:row>
          <xdr:rowOff>47625</xdr:rowOff>
        </xdr:from>
        <xdr:to>
          <xdr:col>6</xdr:col>
          <xdr:colOff>0</xdr:colOff>
          <xdr:row>2</xdr:row>
          <xdr:rowOff>0</xdr:rowOff>
        </xdr:to>
        <xdr:sp macro="" textlink="">
          <xdr:nvSpPr>
            <xdr:cNvPr id="752641" name="DropDown" hidden="1">
              <a:extLst>
                <a:ext uri="{63B3BB69-23CF-44E3-9099-C40C66FF867C}">
                  <a14:compatExt spid="_x0000_s752641"/>
                </a:ext>
                <a:ext uri="{FF2B5EF4-FFF2-40B4-BE49-F238E27FC236}">
                  <a16:creationId xmlns:a16="http://schemas.microsoft.com/office/drawing/2014/main" id="{00000000-0008-0000-0500-0000017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1196433</xdr:colOff>
      <xdr:row>5</xdr:row>
      <xdr:rowOff>19050</xdr:rowOff>
    </xdr:from>
    <xdr:to>
      <xdr:col>12</xdr:col>
      <xdr:colOff>1289360</xdr:colOff>
      <xdr:row>19</xdr:row>
      <xdr:rowOff>285751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104775</xdr:colOff>
      <xdr:row>6</xdr:row>
      <xdr:rowOff>47625</xdr:rowOff>
    </xdr:from>
    <xdr:to>
      <xdr:col>2</xdr:col>
      <xdr:colOff>780931</xdr:colOff>
      <xdr:row>7</xdr:row>
      <xdr:rowOff>276106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50" y="1123950"/>
          <a:ext cx="676156" cy="676156"/>
        </a:xfrm>
        <a:prstGeom prst="rect">
          <a:avLst/>
        </a:prstGeom>
      </xdr:spPr>
    </xdr:pic>
    <xdr:clientData/>
  </xdr:twoCellAnchor>
  <xdr:twoCellAnchor>
    <xdr:from>
      <xdr:col>2</xdr:col>
      <xdr:colOff>133350</xdr:colOff>
      <xdr:row>9</xdr:row>
      <xdr:rowOff>28575</xdr:rowOff>
    </xdr:from>
    <xdr:to>
      <xdr:col>2</xdr:col>
      <xdr:colOff>714375</xdr:colOff>
      <xdr:row>10</xdr:row>
      <xdr:rowOff>247650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47825" y="2828925"/>
          <a:ext cx="581025" cy="5810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2238375</xdr:colOff>
          <xdr:row>16</xdr:row>
          <xdr:rowOff>0</xdr:rowOff>
        </xdr:from>
        <xdr:to>
          <xdr:col>4</xdr:col>
          <xdr:colOff>0</xdr:colOff>
          <xdr:row>17</xdr:row>
          <xdr:rowOff>0</xdr:rowOff>
        </xdr:to>
        <xdr:sp macro="" textlink="">
          <xdr:nvSpPr>
            <xdr:cNvPr id="752645" name="Drop Down 3" hidden="1">
              <a:extLst>
                <a:ext uri="{63B3BB69-23CF-44E3-9099-C40C66FF867C}">
                  <a14:compatExt spid="_x0000_s752645"/>
                </a:ext>
                <a:ext uri="{FF2B5EF4-FFF2-40B4-BE49-F238E27FC236}">
                  <a16:creationId xmlns:a16="http://schemas.microsoft.com/office/drawing/2014/main" id="{00000000-0008-0000-0500-0000057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257175</xdr:colOff>
      <xdr:row>83</xdr:row>
      <xdr:rowOff>123825</xdr:rowOff>
    </xdr:from>
    <xdr:to>
      <xdr:col>1</xdr:col>
      <xdr:colOff>933331</xdr:colOff>
      <xdr:row>88</xdr:row>
      <xdr:rowOff>37981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4825" y="15059025"/>
          <a:ext cx="676156" cy="676156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90</xdr:row>
      <xdr:rowOff>28575</xdr:rowOff>
    </xdr:from>
    <xdr:to>
      <xdr:col>1</xdr:col>
      <xdr:colOff>866775</xdr:colOff>
      <xdr:row>92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" y="16030575"/>
          <a:ext cx="581025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95</xdr:row>
      <xdr:rowOff>47625</xdr:rowOff>
    </xdr:from>
    <xdr:to>
      <xdr:col>1</xdr:col>
      <xdr:colOff>847606</xdr:colOff>
      <xdr:row>97</xdr:row>
      <xdr:rowOff>18931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4350" y="16964025"/>
          <a:ext cx="580906" cy="580906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12</xdr:row>
      <xdr:rowOff>47625</xdr:rowOff>
    </xdr:from>
    <xdr:to>
      <xdr:col>2</xdr:col>
      <xdr:colOff>647581</xdr:colOff>
      <xdr:row>13</xdr:row>
      <xdr:rowOff>285630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81150" y="3000375"/>
          <a:ext cx="580906" cy="580906"/>
        </a:xfrm>
        <a:prstGeom prst="rect">
          <a:avLst/>
        </a:prstGeom>
      </xdr:spPr>
    </xdr:pic>
    <xdr:clientData/>
  </xdr:twoCellAnchor>
  <xdr:twoCellAnchor>
    <xdr:from>
      <xdr:col>1</xdr:col>
      <xdr:colOff>57149</xdr:colOff>
      <xdr:row>16</xdr:row>
      <xdr:rowOff>171450</xdr:rowOff>
    </xdr:from>
    <xdr:to>
      <xdr:col>1</xdr:col>
      <xdr:colOff>1104900</xdr:colOff>
      <xdr:row>20</xdr:row>
      <xdr:rowOff>19050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pSpPr/>
      </xdr:nvGrpSpPr>
      <xdr:grpSpPr>
        <a:xfrm>
          <a:off x="307180" y="4529138"/>
          <a:ext cx="1047751" cy="1038225"/>
          <a:chOff x="247651" y="4257675"/>
          <a:chExt cx="1200150" cy="1219200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90575" y="4886325"/>
            <a:ext cx="476131" cy="476131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419100" y="4381500"/>
            <a:ext cx="485775" cy="485775"/>
          </a:xfrm>
          <a:prstGeom prst="rect">
            <a:avLst/>
          </a:prstGeom>
        </xdr:spPr>
      </xdr:pic>
      <xdr:cxnSp macro="">
        <xdr:nvCxnSpPr>
          <xdr:cNvPr id="9" name="Straight Connector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CxnSpPr/>
        </xdr:nvCxnSpPr>
        <xdr:spPr>
          <a:xfrm flipV="1">
            <a:off x="419100" y="4600575"/>
            <a:ext cx="790575" cy="638175"/>
          </a:xfrm>
          <a:prstGeom prst="line">
            <a:avLst/>
          </a:prstGeom>
          <a:ln w="57150">
            <a:solidFill>
              <a:srgbClr val="00B0F0"/>
            </a:solidFill>
          </a:ln>
        </xdr:spPr>
        <xdr:style>
          <a:lnRef idx="1">
            <a:schemeClr val="accent5"/>
          </a:lnRef>
          <a:fillRef idx="0">
            <a:schemeClr val="accent5"/>
          </a:fillRef>
          <a:effectRef idx="0">
            <a:schemeClr val="accent5"/>
          </a:effectRef>
          <a:fontRef idx="minor">
            <a:schemeClr val="tx1"/>
          </a:fontRef>
        </xdr:style>
      </xdr:cxnSp>
      <xdr:sp macro="" textlink="">
        <xdr:nvSpPr>
          <xdr:cNvPr id="10" name="Rounded Rectangle 9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/>
        </xdr:nvSpPr>
        <xdr:spPr>
          <a:xfrm>
            <a:off x="247651" y="4257675"/>
            <a:ext cx="1200150" cy="1219200"/>
          </a:xfrm>
          <a:prstGeom prst="roundRect">
            <a:avLst/>
          </a:prstGeom>
          <a:noFill/>
          <a:ln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7</xdr:col>
      <xdr:colOff>466725</xdr:colOff>
      <xdr:row>8</xdr:row>
      <xdr:rowOff>9525</xdr:rowOff>
    </xdr:from>
    <xdr:to>
      <xdr:col>7</xdr:col>
      <xdr:colOff>1323861</xdr:colOff>
      <xdr:row>11</xdr:row>
      <xdr:rowOff>37987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886950" y="1952625"/>
          <a:ext cx="857136" cy="85713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</xdr:row>
      <xdr:rowOff>57150</xdr:rowOff>
    </xdr:from>
    <xdr:to>
      <xdr:col>1</xdr:col>
      <xdr:colOff>1066676</xdr:colOff>
      <xdr:row>10</xdr:row>
      <xdr:rowOff>114175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3850" y="1590675"/>
          <a:ext cx="990476" cy="9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34</xdr:row>
      <xdr:rowOff>76200</xdr:rowOff>
    </xdr:from>
    <xdr:to>
      <xdr:col>1</xdr:col>
      <xdr:colOff>980961</xdr:colOff>
      <xdr:row>40</xdr:row>
      <xdr:rowOff>18935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4325" y="7905750"/>
          <a:ext cx="914286" cy="914286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61</xdr:row>
      <xdr:rowOff>66674</xdr:rowOff>
    </xdr:from>
    <xdr:to>
      <xdr:col>1</xdr:col>
      <xdr:colOff>1047749</xdr:colOff>
      <xdr:row>67</xdr:row>
      <xdr:rowOff>152399</xdr:rowOff>
    </xdr:to>
    <xdr:grpSp>
      <xdr:nvGrpSpPr>
        <xdr:cNvPr id="27" name="Group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GrpSpPr/>
      </xdr:nvGrpSpPr>
      <xdr:grpSpPr>
        <a:xfrm>
          <a:off x="316705" y="12532518"/>
          <a:ext cx="981075" cy="1014412"/>
          <a:chOff x="247651" y="4257675"/>
          <a:chExt cx="1200150" cy="1219200"/>
        </a:xfrm>
      </xdr:grpSpPr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00000000-0008-0000-05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90575" y="4886325"/>
            <a:ext cx="476131" cy="476131"/>
          </a:xfrm>
          <a:prstGeom prst="rect">
            <a:avLst/>
          </a:prstGeom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00000000-0008-0000-05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419100" y="4381500"/>
            <a:ext cx="485775" cy="485775"/>
          </a:xfrm>
          <a:prstGeom prst="rect">
            <a:avLst/>
          </a:prstGeom>
        </xdr:spPr>
      </xdr:pic>
      <xdr:cxnSp macro="">
        <xdr:nvCxnSpPr>
          <xdr:cNvPr id="30" name="Straight Connector 29">
            <a:extLst>
              <a:ext uri="{FF2B5EF4-FFF2-40B4-BE49-F238E27FC236}">
                <a16:creationId xmlns:a16="http://schemas.microsoft.com/office/drawing/2014/main" id="{00000000-0008-0000-0500-00001E000000}"/>
              </a:ext>
            </a:extLst>
          </xdr:cNvPr>
          <xdr:cNvCxnSpPr/>
        </xdr:nvCxnSpPr>
        <xdr:spPr>
          <a:xfrm flipV="1">
            <a:off x="419100" y="4600575"/>
            <a:ext cx="790575" cy="638175"/>
          </a:xfrm>
          <a:prstGeom prst="line">
            <a:avLst/>
          </a:prstGeom>
          <a:ln w="57150">
            <a:solidFill>
              <a:srgbClr val="00B0F0"/>
            </a:solidFill>
          </a:ln>
        </xdr:spPr>
        <xdr:style>
          <a:lnRef idx="1">
            <a:schemeClr val="accent5"/>
          </a:lnRef>
          <a:fillRef idx="0">
            <a:schemeClr val="accent5"/>
          </a:fillRef>
          <a:effectRef idx="0">
            <a:schemeClr val="accent5"/>
          </a:effectRef>
          <a:fontRef idx="minor">
            <a:schemeClr val="tx1"/>
          </a:fontRef>
        </xdr:style>
      </xdr:cxnSp>
      <xdr:sp macro="" textlink="">
        <xdr:nvSpPr>
          <xdr:cNvPr id="31" name="Rounded Rectangle 30">
            <a:extLst>
              <a:ext uri="{FF2B5EF4-FFF2-40B4-BE49-F238E27FC236}">
                <a16:creationId xmlns:a16="http://schemas.microsoft.com/office/drawing/2014/main" id="{00000000-0008-0000-0500-00001F000000}"/>
              </a:ext>
            </a:extLst>
          </xdr:cNvPr>
          <xdr:cNvSpPr/>
        </xdr:nvSpPr>
        <xdr:spPr>
          <a:xfrm>
            <a:off x="247651" y="4257675"/>
            <a:ext cx="1200150" cy="1219200"/>
          </a:xfrm>
          <a:prstGeom prst="roundRect">
            <a:avLst/>
          </a:prstGeom>
          <a:noFill/>
          <a:ln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738189</xdr:colOff>
      <xdr:row>2</xdr:row>
      <xdr:rowOff>11906</xdr:rowOff>
    </xdr:from>
    <xdr:to>
      <xdr:col>8</xdr:col>
      <xdr:colOff>4246</xdr:colOff>
      <xdr:row>7</xdr:row>
      <xdr:rowOff>24162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9239" y="316706"/>
          <a:ext cx="2552817" cy="774256"/>
        </a:xfrm>
        <a:prstGeom prst="rect">
          <a:avLst/>
        </a:prstGeom>
      </xdr:spPr>
    </xdr:pic>
    <xdr:clientData/>
  </xdr:twoCellAnchor>
  <xdr:twoCellAnchor>
    <xdr:from>
      <xdr:col>12</xdr:col>
      <xdr:colOff>695325</xdr:colOff>
      <xdr:row>13</xdr:row>
      <xdr:rowOff>85725</xdr:rowOff>
    </xdr:from>
    <xdr:to>
      <xdr:col>21</xdr:col>
      <xdr:colOff>209550</xdr:colOff>
      <xdr:row>28</xdr:row>
      <xdr:rowOff>76200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7934325" y="1038225"/>
          <a:ext cx="6543675" cy="2743200"/>
        </a:xfrm>
        <a:prstGeom prst="roundRect">
          <a:avLst/>
        </a:prstGeom>
        <a:noFill/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0</xdr:rowOff>
        </xdr:from>
        <xdr:to>
          <xdr:col>9</xdr:col>
          <xdr:colOff>0</xdr:colOff>
          <xdr:row>9</xdr:row>
          <xdr:rowOff>0</xdr:rowOff>
        </xdr:to>
        <xdr:sp macro="" textlink="">
          <xdr:nvSpPr>
            <xdr:cNvPr id="193541" name="bpmDropDownTS1" hidden="1">
              <a:extLst>
                <a:ext uri="{63B3BB69-23CF-44E3-9099-C40C66FF867C}">
                  <a14:compatExt spid="_x0000_s193541"/>
                </a:ext>
                <a:ext uri="{FF2B5EF4-FFF2-40B4-BE49-F238E27FC236}">
                  <a16:creationId xmlns:a16="http://schemas.microsoft.com/office/drawing/2014/main" id="{00000000-0008-0000-0A00-000005F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13</xdr:row>
          <xdr:rowOff>0</xdr:rowOff>
        </xdr:from>
        <xdr:to>
          <xdr:col>9</xdr:col>
          <xdr:colOff>0</xdr:colOff>
          <xdr:row>14</xdr:row>
          <xdr:rowOff>0</xdr:rowOff>
        </xdr:to>
        <xdr:sp macro="" textlink="">
          <xdr:nvSpPr>
            <xdr:cNvPr id="193542" name="bpmDropDownTS2" hidden="1">
              <a:extLst>
                <a:ext uri="{63B3BB69-23CF-44E3-9099-C40C66FF867C}">
                  <a14:compatExt spid="_x0000_s193542"/>
                </a:ext>
                <a:ext uri="{FF2B5EF4-FFF2-40B4-BE49-F238E27FC236}">
                  <a16:creationId xmlns:a16="http://schemas.microsoft.com/office/drawing/2014/main" id="{00000000-0008-0000-0A00-000006F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5</xdr:row>
          <xdr:rowOff>0</xdr:rowOff>
        </xdr:from>
        <xdr:to>
          <xdr:col>9</xdr:col>
          <xdr:colOff>0</xdr:colOff>
          <xdr:row>6</xdr:row>
          <xdr:rowOff>0</xdr:rowOff>
        </xdr:to>
        <xdr:sp macro="" textlink="">
          <xdr:nvSpPr>
            <xdr:cNvPr id="193543" name="bpmDropDownTS3" hidden="1">
              <a:extLst>
                <a:ext uri="{63B3BB69-23CF-44E3-9099-C40C66FF867C}">
                  <a14:compatExt spid="_x0000_s193543"/>
                </a:ext>
                <a:ext uri="{FF2B5EF4-FFF2-40B4-BE49-F238E27FC236}">
                  <a16:creationId xmlns:a16="http://schemas.microsoft.com/office/drawing/2014/main" id="{00000000-0008-0000-0A00-000007F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209551</xdr:colOff>
      <xdr:row>5</xdr:row>
      <xdr:rowOff>38099</xdr:rowOff>
    </xdr:from>
    <xdr:to>
      <xdr:col>14</xdr:col>
      <xdr:colOff>714375</xdr:colOff>
      <xdr:row>21</xdr:row>
      <xdr:rowOff>0</xdr:rowOff>
    </xdr:to>
    <xdr:sp macro="" textlink="">
      <xdr:nvSpPr>
        <xdr:cNvPr id="2" name="Left Arrow Callou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4324351" y="847724"/>
          <a:ext cx="4410074" cy="1428751"/>
        </a:xfrm>
        <a:prstGeom prst="leftArrowCallout">
          <a:avLst>
            <a:gd name="adj1" fmla="val 25000"/>
            <a:gd name="adj2" fmla="val 27190"/>
            <a:gd name="adj3" fmla="val 25000"/>
            <a:gd name="adj4" fmla="val 86359"/>
          </a:avLst>
        </a:prstGeom>
        <a:solidFill>
          <a:srgbClr val="CCFFFF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ysClr val="windowText" lastClr="000000"/>
              </a:solidFill>
            </a:rPr>
            <a:t>TIP: </a:t>
          </a:r>
        </a:p>
        <a:p>
          <a:pPr algn="l"/>
          <a:r>
            <a:rPr lang="en-US" sz="1100">
              <a:solidFill>
                <a:sysClr val="windowText" lastClr="000000"/>
              </a:solidFill>
            </a:rPr>
            <a:t>Select Cost Projection or Retrospective analysis</a:t>
          </a:r>
          <a:r>
            <a:rPr lang="en-US" sz="1100" baseline="0">
              <a:solidFill>
                <a:sysClr val="windowText" lastClr="000000"/>
              </a:solidFill>
            </a:rPr>
            <a:t> here. This will determine which areas of the tool to complete.</a:t>
          </a:r>
        </a:p>
        <a:p>
          <a:pPr algn="l"/>
          <a:endParaRPr lang="en-US" sz="1100" baseline="0">
            <a:solidFill>
              <a:sysClr val="windowText" lastClr="000000"/>
            </a:solidFill>
          </a:endParaRPr>
        </a:p>
        <a:p>
          <a:pPr algn="l"/>
          <a:r>
            <a:rPr lang="en-US" sz="1100">
              <a:solidFill>
                <a:sysClr val="windowText" lastClr="000000"/>
              </a:solidFill>
            </a:rPr>
            <a:t>POINTE:</a:t>
          </a:r>
        </a:p>
        <a:p>
          <a:pPr algn="l"/>
          <a:r>
            <a:rPr lang="en-US" sz="1100">
              <a:solidFill>
                <a:sysClr val="windowText" lastClr="000000"/>
              </a:solidFill>
            </a:rPr>
            <a:t>Sélectionnez la prevision des coûts ou cout rétrospective ici. Cela déterminera les zones de l'outil à compléter.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0</xdr:rowOff>
        </xdr:from>
        <xdr:to>
          <xdr:col>8</xdr:col>
          <xdr:colOff>0</xdr:colOff>
          <xdr:row>9</xdr:row>
          <xdr:rowOff>0</xdr:rowOff>
        </xdr:to>
        <xdr:sp macro="" textlink="">
          <xdr:nvSpPr>
            <xdr:cNvPr id="193544" name="bpmDropDownTS4" hidden="1">
              <a:extLst>
                <a:ext uri="{63B3BB69-23CF-44E3-9099-C40C66FF867C}">
                  <a14:compatExt spid="_x0000_s193544"/>
                </a:ext>
                <a:ext uri="{FF2B5EF4-FFF2-40B4-BE49-F238E27FC236}">
                  <a16:creationId xmlns:a16="http://schemas.microsoft.com/office/drawing/2014/main" id="{00000000-0008-0000-0A00-000008F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13</xdr:row>
          <xdr:rowOff>0</xdr:rowOff>
        </xdr:from>
        <xdr:to>
          <xdr:col>8</xdr:col>
          <xdr:colOff>0</xdr:colOff>
          <xdr:row>14</xdr:row>
          <xdr:rowOff>0</xdr:rowOff>
        </xdr:to>
        <xdr:sp macro="" textlink="">
          <xdr:nvSpPr>
            <xdr:cNvPr id="692229" name="bpmDropDownVacc5" hidden="1">
              <a:extLst>
                <a:ext uri="{63B3BB69-23CF-44E3-9099-C40C66FF867C}">
                  <a14:compatExt spid="_x0000_s692229"/>
                </a:ext>
                <a:ext uri="{FF2B5EF4-FFF2-40B4-BE49-F238E27FC236}">
                  <a16:creationId xmlns:a16="http://schemas.microsoft.com/office/drawing/2014/main" id="{00000000-0008-0000-0E00-0000059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243</xdr:row>
          <xdr:rowOff>0</xdr:rowOff>
        </xdr:from>
        <xdr:to>
          <xdr:col>5</xdr:col>
          <xdr:colOff>0</xdr:colOff>
          <xdr:row>244</xdr:row>
          <xdr:rowOff>0</xdr:rowOff>
        </xdr:to>
        <xdr:sp macro="" textlink="">
          <xdr:nvSpPr>
            <xdr:cNvPr id="667653" name="bpmDropDownLVL2_ACTV_62" hidden="1">
              <a:extLst>
                <a:ext uri="{63B3BB69-23CF-44E3-9099-C40C66FF867C}">
                  <a14:compatExt spid="_x0000_s667653"/>
                </a:ext>
                <a:ext uri="{FF2B5EF4-FFF2-40B4-BE49-F238E27FC236}">
                  <a16:creationId xmlns:a16="http://schemas.microsoft.com/office/drawing/2014/main" id="{00000000-0008-0000-0F00-0000053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245</xdr:row>
          <xdr:rowOff>0</xdr:rowOff>
        </xdr:from>
        <xdr:to>
          <xdr:col>5</xdr:col>
          <xdr:colOff>0</xdr:colOff>
          <xdr:row>246</xdr:row>
          <xdr:rowOff>0</xdr:rowOff>
        </xdr:to>
        <xdr:sp macro="" textlink="">
          <xdr:nvSpPr>
            <xdr:cNvPr id="667654" name="bpmDropDownLVL2_ACTV_63" hidden="1">
              <a:extLst>
                <a:ext uri="{63B3BB69-23CF-44E3-9099-C40C66FF867C}">
                  <a14:compatExt spid="_x0000_s667654"/>
                </a:ext>
                <a:ext uri="{FF2B5EF4-FFF2-40B4-BE49-F238E27FC236}">
                  <a16:creationId xmlns:a16="http://schemas.microsoft.com/office/drawing/2014/main" id="{00000000-0008-0000-0F00-0000063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291</xdr:row>
          <xdr:rowOff>0</xdr:rowOff>
        </xdr:from>
        <xdr:to>
          <xdr:col>5</xdr:col>
          <xdr:colOff>0</xdr:colOff>
          <xdr:row>292</xdr:row>
          <xdr:rowOff>0</xdr:rowOff>
        </xdr:to>
        <xdr:sp macro="" textlink="">
          <xdr:nvSpPr>
            <xdr:cNvPr id="667656" name="bpmDropDownLVL2_ACTV_132" hidden="1">
              <a:extLst>
                <a:ext uri="{63B3BB69-23CF-44E3-9099-C40C66FF867C}">
                  <a14:compatExt spid="_x0000_s667656"/>
                </a:ext>
                <a:ext uri="{FF2B5EF4-FFF2-40B4-BE49-F238E27FC236}">
                  <a16:creationId xmlns:a16="http://schemas.microsoft.com/office/drawing/2014/main" id="{00000000-0008-0000-0F00-0000083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293</xdr:row>
          <xdr:rowOff>0</xdr:rowOff>
        </xdr:from>
        <xdr:to>
          <xdr:col>5</xdr:col>
          <xdr:colOff>0</xdr:colOff>
          <xdr:row>294</xdr:row>
          <xdr:rowOff>0</xdr:rowOff>
        </xdr:to>
        <xdr:sp macro="" textlink="">
          <xdr:nvSpPr>
            <xdr:cNvPr id="667657" name="bpmDropDownLVL2_ACTV_133" hidden="1">
              <a:extLst>
                <a:ext uri="{63B3BB69-23CF-44E3-9099-C40C66FF867C}">
                  <a14:compatExt spid="_x0000_s667657"/>
                </a:ext>
                <a:ext uri="{FF2B5EF4-FFF2-40B4-BE49-F238E27FC236}">
                  <a16:creationId xmlns:a16="http://schemas.microsoft.com/office/drawing/2014/main" id="{00000000-0008-0000-0F00-0000093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267</xdr:row>
          <xdr:rowOff>0</xdr:rowOff>
        </xdr:from>
        <xdr:to>
          <xdr:col>5</xdr:col>
          <xdr:colOff>0</xdr:colOff>
          <xdr:row>268</xdr:row>
          <xdr:rowOff>0</xdr:rowOff>
        </xdr:to>
        <xdr:sp macro="" textlink="">
          <xdr:nvSpPr>
            <xdr:cNvPr id="667659" name="bpmDropDownLVL2_ACTV_122" hidden="1">
              <a:extLst>
                <a:ext uri="{63B3BB69-23CF-44E3-9099-C40C66FF867C}">
                  <a14:compatExt spid="_x0000_s667659"/>
                </a:ext>
                <a:ext uri="{FF2B5EF4-FFF2-40B4-BE49-F238E27FC236}">
                  <a16:creationId xmlns:a16="http://schemas.microsoft.com/office/drawing/2014/main" id="{00000000-0008-0000-0F00-00000B3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269</xdr:row>
          <xdr:rowOff>0</xdr:rowOff>
        </xdr:from>
        <xdr:to>
          <xdr:col>5</xdr:col>
          <xdr:colOff>0</xdr:colOff>
          <xdr:row>270</xdr:row>
          <xdr:rowOff>0</xdr:rowOff>
        </xdr:to>
        <xdr:sp macro="" textlink="">
          <xdr:nvSpPr>
            <xdr:cNvPr id="667660" name="bpmDropDownLVL2_ACTV_123" hidden="1">
              <a:extLst>
                <a:ext uri="{63B3BB69-23CF-44E3-9099-C40C66FF867C}">
                  <a14:compatExt spid="_x0000_s667660"/>
                </a:ext>
                <a:ext uri="{FF2B5EF4-FFF2-40B4-BE49-F238E27FC236}">
                  <a16:creationId xmlns:a16="http://schemas.microsoft.com/office/drawing/2014/main" id="{00000000-0008-0000-0F00-00000C3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316</xdr:row>
          <xdr:rowOff>0</xdr:rowOff>
        </xdr:from>
        <xdr:to>
          <xdr:col>5</xdr:col>
          <xdr:colOff>0</xdr:colOff>
          <xdr:row>317</xdr:row>
          <xdr:rowOff>0</xdr:rowOff>
        </xdr:to>
        <xdr:sp macro="" textlink="">
          <xdr:nvSpPr>
            <xdr:cNvPr id="667662" name="bpmDropDownLVL2_ACTV_92" hidden="1">
              <a:extLst>
                <a:ext uri="{63B3BB69-23CF-44E3-9099-C40C66FF867C}">
                  <a14:compatExt spid="_x0000_s667662"/>
                </a:ext>
                <a:ext uri="{FF2B5EF4-FFF2-40B4-BE49-F238E27FC236}">
                  <a16:creationId xmlns:a16="http://schemas.microsoft.com/office/drawing/2014/main" id="{00000000-0008-0000-0F00-00000E3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318</xdr:row>
          <xdr:rowOff>0</xdr:rowOff>
        </xdr:from>
        <xdr:to>
          <xdr:col>5</xdr:col>
          <xdr:colOff>0</xdr:colOff>
          <xdr:row>319</xdr:row>
          <xdr:rowOff>0</xdr:rowOff>
        </xdr:to>
        <xdr:sp macro="" textlink="">
          <xdr:nvSpPr>
            <xdr:cNvPr id="667663" name="bpmDropDownLVL2_ACTV_93" hidden="1">
              <a:extLst>
                <a:ext uri="{63B3BB69-23CF-44E3-9099-C40C66FF867C}">
                  <a14:compatExt spid="_x0000_s667663"/>
                </a:ext>
                <a:ext uri="{FF2B5EF4-FFF2-40B4-BE49-F238E27FC236}">
                  <a16:creationId xmlns:a16="http://schemas.microsoft.com/office/drawing/2014/main" id="{00000000-0008-0000-0F00-00000F3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15</xdr:row>
          <xdr:rowOff>0</xdr:rowOff>
        </xdr:from>
        <xdr:to>
          <xdr:col>5</xdr:col>
          <xdr:colOff>0</xdr:colOff>
          <xdr:row>16</xdr:row>
          <xdr:rowOff>0</xdr:rowOff>
        </xdr:to>
        <xdr:sp macro="" textlink="">
          <xdr:nvSpPr>
            <xdr:cNvPr id="651266" name="bpmDropDownTOP_ACTV6" hidden="1">
              <a:extLst>
                <a:ext uri="{63B3BB69-23CF-44E3-9099-C40C66FF867C}">
                  <a14:compatExt spid="_x0000_s651266"/>
                </a:ext>
                <a:ext uri="{FF2B5EF4-FFF2-40B4-BE49-F238E27FC236}">
                  <a16:creationId xmlns:a16="http://schemas.microsoft.com/office/drawing/2014/main" id="{00000000-0008-0000-1000-000002F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17</xdr:row>
          <xdr:rowOff>0</xdr:rowOff>
        </xdr:from>
        <xdr:to>
          <xdr:col>5</xdr:col>
          <xdr:colOff>0</xdr:colOff>
          <xdr:row>18</xdr:row>
          <xdr:rowOff>0</xdr:rowOff>
        </xdr:to>
        <xdr:sp macro="" textlink="">
          <xdr:nvSpPr>
            <xdr:cNvPr id="651267" name="bpmDropDownTOP_ACTV7" hidden="1">
              <a:extLst>
                <a:ext uri="{63B3BB69-23CF-44E3-9099-C40C66FF867C}">
                  <a14:compatExt spid="_x0000_s651267"/>
                </a:ext>
                <a:ext uri="{FF2B5EF4-FFF2-40B4-BE49-F238E27FC236}">
                  <a16:creationId xmlns:a16="http://schemas.microsoft.com/office/drawing/2014/main" id="{00000000-0008-0000-1000-000003F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91</xdr:row>
          <xdr:rowOff>0</xdr:rowOff>
        </xdr:from>
        <xdr:to>
          <xdr:col>5</xdr:col>
          <xdr:colOff>0</xdr:colOff>
          <xdr:row>92</xdr:row>
          <xdr:rowOff>0</xdr:rowOff>
        </xdr:to>
        <xdr:sp macro="" textlink="">
          <xdr:nvSpPr>
            <xdr:cNvPr id="651269" name="bpmDropDownLVL2_ACTV2" hidden="1">
              <a:extLst>
                <a:ext uri="{63B3BB69-23CF-44E3-9099-C40C66FF867C}">
                  <a14:compatExt spid="_x0000_s651269"/>
                </a:ext>
                <a:ext uri="{FF2B5EF4-FFF2-40B4-BE49-F238E27FC236}">
                  <a16:creationId xmlns:a16="http://schemas.microsoft.com/office/drawing/2014/main" id="{00000000-0008-0000-1000-000005F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93</xdr:row>
          <xdr:rowOff>0</xdr:rowOff>
        </xdr:from>
        <xdr:to>
          <xdr:col>5</xdr:col>
          <xdr:colOff>0</xdr:colOff>
          <xdr:row>94</xdr:row>
          <xdr:rowOff>0</xdr:rowOff>
        </xdr:to>
        <xdr:sp macro="" textlink="">
          <xdr:nvSpPr>
            <xdr:cNvPr id="651270" name="bpmDropDownLVL2_ACTV3" hidden="1">
              <a:extLst>
                <a:ext uri="{63B3BB69-23CF-44E3-9099-C40C66FF867C}">
                  <a14:compatExt spid="_x0000_s651270"/>
                </a:ext>
                <a:ext uri="{FF2B5EF4-FFF2-40B4-BE49-F238E27FC236}">
                  <a16:creationId xmlns:a16="http://schemas.microsoft.com/office/drawing/2014/main" id="{00000000-0008-0000-1000-000006F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52</xdr:row>
          <xdr:rowOff>0</xdr:rowOff>
        </xdr:from>
        <xdr:to>
          <xdr:col>5</xdr:col>
          <xdr:colOff>0</xdr:colOff>
          <xdr:row>53</xdr:row>
          <xdr:rowOff>0</xdr:rowOff>
        </xdr:to>
        <xdr:sp macro="" textlink="">
          <xdr:nvSpPr>
            <xdr:cNvPr id="651281" name="bpmDropDownTOP_ACTV_72" hidden="1">
              <a:extLst>
                <a:ext uri="{63B3BB69-23CF-44E3-9099-C40C66FF867C}">
                  <a14:compatExt spid="_x0000_s651281"/>
                </a:ext>
                <a:ext uri="{FF2B5EF4-FFF2-40B4-BE49-F238E27FC236}">
                  <a16:creationId xmlns:a16="http://schemas.microsoft.com/office/drawing/2014/main" id="{00000000-0008-0000-1000-000011F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54</xdr:row>
          <xdr:rowOff>0</xdr:rowOff>
        </xdr:from>
        <xdr:to>
          <xdr:col>5</xdr:col>
          <xdr:colOff>0</xdr:colOff>
          <xdr:row>55</xdr:row>
          <xdr:rowOff>0</xdr:rowOff>
        </xdr:to>
        <xdr:sp macro="" textlink="">
          <xdr:nvSpPr>
            <xdr:cNvPr id="651282" name="bpmDropDownTOP_ACTV_73" hidden="1">
              <a:extLst>
                <a:ext uri="{63B3BB69-23CF-44E3-9099-C40C66FF867C}">
                  <a14:compatExt spid="_x0000_s651282"/>
                </a:ext>
                <a:ext uri="{FF2B5EF4-FFF2-40B4-BE49-F238E27FC236}">
                  <a16:creationId xmlns:a16="http://schemas.microsoft.com/office/drawing/2014/main" id="{00000000-0008-0000-1000-000012F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134</xdr:row>
          <xdr:rowOff>0</xdr:rowOff>
        </xdr:from>
        <xdr:to>
          <xdr:col>5</xdr:col>
          <xdr:colOff>0</xdr:colOff>
          <xdr:row>135</xdr:row>
          <xdr:rowOff>0</xdr:rowOff>
        </xdr:to>
        <xdr:sp macro="" textlink="">
          <xdr:nvSpPr>
            <xdr:cNvPr id="651284" name="bpmDropDownLVL2_ACTV_202" hidden="1">
              <a:extLst>
                <a:ext uri="{63B3BB69-23CF-44E3-9099-C40C66FF867C}">
                  <a14:compatExt spid="_x0000_s651284"/>
                </a:ext>
                <a:ext uri="{FF2B5EF4-FFF2-40B4-BE49-F238E27FC236}">
                  <a16:creationId xmlns:a16="http://schemas.microsoft.com/office/drawing/2014/main" id="{00000000-0008-0000-1000-000014F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136</xdr:row>
          <xdr:rowOff>0</xdr:rowOff>
        </xdr:from>
        <xdr:to>
          <xdr:col>5</xdr:col>
          <xdr:colOff>0</xdr:colOff>
          <xdr:row>137</xdr:row>
          <xdr:rowOff>0</xdr:rowOff>
        </xdr:to>
        <xdr:sp macro="" textlink="">
          <xdr:nvSpPr>
            <xdr:cNvPr id="651285" name="bpmDropDownLVL2_ACTV_203" hidden="1">
              <a:extLst>
                <a:ext uri="{63B3BB69-23CF-44E3-9099-C40C66FF867C}">
                  <a14:compatExt spid="_x0000_s651285"/>
                </a:ext>
                <a:ext uri="{FF2B5EF4-FFF2-40B4-BE49-F238E27FC236}">
                  <a16:creationId xmlns:a16="http://schemas.microsoft.com/office/drawing/2014/main" id="{00000000-0008-0000-1000-000015F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>
  <person displayName="Winthrop Morgan" id="{EB3C5E96-AD16-4CA4-8FCE-B22FEDFD873A}" userId="Winthrop Morgan" providerId="None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1" displayName="Table1" ref="D5:J747" totalsRowShown="0" headerRowDxfId="362" dataDxfId="361">
  <autoFilter ref="D5:J747" xr:uid="{00000000-0009-0000-0100-000003000000}"/>
  <tableColumns count="7">
    <tableColumn id="1" xr3:uid="{00000000-0010-0000-0000-000001000000}" name="UniqueID" dataDxfId="360">
      <calculatedColumnFormula>"Db_"&amp;ROW()-5</calculatedColumnFormula>
    </tableColumn>
    <tableColumn id="2" xr3:uid="{00000000-0010-0000-0000-000002000000}" name="Reference_Name" dataDxfId="359"/>
    <tableColumn id="3" xr3:uid="{00000000-0010-0000-0000-000003000000}" name="Variable_name" dataDxfId="358">
      <calculatedColumnFormula>MID(Table1[[#This Row],[Reference_Name]], 4, LEN(Table1[[#This Row],[Reference_Name]])-3)</calculatedColumnFormula>
    </tableColumn>
    <tableColumn id="4" xr3:uid="{00000000-0010-0000-0000-000004000000}" name="Description" dataDxfId="357"/>
    <tableColumn id="5" xr3:uid="{00000000-0010-0000-0000-000005000000}" name="Refers_to" dataDxfId="356"/>
    <tableColumn id="6" xr3:uid="{00000000-0010-0000-0000-000006000000}" name="Data" dataDxfId="355"/>
    <tableColumn id="7" xr3:uid="{00000000-0010-0000-0000-000007000000}" name="Coding (if any)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RANS_TBL" displayName="TRANS_TBL" ref="B6:F878" totalsRowShown="0">
  <autoFilter ref="B6:F878" xr:uid="{00000000-0009-0000-0100-000002000000}">
    <filterColumn colId="0" hiddenButton="1"/>
    <filterColumn colId="2" hiddenButton="1"/>
    <filterColumn colId="3" hiddenButton="1"/>
    <filterColumn colId="4" hiddenButton="1"/>
  </autoFilter>
  <tableColumns count="5">
    <tableColumn id="1" xr3:uid="{00000000-0010-0000-0100-000001000000}" name="ROW NUMBER" dataDxfId="354">
      <calculatedColumnFormula>"Lang_"&amp;ROW()-6</calculatedColumnFormula>
    </tableColumn>
    <tableColumn id="7" xr3:uid="{00000000-0010-0000-0100-000007000000}" name="DEFINED NAME  REFERENCE"/>
    <tableColumn id="4" xr3:uid="{00000000-0010-0000-0100-000004000000}" name="CURRENT LIVE LANGUAGE" dataDxfId="353" dataCellStyle="20% - Accent4">
      <calculatedColumnFormula>IF(DD_Current_Lang=1,TRANS_TBL[[#This Row],[ENGLISH]],TRANS_TBL[[#This Row],[FRANÇAIS]])</calculatedColumnFormula>
    </tableColumn>
    <tableColumn id="5" xr3:uid="{00000000-0010-0000-0100-000005000000}" name="ENGLISH"/>
    <tableColumn id="6" xr3:uid="{00000000-0010-0000-0100-000006000000}" name="FRANÇAI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rial"/>
        <a:ea typeface="Arial"/>
        <a:cs typeface="Arial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rial"/>
        <a:ea typeface="Arial"/>
        <a:cs typeface="Arial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46" dT="2023-10-10T19:13:59.23" personId="{EB3C5E96-AD16-4CA4-8FCE-B22FEDFD873A}" id="{5C71A774-4BB5-4310-A781-90F860F1D31E}">
    <text xml:space="preserve">in the COLD-CHAIN tab, 
Cell E47:E56 
Original 
=IFERROR(IF(COLD_CHAIN_EXPANS!$D$18=1,COLD_CHAIN_EXPANS!D20/COLD_CHAIN_EXPANS!F20,(COLD_CHAIN_EXPANS!D20/$F$14))/COLD_CHAIN_EXPANS!F20,0) 
changed to:
=IFERROR(IF(COLD_CHAIN_EXPANS!$D$18=1,COLD_CHAIN_EXPANS!D20/COLD_CHAIN_EXPANS!F20,(COLD_CHAIN_EXPANS!D20/$F$14)/COLD_CHAIN_EXPANS!F20),0) 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drawing" Target="../drawings/drawing6.xml"/><Relationship Id="rId7" Type="http://schemas.openxmlformats.org/officeDocument/2006/relationships/ctrlProp" Target="../ctrlProps/ctrlProp6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vmlDrawing" Target="../drawings/vmlDrawing4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ctrlProp" Target="../ctrlProps/ctrlProp8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12.xml"/><Relationship Id="rId12" Type="http://schemas.openxmlformats.org/officeDocument/2006/relationships/comments" Target="../comments3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11.xml"/><Relationship Id="rId11" Type="http://schemas.openxmlformats.org/officeDocument/2006/relationships/ctrlProp" Target="../ctrlProps/ctrlProp16.xml"/><Relationship Id="rId5" Type="http://schemas.openxmlformats.org/officeDocument/2006/relationships/ctrlProp" Target="../ctrlProps/ctrlProp10.xml"/><Relationship Id="rId10" Type="http://schemas.openxmlformats.org/officeDocument/2006/relationships/ctrlProp" Target="../ctrlProps/ctrlProp15.xml"/><Relationship Id="rId4" Type="http://schemas.openxmlformats.org/officeDocument/2006/relationships/ctrlProp" Target="../ctrlProps/ctrlProp9.xml"/><Relationship Id="rId9" Type="http://schemas.openxmlformats.org/officeDocument/2006/relationships/ctrlProp" Target="../ctrlProps/ctrlProp14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20.xml"/><Relationship Id="rId12" Type="http://schemas.openxmlformats.org/officeDocument/2006/relationships/comments" Target="../comments4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19.xml"/><Relationship Id="rId11" Type="http://schemas.openxmlformats.org/officeDocument/2006/relationships/ctrlProp" Target="../ctrlProps/ctrlProp24.xml"/><Relationship Id="rId5" Type="http://schemas.openxmlformats.org/officeDocument/2006/relationships/ctrlProp" Target="../ctrlProps/ctrlProp18.xml"/><Relationship Id="rId10" Type="http://schemas.openxmlformats.org/officeDocument/2006/relationships/ctrlProp" Target="../ctrlProps/ctrlProp23.xml"/><Relationship Id="rId4" Type="http://schemas.openxmlformats.org/officeDocument/2006/relationships/ctrlProp" Target="../ctrlProps/ctrlProp17.xml"/><Relationship Id="rId9" Type="http://schemas.openxmlformats.org/officeDocument/2006/relationships/ctrlProp" Target="../ctrlProps/ctrlProp22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28.xml"/><Relationship Id="rId12" Type="http://schemas.openxmlformats.org/officeDocument/2006/relationships/comments" Target="../comments5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27.xml"/><Relationship Id="rId11" Type="http://schemas.openxmlformats.org/officeDocument/2006/relationships/ctrlProp" Target="../ctrlProps/ctrlProp32.xml"/><Relationship Id="rId5" Type="http://schemas.openxmlformats.org/officeDocument/2006/relationships/ctrlProp" Target="../ctrlProps/ctrlProp26.xml"/><Relationship Id="rId10" Type="http://schemas.openxmlformats.org/officeDocument/2006/relationships/ctrlProp" Target="../ctrlProps/ctrlProp31.xml"/><Relationship Id="rId4" Type="http://schemas.openxmlformats.org/officeDocument/2006/relationships/ctrlProp" Target="../ctrlProps/ctrlProp25.xml"/><Relationship Id="rId9" Type="http://schemas.openxmlformats.org/officeDocument/2006/relationships/ctrlProp" Target="../ctrlProps/ctrlProp30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7.xml"/><Relationship Id="rId13" Type="http://schemas.openxmlformats.org/officeDocument/2006/relationships/ctrlProp" Target="../ctrlProps/ctrlProp42.xml"/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36.xml"/><Relationship Id="rId12" Type="http://schemas.openxmlformats.org/officeDocument/2006/relationships/ctrlProp" Target="../ctrlProps/ctrlProp41.xml"/><Relationship Id="rId2" Type="http://schemas.openxmlformats.org/officeDocument/2006/relationships/drawing" Target="../drawings/drawing11.xml"/><Relationship Id="rId16" Type="http://schemas.openxmlformats.org/officeDocument/2006/relationships/comments" Target="../comments6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35.xml"/><Relationship Id="rId11" Type="http://schemas.openxmlformats.org/officeDocument/2006/relationships/ctrlProp" Target="../ctrlProps/ctrlProp40.xml"/><Relationship Id="rId5" Type="http://schemas.openxmlformats.org/officeDocument/2006/relationships/ctrlProp" Target="../ctrlProps/ctrlProp34.xml"/><Relationship Id="rId15" Type="http://schemas.openxmlformats.org/officeDocument/2006/relationships/ctrlProp" Target="../ctrlProps/ctrlProp44.xml"/><Relationship Id="rId10" Type="http://schemas.openxmlformats.org/officeDocument/2006/relationships/ctrlProp" Target="../ctrlProps/ctrlProp39.xml"/><Relationship Id="rId4" Type="http://schemas.openxmlformats.org/officeDocument/2006/relationships/ctrlProp" Target="../ctrlProps/ctrlProp33.xml"/><Relationship Id="rId9" Type="http://schemas.openxmlformats.org/officeDocument/2006/relationships/ctrlProp" Target="../ctrlProps/ctrlProp38.xml"/><Relationship Id="rId14" Type="http://schemas.openxmlformats.org/officeDocument/2006/relationships/ctrlProp" Target="../ctrlProps/ctrlProp4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9.xml"/><Relationship Id="rId13" Type="http://schemas.openxmlformats.org/officeDocument/2006/relationships/ctrlProp" Target="../ctrlProps/ctrlProp54.xml"/><Relationship Id="rId18" Type="http://schemas.openxmlformats.org/officeDocument/2006/relationships/ctrlProp" Target="../ctrlProps/ctrlProp59.xml"/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48.xml"/><Relationship Id="rId12" Type="http://schemas.openxmlformats.org/officeDocument/2006/relationships/ctrlProp" Target="../ctrlProps/ctrlProp53.xml"/><Relationship Id="rId17" Type="http://schemas.openxmlformats.org/officeDocument/2006/relationships/ctrlProp" Target="../ctrlProps/ctrlProp58.xml"/><Relationship Id="rId2" Type="http://schemas.openxmlformats.org/officeDocument/2006/relationships/drawing" Target="../drawings/drawing12.xml"/><Relationship Id="rId16" Type="http://schemas.openxmlformats.org/officeDocument/2006/relationships/ctrlProp" Target="../ctrlProps/ctrlProp57.xml"/><Relationship Id="rId20" Type="http://schemas.openxmlformats.org/officeDocument/2006/relationships/comments" Target="../comments7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47.xml"/><Relationship Id="rId11" Type="http://schemas.openxmlformats.org/officeDocument/2006/relationships/ctrlProp" Target="../ctrlProps/ctrlProp52.xml"/><Relationship Id="rId5" Type="http://schemas.openxmlformats.org/officeDocument/2006/relationships/ctrlProp" Target="../ctrlProps/ctrlProp46.xml"/><Relationship Id="rId15" Type="http://schemas.openxmlformats.org/officeDocument/2006/relationships/ctrlProp" Target="../ctrlProps/ctrlProp56.xml"/><Relationship Id="rId10" Type="http://schemas.openxmlformats.org/officeDocument/2006/relationships/ctrlProp" Target="../ctrlProps/ctrlProp51.xml"/><Relationship Id="rId19" Type="http://schemas.openxmlformats.org/officeDocument/2006/relationships/ctrlProp" Target="../ctrlProps/ctrlProp60.xml"/><Relationship Id="rId4" Type="http://schemas.openxmlformats.org/officeDocument/2006/relationships/ctrlProp" Target="../ctrlProps/ctrlProp45.xml"/><Relationship Id="rId9" Type="http://schemas.openxmlformats.org/officeDocument/2006/relationships/ctrlProp" Target="../ctrlProps/ctrlProp50.xml"/><Relationship Id="rId14" Type="http://schemas.openxmlformats.org/officeDocument/2006/relationships/ctrlProp" Target="../ctrlProps/ctrlProp55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5.xml"/><Relationship Id="rId13" Type="http://schemas.openxmlformats.org/officeDocument/2006/relationships/ctrlProp" Target="../ctrlProps/ctrlProp70.xml"/><Relationship Id="rId18" Type="http://schemas.openxmlformats.org/officeDocument/2006/relationships/comments" Target="../comments8.xml"/><Relationship Id="rId3" Type="http://schemas.openxmlformats.org/officeDocument/2006/relationships/vmlDrawing" Target="../drawings/vmlDrawing12.vml"/><Relationship Id="rId7" Type="http://schemas.openxmlformats.org/officeDocument/2006/relationships/ctrlProp" Target="../ctrlProps/ctrlProp64.xml"/><Relationship Id="rId12" Type="http://schemas.openxmlformats.org/officeDocument/2006/relationships/ctrlProp" Target="../ctrlProps/ctrlProp69.xml"/><Relationship Id="rId17" Type="http://schemas.openxmlformats.org/officeDocument/2006/relationships/ctrlProp" Target="../ctrlProps/ctrlProp74.xml"/><Relationship Id="rId2" Type="http://schemas.openxmlformats.org/officeDocument/2006/relationships/drawing" Target="../drawings/drawing13.xml"/><Relationship Id="rId16" Type="http://schemas.openxmlformats.org/officeDocument/2006/relationships/ctrlProp" Target="../ctrlProps/ctrlProp73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63.xml"/><Relationship Id="rId11" Type="http://schemas.openxmlformats.org/officeDocument/2006/relationships/ctrlProp" Target="../ctrlProps/ctrlProp68.xml"/><Relationship Id="rId5" Type="http://schemas.openxmlformats.org/officeDocument/2006/relationships/ctrlProp" Target="../ctrlProps/ctrlProp62.xml"/><Relationship Id="rId15" Type="http://schemas.openxmlformats.org/officeDocument/2006/relationships/ctrlProp" Target="../ctrlProps/ctrlProp72.xml"/><Relationship Id="rId10" Type="http://schemas.openxmlformats.org/officeDocument/2006/relationships/ctrlProp" Target="../ctrlProps/ctrlProp67.xml"/><Relationship Id="rId4" Type="http://schemas.openxmlformats.org/officeDocument/2006/relationships/ctrlProp" Target="../ctrlProps/ctrlProp61.xml"/><Relationship Id="rId9" Type="http://schemas.openxmlformats.org/officeDocument/2006/relationships/ctrlProp" Target="../ctrlProps/ctrlProp66.xml"/><Relationship Id="rId14" Type="http://schemas.openxmlformats.org/officeDocument/2006/relationships/ctrlProp" Target="../ctrlProps/ctrlProp71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9.xml"/><Relationship Id="rId13" Type="http://schemas.openxmlformats.org/officeDocument/2006/relationships/ctrlProp" Target="../ctrlProps/ctrlProp84.xml"/><Relationship Id="rId3" Type="http://schemas.openxmlformats.org/officeDocument/2006/relationships/vmlDrawing" Target="../drawings/vmlDrawing13.vml"/><Relationship Id="rId7" Type="http://schemas.openxmlformats.org/officeDocument/2006/relationships/ctrlProp" Target="../ctrlProps/ctrlProp78.xml"/><Relationship Id="rId12" Type="http://schemas.openxmlformats.org/officeDocument/2006/relationships/ctrlProp" Target="../ctrlProps/ctrlProp83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77.xml"/><Relationship Id="rId11" Type="http://schemas.openxmlformats.org/officeDocument/2006/relationships/ctrlProp" Target="../ctrlProps/ctrlProp82.xml"/><Relationship Id="rId5" Type="http://schemas.openxmlformats.org/officeDocument/2006/relationships/ctrlProp" Target="../ctrlProps/ctrlProp76.xml"/><Relationship Id="rId10" Type="http://schemas.openxmlformats.org/officeDocument/2006/relationships/ctrlProp" Target="../ctrlProps/ctrlProp81.xml"/><Relationship Id="rId4" Type="http://schemas.openxmlformats.org/officeDocument/2006/relationships/ctrlProp" Target="../ctrlProps/ctrlProp75.xml"/><Relationship Id="rId9" Type="http://schemas.openxmlformats.org/officeDocument/2006/relationships/ctrlProp" Target="../ctrlProps/ctrlProp80.xml"/><Relationship Id="rId14" Type="http://schemas.openxmlformats.org/officeDocument/2006/relationships/comments" Target="../comments9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Relationship Id="rId4" Type="http://schemas.openxmlformats.org/officeDocument/2006/relationships/ctrlProp" Target="../ctrlProps/ctrlProp85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Relationship Id="rId4" Type="http://schemas.openxmlformats.org/officeDocument/2006/relationships/ctrlProp" Target="../ctrlProps/ctrlProp86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8.bin"/><Relationship Id="rId4" Type="http://schemas.microsoft.com/office/2017/10/relationships/threadedComment" Target="../threadedComments/threadedComment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comments" Target="../comments11.xml"/><Relationship Id="rId3" Type="http://schemas.openxmlformats.org/officeDocument/2006/relationships/vmlDrawing" Target="../drawings/vmlDrawing17.vml"/><Relationship Id="rId7" Type="http://schemas.openxmlformats.org/officeDocument/2006/relationships/ctrlProp" Target="../ctrlProps/ctrlProp90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Relationship Id="rId6" Type="http://schemas.openxmlformats.org/officeDocument/2006/relationships/ctrlProp" Target="../ctrlProps/ctrlProp89.xml"/><Relationship Id="rId5" Type="http://schemas.openxmlformats.org/officeDocument/2006/relationships/ctrlProp" Target="../ctrlProps/ctrlProp88.xml"/><Relationship Id="rId4" Type="http://schemas.openxmlformats.org/officeDocument/2006/relationships/ctrlProp" Target="../ctrlProps/ctrlProp87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2.xml"/><Relationship Id="rId3" Type="http://schemas.openxmlformats.org/officeDocument/2006/relationships/vmlDrawing" Target="../drawings/vmlDrawing18.vml"/><Relationship Id="rId7" Type="http://schemas.openxmlformats.org/officeDocument/2006/relationships/ctrlProp" Target="../ctrlProps/ctrlProp94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Relationship Id="rId6" Type="http://schemas.openxmlformats.org/officeDocument/2006/relationships/ctrlProp" Target="../ctrlProps/ctrlProp93.xml"/><Relationship Id="rId5" Type="http://schemas.openxmlformats.org/officeDocument/2006/relationships/ctrlProp" Target="../ctrlProps/ctrlProp92.xml"/><Relationship Id="rId4" Type="http://schemas.openxmlformats.org/officeDocument/2006/relationships/ctrlProp" Target="../ctrlProps/ctrlProp91.xm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comments" Target="../comments13.xml"/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98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Relationship Id="rId6" Type="http://schemas.openxmlformats.org/officeDocument/2006/relationships/ctrlProp" Target="../ctrlProps/ctrlProp97.xml"/><Relationship Id="rId5" Type="http://schemas.openxmlformats.org/officeDocument/2006/relationships/ctrlProp" Target="../ctrlProps/ctrlProp96.xml"/><Relationship Id="rId4" Type="http://schemas.openxmlformats.org/officeDocument/2006/relationships/ctrlProp" Target="../ctrlProps/ctrlProp95.xm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3.xml"/><Relationship Id="rId3" Type="http://schemas.openxmlformats.org/officeDocument/2006/relationships/vmlDrawing" Target="../drawings/vmlDrawing20.vml"/><Relationship Id="rId7" Type="http://schemas.openxmlformats.org/officeDocument/2006/relationships/ctrlProp" Target="../ctrlProps/ctrlProp102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Relationship Id="rId6" Type="http://schemas.openxmlformats.org/officeDocument/2006/relationships/ctrlProp" Target="../ctrlProps/ctrlProp101.xml"/><Relationship Id="rId5" Type="http://schemas.openxmlformats.org/officeDocument/2006/relationships/ctrlProp" Target="../ctrlProps/ctrlProp100.xml"/><Relationship Id="rId10" Type="http://schemas.openxmlformats.org/officeDocument/2006/relationships/comments" Target="../comments14.xml"/><Relationship Id="rId4" Type="http://schemas.openxmlformats.org/officeDocument/2006/relationships/ctrlProp" Target="../ctrlProps/ctrlProp99.xml"/><Relationship Id="rId9" Type="http://schemas.openxmlformats.org/officeDocument/2006/relationships/ctrlProp" Target="../ctrlProps/ctrlProp104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9.xml"/><Relationship Id="rId3" Type="http://schemas.openxmlformats.org/officeDocument/2006/relationships/vmlDrawing" Target="../drawings/vmlDrawing21.vml"/><Relationship Id="rId7" Type="http://schemas.openxmlformats.org/officeDocument/2006/relationships/ctrlProp" Target="../ctrlProps/ctrlProp108.xml"/><Relationship Id="rId12" Type="http://schemas.openxmlformats.org/officeDocument/2006/relationships/comments" Target="../comments15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107.xml"/><Relationship Id="rId11" Type="http://schemas.openxmlformats.org/officeDocument/2006/relationships/ctrlProp" Target="../ctrlProps/ctrlProp112.xml"/><Relationship Id="rId5" Type="http://schemas.openxmlformats.org/officeDocument/2006/relationships/ctrlProp" Target="../ctrlProps/ctrlProp106.xml"/><Relationship Id="rId10" Type="http://schemas.openxmlformats.org/officeDocument/2006/relationships/ctrlProp" Target="../ctrlProps/ctrlProp111.xml"/><Relationship Id="rId4" Type="http://schemas.openxmlformats.org/officeDocument/2006/relationships/ctrlProp" Target="../ctrlProps/ctrlProp105.xml"/><Relationship Id="rId9" Type="http://schemas.openxmlformats.org/officeDocument/2006/relationships/ctrlProp" Target="../ctrlProps/ctrlProp110.xm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7.xml"/><Relationship Id="rId3" Type="http://schemas.openxmlformats.org/officeDocument/2006/relationships/vmlDrawing" Target="../drawings/vmlDrawing22.vml"/><Relationship Id="rId7" Type="http://schemas.openxmlformats.org/officeDocument/2006/relationships/ctrlProp" Target="../ctrlProps/ctrlProp116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Relationship Id="rId6" Type="http://schemas.openxmlformats.org/officeDocument/2006/relationships/ctrlProp" Target="../ctrlProps/ctrlProp115.xml"/><Relationship Id="rId11" Type="http://schemas.openxmlformats.org/officeDocument/2006/relationships/comments" Target="../comments16.xml"/><Relationship Id="rId5" Type="http://schemas.openxmlformats.org/officeDocument/2006/relationships/ctrlProp" Target="../ctrlProps/ctrlProp114.xml"/><Relationship Id="rId10" Type="http://schemas.openxmlformats.org/officeDocument/2006/relationships/ctrlProp" Target="../ctrlProps/ctrlProp119.xml"/><Relationship Id="rId4" Type="http://schemas.openxmlformats.org/officeDocument/2006/relationships/ctrlProp" Target="../ctrlProps/ctrlProp113.xml"/><Relationship Id="rId9" Type="http://schemas.openxmlformats.org/officeDocument/2006/relationships/ctrlProp" Target="../ctrlProps/ctrlProp118.xm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4.xml"/><Relationship Id="rId3" Type="http://schemas.openxmlformats.org/officeDocument/2006/relationships/vmlDrawing" Target="../drawings/vmlDrawing23.vml"/><Relationship Id="rId7" Type="http://schemas.openxmlformats.org/officeDocument/2006/relationships/ctrlProp" Target="../ctrlProps/ctrlProp123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Relationship Id="rId6" Type="http://schemas.openxmlformats.org/officeDocument/2006/relationships/ctrlProp" Target="../ctrlProps/ctrlProp122.xml"/><Relationship Id="rId5" Type="http://schemas.openxmlformats.org/officeDocument/2006/relationships/ctrlProp" Target="../ctrlProps/ctrlProp121.xml"/><Relationship Id="rId4" Type="http://schemas.openxmlformats.org/officeDocument/2006/relationships/ctrlProp" Target="../ctrlProps/ctrlProp120.xml"/><Relationship Id="rId9" Type="http://schemas.openxmlformats.org/officeDocument/2006/relationships/comments" Target="../comments1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0.bin"/><Relationship Id="rId5" Type="http://schemas.openxmlformats.org/officeDocument/2006/relationships/ctrlProp" Target="../ctrlProps/ctrlProp126.xml"/><Relationship Id="rId4" Type="http://schemas.openxmlformats.org/officeDocument/2006/relationships/ctrlProp" Target="../ctrlProps/ctrlProp125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J747"/>
  <sheetViews>
    <sheetView showGridLines="0" zoomScaleNormal="100" workbookViewId="0">
      <pane xSplit="3" ySplit="3" topLeftCell="D4" activePane="bottomRight" state="frozen"/>
      <selection activeCell="I511" sqref="I511"/>
      <selection pane="topRight" activeCell="I511" sqref="I511"/>
      <selection pane="bottomLeft" activeCell="I511" sqref="I511"/>
      <selection pane="bottomRight" activeCell="D5" sqref="D5"/>
    </sheetView>
  </sheetViews>
  <sheetFormatPr defaultRowHeight="12" x14ac:dyDescent="0.2"/>
  <cols>
    <col min="1" max="1" width="5.7109375" customWidth="1"/>
    <col min="2" max="2" width="6" customWidth="1"/>
    <col min="3" max="3" width="6.140625" customWidth="1"/>
    <col min="4" max="4" width="10.28515625" customWidth="1"/>
    <col min="5" max="5" width="23.5703125" bestFit="1" customWidth="1"/>
    <col min="6" max="6" width="20.140625" customWidth="1"/>
    <col min="7" max="7" width="79.7109375" customWidth="1"/>
    <col min="8" max="8" width="36.5703125" customWidth="1"/>
    <col min="9" max="9" width="46.42578125" customWidth="1"/>
    <col min="10" max="10" width="22.42578125" customWidth="1"/>
    <col min="12" max="12" width="11" customWidth="1"/>
  </cols>
  <sheetData>
    <row r="1" spans="1:10" ht="15" customHeight="1" x14ac:dyDescent="0.2">
      <c r="A1" s="2" t="s">
        <v>128</v>
      </c>
      <c r="B1" s="408" t="str">
        <f>Lang_Data_For_Extraction</f>
        <v>Data for Extraction</v>
      </c>
      <c r="C1" s="10"/>
      <c r="D1" s="10"/>
      <c r="E1" s="10"/>
      <c r="F1" s="10"/>
      <c r="G1" s="10"/>
      <c r="H1" s="10"/>
      <c r="I1" s="10"/>
      <c r="J1" s="10"/>
    </row>
    <row r="2" spans="1:10" x14ac:dyDescent="0.2">
      <c r="B2" s="10"/>
      <c r="C2" s="10"/>
      <c r="D2" s="10"/>
      <c r="E2" s="10"/>
      <c r="F2" s="10"/>
      <c r="G2" s="10"/>
      <c r="H2" s="10"/>
      <c r="I2" s="10"/>
      <c r="J2" s="10"/>
    </row>
    <row r="3" spans="1:10" x14ac:dyDescent="0.2">
      <c r="B3" s="10"/>
      <c r="C3" s="10"/>
      <c r="D3" s="10"/>
      <c r="E3" s="10"/>
      <c r="F3" s="10"/>
      <c r="G3" s="10"/>
      <c r="H3" s="10"/>
      <c r="I3" s="10"/>
      <c r="J3" s="10"/>
    </row>
    <row r="4" spans="1:10" x14ac:dyDescent="0.2">
      <c r="B4" s="10"/>
      <c r="C4" s="10"/>
      <c r="D4" s="10"/>
      <c r="E4" s="10"/>
      <c r="F4" s="10"/>
      <c r="G4" s="10"/>
      <c r="H4" s="10"/>
      <c r="I4" s="10"/>
      <c r="J4" s="10"/>
    </row>
    <row r="5" spans="1:10" ht="12" customHeight="1" x14ac:dyDescent="0.2">
      <c r="B5" s="10"/>
      <c r="C5" s="10"/>
      <c r="D5" s="10" t="s">
        <v>645</v>
      </c>
      <c r="E5" s="10" t="s">
        <v>1841</v>
      </c>
      <c r="F5" s="10" t="s">
        <v>1842</v>
      </c>
      <c r="G5" s="10" t="s">
        <v>618</v>
      </c>
      <c r="H5" s="10" t="s">
        <v>1840</v>
      </c>
      <c r="I5" s="10" t="s">
        <v>684</v>
      </c>
      <c r="J5" s="10" t="s">
        <v>2214</v>
      </c>
    </row>
    <row r="6" spans="1:10" ht="12" customHeight="1" x14ac:dyDescent="0.2">
      <c r="B6" s="10"/>
      <c r="C6" s="10"/>
      <c r="D6" s="10" t="str">
        <f t="shared" ref="D6:D69" si="0">"Db_"&amp;ROW()-5</f>
        <v>Db_1</v>
      </c>
      <c r="E6" s="10" t="s">
        <v>654</v>
      </c>
      <c r="F6" s="10" t="str">
        <f>MID(Table1[[#This Row],[Reference_Name]], 4, LEN(Table1[[#This Row],[Reference_Name]])-3)</f>
        <v>Name</v>
      </c>
      <c r="G6" s="10" t="s">
        <v>619</v>
      </c>
      <c r="H6" s="10" t="s">
        <v>2217</v>
      </c>
      <c r="I6" s="10" t="str">
        <f>Db_Name</f>
        <v>Test  Country AA</v>
      </c>
      <c r="J6" s="10"/>
    </row>
    <row r="7" spans="1:10" x14ac:dyDescent="0.2">
      <c r="D7" s="10" t="str">
        <f t="shared" si="0"/>
        <v>Db_2</v>
      </c>
      <c r="E7" s="10" t="s">
        <v>655</v>
      </c>
      <c r="F7" s="10" t="str">
        <f>MID(Table1[[#This Row],[Reference_Name]], 4, LEN(Table1[[#This Row],[Reference_Name]])-3)</f>
        <v>iso3code</v>
      </c>
      <c r="G7" s="10" t="s">
        <v>620</v>
      </c>
      <c r="H7" s="400" t="s">
        <v>2213</v>
      </c>
      <c r="I7" s="400"/>
    </row>
    <row r="8" spans="1:10" x14ac:dyDescent="0.2">
      <c r="D8" s="10" t="str">
        <f t="shared" si="0"/>
        <v>Db_3</v>
      </c>
      <c r="E8" s="10" t="s">
        <v>656</v>
      </c>
      <c r="F8" s="10" t="str">
        <f>MID(Table1[[#This Row],[Reference_Name]], 4, LEN(Table1[[#This Row],[Reference_Name]])-3)</f>
        <v>Region</v>
      </c>
      <c r="G8" s="10" t="s">
        <v>1846</v>
      </c>
      <c r="H8" s="400" t="s">
        <v>2211</v>
      </c>
      <c r="I8" s="400"/>
    </row>
    <row r="9" spans="1:10" x14ac:dyDescent="0.2">
      <c r="D9" s="10" t="str">
        <f t="shared" si="0"/>
        <v>Db_4</v>
      </c>
      <c r="E9" s="10" t="s">
        <v>657</v>
      </c>
      <c r="F9" s="10" t="str">
        <f>MID(Table1[[#This Row],[Reference_Name]], 4, LEN(Table1[[#This Row],[Reference_Name]])-3)</f>
        <v>GNI</v>
      </c>
      <c r="G9" s="10" t="s">
        <v>621</v>
      </c>
      <c r="H9" s="400" t="s">
        <v>2211</v>
      </c>
      <c r="I9" s="400"/>
    </row>
    <row r="10" spans="1:10" x14ac:dyDescent="0.2">
      <c r="D10" s="10" t="str">
        <f t="shared" si="0"/>
        <v>Db_5</v>
      </c>
      <c r="E10" s="10" t="s">
        <v>2451</v>
      </c>
      <c r="F10" s="10" t="str">
        <f>MID(Table1[[#This Row],[Reference_Name]], 4, LEN(Table1[[#This Row],[Reference_Name]])-3)</f>
        <v>Inflation2017_FC</v>
      </c>
      <c r="G10" s="10" t="s">
        <v>2923</v>
      </c>
      <c r="H10" s="400" t="s">
        <v>2211</v>
      </c>
      <c r="I10" s="400"/>
    </row>
    <row r="11" spans="1:10" x14ac:dyDescent="0.2">
      <c r="D11" s="10" t="str">
        <f t="shared" si="0"/>
        <v>Db_6</v>
      </c>
      <c r="E11" s="10" t="s">
        <v>2452</v>
      </c>
      <c r="F11" s="10" t="str">
        <f>MID(Table1[[#This Row],[Reference_Name]], 4, LEN(Table1[[#This Row],[Reference_Name]])-3)</f>
        <v>Inflation2017_LC</v>
      </c>
      <c r="G11" s="10" t="s">
        <v>2924</v>
      </c>
      <c r="H11" s="400" t="s">
        <v>2211</v>
      </c>
      <c r="I11" s="400"/>
    </row>
    <row r="12" spans="1:10" x14ac:dyDescent="0.2">
      <c r="D12" s="10" t="str">
        <f t="shared" si="0"/>
        <v>Db_7</v>
      </c>
      <c r="E12" s="10" t="s">
        <v>1847</v>
      </c>
      <c r="F12" s="10" t="str">
        <f>MID(Table1[[#This Row],[Reference_Name]], 4, LEN(Table1[[#This Row],[Reference_Name]])-3)</f>
        <v>Inflation2017_US</v>
      </c>
      <c r="G12" s="10" t="s">
        <v>2221</v>
      </c>
      <c r="H12" s="400" t="s">
        <v>2211</v>
      </c>
      <c r="I12" s="400"/>
    </row>
    <row r="13" spans="1:10" x14ac:dyDescent="0.2">
      <c r="D13" s="10" t="str">
        <f t="shared" si="0"/>
        <v>Db_8</v>
      </c>
      <c r="E13" s="10" t="s">
        <v>658</v>
      </c>
      <c r="F13" s="10" t="str">
        <f>MID(Table1[[#This Row],[Reference_Name]], 4, LEN(Table1[[#This Row],[Reference_Name]])-3)</f>
        <v>PPP</v>
      </c>
      <c r="G13" s="10" t="s">
        <v>622</v>
      </c>
      <c r="H13" s="400" t="s">
        <v>2211</v>
      </c>
      <c r="I13" s="400"/>
    </row>
    <row r="14" spans="1:10" x14ac:dyDescent="0.2">
      <c r="D14" s="10" t="str">
        <f t="shared" si="0"/>
        <v>Db_9</v>
      </c>
      <c r="E14" s="10" t="s">
        <v>660</v>
      </c>
      <c r="F14" s="10" t="str">
        <f>MID(Table1[[#This Row],[Reference_Name]], 4, LEN(Table1[[#This Row],[Reference_Name]])-3)</f>
        <v>Urban</v>
      </c>
      <c r="G14" s="10" t="s">
        <v>2215</v>
      </c>
      <c r="H14" s="400" t="s">
        <v>2211</v>
      </c>
      <c r="I14" s="400"/>
    </row>
    <row r="15" spans="1:10" x14ac:dyDescent="0.2">
      <c r="D15" s="10" t="str">
        <f t="shared" si="0"/>
        <v>Db_10</v>
      </c>
      <c r="E15" s="10" t="s">
        <v>661</v>
      </c>
      <c r="F15" s="10" t="str">
        <f>MID(Table1[[#This Row],[Reference_Name]], 4, LEN(Table1[[#This Row],[Reference_Name]])-3)</f>
        <v>DPT</v>
      </c>
      <c r="G15" s="10" t="s">
        <v>2216</v>
      </c>
      <c r="H15" s="400" t="s">
        <v>2212</v>
      </c>
      <c r="I15" s="400"/>
    </row>
    <row r="16" spans="1:10" x14ac:dyDescent="0.2">
      <c r="D16" s="10" t="str">
        <f t="shared" si="0"/>
        <v>Db_11</v>
      </c>
      <c r="E16" s="10" t="s">
        <v>659</v>
      </c>
      <c r="F16" s="10" t="str">
        <f>MID(Table1[[#This Row],[Reference_Name]], 4, LEN(Table1[[#This Row],[Reference_Name]])-3)</f>
        <v>Terrain</v>
      </c>
      <c r="G16" s="10" t="s">
        <v>623</v>
      </c>
      <c r="H16" s="400" t="s">
        <v>1843</v>
      </c>
      <c r="I16" s="400"/>
    </row>
    <row r="17" spans="4:10" ht="12" customHeight="1" x14ac:dyDescent="0.2">
      <c r="D17" s="10" t="str">
        <f t="shared" si="0"/>
        <v>Db_12</v>
      </c>
      <c r="E17" s="10" t="s">
        <v>663</v>
      </c>
      <c r="F17" s="10" t="str">
        <f>MID(Table1[[#This Row],[Reference_Name]], 4, LEN(Table1[[#This Row],[Reference_Name]])-3)</f>
        <v>Y1</v>
      </c>
      <c r="G17" s="10" t="s">
        <v>624</v>
      </c>
      <c r="H17" t="s">
        <v>2218</v>
      </c>
      <c r="I17" s="10">
        <f>TS_First_Fin_Yr</f>
        <v>2019</v>
      </c>
      <c r="J17" s="10"/>
    </row>
    <row r="18" spans="4:10" ht="24" customHeight="1" x14ac:dyDescent="0.2">
      <c r="D18" s="10" t="str">
        <f t="shared" si="0"/>
        <v>Db_13</v>
      </c>
      <c r="E18" s="10" t="s">
        <v>1849</v>
      </c>
      <c r="F18" s="10" t="str">
        <f>MID(Table1[[#This Row],[Reference_Name]], 4, LEN(Table1[[#This Row],[Reference_Name]])-3)</f>
        <v>CostMethod</v>
      </c>
      <c r="G18" s="10" t="s">
        <v>1848</v>
      </c>
      <c r="H18" t="s">
        <v>2219</v>
      </c>
      <c r="I18" s="10">
        <f>Db_CostMethod</f>
        <v>1</v>
      </c>
      <c r="J18" s="409" t="s">
        <v>2220</v>
      </c>
    </row>
    <row r="19" spans="4:10" ht="12" customHeight="1" x14ac:dyDescent="0.2">
      <c r="D19" s="10" t="str">
        <f t="shared" si="0"/>
        <v>Db_14</v>
      </c>
      <c r="E19" s="10" t="s">
        <v>2453</v>
      </c>
      <c r="F19" s="10" t="str">
        <f>MID(Table1[[#This Row],[Reference_Name]], 4, LEN(Table1[[#This Row],[Reference_Name]])-3)</f>
        <v>FC</v>
      </c>
      <c r="G19" s="10" t="s">
        <v>2925</v>
      </c>
      <c r="H19" s="10" t="s">
        <v>2222</v>
      </c>
      <c r="I19" s="10" t="str">
        <f>Db_FC</f>
        <v>United States Dollars</v>
      </c>
      <c r="J19" s="10"/>
    </row>
    <row r="20" spans="4:10" ht="12" customHeight="1" x14ac:dyDescent="0.2">
      <c r="D20" s="10" t="str">
        <f t="shared" si="0"/>
        <v>Db_15</v>
      </c>
      <c r="E20" s="10" t="s">
        <v>2454</v>
      </c>
      <c r="F20" s="10" t="str">
        <f>MID(Table1[[#This Row],[Reference_Name]], 4, LEN(Table1[[#This Row],[Reference_Name]])-3)</f>
        <v>LC</v>
      </c>
      <c r="G20" s="10" t="s">
        <v>2926</v>
      </c>
      <c r="H20" s="10" t="s">
        <v>2223</v>
      </c>
      <c r="I20" s="10" t="str">
        <f>Db_LC</f>
        <v>Local Currency Unit</v>
      </c>
      <c r="J20" s="10"/>
    </row>
    <row r="21" spans="4:10" ht="12" customHeight="1" x14ac:dyDescent="0.2">
      <c r="D21" s="10" t="str">
        <f t="shared" si="0"/>
        <v>Db_16</v>
      </c>
      <c r="E21" s="10" t="s">
        <v>662</v>
      </c>
      <c r="F21" s="10" t="str">
        <f>MID(Table1[[#This Row],[Reference_Name]], 4, LEN(Table1[[#This Row],[Reference_Name]])-3)</f>
        <v>ExRate</v>
      </c>
      <c r="G21" s="402" t="s">
        <v>2927</v>
      </c>
      <c r="H21" s="10" t="s">
        <v>2224</v>
      </c>
      <c r="I21" s="10">
        <f>Db_ExRate</f>
        <v>1234.5</v>
      </c>
      <c r="J21" s="10"/>
    </row>
    <row r="22" spans="4:10" ht="12" customHeight="1" x14ac:dyDescent="0.2">
      <c r="D22" s="10" t="str">
        <f t="shared" si="0"/>
        <v>Db_17</v>
      </c>
      <c r="E22" s="10" t="s">
        <v>1845</v>
      </c>
      <c r="F22" s="10" t="str">
        <f>MID(Table1[[#This Row],[Reference_Name]], 4, LEN(Table1[[#This Row],[Reference_Name]])-3)</f>
        <v>DisRate</v>
      </c>
      <c r="G22" s="10" t="s">
        <v>1844</v>
      </c>
      <c r="H22" s="10" t="s">
        <v>2225</v>
      </c>
      <c r="I22" s="10">
        <f>Db_DisRate</f>
        <v>0.03</v>
      </c>
      <c r="J22" s="10"/>
    </row>
    <row r="23" spans="4:10" ht="12" customHeight="1" x14ac:dyDescent="0.2">
      <c r="D23" s="10" t="str">
        <f t="shared" si="0"/>
        <v>Db_18</v>
      </c>
      <c r="E23" s="10" t="s">
        <v>1851</v>
      </c>
      <c r="F23" s="10" t="str">
        <f>MID(Table1[[#This Row],[Reference_Name]], 4, LEN(Table1[[#This Row],[Reference_Name]])-3)</f>
        <v>TarPopG1</v>
      </c>
      <c r="G23" s="10" t="s">
        <v>1850</v>
      </c>
      <c r="H23" s="10" t="s">
        <v>2226</v>
      </c>
      <c r="I23" s="10" t="str">
        <f>Db_TarPopG1</f>
        <v>Target Group Name1</v>
      </c>
      <c r="J23" s="10"/>
    </row>
    <row r="24" spans="4:10" ht="12" customHeight="1" x14ac:dyDescent="0.2">
      <c r="D24" s="10" t="str">
        <f t="shared" si="0"/>
        <v>Db_19</v>
      </c>
      <c r="E24" s="10" t="s">
        <v>1853</v>
      </c>
      <c r="F24" s="10" t="str">
        <f>MID(Table1[[#This Row],[Reference_Name]], 4, LEN(Table1[[#This Row],[Reference_Name]])-3)</f>
        <v>TarPopG2</v>
      </c>
      <c r="G24" s="10" t="s">
        <v>1852</v>
      </c>
      <c r="H24" s="10" t="s">
        <v>2227</v>
      </c>
      <c r="I24" s="10" t="str">
        <f>Db_TarPopG2</f>
        <v>Target Group Name2</v>
      </c>
      <c r="J24" s="10"/>
    </row>
    <row r="25" spans="4:10" ht="12" customHeight="1" x14ac:dyDescent="0.2">
      <c r="D25" s="10" t="str">
        <f t="shared" si="0"/>
        <v>Db_20</v>
      </c>
      <c r="E25" s="10" t="s">
        <v>1854</v>
      </c>
      <c r="F25" s="10" t="str">
        <f>MID(Table1[[#This Row],[Reference_Name]], 4, LEN(Table1[[#This Row],[Reference_Name]])-3)</f>
        <v>TarPopSG1</v>
      </c>
      <c r="G25" s="10" t="s">
        <v>1856</v>
      </c>
      <c r="H25" s="10" t="s">
        <v>2228</v>
      </c>
      <c r="I25" s="10" t="str">
        <f>Db_TarPopSG1</f>
        <v>IN-SCHOOL</v>
      </c>
      <c r="J25" s="10"/>
    </row>
    <row r="26" spans="4:10" ht="12" customHeight="1" x14ac:dyDescent="0.2">
      <c r="D26" s="10" t="str">
        <f t="shared" si="0"/>
        <v>Db_21</v>
      </c>
      <c r="E26" s="10" t="s">
        <v>1855</v>
      </c>
      <c r="F26" s="10" t="str">
        <f>MID(Table1[[#This Row],[Reference_Name]], 4, LEN(Table1[[#This Row],[Reference_Name]])-3)</f>
        <v>TarPopSG2</v>
      </c>
      <c r="G26" s="10" t="s">
        <v>1857</v>
      </c>
      <c r="H26" s="10" t="s">
        <v>2229</v>
      </c>
      <c r="I26" s="10" t="str">
        <f>Db_TarPopSG2</f>
        <v>OUT OF SCHOOL</v>
      </c>
      <c r="J26" s="10"/>
    </row>
    <row r="27" spans="4:10" ht="12" customHeight="1" x14ac:dyDescent="0.2">
      <c r="D27" s="10" t="str">
        <f t="shared" si="0"/>
        <v>Db_22</v>
      </c>
      <c r="E27" s="10" t="s">
        <v>2234</v>
      </c>
      <c r="F27" s="10" t="str">
        <f>MID(Table1[[#This Row],[Reference_Name]], 4, LEN(Table1[[#This Row],[Reference_Name]])-3)</f>
        <v>SerTypeSV1</v>
      </c>
      <c r="G27" s="10" t="s">
        <v>1858</v>
      </c>
      <c r="H27" s="10" t="s">
        <v>2230</v>
      </c>
      <c r="I27" s="10" t="str">
        <f>Db_SerTypeSV1</f>
        <v>Single Vaccination Service Delivery Type 1</v>
      </c>
      <c r="J27" s="10"/>
    </row>
    <row r="28" spans="4:10" ht="12" customHeight="1" x14ac:dyDescent="0.2">
      <c r="D28" s="10" t="str">
        <f t="shared" si="0"/>
        <v>Db_23</v>
      </c>
      <c r="E28" s="10" t="s">
        <v>2235</v>
      </c>
      <c r="F28" s="10" t="str">
        <f>MID(Table1[[#This Row],[Reference_Name]], 4, LEN(Table1[[#This Row],[Reference_Name]])-3)</f>
        <v>SerTypeSV2</v>
      </c>
      <c r="G28" s="10" t="s">
        <v>1859</v>
      </c>
      <c r="H28" s="10" t="s">
        <v>2231</v>
      </c>
      <c r="I28" s="10" t="str">
        <f>Db_SerTypeSV2</f>
        <v>Single Vaccination Service Delivery Type 2</v>
      </c>
      <c r="J28" s="10"/>
    </row>
    <row r="29" spans="4:10" ht="12" customHeight="1" x14ac:dyDescent="0.2">
      <c r="D29" s="10" t="str">
        <f t="shared" si="0"/>
        <v>Db_24</v>
      </c>
      <c r="E29" s="10" t="s">
        <v>2236</v>
      </c>
      <c r="F29" s="10" t="str">
        <f>MID(Table1[[#This Row],[Reference_Name]], 4, LEN(Table1[[#This Row],[Reference_Name]])-3)</f>
        <v>SerTypeGV1</v>
      </c>
      <c r="G29" s="10" t="s">
        <v>1860</v>
      </c>
      <c r="H29" s="10" t="s">
        <v>2232</v>
      </c>
      <c r="I29" s="10" t="str">
        <f>Db_SerTypeGV1</f>
        <v>Small Group Vaccination Activity (30 people vaccinated)</v>
      </c>
      <c r="J29" s="10"/>
    </row>
    <row r="30" spans="4:10" ht="12" customHeight="1" x14ac:dyDescent="0.2">
      <c r="D30" s="10" t="str">
        <f t="shared" si="0"/>
        <v>Db_25</v>
      </c>
      <c r="E30" s="10" t="s">
        <v>2237</v>
      </c>
      <c r="F30" s="10" t="str">
        <f>MID(Table1[[#This Row],[Reference_Name]], 4, LEN(Table1[[#This Row],[Reference_Name]])-3)</f>
        <v>SerTypeGV2</v>
      </c>
      <c r="G30" s="10" t="s">
        <v>1861</v>
      </c>
      <c r="H30" s="10" t="s">
        <v>2233</v>
      </c>
      <c r="I30" s="10" t="str">
        <f>Db_SerTypeGV2</f>
        <v>Large Group Vaccination Activity (100 people vaccinated)</v>
      </c>
      <c r="J30" s="10"/>
    </row>
    <row r="31" spans="4:10" ht="12" customHeight="1" x14ac:dyDescent="0.2">
      <c r="D31" s="10" t="str">
        <f t="shared" si="0"/>
        <v>Db_26</v>
      </c>
      <c r="E31" s="10" t="s">
        <v>2248</v>
      </c>
      <c r="F31" s="10" t="str">
        <f>MID(Table1[[#This Row],[Reference_Name]], 4, LEN(Table1[[#This Row],[Reference_Name]])-3)</f>
        <v>SchNum_y1</v>
      </c>
      <c r="G31" s="10" t="s">
        <v>2238</v>
      </c>
      <c r="H31" s="10" t="s">
        <v>2308</v>
      </c>
      <c r="I31" s="10">
        <f>Db_SchNum_y1</f>
        <v>999</v>
      </c>
      <c r="J31" s="10"/>
    </row>
    <row r="32" spans="4:10" ht="12" customHeight="1" x14ac:dyDescent="0.2">
      <c r="D32" s="10" t="str">
        <f t="shared" si="0"/>
        <v>Db_27</v>
      </c>
      <c r="E32" s="10" t="s">
        <v>2256</v>
      </c>
      <c r="F32" s="10" t="str">
        <f>MID(Table1[[#This Row],[Reference_Name]], 4, LEN(Table1[[#This Row],[Reference_Name]])-3)</f>
        <v>SchNum_y2</v>
      </c>
      <c r="G32" s="10" t="s">
        <v>2252</v>
      </c>
      <c r="H32" s="10" t="s">
        <v>2309</v>
      </c>
      <c r="I32" s="10">
        <f>Db_SchNum_y2</f>
        <v>999</v>
      </c>
      <c r="J32" s="10"/>
    </row>
    <row r="33" spans="4:10" ht="12" customHeight="1" x14ac:dyDescent="0.2">
      <c r="D33" s="10" t="str">
        <f t="shared" si="0"/>
        <v>Db_28</v>
      </c>
      <c r="E33" s="10" t="s">
        <v>2257</v>
      </c>
      <c r="F33" s="10" t="str">
        <f>MID(Table1[[#This Row],[Reference_Name]], 4, LEN(Table1[[#This Row],[Reference_Name]])-3)</f>
        <v>SchNum_y3</v>
      </c>
      <c r="G33" s="10" t="s">
        <v>2253</v>
      </c>
      <c r="H33" s="10" t="s">
        <v>2310</v>
      </c>
      <c r="I33" s="10">
        <f>Db_SchNum_y3</f>
        <v>999</v>
      </c>
      <c r="J33" s="10"/>
    </row>
    <row r="34" spans="4:10" ht="12" customHeight="1" x14ac:dyDescent="0.2">
      <c r="D34" s="10" t="str">
        <f t="shared" si="0"/>
        <v>Db_29</v>
      </c>
      <c r="E34" s="10" t="s">
        <v>2258</v>
      </c>
      <c r="F34" s="10" t="str">
        <f>MID(Table1[[#This Row],[Reference_Name]], 4, LEN(Table1[[#This Row],[Reference_Name]])-3)</f>
        <v>SchNum_y4</v>
      </c>
      <c r="G34" s="10" t="s">
        <v>2254</v>
      </c>
      <c r="H34" s="10" t="s">
        <v>2311</v>
      </c>
      <c r="I34" s="10">
        <f>Db_SchNum_y4</f>
        <v>999</v>
      </c>
      <c r="J34" s="10"/>
    </row>
    <row r="35" spans="4:10" ht="12" customHeight="1" x14ac:dyDescent="0.2">
      <c r="D35" s="10" t="str">
        <f t="shared" si="0"/>
        <v>Db_30</v>
      </c>
      <c r="E35" s="10" t="s">
        <v>2259</v>
      </c>
      <c r="F35" s="10" t="str">
        <f>MID(Table1[[#This Row],[Reference_Name]], 4, LEN(Table1[[#This Row],[Reference_Name]])-3)</f>
        <v>SchNum_y5</v>
      </c>
      <c r="G35" s="10" t="s">
        <v>2255</v>
      </c>
      <c r="H35" s="10" t="s">
        <v>2312</v>
      </c>
      <c r="I35" s="10">
        <f>Db_SchNum_y5</f>
        <v>999</v>
      </c>
      <c r="J35" s="10"/>
    </row>
    <row r="36" spans="4:10" ht="12" customHeight="1" x14ac:dyDescent="0.2">
      <c r="D36" s="10" t="str">
        <f t="shared" si="0"/>
        <v>Db_31</v>
      </c>
      <c r="E36" s="10" t="s">
        <v>2245</v>
      </c>
      <c r="F36" s="10" t="str">
        <f>MID(Table1[[#This Row],[Reference_Name]], 4, LEN(Table1[[#This Row],[Reference_Name]])-3)</f>
        <v>TarPopG1PerSch_y1</v>
      </c>
      <c r="G36" s="10" t="s">
        <v>2239</v>
      </c>
      <c r="H36" s="10" t="s">
        <v>2313</v>
      </c>
      <c r="I36" s="10">
        <f>Db_TarPopG1PerSch_y1</f>
        <v>999</v>
      </c>
      <c r="J36" s="10"/>
    </row>
    <row r="37" spans="4:10" ht="12" customHeight="1" x14ac:dyDescent="0.2">
      <c r="D37" s="10" t="str">
        <f t="shared" si="0"/>
        <v>Db_32</v>
      </c>
      <c r="E37" s="10" t="s">
        <v>2264</v>
      </c>
      <c r="F37" s="10" t="str">
        <f>MID(Table1[[#This Row],[Reference_Name]], 4, LEN(Table1[[#This Row],[Reference_Name]])-3)</f>
        <v>TarPopG1PerSch_y2</v>
      </c>
      <c r="G37" s="10" t="s">
        <v>2260</v>
      </c>
      <c r="H37" s="10" t="s">
        <v>2319</v>
      </c>
      <c r="I37" s="10">
        <f>Db_TarPopG1PerSch_y2</f>
        <v>999</v>
      </c>
      <c r="J37" s="10"/>
    </row>
    <row r="38" spans="4:10" ht="12" customHeight="1" x14ac:dyDescent="0.2">
      <c r="D38" s="10" t="str">
        <f t="shared" si="0"/>
        <v>Db_33</v>
      </c>
      <c r="E38" s="10" t="s">
        <v>2265</v>
      </c>
      <c r="F38" s="10" t="str">
        <f>MID(Table1[[#This Row],[Reference_Name]], 4, LEN(Table1[[#This Row],[Reference_Name]])-3)</f>
        <v>TarPopG1PerSch_y3</v>
      </c>
      <c r="G38" s="10" t="s">
        <v>2261</v>
      </c>
      <c r="H38" s="10" t="s">
        <v>2320</v>
      </c>
      <c r="I38" s="10">
        <f>Db_TarPopG1PerSch_y3</f>
        <v>999</v>
      </c>
      <c r="J38" s="10"/>
    </row>
    <row r="39" spans="4:10" ht="12" customHeight="1" x14ac:dyDescent="0.2">
      <c r="D39" s="10" t="str">
        <f t="shared" si="0"/>
        <v>Db_34</v>
      </c>
      <c r="E39" s="10" t="s">
        <v>2266</v>
      </c>
      <c r="F39" s="10" t="str">
        <f>MID(Table1[[#This Row],[Reference_Name]], 4, LEN(Table1[[#This Row],[Reference_Name]])-3)</f>
        <v>TarPopG1PerSch_y4</v>
      </c>
      <c r="G39" s="10" t="s">
        <v>2262</v>
      </c>
      <c r="H39" s="10" t="s">
        <v>2321</v>
      </c>
      <c r="I39" s="10">
        <f>Db_TarPopG1PerSch_y4</f>
        <v>999</v>
      </c>
      <c r="J39" s="10"/>
    </row>
    <row r="40" spans="4:10" ht="12" customHeight="1" x14ac:dyDescent="0.2">
      <c r="D40" s="10" t="str">
        <f t="shared" si="0"/>
        <v>Db_35</v>
      </c>
      <c r="E40" s="10" t="s">
        <v>2267</v>
      </c>
      <c r="F40" s="10" t="str">
        <f>MID(Table1[[#This Row],[Reference_Name]], 4, LEN(Table1[[#This Row],[Reference_Name]])-3)</f>
        <v>TarPopG1PerSch_y5</v>
      </c>
      <c r="G40" s="10" t="s">
        <v>2263</v>
      </c>
      <c r="H40" s="10" t="s">
        <v>2322</v>
      </c>
      <c r="I40" s="10">
        <f>Db_TarPopG1PerSch_y5</f>
        <v>999</v>
      </c>
      <c r="J40" s="10"/>
    </row>
    <row r="41" spans="4:10" ht="12" customHeight="1" x14ac:dyDescent="0.2">
      <c r="D41" s="10" t="str">
        <f t="shared" si="0"/>
        <v>Db_36</v>
      </c>
      <c r="E41" s="10" t="s">
        <v>2246</v>
      </c>
      <c r="F41" s="10" t="str">
        <f>MID(Table1[[#This Row],[Reference_Name]], 4, LEN(Table1[[#This Row],[Reference_Name]])-3)</f>
        <v>TarPopG2PerSch_y1</v>
      </c>
      <c r="G41" s="10" t="s">
        <v>2240</v>
      </c>
      <c r="H41" s="10" t="s">
        <v>2314</v>
      </c>
      <c r="I41" s="10">
        <f>Db_TarPopG2PerSch_y1</f>
        <v>999</v>
      </c>
      <c r="J41" s="10"/>
    </row>
    <row r="42" spans="4:10" ht="12" customHeight="1" x14ac:dyDescent="0.2">
      <c r="D42" s="10" t="str">
        <f t="shared" si="0"/>
        <v>Db_37</v>
      </c>
      <c r="E42" s="10" t="s">
        <v>2268</v>
      </c>
      <c r="F42" s="10" t="str">
        <f>MID(Table1[[#This Row],[Reference_Name]], 4, LEN(Table1[[#This Row],[Reference_Name]])-3)</f>
        <v>TarPopG2PerSch_y2</v>
      </c>
      <c r="G42" s="10" t="s">
        <v>2288</v>
      </c>
      <c r="H42" s="10" t="s">
        <v>2323</v>
      </c>
      <c r="I42" s="10">
        <f>Db_TarPopG2PerSch_y2</f>
        <v>999</v>
      </c>
      <c r="J42" s="10"/>
    </row>
    <row r="43" spans="4:10" ht="12" customHeight="1" x14ac:dyDescent="0.2">
      <c r="D43" s="10" t="str">
        <f t="shared" si="0"/>
        <v>Db_38</v>
      </c>
      <c r="E43" s="10" t="s">
        <v>2269</v>
      </c>
      <c r="F43" s="10" t="str">
        <f>MID(Table1[[#This Row],[Reference_Name]], 4, LEN(Table1[[#This Row],[Reference_Name]])-3)</f>
        <v>TarPopG2PerSch_y3</v>
      </c>
      <c r="G43" s="10" t="s">
        <v>2289</v>
      </c>
      <c r="H43" s="10" t="s">
        <v>2324</v>
      </c>
      <c r="I43" s="10">
        <f>Db_TarPopG2PerSch_y3</f>
        <v>999</v>
      </c>
      <c r="J43" s="10"/>
    </row>
    <row r="44" spans="4:10" ht="12" customHeight="1" x14ac:dyDescent="0.2">
      <c r="D44" s="10" t="str">
        <f t="shared" si="0"/>
        <v>Db_39</v>
      </c>
      <c r="E44" s="10" t="s">
        <v>2270</v>
      </c>
      <c r="F44" s="10" t="str">
        <f>MID(Table1[[#This Row],[Reference_Name]], 4, LEN(Table1[[#This Row],[Reference_Name]])-3)</f>
        <v>TarPopG2PerSch_y4</v>
      </c>
      <c r="G44" s="10" t="s">
        <v>2290</v>
      </c>
      <c r="H44" s="10" t="s">
        <v>2325</v>
      </c>
      <c r="I44" s="10">
        <f>Db_TarPopG2PerSch_y4</f>
        <v>999</v>
      </c>
      <c r="J44" s="10"/>
    </row>
    <row r="45" spans="4:10" ht="12" customHeight="1" x14ac:dyDescent="0.2">
      <c r="D45" s="10" t="str">
        <f t="shared" si="0"/>
        <v>Db_40</v>
      </c>
      <c r="E45" s="10" t="s">
        <v>2271</v>
      </c>
      <c r="F45" s="10" t="str">
        <f>MID(Table1[[#This Row],[Reference_Name]], 4, LEN(Table1[[#This Row],[Reference_Name]])-3)</f>
        <v>TarPopG2PerSch_y5</v>
      </c>
      <c r="G45" s="10" t="s">
        <v>2291</v>
      </c>
      <c r="H45" s="10" t="s">
        <v>2326</v>
      </c>
      <c r="I45" s="10">
        <f>Db_TarPopG2PerSch_y5</f>
        <v>999</v>
      </c>
      <c r="J45" s="10"/>
    </row>
    <row r="46" spans="4:10" ht="12" customHeight="1" x14ac:dyDescent="0.2">
      <c r="D46" s="10" t="str">
        <f t="shared" si="0"/>
        <v>Db_41</v>
      </c>
      <c r="E46" s="10" t="s">
        <v>2247</v>
      </c>
      <c r="F46" s="10" t="str">
        <f>MID(Table1[[#This Row],[Reference_Name]], 4, LEN(Table1[[#This Row],[Reference_Name]])-3)</f>
        <v>HF_SV_Num_y1</v>
      </c>
      <c r="G46" s="10" t="s">
        <v>2241</v>
      </c>
      <c r="H46" s="10" t="s">
        <v>2315</v>
      </c>
      <c r="I46" s="10">
        <f>Db_HF_SV_Num_y1</f>
        <v>999</v>
      </c>
      <c r="J46" s="10"/>
    </row>
    <row r="47" spans="4:10" ht="12" customHeight="1" x14ac:dyDescent="0.2">
      <c r="D47" s="10" t="str">
        <f t="shared" si="0"/>
        <v>Db_42</v>
      </c>
      <c r="E47" s="10" t="s">
        <v>2272</v>
      </c>
      <c r="F47" s="10" t="str">
        <f>MID(Table1[[#This Row],[Reference_Name]], 4, LEN(Table1[[#This Row],[Reference_Name]])-3)</f>
        <v>HF_SV_Num_y2</v>
      </c>
      <c r="G47" s="10" t="s">
        <v>2292</v>
      </c>
      <c r="H47" s="10" t="s">
        <v>2327</v>
      </c>
      <c r="I47" s="10">
        <f>Db_HF_SV_Num_y2</f>
        <v>999</v>
      </c>
      <c r="J47" s="10"/>
    </row>
    <row r="48" spans="4:10" ht="12" customHeight="1" x14ac:dyDescent="0.2">
      <c r="D48" s="10" t="str">
        <f t="shared" si="0"/>
        <v>Db_43</v>
      </c>
      <c r="E48" s="10" t="s">
        <v>2273</v>
      </c>
      <c r="F48" s="10" t="str">
        <f>MID(Table1[[#This Row],[Reference_Name]], 4, LEN(Table1[[#This Row],[Reference_Name]])-3)</f>
        <v>HF_SV_Num_y3</v>
      </c>
      <c r="G48" s="10" t="s">
        <v>2293</v>
      </c>
      <c r="H48" s="10" t="s">
        <v>2328</v>
      </c>
      <c r="I48" s="10">
        <f>Db_HF_SV_Num_y3</f>
        <v>999</v>
      </c>
      <c r="J48" s="10"/>
    </row>
    <row r="49" spans="4:10" ht="12" customHeight="1" x14ac:dyDescent="0.2">
      <c r="D49" s="10" t="str">
        <f t="shared" si="0"/>
        <v>Db_44</v>
      </c>
      <c r="E49" s="10" t="s">
        <v>2274</v>
      </c>
      <c r="F49" s="10" t="str">
        <f>MID(Table1[[#This Row],[Reference_Name]], 4, LEN(Table1[[#This Row],[Reference_Name]])-3)</f>
        <v>HF_SV_Num_y4</v>
      </c>
      <c r="G49" s="10" t="s">
        <v>2294</v>
      </c>
      <c r="H49" s="10" t="s">
        <v>2329</v>
      </c>
      <c r="I49" s="10">
        <f>Db_HF_SV_Num_y4</f>
        <v>999</v>
      </c>
      <c r="J49" s="10"/>
    </row>
    <row r="50" spans="4:10" ht="12" customHeight="1" x14ac:dyDescent="0.2">
      <c r="D50" s="10" t="str">
        <f t="shared" si="0"/>
        <v>Db_45</v>
      </c>
      <c r="E50" s="10" t="s">
        <v>2275</v>
      </c>
      <c r="F50" s="10" t="str">
        <f>MID(Table1[[#This Row],[Reference_Name]], 4, LEN(Table1[[#This Row],[Reference_Name]])-3)</f>
        <v>HF_SV_Num_y5</v>
      </c>
      <c r="G50" s="10" t="s">
        <v>2295</v>
      </c>
      <c r="H50" s="10" t="s">
        <v>2330</v>
      </c>
      <c r="I50" s="10">
        <f>Db_HF_SV_Num_y5</f>
        <v>999</v>
      </c>
      <c r="J50" s="10"/>
    </row>
    <row r="51" spans="4:10" ht="12" customHeight="1" x14ac:dyDescent="0.2">
      <c r="D51" s="10" t="str">
        <f t="shared" si="0"/>
        <v>Db_46</v>
      </c>
      <c r="E51" s="10" t="s">
        <v>2249</v>
      </c>
      <c r="F51" s="10" t="str">
        <f>MID(Table1[[#This Row],[Reference_Name]], 4, LEN(Table1[[#This Row],[Reference_Name]])-3)</f>
        <v>HF_Out_Num_y1</v>
      </c>
      <c r="G51" s="10" t="s">
        <v>2242</v>
      </c>
      <c r="H51" s="10" t="s">
        <v>2316</v>
      </c>
      <c r="I51" s="10">
        <f>Db_HF_Out_Num_y1</f>
        <v>999</v>
      </c>
      <c r="J51" s="10"/>
    </row>
    <row r="52" spans="4:10" ht="12" customHeight="1" x14ac:dyDescent="0.2">
      <c r="D52" s="10" t="str">
        <f t="shared" si="0"/>
        <v>Db_47</v>
      </c>
      <c r="E52" s="10" t="s">
        <v>2276</v>
      </c>
      <c r="F52" s="10" t="str">
        <f>MID(Table1[[#This Row],[Reference_Name]], 4, LEN(Table1[[#This Row],[Reference_Name]])-3)</f>
        <v>HF_Out_Num_y2</v>
      </c>
      <c r="G52" s="10" t="s">
        <v>2296</v>
      </c>
      <c r="H52" s="10" t="s">
        <v>2331</v>
      </c>
      <c r="I52" s="10">
        <f>Db_HF_Out_Num_y2</f>
        <v>999</v>
      </c>
      <c r="J52" s="10"/>
    </row>
    <row r="53" spans="4:10" ht="12" customHeight="1" x14ac:dyDescent="0.2">
      <c r="D53" s="10" t="str">
        <f t="shared" si="0"/>
        <v>Db_48</v>
      </c>
      <c r="E53" s="10" t="s">
        <v>2277</v>
      </c>
      <c r="F53" s="10" t="str">
        <f>MID(Table1[[#This Row],[Reference_Name]], 4, LEN(Table1[[#This Row],[Reference_Name]])-3)</f>
        <v>HF_Out_Num_y3</v>
      </c>
      <c r="G53" s="10" t="s">
        <v>2297</v>
      </c>
      <c r="H53" s="10" t="s">
        <v>2332</v>
      </c>
      <c r="I53" s="10">
        <f>Db_HF_Out_Num_y3</f>
        <v>999</v>
      </c>
      <c r="J53" s="10"/>
    </row>
    <row r="54" spans="4:10" ht="12" customHeight="1" x14ac:dyDescent="0.2">
      <c r="D54" s="10" t="str">
        <f t="shared" si="0"/>
        <v>Db_49</v>
      </c>
      <c r="E54" s="10" t="s">
        <v>2278</v>
      </c>
      <c r="F54" s="10" t="str">
        <f>MID(Table1[[#This Row],[Reference_Name]], 4, LEN(Table1[[#This Row],[Reference_Name]])-3)</f>
        <v>HF_Out_Num_y4</v>
      </c>
      <c r="G54" s="10" t="s">
        <v>2298</v>
      </c>
      <c r="H54" s="10" t="s">
        <v>2333</v>
      </c>
      <c r="I54" s="10">
        <f>Db_HF_Out_Num_y4</f>
        <v>999</v>
      </c>
      <c r="J54" s="10"/>
    </row>
    <row r="55" spans="4:10" ht="12" customHeight="1" x14ac:dyDescent="0.2">
      <c r="D55" s="10" t="str">
        <f t="shared" si="0"/>
        <v>Db_50</v>
      </c>
      <c r="E55" s="10" t="s">
        <v>2279</v>
      </c>
      <c r="F55" s="10" t="str">
        <f>MID(Table1[[#This Row],[Reference_Name]], 4, LEN(Table1[[#This Row],[Reference_Name]])-3)</f>
        <v>HF_Out_Num_y5</v>
      </c>
      <c r="G55" s="10" t="s">
        <v>2299</v>
      </c>
      <c r="H55" s="10" t="s">
        <v>2334</v>
      </c>
      <c r="I55" s="10">
        <f>Db_HF_Out_Num_y5</f>
        <v>999</v>
      </c>
      <c r="J55" s="10"/>
    </row>
    <row r="56" spans="4:10" ht="12" customHeight="1" x14ac:dyDescent="0.2">
      <c r="D56" s="10" t="str">
        <f t="shared" si="0"/>
        <v>Db_51</v>
      </c>
      <c r="E56" s="10" t="s">
        <v>2250</v>
      </c>
      <c r="F56" s="10" t="str">
        <f>MID(Table1[[#This Row],[Reference_Name]], 4, LEN(Table1[[#This Row],[Reference_Name]])-3)</f>
        <v>OutNumPerHFyr_y1</v>
      </c>
      <c r="G56" s="10" t="s">
        <v>2243</v>
      </c>
      <c r="H56" s="10" t="s">
        <v>2317</v>
      </c>
      <c r="I56" s="10">
        <f>Db_OutNumPerHFyr_y1</f>
        <v>9</v>
      </c>
      <c r="J56" s="10"/>
    </row>
    <row r="57" spans="4:10" ht="12" customHeight="1" x14ac:dyDescent="0.2">
      <c r="D57" s="10" t="str">
        <f t="shared" si="0"/>
        <v>Db_52</v>
      </c>
      <c r="E57" s="10" t="s">
        <v>2280</v>
      </c>
      <c r="F57" s="10" t="str">
        <f>MID(Table1[[#This Row],[Reference_Name]], 4, LEN(Table1[[#This Row],[Reference_Name]])-3)</f>
        <v>OutNumPerHFyr_y2</v>
      </c>
      <c r="G57" s="10" t="s">
        <v>2300</v>
      </c>
      <c r="H57" s="10" t="s">
        <v>2335</v>
      </c>
      <c r="I57" s="10">
        <f>Db_OutNumPerHFyr_y2</f>
        <v>9</v>
      </c>
      <c r="J57" s="10"/>
    </row>
    <row r="58" spans="4:10" ht="12" customHeight="1" x14ac:dyDescent="0.2">
      <c r="D58" s="10" t="str">
        <f t="shared" si="0"/>
        <v>Db_53</v>
      </c>
      <c r="E58" s="10" t="s">
        <v>2281</v>
      </c>
      <c r="F58" s="10" t="str">
        <f>MID(Table1[[#This Row],[Reference_Name]], 4, LEN(Table1[[#This Row],[Reference_Name]])-3)</f>
        <v>OutNumPerHFyr_y3</v>
      </c>
      <c r="G58" s="10" t="s">
        <v>2301</v>
      </c>
      <c r="H58" s="10" t="s">
        <v>2336</v>
      </c>
      <c r="I58" s="10">
        <f>Db_OutNumPerHFyr_y3</f>
        <v>9</v>
      </c>
      <c r="J58" s="10"/>
    </row>
    <row r="59" spans="4:10" ht="12" customHeight="1" x14ac:dyDescent="0.2">
      <c r="D59" s="10" t="str">
        <f t="shared" si="0"/>
        <v>Db_54</v>
      </c>
      <c r="E59" s="10" t="s">
        <v>2282</v>
      </c>
      <c r="F59" s="10" t="str">
        <f>MID(Table1[[#This Row],[Reference_Name]], 4, LEN(Table1[[#This Row],[Reference_Name]])-3)</f>
        <v>OutNumPerHFyr_y4</v>
      </c>
      <c r="G59" s="10" t="s">
        <v>2302</v>
      </c>
      <c r="H59" s="10" t="s">
        <v>2337</v>
      </c>
      <c r="I59" s="10">
        <f>Db_OutNumPerHFyr_y4</f>
        <v>9</v>
      </c>
      <c r="J59" s="10"/>
    </row>
    <row r="60" spans="4:10" ht="12" customHeight="1" x14ac:dyDescent="0.2">
      <c r="D60" s="10" t="str">
        <f t="shared" si="0"/>
        <v>Db_55</v>
      </c>
      <c r="E60" s="10" t="s">
        <v>2283</v>
      </c>
      <c r="F60" s="10" t="str">
        <f>MID(Table1[[#This Row],[Reference_Name]], 4, LEN(Table1[[#This Row],[Reference_Name]])-3)</f>
        <v>OutNumPerHFyr_y5</v>
      </c>
      <c r="G60" s="10" t="s">
        <v>2303</v>
      </c>
      <c r="H60" s="10" t="s">
        <v>2338</v>
      </c>
      <c r="I60" s="10">
        <f>Db_OutNumPerHFyr_y5</f>
        <v>9</v>
      </c>
      <c r="J60" s="10"/>
    </row>
    <row r="61" spans="4:10" ht="12" customHeight="1" x14ac:dyDescent="0.2">
      <c r="D61" s="10" t="str">
        <f t="shared" si="0"/>
        <v>Db_56</v>
      </c>
      <c r="E61" s="10" t="s">
        <v>2251</v>
      </c>
      <c r="F61" s="10" t="str">
        <f>MID(Table1[[#This Row],[Reference_Name]], 4, LEN(Table1[[#This Row],[Reference_Name]])-3)</f>
        <v>DosePerOut_y1</v>
      </c>
      <c r="G61" s="10" t="s">
        <v>2244</v>
      </c>
      <c r="H61" s="10" t="s">
        <v>2318</v>
      </c>
      <c r="I61" s="10">
        <f>Db_DosePerOut_y1</f>
        <v>99</v>
      </c>
      <c r="J61" s="10"/>
    </row>
    <row r="62" spans="4:10" ht="12" customHeight="1" x14ac:dyDescent="0.2">
      <c r="D62" s="10" t="str">
        <f t="shared" si="0"/>
        <v>Db_57</v>
      </c>
      <c r="E62" s="10" t="s">
        <v>2284</v>
      </c>
      <c r="F62" s="10" t="str">
        <f>MID(Table1[[#This Row],[Reference_Name]], 4, LEN(Table1[[#This Row],[Reference_Name]])-3)</f>
        <v>DosePerOut_y2</v>
      </c>
      <c r="G62" s="10" t="s">
        <v>2304</v>
      </c>
      <c r="H62" s="10" t="s">
        <v>2339</v>
      </c>
      <c r="I62" s="10">
        <f>Db_DosePerOut_y2</f>
        <v>99</v>
      </c>
      <c r="J62" s="10"/>
    </row>
    <row r="63" spans="4:10" ht="12" customHeight="1" x14ac:dyDescent="0.2">
      <c r="D63" s="10" t="str">
        <f t="shared" si="0"/>
        <v>Db_58</v>
      </c>
      <c r="E63" s="10" t="s">
        <v>2285</v>
      </c>
      <c r="F63" s="10" t="str">
        <f>MID(Table1[[#This Row],[Reference_Name]], 4, LEN(Table1[[#This Row],[Reference_Name]])-3)</f>
        <v>DosePerOut_y3</v>
      </c>
      <c r="G63" s="10" t="s">
        <v>2305</v>
      </c>
      <c r="H63" s="10" t="s">
        <v>2340</v>
      </c>
      <c r="I63" s="10">
        <f>Db_DosePerOut_y3</f>
        <v>99</v>
      </c>
      <c r="J63" s="10"/>
    </row>
    <row r="64" spans="4:10" ht="12" customHeight="1" x14ac:dyDescent="0.2">
      <c r="D64" s="10" t="str">
        <f t="shared" si="0"/>
        <v>Db_59</v>
      </c>
      <c r="E64" s="10" t="s">
        <v>2286</v>
      </c>
      <c r="F64" s="10" t="str">
        <f>MID(Table1[[#This Row],[Reference_Name]], 4, LEN(Table1[[#This Row],[Reference_Name]])-3)</f>
        <v>DosePerOut_y4</v>
      </c>
      <c r="G64" s="10" t="s">
        <v>2306</v>
      </c>
      <c r="H64" s="10" t="s">
        <v>2341</v>
      </c>
      <c r="I64" s="10">
        <f>Db_DosePerOut_y4</f>
        <v>99</v>
      </c>
      <c r="J64" s="10"/>
    </row>
    <row r="65" spans="4:10" ht="12" customHeight="1" x14ac:dyDescent="0.2">
      <c r="D65" s="10" t="str">
        <f t="shared" si="0"/>
        <v>Db_60</v>
      </c>
      <c r="E65" s="10" t="s">
        <v>2287</v>
      </c>
      <c r="F65" s="10" t="str">
        <f>MID(Table1[[#This Row],[Reference_Name]], 4, LEN(Table1[[#This Row],[Reference_Name]])-3)</f>
        <v>DosePerOut_y5</v>
      </c>
      <c r="G65" s="10" t="s">
        <v>2307</v>
      </c>
      <c r="H65" s="10" t="s">
        <v>2342</v>
      </c>
      <c r="I65" s="10">
        <f>Db_DosePerOut_y5</f>
        <v>99</v>
      </c>
      <c r="J65" s="10"/>
    </row>
    <row r="66" spans="4:10" ht="12" customHeight="1" x14ac:dyDescent="0.2">
      <c r="D66" s="10" t="str">
        <f t="shared" si="0"/>
        <v>Db_61</v>
      </c>
      <c r="E66" s="10" t="s">
        <v>1865</v>
      </c>
      <c r="F66" s="10" t="str">
        <f>MID(Table1[[#This Row],[Reference_Name]], 4, LEN(Table1[[#This Row],[Reference_Name]])-3)</f>
        <v>TarPopSize_total</v>
      </c>
      <c r="G66" s="10" t="s">
        <v>1862</v>
      </c>
      <c r="H66" s="10" t="s">
        <v>2343</v>
      </c>
      <c r="I66" s="10">
        <f>Db_TarPopSize_total</f>
        <v>1030904</v>
      </c>
      <c r="J66" s="10"/>
    </row>
    <row r="67" spans="4:10" ht="12" customHeight="1" x14ac:dyDescent="0.2">
      <c r="D67" s="10" t="str">
        <f t="shared" si="0"/>
        <v>Db_62</v>
      </c>
      <c r="E67" s="10" t="s">
        <v>2349</v>
      </c>
      <c r="F67" s="10" t="str">
        <f>MID(Table1[[#This Row],[Reference_Name]], 4, LEN(Table1[[#This Row],[Reference_Name]])-3)</f>
        <v>TarPopSize_G1SG1_y1</v>
      </c>
      <c r="G67" s="10" t="s">
        <v>2344</v>
      </c>
      <c r="H67" s="10" t="s">
        <v>2384</v>
      </c>
      <c r="I67" s="10">
        <f>Db_TarPopSize_G1SG1_y1</f>
        <v>40000</v>
      </c>
      <c r="J67" s="10"/>
    </row>
    <row r="68" spans="4:10" ht="12" customHeight="1" x14ac:dyDescent="0.2">
      <c r="D68" s="10" t="str">
        <f t="shared" si="0"/>
        <v>Db_63</v>
      </c>
      <c r="E68" s="10" t="s">
        <v>2350</v>
      </c>
      <c r="F68" s="10" t="str">
        <f>MID(Table1[[#This Row],[Reference_Name]], 4, LEN(Table1[[#This Row],[Reference_Name]])-3)</f>
        <v>TarPopSize_G1SG1_y2</v>
      </c>
      <c r="G68" s="10" t="s">
        <v>2345</v>
      </c>
      <c r="H68" s="10" t="s">
        <v>2388</v>
      </c>
      <c r="I68" s="10">
        <f>Db_TarPopSize_G1SG1_y2</f>
        <v>51500</v>
      </c>
      <c r="J68" s="10"/>
    </row>
    <row r="69" spans="4:10" ht="12" customHeight="1" x14ac:dyDescent="0.2">
      <c r="D69" s="10" t="str">
        <f t="shared" si="0"/>
        <v>Db_64</v>
      </c>
      <c r="E69" s="10" t="s">
        <v>2351</v>
      </c>
      <c r="F69" s="10" t="str">
        <f>MID(Table1[[#This Row],[Reference_Name]], 4, LEN(Table1[[#This Row],[Reference_Name]])-3)</f>
        <v>TarPopSize_G1SG1_y3</v>
      </c>
      <c r="G69" s="10" t="s">
        <v>2346</v>
      </c>
      <c r="H69" s="10" t="s">
        <v>2389</v>
      </c>
      <c r="I69" s="10">
        <f>Db_TarPopSize_G1SG1_y3</f>
        <v>42436</v>
      </c>
      <c r="J69" s="10"/>
    </row>
    <row r="70" spans="4:10" ht="12" customHeight="1" x14ac:dyDescent="0.2">
      <c r="D70" s="10" t="str">
        <f t="shared" ref="D70:D133" si="1">"Db_"&amp;ROW()-5</f>
        <v>Db_65</v>
      </c>
      <c r="E70" s="10" t="s">
        <v>2352</v>
      </c>
      <c r="F70" s="10" t="str">
        <f>MID(Table1[[#This Row],[Reference_Name]], 4, LEN(Table1[[#This Row],[Reference_Name]])-3)</f>
        <v>TarPopSize_G1SG1_y4</v>
      </c>
      <c r="G70" s="10" t="s">
        <v>2347</v>
      </c>
      <c r="H70" s="10" t="s">
        <v>2390</v>
      </c>
      <c r="I70" s="10">
        <f>Db_TarPopSize_G1SG1_y4</f>
        <v>32782</v>
      </c>
      <c r="J70" s="10"/>
    </row>
    <row r="71" spans="4:10" ht="12" customHeight="1" x14ac:dyDescent="0.2">
      <c r="D71" s="10" t="str">
        <f t="shared" si="1"/>
        <v>Db_66</v>
      </c>
      <c r="E71" s="10" t="s">
        <v>2353</v>
      </c>
      <c r="F71" s="10" t="str">
        <f>MID(Table1[[#This Row],[Reference_Name]], 4, LEN(Table1[[#This Row],[Reference_Name]])-3)</f>
        <v>TarPopSize_G1SG1_y5</v>
      </c>
      <c r="G71" s="10" t="s">
        <v>2348</v>
      </c>
      <c r="H71" s="10" t="s">
        <v>2391</v>
      </c>
      <c r="I71" s="10">
        <f>Db_TarPopSize_G1SG1_y5</f>
        <v>112550</v>
      </c>
      <c r="J71" s="10"/>
    </row>
    <row r="72" spans="4:10" ht="12" customHeight="1" x14ac:dyDescent="0.2">
      <c r="D72" s="10" t="str">
        <f t="shared" si="1"/>
        <v>Db_67</v>
      </c>
      <c r="E72" s="10" t="s">
        <v>2355</v>
      </c>
      <c r="F72" s="10" t="str">
        <f>MID(Table1[[#This Row],[Reference_Name]], 4, LEN(Table1[[#This Row],[Reference_Name]])-3)</f>
        <v>TarPopSize_G1SG2_y1</v>
      </c>
      <c r="G72" s="10" t="s">
        <v>2354</v>
      </c>
      <c r="H72" s="10" t="s">
        <v>2385</v>
      </c>
      <c r="I72" s="10">
        <f>Db_TarPopSize_G1SG2_y1</f>
        <v>59999</v>
      </c>
      <c r="J72" s="10"/>
    </row>
    <row r="73" spans="4:10" ht="12" customHeight="1" x14ac:dyDescent="0.2">
      <c r="D73" s="10" t="str">
        <f t="shared" si="1"/>
        <v>Db_68</v>
      </c>
      <c r="E73" s="10" t="s">
        <v>2360</v>
      </c>
      <c r="F73" s="10" t="str">
        <f>MID(Table1[[#This Row],[Reference_Name]], 4, LEN(Table1[[#This Row],[Reference_Name]])-3)</f>
        <v>TarPopSize_G1SG2_y2</v>
      </c>
      <c r="G73" s="10" t="s">
        <v>2356</v>
      </c>
      <c r="H73" s="10" t="s">
        <v>2392</v>
      </c>
      <c r="I73" s="10">
        <f>Db_TarPopSize_G1SG2_y2</f>
        <v>51500</v>
      </c>
      <c r="J73" s="10"/>
    </row>
    <row r="74" spans="4:10" ht="12" customHeight="1" x14ac:dyDescent="0.2">
      <c r="D74" s="10" t="str">
        <f t="shared" si="1"/>
        <v>Db_69</v>
      </c>
      <c r="E74" s="10" t="s">
        <v>2361</v>
      </c>
      <c r="F74" s="10" t="str">
        <f>MID(Table1[[#This Row],[Reference_Name]], 4, LEN(Table1[[#This Row],[Reference_Name]])-3)</f>
        <v>TarPopSize_G1SG2_y3</v>
      </c>
      <c r="G74" s="10" t="s">
        <v>2357</v>
      </c>
      <c r="H74" s="10" t="s">
        <v>2393</v>
      </c>
      <c r="I74" s="10">
        <f>Db_TarPopSize_G1SG2_y3</f>
        <v>63653</v>
      </c>
      <c r="J74" s="10"/>
    </row>
    <row r="75" spans="4:10" ht="12" customHeight="1" x14ac:dyDescent="0.2">
      <c r="D75" s="10" t="str">
        <f t="shared" si="1"/>
        <v>Db_70</v>
      </c>
      <c r="E75" s="10" t="s">
        <v>2362</v>
      </c>
      <c r="F75" s="10" t="str">
        <f>MID(Table1[[#This Row],[Reference_Name]], 4, LEN(Table1[[#This Row],[Reference_Name]])-3)</f>
        <v>TarPopSize_G1SG2_y4</v>
      </c>
      <c r="G75" s="10" t="s">
        <v>2358</v>
      </c>
      <c r="H75" s="10" t="s">
        <v>2394</v>
      </c>
      <c r="I75" s="10">
        <f>Db_TarPopSize_G1SG2_y4</f>
        <v>76490</v>
      </c>
      <c r="J75" s="10"/>
    </row>
    <row r="76" spans="4:10" ht="12" customHeight="1" x14ac:dyDescent="0.2">
      <c r="D76" s="10" t="str">
        <f t="shared" si="1"/>
        <v>Db_71</v>
      </c>
      <c r="E76" s="10" t="s">
        <v>2363</v>
      </c>
      <c r="F76" s="10" t="str">
        <f>MID(Table1[[#This Row],[Reference_Name]], 4, LEN(Table1[[#This Row],[Reference_Name]])-3)</f>
        <v>TarPopSize_G1SG2_y5</v>
      </c>
      <c r="G76" s="10" t="s">
        <v>2359</v>
      </c>
      <c r="H76" s="10" t="s">
        <v>2395</v>
      </c>
      <c r="I76" s="10">
        <f>Db_TarPopSize_G1SG2_y5</f>
        <v>0</v>
      </c>
      <c r="J76" s="10"/>
    </row>
    <row r="77" spans="4:10" ht="12" customHeight="1" x14ac:dyDescent="0.2">
      <c r="D77" s="10" t="str">
        <f t="shared" si="1"/>
        <v>Db_72</v>
      </c>
      <c r="E77" s="10" t="s">
        <v>2374</v>
      </c>
      <c r="F77" s="10" t="str">
        <f>MID(Table1[[#This Row],[Reference_Name]], 4, LEN(Table1[[#This Row],[Reference_Name]])-3)</f>
        <v>TarPopSize_G2SG1_y1</v>
      </c>
      <c r="G77" s="10" t="s">
        <v>2364</v>
      </c>
      <c r="H77" s="10" t="s">
        <v>2386</v>
      </c>
      <c r="I77" s="10">
        <f>Db_TarPopSize_G2SG1_y1</f>
        <v>30000</v>
      </c>
      <c r="J77" s="10"/>
    </row>
    <row r="78" spans="4:10" ht="12" customHeight="1" x14ac:dyDescent="0.2">
      <c r="D78" s="10" t="str">
        <f t="shared" si="1"/>
        <v>Db_73</v>
      </c>
      <c r="E78" s="10" t="s">
        <v>2375</v>
      </c>
      <c r="F78" s="10" t="str">
        <f>MID(Table1[[#This Row],[Reference_Name]], 4, LEN(Table1[[#This Row],[Reference_Name]])-3)</f>
        <v>TarPopSize_G2SG1_y2</v>
      </c>
      <c r="G78" s="10" t="s">
        <v>2365</v>
      </c>
      <c r="H78" s="10" t="s">
        <v>2396</v>
      </c>
      <c r="I78" s="10">
        <f>Db_TarPopSize_G2SG1_y2</f>
        <v>50000</v>
      </c>
      <c r="J78" s="10"/>
    </row>
    <row r="79" spans="4:10" ht="12" customHeight="1" x14ac:dyDescent="0.2">
      <c r="D79" s="10" t="str">
        <f t="shared" si="1"/>
        <v>Db_74</v>
      </c>
      <c r="E79" s="10" t="s">
        <v>2376</v>
      </c>
      <c r="F79" s="10" t="str">
        <f>MID(Table1[[#This Row],[Reference_Name]], 4, LEN(Table1[[#This Row],[Reference_Name]])-3)</f>
        <v>TarPopSize_G2SG1_y3</v>
      </c>
      <c r="G79" s="10" t="s">
        <v>2366</v>
      </c>
      <c r="H79" s="10" t="s">
        <v>2397</v>
      </c>
      <c r="I79" s="10">
        <f>Db_TarPopSize_G2SG1_y3</f>
        <v>40000</v>
      </c>
      <c r="J79" s="10"/>
    </row>
    <row r="80" spans="4:10" ht="12" customHeight="1" x14ac:dyDescent="0.2">
      <c r="D80" s="10" t="str">
        <f t="shared" si="1"/>
        <v>Db_75</v>
      </c>
      <c r="E80" s="10" t="s">
        <v>2377</v>
      </c>
      <c r="F80" s="10" t="str">
        <f>MID(Table1[[#This Row],[Reference_Name]], 4, LEN(Table1[[#This Row],[Reference_Name]])-3)</f>
        <v>TarPopSize_G2SG1_y4</v>
      </c>
      <c r="G80" s="10" t="s">
        <v>2367</v>
      </c>
      <c r="H80" s="10" t="s">
        <v>2398</v>
      </c>
      <c r="I80" s="10">
        <f>Db_TarPopSize_G2SG1_y4</f>
        <v>30000</v>
      </c>
      <c r="J80" s="10"/>
    </row>
    <row r="81" spans="4:10" ht="12" customHeight="1" x14ac:dyDescent="0.2">
      <c r="D81" s="10" t="str">
        <f t="shared" si="1"/>
        <v>Db_76</v>
      </c>
      <c r="E81" s="10" t="s">
        <v>2378</v>
      </c>
      <c r="F81" s="10" t="str">
        <f>MID(Table1[[#This Row],[Reference_Name]], 4, LEN(Table1[[#This Row],[Reference_Name]])-3)</f>
        <v>TarPopSize_G2SG1_y5</v>
      </c>
      <c r="G81" s="10" t="s">
        <v>2368</v>
      </c>
      <c r="H81" s="10" t="s">
        <v>2399</v>
      </c>
      <c r="I81" s="10">
        <f>Db_TarPopSize_G2SG1_y5</f>
        <v>10000</v>
      </c>
      <c r="J81" s="10"/>
    </row>
    <row r="82" spans="4:10" ht="12" customHeight="1" x14ac:dyDescent="0.2">
      <c r="D82" s="10" t="str">
        <f t="shared" si="1"/>
        <v>Db_77</v>
      </c>
      <c r="E82" s="10" t="s">
        <v>2379</v>
      </c>
      <c r="F82" s="10" t="str">
        <f>MID(Table1[[#This Row],[Reference_Name]], 4, LEN(Table1[[#This Row],[Reference_Name]])-3)</f>
        <v>TarPopSize_G2SG2_y1</v>
      </c>
      <c r="G82" s="10" t="s">
        <v>2369</v>
      </c>
      <c r="H82" s="10" t="s">
        <v>2387</v>
      </c>
      <c r="I82" s="10">
        <f>Db_TarPopSize_G2SG2_y1</f>
        <v>69999</v>
      </c>
      <c r="J82" s="10"/>
    </row>
    <row r="83" spans="4:10" ht="12" customHeight="1" x14ac:dyDescent="0.2">
      <c r="D83" s="10" t="str">
        <f t="shared" si="1"/>
        <v>Db_78</v>
      </c>
      <c r="E83" s="10" t="s">
        <v>2380</v>
      </c>
      <c r="F83" s="10" t="str">
        <f>MID(Table1[[#This Row],[Reference_Name]], 4, LEN(Table1[[#This Row],[Reference_Name]])-3)</f>
        <v>TarPopSize_G2SG2_y2</v>
      </c>
      <c r="G83" s="10" t="s">
        <v>2370</v>
      </c>
      <c r="H83" s="10" t="s">
        <v>2400</v>
      </c>
      <c r="I83" s="10">
        <f>Db_TarPopSize_G2SG2_y2</f>
        <v>50000</v>
      </c>
      <c r="J83" s="10"/>
    </row>
    <row r="84" spans="4:10" ht="12" customHeight="1" x14ac:dyDescent="0.2">
      <c r="D84" s="10" t="str">
        <f t="shared" si="1"/>
        <v>Db_79</v>
      </c>
      <c r="E84" s="10" t="s">
        <v>2381</v>
      </c>
      <c r="F84" s="10" t="str">
        <f>MID(Table1[[#This Row],[Reference_Name]], 4, LEN(Table1[[#This Row],[Reference_Name]])-3)</f>
        <v>TarPopSize_G2SG2_y3</v>
      </c>
      <c r="G84" s="10" t="s">
        <v>2371</v>
      </c>
      <c r="H84" s="10" t="s">
        <v>2401</v>
      </c>
      <c r="I84" s="10">
        <f>Db_TarPopSize_G2SG2_y3</f>
        <v>59999</v>
      </c>
      <c r="J84" s="10"/>
    </row>
    <row r="85" spans="4:10" ht="12" customHeight="1" x14ac:dyDescent="0.2">
      <c r="D85" s="10" t="str">
        <f t="shared" si="1"/>
        <v>Db_80</v>
      </c>
      <c r="E85" s="10" t="s">
        <v>2382</v>
      </c>
      <c r="F85" s="10" t="str">
        <f>MID(Table1[[#This Row],[Reference_Name]], 4, LEN(Table1[[#This Row],[Reference_Name]])-3)</f>
        <v>TarPopSize_G2SG2_y4</v>
      </c>
      <c r="G85" s="10" t="s">
        <v>2372</v>
      </c>
      <c r="H85" s="10" t="s">
        <v>2402</v>
      </c>
      <c r="I85" s="10">
        <f>Db_TarPopSize_G2SG2_y4</f>
        <v>69999</v>
      </c>
      <c r="J85" s="10"/>
    </row>
    <row r="86" spans="4:10" ht="12" customHeight="1" x14ac:dyDescent="0.2">
      <c r="D86" s="10" t="str">
        <f t="shared" si="1"/>
        <v>Db_81</v>
      </c>
      <c r="E86" s="10" t="s">
        <v>2383</v>
      </c>
      <c r="F86" s="10" t="str">
        <f>MID(Table1[[#This Row],[Reference_Name]], 4, LEN(Table1[[#This Row],[Reference_Name]])-3)</f>
        <v>TarPopSize_G2SG2_y5</v>
      </c>
      <c r="G86" s="10" t="s">
        <v>2373</v>
      </c>
      <c r="H86" s="10" t="s">
        <v>2403</v>
      </c>
      <c r="I86" s="10">
        <f>Db_TarPopSize_G2SG2_y5</f>
        <v>89999</v>
      </c>
      <c r="J86" s="10"/>
    </row>
    <row r="87" spans="4:10" ht="12" customHeight="1" x14ac:dyDescent="0.2">
      <c r="D87" s="10" t="str">
        <f t="shared" si="1"/>
        <v>Db_82</v>
      </c>
      <c r="E87" s="10" t="s">
        <v>1961</v>
      </c>
      <c r="F87" s="10" t="str">
        <f>MID(Table1[[#This Row],[Reference_Name]], 4, LEN(Table1[[#This Row],[Reference_Name]])-3)</f>
        <v>Dose1</v>
      </c>
      <c r="G87" s="10" t="s">
        <v>1863</v>
      </c>
      <c r="H87" s="10" t="s">
        <v>3925</v>
      </c>
      <c r="I87" s="10">
        <f>Db_Dose1</f>
        <v>515453</v>
      </c>
      <c r="J87" s="10"/>
    </row>
    <row r="88" spans="4:10" ht="12" customHeight="1" x14ac:dyDescent="0.2">
      <c r="D88" s="10" t="str">
        <f t="shared" si="1"/>
        <v>Db_83</v>
      </c>
      <c r="E88" s="10" t="s">
        <v>1962</v>
      </c>
      <c r="F88" s="10" t="str">
        <f>MID(Table1[[#This Row],[Reference_Name]], 4, LEN(Table1[[#This Row],[Reference_Name]])-3)</f>
        <v>Dose2</v>
      </c>
      <c r="G88" s="10" t="s">
        <v>1864</v>
      </c>
      <c r="H88" s="10" t="s">
        <v>3926</v>
      </c>
      <c r="I88" s="10">
        <f>Db_Dose2</f>
        <v>463907.7</v>
      </c>
      <c r="J88" s="10"/>
    </row>
    <row r="89" spans="4:10" s="10" customFormat="1" ht="12" customHeight="1" x14ac:dyDescent="0.2">
      <c r="D89" s="10" t="str">
        <f t="shared" si="1"/>
        <v>Db_84</v>
      </c>
      <c r="E89" s="10" t="s">
        <v>1968</v>
      </c>
      <c r="F89" s="10" t="str">
        <f>MID(Table1[[#This Row],[Reference_Name]], 4, LEN(Table1[[#This Row],[Reference_Name]])-3)</f>
        <v>Dose1_G1SG1_y1</v>
      </c>
      <c r="G89" s="10" t="s">
        <v>1967</v>
      </c>
      <c r="H89" s="10" t="s">
        <v>2404</v>
      </c>
      <c r="I89" s="10">
        <f>Db_Dose1_G1SG1_y1</f>
        <v>20000</v>
      </c>
    </row>
    <row r="90" spans="4:10" s="10" customFormat="1" ht="12" customHeight="1" x14ac:dyDescent="0.2">
      <c r="D90" s="10" t="str">
        <f t="shared" si="1"/>
        <v>Db_85</v>
      </c>
      <c r="E90" s="10" t="s">
        <v>1973</v>
      </c>
      <c r="F90" s="10" t="str">
        <f>MID(Table1[[#This Row],[Reference_Name]], 4, LEN(Table1[[#This Row],[Reference_Name]])-3)</f>
        <v>Dose1_G1SG1_y2</v>
      </c>
      <c r="G90" s="10" t="s">
        <v>1969</v>
      </c>
      <c r="H90" s="10" t="s">
        <v>2412</v>
      </c>
      <c r="I90" s="10">
        <f>Db_Dose1_G1SG1_y2</f>
        <v>25750</v>
      </c>
    </row>
    <row r="91" spans="4:10" s="10" customFormat="1" ht="12" customHeight="1" x14ac:dyDescent="0.2">
      <c r="D91" s="10" t="str">
        <f t="shared" si="1"/>
        <v>Db_86</v>
      </c>
      <c r="E91" s="10" t="s">
        <v>1974</v>
      </c>
      <c r="F91" s="10" t="str">
        <f>MID(Table1[[#This Row],[Reference_Name]], 4, LEN(Table1[[#This Row],[Reference_Name]])-3)</f>
        <v>Dose1_G1SG1_y3</v>
      </c>
      <c r="G91" s="10" t="s">
        <v>1970</v>
      </c>
      <c r="H91" s="10" t="s">
        <v>2413</v>
      </c>
      <c r="I91" s="10">
        <f>Db_Dose1_G1SG1_y3</f>
        <v>21218</v>
      </c>
    </row>
    <row r="92" spans="4:10" s="10" customFormat="1" ht="12" customHeight="1" x14ac:dyDescent="0.2">
      <c r="D92" s="10" t="str">
        <f t="shared" si="1"/>
        <v>Db_87</v>
      </c>
      <c r="E92" s="10" t="s">
        <v>1976</v>
      </c>
      <c r="F92" s="10" t="str">
        <f>MID(Table1[[#This Row],[Reference_Name]], 4, LEN(Table1[[#This Row],[Reference_Name]])-3)</f>
        <v>Dose1_G1SG1_y4</v>
      </c>
      <c r="G92" s="10" t="s">
        <v>1971</v>
      </c>
      <c r="H92" s="10" t="s">
        <v>2414</v>
      </c>
      <c r="I92" s="10">
        <f>Db_Dose1_G1SG1_y4</f>
        <v>16391</v>
      </c>
    </row>
    <row r="93" spans="4:10" s="10" customFormat="1" ht="12" customHeight="1" x14ac:dyDescent="0.2">
      <c r="D93" s="10" t="str">
        <f t="shared" si="1"/>
        <v>Db_88</v>
      </c>
      <c r="E93" s="10" t="s">
        <v>1975</v>
      </c>
      <c r="F93" s="10" t="str">
        <f>MID(Table1[[#This Row],[Reference_Name]], 4, LEN(Table1[[#This Row],[Reference_Name]])-3)</f>
        <v>Dose1_G1SG1_y5</v>
      </c>
      <c r="G93" s="10" t="s">
        <v>1972</v>
      </c>
      <c r="H93" s="10" t="s">
        <v>2415</v>
      </c>
      <c r="I93" s="10">
        <f>Db_Dose1_G1SG1_y5</f>
        <v>56275</v>
      </c>
    </row>
    <row r="94" spans="4:10" s="10" customFormat="1" ht="12" customHeight="1" x14ac:dyDescent="0.2">
      <c r="D94" s="10" t="str">
        <f t="shared" si="1"/>
        <v>Db_89</v>
      </c>
      <c r="E94" s="10" t="s">
        <v>1982</v>
      </c>
      <c r="F94" s="10" t="str">
        <f>MID(Table1[[#This Row],[Reference_Name]], 4, LEN(Table1[[#This Row],[Reference_Name]])-3)</f>
        <v>Dose1_G1SG2_y1</v>
      </c>
      <c r="G94" s="10" t="s">
        <v>1977</v>
      </c>
      <c r="H94" s="10" t="s">
        <v>2405</v>
      </c>
      <c r="I94" s="10">
        <f>Db_Dose1_G1SG2_y1</f>
        <v>29999.5</v>
      </c>
    </row>
    <row r="95" spans="4:10" s="10" customFormat="1" ht="12" customHeight="1" x14ac:dyDescent="0.2">
      <c r="D95" s="10" t="str">
        <f t="shared" si="1"/>
        <v>Db_90</v>
      </c>
      <c r="E95" s="10" t="s">
        <v>1983</v>
      </c>
      <c r="F95" s="10" t="str">
        <f>MID(Table1[[#This Row],[Reference_Name]], 4, LEN(Table1[[#This Row],[Reference_Name]])-3)</f>
        <v>Dose1_G1SG2_y2</v>
      </c>
      <c r="G95" s="10" t="s">
        <v>1978</v>
      </c>
      <c r="H95" s="10" t="s">
        <v>2416</v>
      </c>
      <c r="I95" s="10">
        <f>Db_Dose1_G1SG2_y2</f>
        <v>25750</v>
      </c>
    </row>
    <row r="96" spans="4:10" s="10" customFormat="1" ht="12" customHeight="1" x14ac:dyDescent="0.2">
      <c r="D96" s="10" t="str">
        <f t="shared" si="1"/>
        <v>Db_91</v>
      </c>
      <c r="E96" s="10" t="s">
        <v>1984</v>
      </c>
      <c r="F96" s="10" t="str">
        <f>MID(Table1[[#This Row],[Reference_Name]], 4, LEN(Table1[[#This Row],[Reference_Name]])-3)</f>
        <v>Dose1_G1SG2_y3</v>
      </c>
      <c r="G96" s="10" t="s">
        <v>1979</v>
      </c>
      <c r="H96" s="10" t="s">
        <v>2417</v>
      </c>
      <c r="I96" s="10">
        <f>Db_Dose1_G1SG2_y3</f>
        <v>31826.5</v>
      </c>
    </row>
    <row r="97" spans="4:9" s="10" customFormat="1" ht="12" customHeight="1" x14ac:dyDescent="0.2">
      <c r="D97" s="10" t="str">
        <f t="shared" si="1"/>
        <v>Db_92</v>
      </c>
      <c r="E97" s="10" t="s">
        <v>1985</v>
      </c>
      <c r="F97" s="10" t="str">
        <f>MID(Table1[[#This Row],[Reference_Name]], 4, LEN(Table1[[#This Row],[Reference_Name]])-3)</f>
        <v>Dose1_G1SG2_y4</v>
      </c>
      <c r="G97" s="10" t="s">
        <v>1980</v>
      </c>
      <c r="H97" s="10" t="s">
        <v>2418</v>
      </c>
      <c r="I97" s="10">
        <f>Db_Dose1_G1SG2_y4</f>
        <v>38245</v>
      </c>
    </row>
    <row r="98" spans="4:9" s="10" customFormat="1" ht="12" customHeight="1" x14ac:dyDescent="0.2">
      <c r="D98" s="10" t="str">
        <f t="shared" si="1"/>
        <v>Db_93</v>
      </c>
      <c r="E98" s="10" t="s">
        <v>1986</v>
      </c>
      <c r="F98" s="10" t="str">
        <f>MID(Table1[[#This Row],[Reference_Name]], 4, LEN(Table1[[#This Row],[Reference_Name]])-3)</f>
        <v>Dose1_G1SG2_y5</v>
      </c>
      <c r="G98" s="10" t="s">
        <v>1981</v>
      </c>
      <c r="H98" s="10" t="s">
        <v>2419</v>
      </c>
      <c r="I98" s="10">
        <f>Db_Dose1_G1SG2_y5</f>
        <v>0</v>
      </c>
    </row>
    <row r="99" spans="4:9" s="10" customFormat="1" ht="12" customHeight="1" x14ac:dyDescent="0.2">
      <c r="D99" s="10" t="str">
        <f t="shared" si="1"/>
        <v>Db_94</v>
      </c>
      <c r="E99" s="10" t="s">
        <v>1997</v>
      </c>
      <c r="F99" s="10" t="str">
        <f>MID(Table1[[#This Row],[Reference_Name]], 4, LEN(Table1[[#This Row],[Reference_Name]])-3)</f>
        <v>Dose1_G2SG1_y1</v>
      </c>
      <c r="G99" s="10" t="s">
        <v>1987</v>
      </c>
      <c r="H99" s="10" t="s">
        <v>2406</v>
      </c>
      <c r="I99" s="10">
        <f>Db_Dose1_G2SG1_y1</f>
        <v>15000</v>
      </c>
    </row>
    <row r="100" spans="4:9" s="10" customFormat="1" ht="12" customHeight="1" x14ac:dyDescent="0.2">
      <c r="D100" s="10" t="str">
        <f t="shared" si="1"/>
        <v>Db_95</v>
      </c>
      <c r="E100" s="10" t="s">
        <v>1998</v>
      </c>
      <c r="F100" s="10" t="str">
        <f>MID(Table1[[#This Row],[Reference_Name]], 4, LEN(Table1[[#This Row],[Reference_Name]])-3)</f>
        <v>Dose1_G2SG1_y2</v>
      </c>
      <c r="G100" s="10" t="s">
        <v>1988</v>
      </c>
      <c r="H100" s="10" t="s">
        <v>2420</v>
      </c>
      <c r="I100" s="10">
        <f>Db_Dose1_G2SG1_y2</f>
        <v>25000</v>
      </c>
    </row>
    <row r="101" spans="4:9" s="10" customFormat="1" ht="12" customHeight="1" x14ac:dyDescent="0.2">
      <c r="D101" s="10" t="str">
        <f t="shared" si="1"/>
        <v>Db_96</v>
      </c>
      <c r="E101" s="10" t="s">
        <v>1999</v>
      </c>
      <c r="F101" s="10" t="str">
        <f>MID(Table1[[#This Row],[Reference_Name]], 4, LEN(Table1[[#This Row],[Reference_Name]])-3)</f>
        <v>Dose1_G2SG1_y3</v>
      </c>
      <c r="G101" s="10" t="s">
        <v>1989</v>
      </c>
      <c r="H101" s="10" t="s">
        <v>2421</v>
      </c>
      <c r="I101" s="10">
        <f>Db_Dose1_G2SG1_y3</f>
        <v>20000</v>
      </c>
    </row>
    <row r="102" spans="4:9" s="10" customFormat="1" ht="12" customHeight="1" x14ac:dyDescent="0.2">
      <c r="D102" s="10" t="str">
        <f t="shared" si="1"/>
        <v>Db_97</v>
      </c>
      <c r="E102" s="10" t="s">
        <v>2000</v>
      </c>
      <c r="F102" s="10" t="str">
        <f>MID(Table1[[#This Row],[Reference_Name]], 4, LEN(Table1[[#This Row],[Reference_Name]])-3)</f>
        <v>Dose1_G2SG1_y4</v>
      </c>
      <c r="G102" s="10" t="s">
        <v>1990</v>
      </c>
      <c r="H102" s="10" t="s">
        <v>2422</v>
      </c>
      <c r="I102" s="10">
        <f>Db_Dose1_G2SG1_y4</f>
        <v>15000</v>
      </c>
    </row>
    <row r="103" spans="4:9" s="10" customFormat="1" ht="12" customHeight="1" x14ac:dyDescent="0.2">
      <c r="D103" s="10" t="str">
        <f t="shared" si="1"/>
        <v>Db_98</v>
      </c>
      <c r="E103" s="10" t="s">
        <v>2001</v>
      </c>
      <c r="F103" s="10" t="str">
        <f>MID(Table1[[#This Row],[Reference_Name]], 4, LEN(Table1[[#This Row],[Reference_Name]])-3)</f>
        <v>Dose1_G2SG1_y5</v>
      </c>
      <c r="G103" s="10" t="s">
        <v>1991</v>
      </c>
      <c r="H103" s="10" t="s">
        <v>2423</v>
      </c>
      <c r="I103" s="10">
        <f>Db_Dose1_G2SG1_y5</f>
        <v>5000</v>
      </c>
    </row>
    <row r="104" spans="4:9" s="10" customFormat="1" ht="12" customHeight="1" x14ac:dyDescent="0.2">
      <c r="D104" s="10" t="str">
        <f t="shared" si="1"/>
        <v>Db_99</v>
      </c>
      <c r="E104" s="10" t="s">
        <v>2002</v>
      </c>
      <c r="F104" s="10" t="str">
        <f>MID(Table1[[#This Row],[Reference_Name]], 4, LEN(Table1[[#This Row],[Reference_Name]])-3)</f>
        <v>Dose1_G2SG2_y1</v>
      </c>
      <c r="G104" s="10" t="s">
        <v>1992</v>
      </c>
      <c r="H104" s="10" t="s">
        <v>2407</v>
      </c>
      <c r="I104" s="10">
        <f>Db_Dose1_G2SG2_y1</f>
        <v>34999.5</v>
      </c>
    </row>
    <row r="105" spans="4:9" s="10" customFormat="1" ht="12" customHeight="1" x14ac:dyDescent="0.2">
      <c r="D105" s="10" t="str">
        <f t="shared" si="1"/>
        <v>Db_100</v>
      </c>
      <c r="E105" s="10" t="s">
        <v>2003</v>
      </c>
      <c r="F105" s="10" t="str">
        <f>MID(Table1[[#This Row],[Reference_Name]], 4, LEN(Table1[[#This Row],[Reference_Name]])-3)</f>
        <v>Dose1_G2SG2_y2</v>
      </c>
      <c r="G105" s="10" t="s">
        <v>1993</v>
      </c>
      <c r="H105" s="10" t="s">
        <v>2424</v>
      </c>
      <c r="I105" s="10">
        <f>Db_Dose1_G2SG2_y2</f>
        <v>25000</v>
      </c>
    </row>
    <row r="106" spans="4:9" s="10" customFormat="1" ht="12" customHeight="1" x14ac:dyDescent="0.2">
      <c r="D106" s="10" t="str">
        <f t="shared" si="1"/>
        <v>Db_101</v>
      </c>
      <c r="E106" s="10" t="s">
        <v>2004</v>
      </c>
      <c r="F106" s="10" t="str">
        <f>MID(Table1[[#This Row],[Reference_Name]], 4, LEN(Table1[[#This Row],[Reference_Name]])-3)</f>
        <v>Dose1_G2SG2_y3</v>
      </c>
      <c r="G106" s="10" t="s">
        <v>1994</v>
      </c>
      <c r="H106" s="10" t="s">
        <v>2425</v>
      </c>
      <c r="I106" s="10">
        <f>Db_Dose1_G2SG2_y3</f>
        <v>29999.5</v>
      </c>
    </row>
    <row r="107" spans="4:9" s="10" customFormat="1" ht="12" customHeight="1" x14ac:dyDescent="0.2">
      <c r="D107" s="10" t="str">
        <f t="shared" si="1"/>
        <v>Db_102</v>
      </c>
      <c r="E107" s="10" t="s">
        <v>2005</v>
      </c>
      <c r="F107" s="10" t="str">
        <f>MID(Table1[[#This Row],[Reference_Name]], 4, LEN(Table1[[#This Row],[Reference_Name]])-3)</f>
        <v>Dose1_G2SG2_y4</v>
      </c>
      <c r="G107" s="10" t="s">
        <v>1995</v>
      </c>
      <c r="H107" s="10" t="s">
        <v>2426</v>
      </c>
      <c r="I107" s="10">
        <f>Db_Dose1_G2SG2_y4</f>
        <v>34999.5</v>
      </c>
    </row>
    <row r="108" spans="4:9" s="10" customFormat="1" ht="12" customHeight="1" x14ac:dyDescent="0.2">
      <c r="D108" s="10" t="str">
        <f t="shared" si="1"/>
        <v>Db_103</v>
      </c>
      <c r="E108" s="10" t="s">
        <v>2006</v>
      </c>
      <c r="F108" s="10" t="str">
        <f>MID(Table1[[#This Row],[Reference_Name]], 4, LEN(Table1[[#This Row],[Reference_Name]])-3)</f>
        <v>Dose1_G2SG2_y5</v>
      </c>
      <c r="G108" s="10" t="s">
        <v>1996</v>
      </c>
      <c r="H108" s="10" t="s">
        <v>2427</v>
      </c>
      <c r="I108" s="10">
        <f>Db_Dose1_G2SG2_y5</f>
        <v>44999.5</v>
      </c>
    </row>
    <row r="109" spans="4:9" s="10" customFormat="1" ht="12" customHeight="1" x14ac:dyDescent="0.2">
      <c r="D109" s="10" t="str">
        <f t="shared" si="1"/>
        <v>Db_104</v>
      </c>
      <c r="E109" s="10" t="s">
        <v>2027</v>
      </c>
      <c r="F109" s="10" t="str">
        <f>MID(Table1[[#This Row],[Reference_Name]], 4, LEN(Table1[[#This Row],[Reference_Name]])-3)</f>
        <v>Dose2_G1SG1_y1</v>
      </c>
      <c r="G109" s="10" t="s">
        <v>2007</v>
      </c>
      <c r="H109" s="10" t="s">
        <v>2408</v>
      </c>
      <c r="I109" s="10">
        <f>Db_Dose2_G1SG1_y1</f>
        <v>18000</v>
      </c>
    </row>
    <row r="110" spans="4:9" s="10" customFormat="1" ht="12" customHeight="1" x14ac:dyDescent="0.2">
      <c r="D110" s="10" t="str">
        <f t="shared" si="1"/>
        <v>Db_105</v>
      </c>
      <c r="E110" s="10" t="s">
        <v>2028</v>
      </c>
      <c r="F110" s="10" t="str">
        <f>MID(Table1[[#This Row],[Reference_Name]], 4, LEN(Table1[[#This Row],[Reference_Name]])-3)</f>
        <v>Dose2_G1SG1_y2</v>
      </c>
      <c r="G110" s="10" t="s">
        <v>2008</v>
      </c>
      <c r="H110" s="10" t="s">
        <v>2428</v>
      </c>
      <c r="I110" s="10">
        <f>Db_Dose2_G1SG1_y2</f>
        <v>23175</v>
      </c>
    </row>
    <row r="111" spans="4:9" s="10" customFormat="1" ht="12" customHeight="1" x14ac:dyDescent="0.2">
      <c r="D111" s="10" t="str">
        <f t="shared" si="1"/>
        <v>Db_106</v>
      </c>
      <c r="E111" s="10" t="s">
        <v>2029</v>
      </c>
      <c r="F111" s="10" t="str">
        <f>MID(Table1[[#This Row],[Reference_Name]], 4, LEN(Table1[[#This Row],[Reference_Name]])-3)</f>
        <v>Dose2_G1SG1_y3</v>
      </c>
      <c r="G111" s="10" t="s">
        <v>2009</v>
      </c>
      <c r="H111" s="10" t="s">
        <v>2429</v>
      </c>
      <c r="I111" s="10">
        <f>Db_Dose2_G1SG1_y3</f>
        <v>19096.2</v>
      </c>
    </row>
    <row r="112" spans="4:9" s="10" customFormat="1" ht="12" customHeight="1" x14ac:dyDescent="0.2">
      <c r="D112" s="10" t="str">
        <f t="shared" si="1"/>
        <v>Db_107</v>
      </c>
      <c r="E112" s="10" t="s">
        <v>2030</v>
      </c>
      <c r="F112" s="10" t="str">
        <f>MID(Table1[[#This Row],[Reference_Name]], 4, LEN(Table1[[#This Row],[Reference_Name]])-3)</f>
        <v>Dose2_G1SG1_y4</v>
      </c>
      <c r="G112" s="10" t="s">
        <v>2010</v>
      </c>
      <c r="H112" s="10" t="s">
        <v>2430</v>
      </c>
      <c r="I112" s="10">
        <f>Db_Dose2_G1SG1_y4</f>
        <v>14751.9</v>
      </c>
    </row>
    <row r="113" spans="4:9" s="10" customFormat="1" ht="12" customHeight="1" x14ac:dyDescent="0.2">
      <c r="D113" s="10" t="str">
        <f t="shared" si="1"/>
        <v>Db_108</v>
      </c>
      <c r="E113" s="10" t="s">
        <v>2031</v>
      </c>
      <c r="F113" s="10" t="str">
        <f>MID(Table1[[#This Row],[Reference_Name]], 4, LEN(Table1[[#This Row],[Reference_Name]])-3)</f>
        <v>Dose2_G1SG1_y5</v>
      </c>
      <c r="G113" s="10" t="s">
        <v>2011</v>
      </c>
      <c r="H113" s="10" t="s">
        <v>2431</v>
      </c>
      <c r="I113" s="10">
        <f>Db_Dose2_G1SG1_y5</f>
        <v>50647.5</v>
      </c>
    </row>
    <row r="114" spans="4:9" s="10" customFormat="1" ht="12" customHeight="1" x14ac:dyDescent="0.2">
      <c r="D114" s="10" t="str">
        <f t="shared" si="1"/>
        <v>Db_109</v>
      </c>
      <c r="E114" s="10" t="s">
        <v>2032</v>
      </c>
      <c r="F114" s="10" t="str">
        <f>MID(Table1[[#This Row],[Reference_Name]], 4, LEN(Table1[[#This Row],[Reference_Name]])-3)</f>
        <v>Dose2_G1SG2_y1</v>
      </c>
      <c r="G114" s="10" t="s">
        <v>2012</v>
      </c>
      <c r="H114" s="10" t="s">
        <v>2409</v>
      </c>
      <c r="I114" s="10">
        <f>Db_Dose2_G1SG2_y1</f>
        <v>26999.55</v>
      </c>
    </row>
    <row r="115" spans="4:9" s="10" customFormat="1" ht="12" customHeight="1" x14ac:dyDescent="0.2">
      <c r="D115" s="10" t="str">
        <f t="shared" si="1"/>
        <v>Db_110</v>
      </c>
      <c r="E115" s="10" t="s">
        <v>2033</v>
      </c>
      <c r="F115" s="10" t="str">
        <f>MID(Table1[[#This Row],[Reference_Name]], 4, LEN(Table1[[#This Row],[Reference_Name]])-3)</f>
        <v>Dose2_G1SG2_y2</v>
      </c>
      <c r="G115" s="10" t="s">
        <v>2013</v>
      </c>
      <c r="H115" s="10" t="s">
        <v>2432</v>
      </c>
      <c r="I115" s="10">
        <f>Db_Dose2_G1SG2_y2</f>
        <v>23175</v>
      </c>
    </row>
    <row r="116" spans="4:9" s="10" customFormat="1" ht="12" customHeight="1" x14ac:dyDescent="0.2">
      <c r="D116" s="10" t="str">
        <f t="shared" si="1"/>
        <v>Db_111</v>
      </c>
      <c r="E116" s="10" t="s">
        <v>2034</v>
      </c>
      <c r="F116" s="10" t="str">
        <f>MID(Table1[[#This Row],[Reference_Name]], 4, LEN(Table1[[#This Row],[Reference_Name]])-3)</f>
        <v>Dose2_G1SG2_y3</v>
      </c>
      <c r="G116" s="10" t="s">
        <v>2014</v>
      </c>
      <c r="H116" s="10" t="s">
        <v>2433</v>
      </c>
      <c r="I116" s="10">
        <f>Db_Dose2_G1SG2_y3</f>
        <v>28643.85</v>
      </c>
    </row>
    <row r="117" spans="4:9" s="10" customFormat="1" ht="12" customHeight="1" x14ac:dyDescent="0.2">
      <c r="D117" s="10" t="str">
        <f t="shared" si="1"/>
        <v>Db_112</v>
      </c>
      <c r="E117" s="10" t="s">
        <v>2035</v>
      </c>
      <c r="F117" s="10" t="str">
        <f>MID(Table1[[#This Row],[Reference_Name]], 4, LEN(Table1[[#This Row],[Reference_Name]])-3)</f>
        <v>Dose2_G1SG2_y4</v>
      </c>
      <c r="G117" s="10" t="s">
        <v>2015</v>
      </c>
      <c r="H117" s="10" t="s">
        <v>2434</v>
      </c>
      <c r="I117" s="10">
        <f>Db_Dose2_G1SG2_y4</f>
        <v>34420.5</v>
      </c>
    </row>
    <row r="118" spans="4:9" s="10" customFormat="1" ht="12" customHeight="1" x14ac:dyDescent="0.2">
      <c r="D118" s="10" t="str">
        <f t="shared" si="1"/>
        <v>Db_113</v>
      </c>
      <c r="E118" s="10" t="s">
        <v>2036</v>
      </c>
      <c r="F118" s="10" t="str">
        <f>MID(Table1[[#This Row],[Reference_Name]], 4, LEN(Table1[[#This Row],[Reference_Name]])-3)</f>
        <v>Dose2_G1SG2_y5</v>
      </c>
      <c r="G118" s="10" t="s">
        <v>2016</v>
      </c>
      <c r="H118" s="10" t="s">
        <v>2435</v>
      </c>
      <c r="I118" s="10">
        <f>Db_Dose2_G1SG2_y5</f>
        <v>0</v>
      </c>
    </row>
    <row r="119" spans="4:9" s="10" customFormat="1" ht="12" customHeight="1" x14ac:dyDescent="0.2">
      <c r="D119" s="10" t="str">
        <f t="shared" si="1"/>
        <v>Db_114</v>
      </c>
      <c r="E119" s="10" t="s">
        <v>2037</v>
      </c>
      <c r="F119" s="10" t="str">
        <f>MID(Table1[[#This Row],[Reference_Name]], 4, LEN(Table1[[#This Row],[Reference_Name]])-3)</f>
        <v>Dose2_G2SG1_y1</v>
      </c>
      <c r="G119" s="10" t="s">
        <v>2017</v>
      </c>
      <c r="H119" s="10" t="s">
        <v>2410</v>
      </c>
      <c r="I119" s="10">
        <f>Db_Dose2_G2SG1_y1</f>
        <v>13500</v>
      </c>
    </row>
    <row r="120" spans="4:9" s="10" customFormat="1" ht="12" customHeight="1" x14ac:dyDescent="0.2">
      <c r="D120" s="10" t="str">
        <f t="shared" si="1"/>
        <v>Db_115</v>
      </c>
      <c r="E120" s="10" t="s">
        <v>2038</v>
      </c>
      <c r="F120" s="10" t="str">
        <f>MID(Table1[[#This Row],[Reference_Name]], 4, LEN(Table1[[#This Row],[Reference_Name]])-3)</f>
        <v>Dose2_G2SG1_y2</v>
      </c>
      <c r="G120" s="10" t="s">
        <v>2018</v>
      </c>
      <c r="H120" s="10" t="s">
        <v>2436</v>
      </c>
      <c r="I120" s="10">
        <f>Db_Dose2_G2SG1_y2</f>
        <v>22500</v>
      </c>
    </row>
    <row r="121" spans="4:9" s="10" customFormat="1" ht="12" customHeight="1" x14ac:dyDescent="0.2">
      <c r="D121" s="10" t="str">
        <f t="shared" si="1"/>
        <v>Db_116</v>
      </c>
      <c r="E121" s="10" t="s">
        <v>2039</v>
      </c>
      <c r="F121" s="10" t="str">
        <f>MID(Table1[[#This Row],[Reference_Name]], 4, LEN(Table1[[#This Row],[Reference_Name]])-3)</f>
        <v>Dose2_G2SG1_y3</v>
      </c>
      <c r="G121" s="10" t="s">
        <v>2019</v>
      </c>
      <c r="H121" s="10" t="s">
        <v>2437</v>
      </c>
      <c r="I121" s="10">
        <f>Db_Dose2_G2SG1_y3</f>
        <v>18000</v>
      </c>
    </row>
    <row r="122" spans="4:9" s="10" customFormat="1" ht="12" customHeight="1" x14ac:dyDescent="0.2">
      <c r="D122" s="10" t="str">
        <f t="shared" si="1"/>
        <v>Db_117</v>
      </c>
      <c r="E122" s="10" t="s">
        <v>2040</v>
      </c>
      <c r="F122" s="10" t="str">
        <f>MID(Table1[[#This Row],[Reference_Name]], 4, LEN(Table1[[#This Row],[Reference_Name]])-3)</f>
        <v>Dose2_G2SG1_y4</v>
      </c>
      <c r="G122" s="10" t="s">
        <v>2020</v>
      </c>
      <c r="H122" s="10" t="s">
        <v>2438</v>
      </c>
      <c r="I122" s="10">
        <f>Db_Dose2_G2SG1_y4</f>
        <v>13500</v>
      </c>
    </row>
    <row r="123" spans="4:9" s="10" customFormat="1" ht="12" customHeight="1" x14ac:dyDescent="0.2">
      <c r="D123" s="10" t="str">
        <f t="shared" si="1"/>
        <v>Db_118</v>
      </c>
      <c r="E123" s="10" t="s">
        <v>2041</v>
      </c>
      <c r="F123" s="10" t="str">
        <f>MID(Table1[[#This Row],[Reference_Name]], 4, LEN(Table1[[#This Row],[Reference_Name]])-3)</f>
        <v>Dose2_G2SG1_y5</v>
      </c>
      <c r="G123" s="10" t="s">
        <v>2021</v>
      </c>
      <c r="H123" s="10" t="s">
        <v>2439</v>
      </c>
      <c r="I123" s="10">
        <f>Db_Dose2_G2SG1_y5</f>
        <v>4500</v>
      </c>
    </row>
    <row r="124" spans="4:9" s="10" customFormat="1" ht="12" customHeight="1" x14ac:dyDescent="0.2">
      <c r="D124" s="10" t="str">
        <f t="shared" si="1"/>
        <v>Db_119</v>
      </c>
      <c r="E124" s="10" t="s">
        <v>2042</v>
      </c>
      <c r="F124" s="10" t="str">
        <f>MID(Table1[[#This Row],[Reference_Name]], 4, LEN(Table1[[#This Row],[Reference_Name]])-3)</f>
        <v>Dose2_G2SG2_y1</v>
      </c>
      <c r="G124" s="10" t="s">
        <v>2022</v>
      </c>
      <c r="H124" s="10" t="s">
        <v>2411</v>
      </c>
      <c r="I124" s="10">
        <f>Db_Dose2_G2SG2_y1</f>
        <v>31499.55</v>
      </c>
    </row>
    <row r="125" spans="4:9" s="10" customFormat="1" ht="12" customHeight="1" x14ac:dyDescent="0.2">
      <c r="D125" s="10" t="str">
        <f t="shared" si="1"/>
        <v>Db_120</v>
      </c>
      <c r="E125" s="10" t="s">
        <v>2043</v>
      </c>
      <c r="F125" s="10" t="str">
        <f>MID(Table1[[#This Row],[Reference_Name]], 4, LEN(Table1[[#This Row],[Reference_Name]])-3)</f>
        <v>Dose2_G2SG2_y2</v>
      </c>
      <c r="G125" s="10" t="s">
        <v>2023</v>
      </c>
      <c r="H125" s="10" t="s">
        <v>2440</v>
      </c>
      <c r="I125" s="10">
        <f>Db_Dose2_G2SG2_y2</f>
        <v>22500</v>
      </c>
    </row>
    <row r="126" spans="4:9" s="10" customFormat="1" ht="12" customHeight="1" x14ac:dyDescent="0.2">
      <c r="D126" s="10" t="str">
        <f t="shared" si="1"/>
        <v>Db_121</v>
      </c>
      <c r="E126" s="10" t="s">
        <v>2044</v>
      </c>
      <c r="F126" s="10" t="str">
        <f>MID(Table1[[#This Row],[Reference_Name]], 4, LEN(Table1[[#This Row],[Reference_Name]])-3)</f>
        <v>Dose2_G2SG2_y3</v>
      </c>
      <c r="G126" s="10" t="s">
        <v>2024</v>
      </c>
      <c r="H126" s="10" t="s">
        <v>2441</v>
      </c>
      <c r="I126" s="10">
        <f>Db_Dose2_G2SG2_y3</f>
        <v>26999.55</v>
      </c>
    </row>
    <row r="127" spans="4:9" s="10" customFormat="1" ht="12" customHeight="1" x14ac:dyDescent="0.2">
      <c r="D127" s="10" t="str">
        <f t="shared" si="1"/>
        <v>Db_122</v>
      </c>
      <c r="E127" s="10" t="s">
        <v>2045</v>
      </c>
      <c r="F127" s="10" t="str">
        <f>MID(Table1[[#This Row],[Reference_Name]], 4, LEN(Table1[[#This Row],[Reference_Name]])-3)</f>
        <v>Dose2_G2SG2_y4</v>
      </c>
      <c r="G127" s="10" t="s">
        <v>2025</v>
      </c>
      <c r="H127" s="10" t="s">
        <v>2442</v>
      </c>
      <c r="I127" s="10">
        <f>Db_Dose2_G2SG2_y4</f>
        <v>31499.55</v>
      </c>
    </row>
    <row r="128" spans="4:9" s="10" customFormat="1" ht="12" customHeight="1" x14ac:dyDescent="0.2">
      <c r="D128" s="10" t="str">
        <f t="shared" si="1"/>
        <v>Db_123</v>
      </c>
      <c r="E128" s="10" t="s">
        <v>2046</v>
      </c>
      <c r="F128" s="10" t="str">
        <f>MID(Table1[[#This Row],[Reference_Name]], 4, LEN(Table1[[#This Row],[Reference_Name]])-3)</f>
        <v>Dose2_G2SG2_y5</v>
      </c>
      <c r="G128" s="10" t="s">
        <v>2026</v>
      </c>
      <c r="H128" s="10" t="s">
        <v>2443</v>
      </c>
      <c r="I128" s="10">
        <f>Db_Dose2_G2SG2_y5</f>
        <v>40499.550000000003</v>
      </c>
    </row>
    <row r="129" spans="4:9" s="10" customFormat="1" ht="12" customHeight="1" x14ac:dyDescent="0.2">
      <c r="D129" s="10" t="str">
        <f t="shared" si="1"/>
        <v>Db_124</v>
      </c>
      <c r="E129" s="10" t="s">
        <v>2052</v>
      </c>
      <c r="F129" s="10" t="str">
        <f>MID(Table1[[#This Row],[Reference_Name]], 4, LEN(Table1[[#This Row],[Reference_Name]])-3)</f>
        <v>Dose1_SV1_y1_pro</v>
      </c>
      <c r="G129" s="10" t="s">
        <v>2047</v>
      </c>
      <c r="H129" s="10" t="s">
        <v>3927</v>
      </c>
      <c r="I129" s="10">
        <f>Db_Dose1_SV1_y1_pro</f>
        <v>39999.600000000006</v>
      </c>
    </row>
    <row r="130" spans="4:9" s="10" customFormat="1" ht="12" customHeight="1" x14ac:dyDescent="0.2">
      <c r="D130" s="10" t="str">
        <f t="shared" si="1"/>
        <v>Db_125</v>
      </c>
      <c r="E130" s="10" t="s">
        <v>2053</v>
      </c>
      <c r="F130" s="10" t="str">
        <f>MID(Table1[[#This Row],[Reference_Name]], 4, LEN(Table1[[#This Row],[Reference_Name]])-3)</f>
        <v>Dose1_SV1_y2_pro</v>
      </c>
      <c r="G130" s="10" t="s">
        <v>2048</v>
      </c>
      <c r="H130" s="10" t="s">
        <v>3928</v>
      </c>
      <c r="I130" s="10">
        <f>Db_Dose1_SV1_y2_pro</f>
        <v>40600</v>
      </c>
    </row>
    <row r="131" spans="4:9" s="10" customFormat="1" ht="12" customHeight="1" x14ac:dyDescent="0.2">
      <c r="D131" s="10" t="str">
        <f t="shared" si="1"/>
        <v>Db_126</v>
      </c>
      <c r="E131" s="10" t="s">
        <v>2054</v>
      </c>
      <c r="F131" s="10" t="str">
        <f>MID(Table1[[#This Row],[Reference_Name]], 4, LEN(Table1[[#This Row],[Reference_Name]])-3)</f>
        <v>Dose1_SV1_y3_pro</v>
      </c>
      <c r="G131" s="10" t="s">
        <v>2049</v>
      </c>
      <c r="H131" s="10" t="s">
        <v>3929</v>
      </c>
      <c r="I131" s="10">
        <f>Db_Dose1_SV1_y3_pro</f>
        <v>41217.600000000006</v>
      </c>
    </row>
    <row r="132" spans="4:9" s="10" customFormat="1" ht="12" customHeight="1" x14ac:dyDescent="0.2">
      <c r="D132" s="10" t="str">
        <f t="shared" si="1"/>
        <v>Db_127</v>
      </c>
      <c r="E132" s="10" t="s">
        <v>2055</v>
      </c>
      <c r="F132" s="10" t="str">
        <f>MID(Table1[[#This Row],[Reference_Name]], 4, LEN(Table1[[#This Row],[Reference_Name]])-3)</f>
        <v>Dose1_SV1_y4_pro</v>
      </c>
      <c r="G132" s="10" t="s">
        <v>2050</v>
      </c>
      <c r="H132" s="10" t="s">
        <v>3930</v>
      </c>
      <c r="I132" s="10">
        <f>Db_Dose1_SV1_y4_pro</f>
        <v>41854.200000000004</v>
      </c>
    </row>
    <row r="133" spans="4:9" s="10" customFormat="1" ht="12" customHeight="1" x14ac:dyDescent="0.2">
      <c r="D133" s="10" t="str">
        <f t="shared" si="1"/>
        <v>Db_128</v>
      </c>
      <c r="E133" s="10" t="s">
        <v>2056</v>
      </c>
      <c r="F133" s="10" t="str">
        <f>MID(Table1[[#This Row],[Reference_Name]], 4, LEN(Table1[[#This Row],[Reference_Name]])-3)</f>
        <v>Dose1_SV1_y5_pro</v>
      </c>
      <c r="G133" s="10" t="s">
        <v>2051</v>
      </c>
      <c r="H133" s="10" t="s">
        <v>3931</v>
      </c>
      <c r="I133" s="10">
        <f>Db_Dose1_SV1_y5_pro</f>
        <v>42509.8</v>
      </c>
    </row>
    <row r="134" spans="4:9" s="10" customFormat="1" ht="12" customHeight="1" x14ac:dyDescent="0.2">
      <c r="D134" s="10" t="str">
        <f t="shared" ref="D134:D197" si="2">"Db_"&amp;ROW()-5</f>
        <v>Db_129</v>
      </c>
      <c r="E134" s="10" t="s">
        <v>2062</v>
      </c>
      <c r="F134" s="10" t="str">
        <f>MID(Table1[[#This Row],[Reference_Name]], 4, LEN(Table1[[#This Row],[Reference_Name]])-3)</f>
        <v>Dose1_SV2_y1_pro</v>
      </c>
      <c r="G134" s="10" t="s">
        <v>2057</v>
      </c>
      <c r="H134" s="10" t="s">
        <v>2928</v>
      </c>
      <c r="I134" s="10">
        <f>Db_Dose1_SV2_y1_pro</f>
        <v>39999.600000000006</v>
      </c>
    </row>
    <row r="135" spans="4:9" s="10" customFormat="1" ht="12" customHeight="1" x14ac:dyDescent="0.2">
      <c r="D135" s="10" t="str">
        <f t="shared" si="2"/>
        <v>Db_130</v>
      </c>
      <c r="E135" s="10" t="s">
        <v>2063</v>
      </c>
      <c r="F135" s="10" t="str">
        <f>MID(Table1[[#This Row],[Reference_Name]], 4, LEN(Table1[[#This Row],[Reference_Name]])-3)</f>
        <v>Dose1_SV2_y2_pro</v>
      </c>
      <c r="G135" s="10" t="s">
        <v>2058</v>
      </c>
      <c r="H135" s="10" t="s">
        <v>2929</v>
      </c>
      <c r="I135" s="10">
        <f>Db_Dose1_SV2_y2_pro</f>
        <v>40600</v>
      </c>
    </row>
    <row r="136" spans="4:9" s="10" customFormat="1" ht="12" customHeight="1" x14ac:dyDescent="0.2">
      <c r="D136" s="10" t="str">
        <f t="shared" si="2"/>
        <v>Db_131</v>
      </c>
      <c r="E136" s="10" t="s">
        <v>2064</v>
      </c>
      <c r="F136" s="10" t="str">
        <f>MID(Table1[[#This Row],[Reference_Name]], 4, LEN(Table1[[#This Row],[Reference_Name]])-3)</f>
        <v>Dose1_SV2_y3_pro</v>
      </c>
      <c r="G136" s="10" t="s">
        <v>2059</v>
      </c>
      <c r="H136" s="10" t="s">
        <v>2930</v>
      </c>
      <c r="I136" s="10">
        <f>Db_Dose1_SV2_y3_pro</f>
        <v>41217.600000000006</v>
      </c>
    </row>
    <row r="137" spans="4:9" s="10" customFormat="1" ht="12" customHeight="1" x14ac:dyDescent="0.2">
      <c r="D137" s="10" t="str">
        <f t="shared" si="2"/>
        <v>Db_132</v>
      </c>
      <c r="E137" s="10" t="s">
        <v>2065</v>
      </c>
      <c r="F137" s="10" t="str">
        <f>MID(Table1[[#This Row],[Reference_Name]], 4, LEN(Table1[[#This Row],[Reference_Name]])-3)</f>
        <v>Dose1_SV2_y4_pro</v>
      </c>
      <c r="G137" s="10" t="s">
        <v>2060</v>
      </c>
      <c r="H137" s="10" t="s">
        <v>2931</v>
      </c>
      <c r="I137" s="10">
        <f>Db_Dose1_SV2_y4_pro</f>
        <v>41854.200000000004</v>
      </c>
    </row>
    <row r="138" spans="4:9" s="10" customFormat="1" ht="12" customHeight="1" x14ac:dyDescent="0.2">
      <c r="D138" s="10" t="str">
        <f t="shared" si="2"/>
        <v>Db_133</v>
      </c>
      <c r="E138" s="10" t="s">
        <v>2066</v>
      </c>
      <c r="F138" s="10" t="str">
        <f>MID(Table1[[#This Row],[Reference_Name]], 4, LEN(Table1[[#This Row],[Reference_Name]])-3)</f>
        <v>Dose1_SV2_y5_pro</v>
      </c>
      <c r="G138" s="10" t="s">
        <v>2061</v>
      </c>
      <c r="H138" s="10" t="s">
        <v>2932</v>
      </c>
      <c r="I138" s="10">
        <f>Db_Dose1_SV2_y5_pro</f>
        <v>42509.8</v>
      </c>
    </row>
    <row r="139" spans="4:9" s="10" customFormat="1" ht="12" customHeight="1" x14ac:dyDescent="0.2">
      <c r="D139" s="10" t="str">
        <f t="shared" si="2"/>
        <v>Db_134</v>
      </c>
      <c r="E139" s="10" t="s">
        <v>2077</v>
      </c>
      <c r="F139" s="10" t="str">
        <f>MID(Table1[[#This Row],[Reference_Name]], 4, LEN(Table1[[#This Row],[Reference_Name]])-3)</f>
        <v>Dose1_GV1_y1_pro</v>
      </c>
      <c r="G139" s="10" t="s">
        <v>2067</v>
      </c>
      <c r="H139" s="10" t="s">
        <v>3932</v>
      </c>
      <c r="I139" s="10">
        <f>Db_Dose1_GV1_y1_pro</f>
        <v>9999.9000000000015</v>
      </c>
    </row>
    <row r="140" spans="4:9" s="10" customFormat="1" ht="12" customHeight="1" x14ac:dyDescent="0.2">
      <c r="D140" s="10" t="str">
        <f t="shared" si="2"/>
        <v>Db_135</v>
      </c>
      <c r="E140" s="10" t="s">
        <v>2078</v>
      </c>
      <c r="F140" s="10" t="str">
        <f>MID(Table1[[#This Row],[Reference_Name]], 4, LEN(Table1[[#This Row],[Reference_Name]])-3)</f>
        <v>Dose1_GV1_y2_pro</v>
      </c>
      <c r="G140" s="10" t="s">
        <v>2068</v>
      </c>
      <c r="H140" s="10" t="s">
        <v>3933</v>
      </c>
      <c r="I140" s="10">
        <f>Db_Dose1_GV1_y2_pro</f>
        <v>10150</v>
      </c>
    </row>
    <row r="141" spans="4:9" s="10" customFormat="1" ht="12" customHeight="1" x14ac:dyDescent="0.2">
      <c r="D141" s="10" t="str">
        <f t="shared" si="2"/>
        <v>Db_136</v>
      </c>
      <c r="E141" s="10" t="s">
        <v>2079</v>
      </c>
      <c r="F141" s="10" t="str">
        <f>MID(Table1[[#This Row],[Reference_Name]], 4, LEN(Table1[[#This Row],[Reference_Name]])-3)</f>
        <v>Dose1_GV1_y3_pro</v>
      </c>
      <c r="G141" s="10" t="s">
        <v>2069</v>
      </c>
      <c r="H141" s="10" t="s">
        <v>3934</v>
      </c>
      <c r="I141" s="10">
        <f>Db_Dose1_GV1_y3_pro</f>
        <v>10304.400000000001</v>
      </c>
    </row>
    <row r="142" spans="4:9" s="10" customFormat="1" ht="12" customHeight="1" x14ac:dyDescent="0.2">
      <c r="D142" s="10" t="str">
        <f t="shared" si="2"/>
        <v>Db_137</v>
      </c>
      <c r="E142" s="10" t="s">
        <v>2080</v>
      </c>
      <c r="F142" s="10" t="str">
        <f>MID(Table1[[#This Row],[Reference_Name]], 4, LEN(Table1[[#This Row],[Reference_Name]])-3)</f>
        <v>Dose1_GV1_y4_pro</v>
      </c>
      <c r="G142" s="10" t="s">
        <v>2070</v>
      </c>
      <c r="H142" s="10" t="s">
        <v>3935</v>
      </c>
      <c r="I142" s="10">
        <f>Db_Dose1_GV1_y4_pro</f>
        <v>10463.550000000001</v>
      </c>
    </row>
    <row r="143" spans="4:9" s="10" customFormat="1" ht="12" customHeight="1" x14ac:dyDescent="0.2">
      <c r="D143" s="10" t="str">
        <f t="shared" si="2"/>
        <v>Db_138</v>
      </c>
      <c r="E143" s="10" t="s">
        <v>2081</v>
      </c>
      <c r="F143" s="10" t="str">
        <f>MID(Table1[[#This Row],[Reference_Name]], 4, LEN(Table1[[#This Row],[Reference_Name]])-3)</f>
        <v>Dose1_GV1_y5_pro</v>
      </c>
      <c r="G143" s="10" t="s">
        <v>2071</v>
      </c>
      <c r="H143" s="10" t="s">
        <v>3936</v>
      </c>
      <c r="I143" s="10">
        <f>Db_Dose1_GV1_y5_pro</f>
        <v>10627.45</v>
      </c>
    </row>
    <row r="144" spans="4:9" s="10" customFormat="1" ht="12" customHeight="1" x14ac:dyDescent="0.2">
      <c r="D144" s="10" t="str">
        <f t="shared" si="2"/>
        <v>Db_139</v>
      </c>
      <c r="E144" s="10" t="s">
        <v>2082</v>
      </c>
      <c r="F144" s="10" t="str">
        <f>MID(Table1[[#This Row],[Reference_Name]], 4, LEN(Table1[[#This Row],[Reference_Name]])-3)</f>
        <v>Dose1_GV2_y1_pro</v>
      </c>
      <c r="G144" s="10" t="s">
        <v>2072</v>
      </c>
      <c r="H144" s="10" t="s">
        <v>2933</v>
      </c>
      <c r="I144" s="10">
        <f>Db_Dose1_GV2_y1_pro</f>
        <v>9999.9000000000015</v>
      </c>
    </row>
    <row r="145" spans="4:9" s="10" customFormat="1" ht="12" customHeight="1" x14ac:dyDescent="0.2">
      <c r="D145" s="10" t="str">
        <f t="shared" si="2"/>
        <v>Db_140</v>
      </c>
      <c r="E145" s="10" t="s">
        <v>2083</v>
      </c>
      <c r="F145" s="10" t="str">
        <f>MID(Table1[[#This Row],[Reference_Name]], 4, LEN(Table1[[#This Row],[Reference_Name]])-3)</f>
        <v>Dose1_GV2_y2_pro</v>
      </c>
      <c r="G145" s="10" t="s">
        <v>2073</v>
      </c>
      <c r="H145" s="10" t="s">
        <v>2934</v>
      </c>
      <c r="I145" s="10">
        <f>Db_Dose1_GV2_y2_pro</f>
        <v>10150</v>
      </c>
    </row>
    <row r="146" spans="4:9" s="10" customFormat="1" ht="12" customHeight="1" x14ac:dyDescent="0.2">
      <c r="D146" s="10" t="str">
        <f t="shared" si="2"/>
        <v>Db_141</v>
      </c>
      <c r="E146" s="10" t="s">
        <v>2084</v>
      </c>
      <c r="F146" s="10" t="str">
        <f>MID(Table1[[#This Row],[Reference_Name]], 4, LEN(Table1[[#This Row],[Reference_Name]])-3)</f>
        <v>Dose1_GV2_y3_pro</v>
      </c>
      <c r="G146" s="10" t="s">
        <v>2074</v>
      </c>
      <c r="H146" s="10" t="s">
        <v>2935</v>
      </c>
      <c r="I146" s="10">
        <f>Db_Dose1_GV2_y3_pro</f>
        <v>10304.400000000001</v>
      </c>
    </row>
    <row r="147" spans="4:9" s="10" customFormat="1" ht="12" customHeight="1" x14ac:dyDescent="0.2">
      <c r="D147" s="10" t="str">
        <f t="shared" si="2"/>
        <v>Db_142</v>
      </c>
      <c r="E147" s="10" t="s">
        <v>2085</v>
      </c>
      <c r="F147" s="10" t="str">
        <f>MID(Table1[[#This Row],[Reference_Name]], 4, LEN(Table1[[#This Row],[Reference_Name]])-3)</f>
        <v>Dose1_GV2_y4_pro</v>
      </c>
      <c r="G147" s="10" t="s">
        <v>2075</v>
      </c>
      <c r="H147" s="10" t="s">
        <v>2936</v>
      </c>
      <c r="I147" s="10">
        <f>Db_Dose1_GV2_y4_pro</f>
        <v>10463.550000000001</v>
      </c>
    </row>
    <row r="148" spans="4:9" s="10" customFormat="1" ht="12" customHeight="1" x14ac:dyDescent="0.2">
      <c r="D148" s="10" t="str">
        <f t="shared" si="2"/>
        <v>Db_143</v>
      </c>
      <c r="E148" s="10" t="s">
        <v>2086</v>
      </c>
      <c r="F148" s="10" t="str">
        <f>MID(Table1[[#This Row],[Reference_Name]], 4, LEN(Table1[[#This Row],[Reference_Name]])-3)</f>
        <v>Dose1_GV2_y5_pro</v>
      </c>
      <c r="G148" s="10" t="s">
        <v>2076</v>
      </c>
      <c r="H148" s="10" t="s">
        <v>2937</v>
      </c>
      <c r="I148" s="10">
        <f>Db_Dose1_GV2_y5_pro</f>
        <v>10627.45</v>
      </c>
    </row>
    <row r="149" spans="4:9" s="10" customFormat="1" ht="12" customHeight="1" x14ac:dyDescent="0.2">
      <c r="D149" s="10" t="str">
        <f t="shared" si="2"/>
        <v>Db_144</v>
      </c>
      <c r="E149" s="10" t="s">
        <v>2107</v>
      </c>
      <c r="F149" s="10" t="str">
        <f>MID(Table1[[#This Row],[Reference_Name]], 4, LEN(Table1[[#This Row],[Reference_Name]])-3)</f>
        <v>Dose2_SV1_y1_pro</v>
      </c>
      <c r="G149" s="10" t="s">
        <v>2087</v>
      </c>
      <c r="H149" s="10" t="s">
        <v>3937</v>
      </c>
      <c r="I149" s="10">
        <f>Db_Dose2_SV1_y1_pro</f>
        <v>35999.640000000007</v>
      </c>
    </row>
    <row r="150" spans="4:9" s="10" customFormat="1" ht="12" customHeight="1" x14ac:dyDescent="0.2">
      <c r="D150" s="10" t="str">
        <f t="shared" si="2"/>
        <v>Db_145</v>
      </c>
      <c r="E150" s="10" t="s">
        <v>2108</v>
      </c>
      <c r="F150" s="10" t="str">
        <f>MID(Table1[[#This Row],[Reference_Name]], 4, LEN(Table1[[#This Row],[Reference_Name]])-3)</f>
        <v>Dose2_SV1_y2_pro</v>
      </c>
      <c r="G150" s="10" t="s">
        <v>2088</v>
      </c>
      <c r="H150" s="10" t="s">
        <v>3941</v>
      </c>
      <c r="I150" s="10">
        <f>Db_Dose2_SV1_y2_pro</f>
        <v>36540</v>
      </c>
    </row>
    <row r="151" spans="4:9" s="10" customFormat="1" ht="12" customHeight="1" x14ac:dyDescent="0.2">
      <c r="D151" s="10" t="str">
        <f t="shared" si="2"/>
        <v>Db_146</v>
      </c>
      <c r="E151" s="10" t="s">
        <v>2109</v>
      </c>
      <c r="F151" s="10" t="str">
        <f>MID(Table1[[#This Row],[Reference_Name]], 4, LEN(Table1[[#This Row],[Reference_Name]])-3)</f>
        <v>Dose2_SV1_y3_pro</v>
      </c>
      <c r="G151" s="10" t="s">
        <v>2089</v>
      </c>
      <c r="H151" s="10" t="s">
        <v>3938</v>
      </c>
      <c r="I151" s="10">
        <f>Db_Dose2_SV1_y3_pro</f>
        <v>37095.840000000004</v>
      </c>
    </row>
    <row r="152" spans="4:9" s="10" customFormat="1" ht="12" customHeight="1" x14ac:dyDescent="0.2">
      <c r="D152" s="10" t="str">
        <f t="shared" si="2"/>
        <v>Db_147</v>
      </c>
      <c r="E152" s="10" t="s">
        <v>2110</v>
      </c>
      <c r="F152" s="10" t="str">
        <f>MID(Table1[[#This Row],[Reference_Name]], 4, LEN(Table1[[#This Row],[Reference_Name]])-3)</f>
        <v>Dose2_SV1_y4_pro</v>
      </c>
      <c r="G152" s="10" t="s">
        <v>2090</v>
      </c>
      <c r="H152" s="10" t="s">
        <v>3939</v>
      </c>
      <c r="I152" s="10">
        <f>Db_Dose2_SV1_y4_pro</f>
        <v>37668.780000000006</v>
      </c>
    </row>
    <row r="153" spans="4:9" s="10" customFormat="1" ht="12" customHeight="1" x14ac:dyDescent="0.2">
      <c r="D153" s="10" t="str">
        <f t="shared" si="2"/>
        <v>Db_148</v>
      </c>
      <c r="E153" s="10" t="s">
        <v>2111</v>
      </c>
      <c r="F153" s="10" t="str">
        <f>MID(Table1[[#This Row],[Reference_Name]], 4, LEN(Table1[[#This Row],[Reference_Name]])-3)</f>
        <v>Dose2_SV1_y5_pro</v>
      </c>
      <c r="G153" s="10" t="s">
        <v>2091</v>
      </c>
      <c r="H153" s="10" t="s">
        <v>3940</v>
      </c>
      <c r="I153" s="10">
        <f>Db_Dose2_SV1_y5_pro</f>
        <v>38258.82</v>
      </c>
    </row>
    <row r="154" spans="4:9" s="10" customFormat="1" ht="12" customHeight="1" x14ac:dyDescent="0.2">
      <c r="D154" s="10" t="str">
        <f t="shared" si="2"/>
        <v>Db_149</v>
      </c>
      <c r="E154" s="10" t="s">
        <v>2112</v>
      </c>
      <c r="F154" s="10" t="str">
        <f>MID(Table1[[#This Row],[Reference_Name]], 4, LEN(Table1[[#This Row],[Reference_Name]])-3)</f>
        <v>Dose2_SV2_y1_pro</v>
      </c>
      <c r="G154" s="10" t="s">
        <v>2092</v>
      </c>
      <c r="H154" s="10" t="s">
        <v>3942</v>
      </c>
      <c r="I154" s="10">
        <f>Db_Dose2_SV2_y1_pro</f>
        <v>35999.640000000007</v>
      </c>
    </row>
    <row r="155" spans="4:9" s="10" customFormat="1" ht="12" customHeight="1" x14ac:dyDescent="0.2">
      <c r="D155" s="10" t="str">
        <f t="shared" si="2"/>
        <v>Db_150</v>
      </c>
      <c r="E155" s="10" t="s">
        <v>2113</v>
      </c>
      <c r="F155" s="10" t="str">
        <f>MID(Table1[[#This Row],[Reference_Name]], 4, LEN(Table1[[#This Row],[Reference_Name]])-3)</f>
        <v>Dose2_SV2_y2_pro</v>
      </c>
      <c r="G155" s="10" t="s">
        <v>2093</v>
      </c>
      <c r="H155" s="10" t="s">
        <v>3943</v>
      </c>
      <c r="I155" s="10">
        <f>Db_Dose2_SV2_y2_pro</f>
        <v>36540</v>
      </c>
    </row>
    <row r="156" spans="4:9" s="10" customFormat="1" ht="12" customHeight="1" x14ac:dyDescent="0.2">
      <c r="D156" s="10" t="str">
        <f t="shared" si="2"/>
        <v>Db_151</v>
      </c>
      <c r="E156" s="10" t="s">
        <v>2114</v>
      </c>
      <c r="F156" s="10" t="str">
        <f>MID(Table1[[#This Row],[Reference_Name]], 4, LEN(Table1[[#This Row],[Reference_Name]])-3)</f>
        <v>Dose2_SV2_y3_pro</v>
      </c>
      <c r="G156" s="10" t="s">
        <v>2094</v>
      </c>
      <c r="H156" s="10" t="s">
        <v>3944</v>
      </c>
      <c r="I156" s="10">
        <f>Db_Dose2_SV2_y3_pro</f>
        <v>37095.840000000004</v>
      </c>
    </row>
    <row r="157" spans="4:9" s="10" customFormat="1" ht="12" customHeight="1" x14ac:dyDescent="0.2">
      <c r="D157" s="10" t="str">
        <f t="shared" si="2"/>
        <v>Db_152</v>
      </c>
      <c r="E157" s="10" t="s">
        <v>2115</v>
      </c>
      <c r="F157" s="10" t="str">
        <f>MID(Table1[[#This Row],[Reference_Name]], 4, LEN(Table1[[#This Row],[Reference_Name]])-3)</f>
        <v>Dose2_SV2_y4_pro</v>
      </c>
      <c r="G157" s="10" t="s">
        <v>2095</v>
      </c>
      <c r="H157" s="10" t="s">
        <v>3945</v>
      </c>
      <c r="I157" s="10">
        <f>Db_Dose2_SV2_y4_pro</f>
        <v>37668.780000000006</v>
      </c>
    </row>
    <row r="158" spans="4:9" s="10" customFormat="1" ht="12" customHeight="1" x14ac:dyDescent="0.2">
      <c r="D158" s="10" t="str">
        <f t="shared" si="2"/>
        <v>Db_153</v>
      </c>
      <c r="E158" s="10" t="s">
        <v>2116</v>
      </c>
      <c r="F158" s="10" t="str">
        <f>MID(Table1[[#This Row],[Reference_Name]], 4, LEN(Table1[[#This Row],[Reference_Name]])-3)</f>
        <v>Dose2_SV2_y5_pro</v>
      </c>
      <c r="G158" s="10" t="s">
        <v>2096</v>
      </c>
      <c r="H158" s="10" t="s">
        <v>3946</v>
      </c>
      <c r="I158" s="10">
        <f>Db_Dose2_SV2_y5_pro</f>
        <v>38258.82</v>
      </c>
    </row>
    <row r="159" spans="4:9" s="10" customFormat="1" ht="12" customHeight="1" x14ac:dyDescent="0.2">
      <c r="D159" s="10" t="str">
        <f t="shared" si="2"/>
        <v>Db_154</v>
      </c>
      <c r="E159" s="10" t="s">
        <v>2117</v>
      </c>
      <c r="F159" s="10" t="str">
        <f>MID(Table1[[#This Row],[Reference_Name]], 4, LEN(Table1[[#This Row],[Reference_Name]])-3)</f>
        <v>Dose2_GV1_y1_pro</v>
      </c>
      <c r="G159" s="10" t="s">
        <v>2097</v>
      </c>
      <c r="H159" s="10" t="s">
        <v>3947</v>
      </c>
      <c r="I159" s="10">
        <f>Db_Dose2_GV1_y1_pro</f>
        <v>8999.9100000000017</v>
      </c>
    </row>
    <row r="160" spans="4:9" s="10" customFormat="1" ht="12" customHeight="1" x14ac:dyDescent="0.2">
      <c r="D160" s="10" t="str">
        <f t="shared" si="2"/>
        <v>Db_155</v>
      </c>
      <c r="E160" s="10" t="s">
        <v>2118</v>
      </c>
      <c r="F160" s="10" t="str">
        <f>MID(Table1[[#This Row],[Reference_Name]], 4, LEN(Table1[[#This Row],[Reference_Name]])-3)</f>
        <v>Dose2_GV1_y2_pro</v>
      </c>
      <c r="G160" s="10" t="s">
        <v>2098</v>
      </c>
      <c r="H160" s="10" t="s">
        <v>3948</v>
      </c>
      <c r="I160" s="10">
        <f>Db_Dose2_GV1_y2_pro</f>
        <v>9135</v>
      </c>
    </row>
    <row r="161" spans="4:9" s="10" customFormat="1" ht="12" customHeight="1" x14ac:dyDescent="0.2">
      <c r="D161" s="10" t="str">
        <f t="shared" si="2"/>
        <v>Db_156</v>
      </c>
      <c r="E161" s="10" t="s">
        <v>2119</v>
      </c>
      <c r="F161" s="10" t="str">
        <f>MID(Table1[[#This Row],[Reference_Name]], 4, LEN(Table1[[#This Row],[Reference_Name]])-3)</f>
        <v>Dose2_GV1_y3_pro</v>
      </c>
      <c r="G161" s="10" t="s">
        <v>2099</v>
      </c>
      <c r="H161" s="10" t="s">
        <v>3949</v>
      </c>
      <c r="I161" s="10">
        <f>Db_Dose2_GV1_y3_pro</f>
        <v>9273.9600000000009</v>
      </c>
    </row>
    <row r="162" spans="4:9" s="10" customFormat="1" ht="12" customHeight="1" x14ac:dyDescent="0.2">
      <c r="D162" s="10" t="str">
        <f t="shared" si="2"/>
        <v>Db_157</v>
      </c>
      <c r="E162" s="10" t="s">
        <v>2120</v>
      </c>
      <c r="F162" s="10" t="str">
        <f>MID(Table1[[#This Row],[Reference_Name]], 4, LEN(Table1[[#This Row],[Reference_Name]])-3)</f>
        <v>Dose2_GV1_y4_pro</v>
      </c>
      <c r="G162" s="10" t="s">
        <v>2100</v>
      </c>
      <c r="H162" s="10" t="s">
        <v>3950</v>
      </c>
      <c r="I162" s="10">
        <f>Db_Dose2_GV1_y4_pro</f>
        <v>9417.1950000000015</v>
      </c>
    </row>
    <row r="163" spans="4:9" s="10" customFormat="1" ht="12" customHeight="1" x14ac:dyDescent="0.2">
      <c r="D163" s="10" t="str">
        <f t="shared" si="2"/>
        <v>Db_158</v>
      </c>
      <c r="E163" s="10" t="s">
        <v>2121</v>
      </c>
      <c r="F163" s="10" t="str">
        <f>MID(Table1[[#This Row],[Reference_Name]], 4, LEN(Table1[[#This Row],[Reference_Name]])-3)</f>
        <v>Dose2_GV1_y5_pro</v>
      </c>
      <c r="G163" s="10" t="s">
        <v>2101</v>
      </c>
      <c r="H163" s="10" t="s">
        <v>3951</v>
      </c>
      <c r="I163" s="10">
        <f>Db_Dose2_GV1_y5_pro</f>
        <v>9564.7049999999999</v>
      </c>
    </row>
    <row r="164" spans="4:9" s="10" customFormat="1" ht="12" customHeight="1" x14ac:dyDescent="0.2">
      <c r="D164" s="10" t="str">
        <f t="shared" si="2"/>
        <v>Db_159</v>
      </c>
      <c r="E164" s="10" t="s">
        <v>2122</v>
      </c>
      <c r="F164" s="10" t="str">
        <f>MID(Table1[[#This Row],[Reference_Name]], 4, LEN(Table1[[#This Row],[Reference_Name]])-3)</f>
        <v>Dose2_GV2_y1_pro</v>
      </c>
      <c r="G164" s="10" t="s">
        <v>2102</v>
      </c>
      <c r="H164" s="10" t="s">
        <v>3952</v>
      </c>
      <c r="I164" s="10">
        <f>Db_Dose2_GV2_y1_pro</f>
        <v>8999.9100000000017</v>
      </c>
    </row>
    <row r="165" spans="4:9" s="10" customFormat="1" ht="12" customHeight="1" x14ac:dyDescent="0.2">
      <c r="D165" s="10" t="str">
        <f t="shared" si="2"/>
        <v>Db_160</v>
      </c>
      <c r="E165" s="10" t="s">
        <v>2123</v>
      </c>
      <c r="F165" s="10" t="str">
        <f>MID(Table1[[#This Row],[Reference_Name]], 4, LEN(Table1[[#This Row],[Reference_Name]])-3)</f>
        <v>Dose2_GV2_y2_pro</v>
      </c>
      <c r="G165" s="10" t="s">
        <v>2103</v>
      </c>
      <c r="H165" s="10" t="s">
        <v>3953</v>
      </c>
      <c r="I165" s="10">
        <f>Db_Dose2_GV2_y2_pro</f>
        <v>9135</v>
      </c>
    </row>
    <row r="166" spans="4:9" s="10" customFormat="1" ht="12" customHeight="1" x14ac:dyDescent="0.2">
      <c r="D166" s="10" t="str">
        <f t="shared" si="2"/>
        <v>Db_161</v>
      </c>
      <c r="E166" s="10" t="s">
        <v>2124</v>
      </c>
      <c r="F166" s="10" t="str">
        <f>MID(Table1[[#This Row],[Reference_Name]], 4, LEN(Table1[[#This Row],[Reference_Name]])-3)</f>
        <v>Dose2_GV2_y3_pro</v>
      </c>
      <c r="G166" s="10" t="s">
        <v>2104</v>
      </c>
      <c r="H166" s="10" t="s">
        <v>3954</v>
      </c>
      <c r="I166" s="10">
        <f>Db_Dose2_GV2_y3_pro</f>
        <v>9273.9600000000009</v>
      </c>
    </row>
    <row r="167" spans="4:9" s="10" customFormat="1" ht="12" customHeight="1" x14ac:dyDescent="0.2">
      <c r="D167" s="10" t="str">
        <f t="shared" si="2"/>
        <v>Db_162</v>
      </c>
      <c r="E167" s="10" t="s">
        <v>2125</v>
      </c>
      <c r="F167" s="10" t="str">
        <f>MID(Table1[[#This Row],[Reference_Name]], 4, LEN(Table1[[#This Row],[Reference_Name]])-3)</f>
        <v>Dose2_GV2_y4_pro</v>
      </c>
      <c r="G167" s="10" t="s">
        <v>2105</v>
      </c>
      <c r="H167" s="10" t="s">
        <v>3955</v>
      </c>
      <c r="I167" s="10">
        <f>Db_Dose2_GV2_y4_pro</f>
        <v>9417.1950000000015</v>
      </c>
    </row>
    <row r="168" spans="4:9" s="10" customFormat="1" ht="12" customHeight="1" x14ac:dyDescent="0.2">
      <c r="D168" s="10" t="str">
        <f t="shared" si="2"/>
        <v>Db_163</v>
      </c>
      <c r="E168" s="10" t="s">
        <v>2126</v>
      </c>
      <c r="F168" s="10" t="str">
        <f>MID(Table1[[#This Row],[Reference_Name]], 4, LEN(Table1[[#This Row],[Reference_Name]])-3)</f>
        <v>Dose2_GV2_y5_pro</v>
      </c>
      <c r="G168" s="10" t="s">
        <v>2106</v>
      </c>
      <c r="H168" s="10" t="s">
        <v>3956</v>
      </c>
      <c r="I168" s="10">
        <f>Db_Dose2_GV2_y5_pro</f>
        <v>9564.7049999999999</v>
      </c>
    </row>
    <row r="169" spans="4:9" s="10" customFormat="1" ht="12" customHeight="1" x14ac:dyDescent="0.2">
      <c r="D169" s="10" t="str">
        <f t="shared" si="2"/>
        <v>Db_164</v>
      </c>
      <c r="E169" s="10" t="s">
        <v>2167</v>
      </c>
      <c r="F169" s="10" t="str">
        <f>MID(Table1[[#This Row],[Reference_Name]], 4, LEN(Table1[[#This Row],[Reference_Name]])-3)</f>
        <v>Dose1_SV1_y1_retro</v>
      </c>
      <c r="G169" s="10" t="s">
        <v>2166</v>
      </c>
      <c r="H169" s="10" t="s">
        <v>3957</v>
      </c>
      <c r="I169" s="10">
        <f>Db_Dose1_SV1_y1_retro</f>
        <v>19752</v>
      </c>
    </row>
    <row r="170" spans="4:9" s="10" customFormat="1" ht="12" customHeight="1" x14ac:dyDescent="0.2">
      <c r="D170" s="10" t="str">
        <f t="shared" si="2"/>
        <v>Db_165</v>
      </c>
      <c r="E170" s="10" t="s">
        <v>2168</v>
      </c>
      <c r="F170" s="10" t="str">
        <f>MID(Table1[[#This Row],[Reference_Name]], 4, LEN(Table1[[#This Row],[Reference_Name]])-3)</f>
        <v>Dose1_SV1_y2_retro</v>
      </c>
      <c r="G170" s="10" t="s">
        <v>2127</v>
      </c>
      <c r="H170" s="10" t="s">
        <v>3958</v>
      </c>
      <c r="I170" s="10">
        <f>Db_Dose1_SV1_y2_retro</f>
        <v>19752</v>
      </c>
    </row>
    <row r="171" spans="4:9" s="10" customFormat="1" ht="12" customHeight="1" x14ac:dyDescent="0.2">
      <c r="D171" s="10" t="str">
        <f t="shared" si="2"/>
        <v>Db_166</v>
      </c>
      <c r="E171" s="10" t="s">
        <v>2169</v>
      </c>
      <c r="F171" s="10" t="str">
        <f>MID(Table1[[#This Row],[Reference_Name]], 4, LEN(Table1[[#This Row],[Reference_Name]])-3)</f>
        <v>Dose1_SV1_y3_retro</v>
      </c>
      <c r="G171" s="10" t="s">
        <v>2128</v>
      </c>
      <c r="H171" s="10" t="s">
        <v>3959</v>
      </c>
      <c r="I171" s="10">
        <f>Db_Dose1_SV1_y3_retro</f>
        <v>19752</v>
      </c>
    </row>
    <row r="172" spans="4:9" s="10" customFormat="1" ht="12" customHeight="1" x14ac:dyDescent="0.2">
      <c r="D172" s="10" t="str">
        <f t="shared" si="2"/>
        <v>Db_167</v>
      </c>
      <c r="E172" s="10" t="s">
        <v>2170</v>
      </c>
      <c r="F172" s="10" t="str">
        <f>MID(Table1[[#This Row],[Reference_Name]], 4, LEN(Table1[[#This Row],[Reference_Name]])-3)</f>
        <v>Dose1_SV1_y4_retro</v>
      </c>
      <c r="G172" s="10" t="s">
        <v>2129</v>
      </c>
      <c r="H172" s="10" t="s">
        <v>3960</v>
      </c>
      <c r="I172" s="10">
        <f>Db_Dose1_SV1_y4_retro</f>
        <v>19752</v>
      </c>
    </row>
    <row r="173" spans="4:9" s="10" customFormat="1" ht="12" customHeight="1" x14ac:dyDescent="0.2">
      <c r="D173" s="10" t="str">
        <f t="shared" si="2"/>
        <v>Db_168</v>
      </c>
      <c r="E173" s="10" t="s">
        <v>2171</v>
      </c>
      <c r="F173" s="10" t="str">
        <f>MID(Table1[[#This Row],[Reference_Name]], 4, LEN(Table1[[#This Row],[Reference_Name]])-3)</f>
        <v>Dose1_SV1_y5_retro</v>
      </c>
      <c r="G173" s="10" t="s">
        <v>2130</v>
      </c>
      <c r="H173" s="10" t="s">
        <v>3961</v>
      </c>
      <c r="I173" s="10">
        <f>Db_Dose1_SV1_y5_retro</f>
        <v>19752</v>
      </c>
    </row>
    <row r="174" spans="4:9" s="10" customFormat="1" ht="12" customHeight="1" x14ac:dyDescent="0.2">
      <c r="D174" s="10" t="str">
        <f t="shared" si="2"/>
        <v>Db_169</v>
      </c>
      <c r="E174" s="10" t="s">
        <v>2172</v>
      </c>
      <c r="F174" s="10" t="str">
        <f>MID(Table1[[#This Row],[Reference_Name]], 4, LEN(Table1[[#This Row],[Reference_Name]])-3)</f>
        <v>Dose1_SV2_y1_retro</v>
      </c>
      <c r="G174" s="10" t="s">
        <v>2131</v>
      </c>
      <c r="H174" s="10" t="s">
        <v>3962</v>
      </c>
      <c r="I174" s="10">
        <f>Db_Dose1_SV2_y1_retro</f>
        <v>19752</v>
      </c>
    </row>
    <row r="175" spans="4:9" s="10" customFormat="1" ht="12" customHeight="1" x14ac:dyDescent="0.2">
      <c r="D175" s="10" t="str">
        <f t="shared" si="2"/>
        <v>Db_170</v>
      </c>
      <c r="E175" s="10" t="s">
        <v>2173</v>
      </c>
      <c r="F175" s="10" t="str">
        <f>MID(Table1[[#This Row],[Reference_Name]], 4, LEN(Table1[[#This Row],[Reference_Name]])-3)</f>
        <v>Dose1_SV2_y2_retro</v>
      </c>
      <c r="G175" s="10" t="s">
        <v>2132</v>
      </c>
      <c r="H175" s="10" t="s">
        <v>3963</v>
      </c>
      <c r="I175" s="10">
        <f>Db_Dose1_SV2_y2_retro</f>
        <v>19752</v>
      </c>
    </row>
    <row r="176" spans="4:9" s="10" customFormat="1" ht="12" customHeight="1" x14ac:dyDescent="0.2">
      <c r="D176" s="10" t="str">
        <f t="shared" si="2"/>
        <v>Db_171</v>
      </c>
      <c r="E176" s="10" t="s">
        <v>2174</v>
      </c>
      <c r="F176" s="10" t="str">
        <f>MID(Table1[[#This Row],[Reference_Name]], 4, LEN(Table1[[#This Row],[Reference_Name]])-3)</f>
        <v>Dose1_SV2_y3_retro</v>
      </c>
      <c r="G176" s="10" t="s">
        <v>2133</v>
      </c>
      <c r="H176" s="10" t="s">
        <v>3964</v>
      </c>
      <c r="I176" s="10">
        <f>Db_Dose1_SV2_y3_retro</f>
        <v>19752</v>
      </c>
    </row>
    <row r="177" spans="4:9" s="10" customFormat="1" ht="12" customHeight="1" x14ac:dyDescent="0.2">
      <c r="D177" s="10" t="str">
        <f t="shared" si="2"/>
        <v>Db_172</v>
      </c>
      <c r="E177" s="10" t="s">
        <v>2175</v>
      </c>
      <c r="F177" s="10" t="str">
        <f>MID(Table1[[#This Row],[Reference_Name]], 4, LEN(Table1[[#This Row],[Reference_Name]])-3)</f>
        <v>Dose1_SV2_y4_retro</v>
      </c>
      <c r="G177" s="10" t="s">
        <v>2134</v>
      </c>
      <c r="H177" s="10" t="s">
        <v>3965</v>
      </c>
      <c r="I177" s="10">
        <f>Db_Dose1_SV2_y4_retro</f>
        <v>19752</v>
      </c>
    </row>
    <row r="178" spans="4:9" s="10" customFormat="1" ht="12" customHeight="1" x14ac:dyDescent="0.2">
      <c r="D178" s="10" t="str">
        <f t="shared" si="2"/>
        <v>Db_173</v>
      </c>
      <c r="E178" s="10" t="s">
        <v>2176</v>
      </c>
      <c r="F178" s="10" t="str">
        <f>MID(Table1[[#This Row],[Reference_Name]], 4, LEN(Table1[[#This Row],[Reference_Name]])-3)</f>
        <v>Dose1_SV2_y5_retro</v>
      </c>
      <c r="G178" s="10" t="s">
        <v>2135</v>
      </c>
      <c r="H178" s="10" t="s">
        <v>3966</v>
      </c>
      <c r="I178" s="10">
        <f>Db_Dose1_SV2_y5_retro</f>
        <v>19752</v>
      </c>
    </row>
    <row r="179" spans="4:9" s="10" customFormat="1" ht="12" customHeight="1" x14ac:dyDescent="0.2">
      <c r="D179" s="10" t="str">
        <f t="shared" si="2"/>
        <v>Db_174</v>
      </c>
      <c r="E179" s="10" t="s">
        <v>2177</v>
      </c>
      <c r="F179" s="10" t="str">
        <f>MID(Table1[[#This Row],[Reference_Name]], 4, LEN(Table1[[#This Row],[Reference_Name]])-3)</f>
        <v>Dose1_GV1_y1_retro</v>
      </c>
      <c r="G179" s="10" t="s">
        <v>2136</v>
      </c>
      <c r="H179" s="10" t="s">
        <v>3967</v>
      </c>
      <c r="I179" s="10">
        <f>Db_Dose1_GV1_y1_retro</f>
        <v>4938</v>
      </c>
    </row>
    <row r="180" spans="4:9" s="10" customFormat="1" ht="12" customHeight="1" x14ac:dyDescent="0.2">
      <c r="D180" s="10" t="str">
        <f t="shared" si="2"/>
        <v>Db_175</v>
      </c>
      <c r="E180" s="10" t="s">
        <v>2178</v>
      </c>
      <c r="F180" s="10" t="str">
        <f>MID(Table1[[#This Row],[Reference_Name]], 4, LEN(Table1[[#This Row],[Reference_Name]])-3)</f>
        <v>Dose1_GV1_y2_retro</v>
      </c>
      <c r="G180" s="10" t="s">
        <v>2137</v>
      </c>
      <c r="H180" s="10" t="s">
        <v>3968</v>
      </c>
      <c r="I180" s="10">
        <f>Db_Dose1_GV1_y2_retro</f>
        <v>4938</v>
      </c>
    </row>
    <row r="181" spans="4:9" s="10" customFormat="1" ht="12" customHeight="1" x14ac:dyDescent="0.2">
      <c r="D181" s="10" t="str">
        <f t="shared" si="2"/>
        <v>Db_176</v>
      </c>
      <c r="E181" s="10" t="s">
        <v>2179</v>
      </c>
      <c r="F181" s="10" t="str">
        <f>MID(Table1[[#This Row],[Reference_Name]], 4, LEN(Table1[[#This Row],[Reference_Name]])-3)</f>
        <v>Dose1_GV1_y3_retro</v>
      </c>
      <c r="G181" s="10" t="s">
        <v>2138</v>
      </c>
      <c r="H181" s="10" t="s">
        <v>3969</v>
      </c>
      <c r="I181" s="10">
        <f>Db_Dose1_GV1_y3_retro</f>
        <v>4938</v>
      </c>
    </row>
    <row r="182" spans="4:9" s="10" customFormat="1" ht="12" customHeight="1" x14ac:dyDescent="0.2">
      <c r="D182" s="10" t="str">
        <f t="shared" si="2"/>
        <v>Db_177</v>
      </c>
      <c r="E182" s="10" t="s">
        <v>2180</v>
      </c>
      <c r="F182" s="10" t="str">
        <f>MID(Table1[[#This Row],[Reference_Name]], 4, LEN(Table1[[#This Row],[Reference_Name]])-3)</f>
        <v>Dose1_GV1_y4_retro</v>
      </c>
      <c r="G182" s="10" t="s">
        <v>2139</v>
      </c>
      <c r="H182" s="10" t="s">
        <v>3970</v>
      </c>
      <c r="I182" s="10">
        <f>Db_Dose1_GV1_y4_retro</f>
        <v>4938</v>
      </c>
    </row>
    <row r="183" spans="4:9" s="10" customFormat="1" ht="12" customHeight="1" x14ac:dyDescent="0.2">
      <c r="D183" s="10" t="str">
        <f t="shared" si="2"/>
        <v>Db_178</v>
      </c>
      <c r="E183" s="10" t="s">
        <v>2181</v>
      </c>
      <c r="F183" s="10" t="str">
        <f>MID(Table1[[#This Row],[Reference_Name]], 4, LEN(Table1[[#This Row],[Reference_Name]])-3)</f>
        <v>Dose1_GV1_y5_retro</v>
      </c>
      <c r="G183" s="10" t="s">
        <v>2140</v>
      </c>
      <c r="H183" s="10" t="s">
        <v>3971</v>
      </c>
      <c r="I183" s="10">
        <f>Db_Dose1_GV1_y5_retro</f>
        <v>4938</v>
      </c>
    </row>
    <row r="184" spans="4:9" s="10" customFormat="1" ht="12" customHeight="1" x14ac:dyDescent="0.2">
      <c r="D184" s="10" t="str">
        <f t="shared" si="2"/>
        <v>Db_179</v>
      </c>
      <c r="E184" s="10" t="s">
        <v>2182</v>
      </c>
      <c r="F184" s="10" t="str">
        <f>MID(Table1[[#This Row],[Reference_Name]], 4, LEN(Table1[[#This Row],[Reference_Name]])-3)</f>
        <v>Dose1_GV2_y1_retro</v>
      </c>
      <c r="G184" s="10" t="s">
        <v>2141</v>
      </c>
      <c r="H184" s="10" t="s">
        <v>3972</v>
      </c>
      <c r="I184" s="10">
        <f>Db_Dose1_GV2_y1_retro</f>
        <v>4938</v>
      </c>
    </row>
    <row r="185" spans="4:9" s="10" customFormat="1" ht="12" customHeight="1" x14ac:dyDescent="0.2">
      <c r="D185" s="10" t="str">
        <f t="shared" si="2"/>
        <v>Db_180</v>
      </c>
      <c r="E185" s="10" t="s">
        <v>2183</v>
      </c>
      <c r="F185" s="10" t="str">
        <f>MID(Table1[[#This Row],[Reference_Name]], 4, LEN(Table1[[#This Row],[Reference_Name]])-3)</f>
        <v>Dose1_GV2_y2_retro</v>
      </c>
      <c r="G185" s="10" t="s">
        <v>2142</v>
      </c>
      <c r="H185" s="10" t="s">
        <v>3973</v>
      </c>
      <c r="I185" s="10">
        <f>Db_Dose1_GV2_y2_retro</f>
        <v>4938</v>
      </c>
    </row>
    <row r="186" spans="4:9" s="10" customFormat="1" ht="12" customHeight="1" x14ac:dyDescent="0.2">
      <c r="D186" s="10" t="str">
        <f t="shared" si="2"/>
        <v>Db_181</v>
      </c>
      <c r="E186" s="10" t="s">
        <v>2184</v>
      </c>
      <c r="F186" s="10" t="str">
        <f>MID(Table1[[#This Row],[Reference_Name]], 4, LEN(Table1[[#This Row],[Reference_Name]])-3)</f>
        <v>Dose1_GV2_y3_retro</v>
      </c>
      <c r="G186" s="10" t="s">
        <v>2143</v>
      </c>
      <c r="H186" s="10" t="s">
        <v>3974</v>
      </c>
      <c r="I186" s="10">
        <f>Db_Dose1_GV2_y3_retro</f>
        <v>4938</v>
      </c>
    </row>
    <row r="187" spans="4:9" s="10" customFormat="1" ht="12" customHeight="1" x14ac:dyDescent="0.2">
      <c r="D187" s="10" t="str">
        <f t="shared" si="2"/>
        <v>Db_182</v>
      </c>
      <c r="E187" s="10" t="s">
        <v>2185</v>
      </c>
      <c r="F187" s="10" t="str">
        <f>MID(Table1[[#This Row],[Reference_Name]], 4, LEN(Table1[[#This Row],[Reference_Name]])-3)</f>
        <v>Dose1_GV2_y4_retro</v>
      </c>
      <c r="G187" s="10" t="s">
        <v>2144</v>
      </c>
      <c r="H187" s="10" t="s">
        <v>3975</v>
      </c>
      <c r="I187" s="10">
        <f>Db_Dose1_GV2_y4_retro</f>
        <v>4938</v>
      </c>
    </row>
    <row r="188" spans="4:9" s="10" customFormat="1" ht="12" customHeight="1" x14ac:dyDescent="0.2">
      <c r="D188" s="10" t="str">
        <f t="shared" si="2"/>
        <v>Db_183</v>
      </c>
      <c r="E188" s="10" t="s">
        <v>2186</v>
      </c>
      <c r="F188" s="10" t="str">
        <f>MID(Table1[[#This Row],[Reference_Name]], 4, LEN(Table1[[#This Row],[Reference_Name]])-3)</f>
        <v>Dose1_GV2_y5_retro</v>
      </c>
      <c r="G188" s="10" t="s">
        <v>2145</v>
      </c>
      <c r="H188" s="10" t="s">
        <v>3976</v>
      </c>
      <c r="I188" s="10">
        <f>Db_Dose1_GV2_y5_retro</f>
        <v>4938</v>
      </c>
    </row>
    <row r="189" spans="4:9" s="10" customFormat="1" ht="12" customHeight="1" x14ac:dyDescent="0.2">
      <c r="D189" s="10" t="str">
        <f t="shared" si="2"/>
        <v>Db_184</v>
      </c>
      <c r="E189" s="10" t="s">
        <v>2187</v>
      </c>
      <c r="F189" s="10" t="str">
        <f>MID(Table1[[#This Row],[Reference_Name]], 4, LEN(Table1[[#This Row],[Reference_Name]])-3)</f>
        <v>Dose2_SV1_y1_retro</v>
      </c>
      <c r="G189" s="10" t="s">
        <v>2146</v>
      </c>
      <c r="H189" s="10" t="s">
        <v>3977</v>
      </c>
      <c r="I189" s="10">
        <f>Db_Dose2_SV1_y1_retro</f>
        <v>17777.600000000002</v>
      </c>
    </row>
    <row r="190" spans="4:9" s="10" customFormat="1" ht="12" customHeight="1" x14ac:dyDescent="0.2">
      <c r="D190" s="10" t="str">
        <f t="shared" si="2"/>
        <v>Db_185</v>
      </c>
      <c r="E190" s="10" t="s">
        <v>2188</v>
      </c>
      <c r="F190" s="10" t="str">
        <f>MID(Table1[[#This Row],[Reference_Name]], 4, LEN(Table1[[#This Row],[Reference_Name]])-3)</f>
        <v>Dose2_SV1_y2_retro</v>
      </c>
      <c r="G190" s="10" t="s">
        <v>2147</v>
      </c>
      <c r="H190" s="10" t="s">
        <v>3978</v>
      </c>
      <c r="I190" s="10">
        <f>Db_Dose2_SV1_y2_retro</f>
        <v>17777.600000000002</v>
      </c>
    </row>
    <row r="191" spans="4:9" s="10" customFormat="1" ht="12" customHeight="1" x14ac:dyDescent="0.2">
      <c r="D191" s="10" t="str">
        <f t="shared" si="2"/>
        <v>Db_186</v>
      </c>
      <c r="E191" s="10" t="s">
        <v>2189</v>
      </c>
      <c r="F191" s="10" t="str">
        <f>MID(Table1[[#This Row],[Reference_Name]], 4, LEN(Table1[[#This Row],[Reference_Name]])-3)</f>
        <v>Dose2_SV1_y3_retro</v>
      </c>
      <c r="G191" s="10" t="s">
        <v>2148</v>
      </c>
      <c r="H191" s="10" t="s">
        <v>3979</v>
      </c>
      <c r="I191" s="10">
        <f>Db_Dose2_SV1_y3_retro</f>
        <v>17777.600000000002</v>
      </c>
    </row>
    <row r="192" spans="4:9" s="10" customFormat="1" ht="12" customHeight="1" x14ac:dyDescent="0.2">
      <c r="D192" s="10" t="str">
        <f t="shared" si="2"/>
        <v>Db_187</v>
      </c>
      <c r="E192" s="10" t="s">
        <v>2190</v>
      </c>
      <c r="F192" s="10" t="str">
        <f>MID(Table1[[#This Row],[Reference_Name]], 4, LEN(Table1[[#This Row],[Reference_Name]])-3)</f>
        <v>Dose2_SV1_y4_retro</v>
      </c>
      <c r="G192" s="10" t="s">
        <v>2149</v>
      </c>
      <c r="H192" s="10" t="s">
        <v>3980</v>
      </c>
      <c r="I192" s="10">
        <f>Db_Dose2_SV1_y4_retro</f>
        <v>17777.600000000002</v>
      </c>
    </row>
    <row r="193" spans="4:9" s="10" customFormat="1" ht="12" customHeight="1" x14ac:dyDescent="0.2">
      <c r="D193" s="10" t="str">
        <f t="shared" si="2"/>
        <v>Db_188</v>
      </c>
      <c r="E193" s="10" t="s">
        <v>2191</v>
      </c>
      <c r="F193" s="10" t="str">
        <f>MID(Table1[[#This Row],[Reference_Name]], 4, LEN(Table1[[#This Row],[Reference_Name]])-3)</f>
        <v>Dose2_SV1_y5_retro</v>
      </c>
      <c r="G193" s="10" t="s">
        <v>2150</v>
      </c>
      <c r="H193" s="10" t="s">
        <v>3981</v>
      </c>
      <c r="I193" s="10">
        <f>Db_Dose2_SV1_y5_retro</f>
        <v>17777.600000000002</v>
      </c>
    </row>
    <row r="194" spans="4:9" s="10" customFormat="1" ht="12" customHeight="1" x14ac:dyDescent="0.2">
      <c r="D194" s="10" t="str">
        <f t="shared" si="2"/>
        <v>Db_189</v>
      </c>
      <c r="E194" s="10" t="s">
        <v>2192</v>
      </c>
      <c r="F194" s="10" t="str">
        <f>MID(Table1[[#This Row],[Reference_Name]], 4, LEN(Table1[[#This Row],[Reference_Name]])-3)</f>
        <v>Dose2_SV2_y1_retro</v>
      </c>
      <c r="G194" s="10" t="s">
        <v>2151</v>
      </c>
      <c r="H194" s="10" t="s">
        <v>3982</v>
      </c>
      <c r="I194" s="10">
        <f>Db_Dose2_SV2_y1_retro</f>
        <v>17777.600000000002</v>
      </c>
    </row>
    <row r="195" spans="4:9" s="10" customFormat="1" ht="12" customHeight="1" x14ac:dyDescent="0.2">
      <c r="D195" s="10" t="str">
        <f t="shared" si="2"/>
        <v>Db_190</v>
      </c>
      <c r="E195" s="10" t="s">
        <v>2193</v>
      </c>
      <c r="F195" s="10" t="str">
        <f>MID(Table1[[#This Row],[Reference_Name]], 4, LEN(Table1[[#This Row],[Reference_Name]])-3)</f>
        <v>Dose2_SV2_y2_retro</v>
      </c>
      <c r="G195" s="10" t="s">
        <v>2152</v>
      </c>
      <c r="H195" s="10" t="s">
        <v>3983</v>
      </c>
      <c r="I195" s="10">
        <f>Db_Dose2_SV2_y2_retro</f>
        <v>17777.600000000002</v>
      </c>
    </row>
    <row r="196" spans="4:9" s="10" customFormat="1" ht="12" customHeight="1" x14ac:dyDescent="0.2">
      <c r="D196" s="10" t="str">
        <f t="shared" si="2"/>
        <v>Db_191</v>
      </c>
      <c r="E196" s="10" t="s">
        <v>2194</v>
      </c>
      <c r="F196" s="10" t="str">
        <f>MID(Table1[[#This Row],[Reference_Name]], 4, LEN(Table1[[#This Row],[Reference_Name]])-3)</f>
        <v>Dose2_SV2_y3_retro</v>
      </c>
      <c r="G196" s="10" t="s">
        <v>2153</v>
      </c>
      <c r="H196" s="10" t="s">
        <v>3984</v>
      </c>
      <c r="I196" s="10">
        <f>Db_Dose2_SV2_y3_retro</f>
        <v>17777.600000000002</v>
      </c>
    </row>
    <row r="197" spans="4:9" s="10" customFormat="1" ht="12" customHeight="1" x14ac:dyDescent="0.2">
      <c r="D197" s="10" t="str">
        <f t="shared" si="2"/>
        <v>Db_192</v>
      </c>
      <c r="E197" s="10" t="s">
        <v>2195</v>
      </c>
      <c r="F197" s="10" t="str">
        <f>MID(Table1[[#This Row],[Reference_Name]], 4, LEN(Table1[[#This Row],[Reference_Name]])-3)</f>
        <v>Dose2_SV2_y4_retro</v>
      </c>
      <c r="G197" s="10" t="s">
        <v>2154</v>
      </c>
      <c r="H197" s="10" t="s">
        <v>3985</v>
      </c>
      <c r="I197" s="10">
        <f>Db_Dose2_SV2_y4_retro</f>
        <v>17777.600000000002</v>
      </c>
    </row>
    <row r="198" spans="4:9" s="10" customFormat="1" ht="12" customHeight="1" x14ac:dyDescent="0.2">
      <c r="D198" s="10" t="str">
        <f t="shared" ref="D198:D261" si="3">"Db_"&amp;ROW()-5</f>
        <v>Db_193</v>
      </c>
      <c r="E198" s="10" t="s">
        <v>2196</v>
      </c>
      <c r="F198" s="10" t="str">
        <f>MID(Table1[[#This Row],[Reference_Name]], 4, LEN(Table1[[#This Row],[Reference_Name]])-3)</f>
        <v>Dose2_SV2_y5_retro</v>
      </c>
      <c r="G198" s="10" t="s">
        <v>2155</v>
      </c>
      <c r="H198" s="10" t="s">
        <v>3986</v>
      </c>
      <c r="I198" s="10">
        <f>Db_Dose2_SV2_y5_retro</f>
        <v>17777.600000000002</v>
      </c>
    </row>
    <row r="199" spans="4:9" s="10" customFormat="1" ht="12" customHeight="1" x14ac:dyDescent="0.2">
      <c r="D199" s="10" t="str">
        <f t="shared" si="3"/>
        <v>Db_194</v>
      </c>
      <c r="E199" s="10" t="s">
        <v>2197</v>
      </c>
      <c r="F199" s="10" t="str">
        <f>MID(Table1[[#This Row],[Reference_Name]], 4, LEN(Table1[[#This Row],[Reference_Name]])-3)</f>
        <v>Dose2_GV1_y1_retro</v>
      </c>
      <c r="G199" s="10" t="s">
        <v>2156</v>
      </c>
      <c r="H199" s="10" t="s">
        <v>3987</v>
      </c>
      <c r="I199" s="10">
        <f>Db_Dose2_GV1_y1_retro</f>
        <v>4444.4000000000005</v>
      </c>
    </row>
    <row r="200" spans="4:9" s="10" customFormat="1" ht="12" customHeight="1" x14ac:dyDescent="0.2">
      <c r="D200" s="10" t="str">
        <f t="shared" si="3"/>
        <v>Db_195</v>
      </c>
      <c r="E200" s="10" t="s">
        <v>2198</v>
      </c>
      <c r="F200" s="10" t="str">
        <f>MID(Table1[[#This Row],[Reference_Name]], 4, LEN(Table1[[#This Row],[Reference_Name]])-3)</f>
        <v>Dose2_GV1_y2_retro</v>
      </c>
      <c r="G200" s="10" t="s">
        <v>2157</v>
      </c>
      <c r="H200" s="10" t="s">
        <v>3988</v>
      </c>
      <c r="I200" s="10">
        <f>Db_Dose2_GV1_y2_retro</f>
        <v>4444.4000000000005</v>
      </c>
    </row>
    <row r="201" spans="4:9" s="10" customFormat="1" ht="12" customHeight="1" x14ac:dyDescent="0.2">
      <c r="D201" s="10" t="str">
        <f t="shared" si="3"/>
        <v>Db_196</v>
      </c>
      <c r="E201" s="10" t="s">
        <v>2199</v>
      </c>
      <c r="F201" s="10" t="str">
        <f>MID(Table1[[#This Row],[Reference_Name]], 4, LEN(Table1[[#This Row],[Reference_Name]])-3)</f>
        <v>Dose2_GV1_y3_retro</v>
      </c>
      <c r="G201" s="10" t="s">
        <v>2158</v>
      </c>
      <c r="H201" s="10" t="s">
        <v>3989</v>
      </c>
      <c r="I201" s="10">
        <f>Db_Dose2_GV1_y3_retro</f>
        <v>4444.4000000000005</v>
      </c>
    </row>
    <row r="202" spans="4:9" s="10" customFormat="1" ht="12" customHeight="1" x14ac:dyDescent="0.2">
      <c r="D202" s="10" t="str">
        <f t="shared" si="3"/>
        <v>Db_197</v>
      </c>
      <c r="E202" s="10" t="s">
        <v>2200</v>
      </c>
      <c r="F202" s="10" t="str">
        <f>MID(Table1[[#This Row],[Reference_Name]], 4, LEN(Table1[[#This Row],[Reference_Name]])-3)</f>
        <v>Dose2_GV1_y4_retro</v>
      </c>
      <c r="G202" s="10" t="s">
        <v>2159</v>
      </c>
      <c r="H202" s="10" t="s">
        <v>3990</v>
      </c>
      <c r="I202" s="10">
        <f>Db_Dose2_GV1_y4_retro</f>
        <v>4444.4000000000005</v>
      </c>
    </row>
    <row r="203" spans="4:9" s="10" customFormat="1" ht="12" customHeight="1" x14ac:dyDescent="0.2">
      <c r="D203" s="10" t="str">
        <f t="shared" si="3"/>
        <v>Db_198</v>
      </c>
      <c r="E203" s="10" t="s">
        <v>2201</v>
      </c>
      <c r="F203" s="10" t="str">
        <f>MID(Table1[[#This Row],[Reference_Name]], 4, LEN(Table1[[#This Row],[Reference_Name]])-3)</f>
        <v>Dose2_GV1_y5_retro</v>
      </c>
      <c r="G203" s="10" t="s">
        <v>2160</v>
      </c>
      <c r="H203" s="10" t="s">
        <v>3991</v>
      </c>
      <c r="I203" s="10">
        <f>Db_Dose2_GV1_y5_retro</f>
        <v>4444.4000000000005</v>
      </c>
    </row>
    <row r="204" spans="4:9" s="10" customFormat="1" ht="12" customHeight="1" x14ac:dyDescent="0.2">
      <c r="D204" s="10" t="str">
        <f t="shared" si="3"/>
        <v>Db_199</v>
      </c>
      <c r="E204" s="10" t="s">
        <v>2202</v>
      </c>
      <c r="F204" s="10" t="str">
        <f>MID(Table1[[#This Row],[Reference_Name]], 4, LEN(Table1[[#This Row],[Reference_Name]])-3)</f>
        <v>Dose2_GV2_y1_retro</v>
      </c>
      <c r="G204" s="10" t="s">
        <v>2161</v>
      </c>
      <c r="H204" s="10" t="s">
        <v>3992</v>
      </c>
      <c r="I204" s="10">
        <f>Db_Dose2_GV2_y1_retro</f>
        <v>4444.4000000000005</v>
      </c>
    </row>
    <row r="205" spans="4:9" s="10" customFormat="1" ht="12" customHeight="1" x14ac:dyDescent="0.2">
      <c r="D205" s="10" t="str">
        <f t="shared" si="3"/>
        <v>Db_200</v>
      </c>
      <c r="E205" s="10" t="s">
        <v>2203</v>
      </c>
      <c r="F205" s="10" t="str">
        <f>MID(Table1[[#This Row],[Reference_Name]], 4, LEN(Table1[[#This Row],[Reference_Name]])-3)</f>
        <v>Dose2_GV2_y2_retro</v>
      </c>
      <c r="G205" s="10" t="s">
        <v>2162</v>
      </c>
      <c r="H205" s="10" t="s">
        <v>3993</v>
      </c>
      <c r="I205" s="10">
        <f>Db_Dose2_GV2_y2_retro</f>
        <v>4444.4000000000005</v>
      </c>
    </row>
    <row r="206" spans="4:9" s="10" customFormat="1" ht="12" customHeight="1" x14ac:dyDescent="0.2">
      <c r="D206" s="10" t="str">
        <f t="shared" si="3"/>
        <v>Db_201</v>
      </c>
      <c r="E206" s="10" t="s">
        <v>2204</v>
      </c>
      <c r="F206" s="10" t="str">
        <f>MID(Table1[[#This Row],[Reference_Name]], 4, LEN(Table1[[#This Row],[Reference_Name]])-3)</f>
        <v>Dose2_GV2_y3_retro</v>
      </c>
      <c r="G206" s="10" t="s">
        <v>2163</v>
      </c>
      <c r="H206" s="10" t="s">
        <v>3994</v>
      </c>
      <c r="I206" s="10">
        <f>Db_Dose2_GV2_y3_retro</f>
        <v>4444.4000000000005</v>
      </c>
    </row>
    <row r="207" spans="4:9" s="10" customFormat="1" ht="12" customHeight="1" x14ac:dyDescent="0.2">
      <c r="D207" s="10" t="str">
        <f t="shared" si="3"/>
        <v>Db_202</v>
      </c>
      <c r="E207" s="10" t="s">
        <v>2205</v>
      </c>
      <c r="F207" s="10" t="str">
        <f>MID(Table1[[#This Row],[Reference_Name]], 4, LEN(Table1[[#This Row],[Reference_Name]])-3)</f>
        <v>Dose2_GV2_y4_retro</v>
      </c>
      <c r="G207" s="10" t="s">
        <v>2164</v>
      </c>
      <c r="H207" s="10" t="s">
        <v>3995</v>
      </c>
      <c r="I207" s="10">
        <f>Db_Dose2_GV2_y4_retro</f>
        <v>4444.4000000000005</v>
      </c>
    </row>
    <row r="208" spans="4:9" s="10" customFormat="1" ht="12" customHeight="1" x14ac:dyDescent="0.2">
      <c r="D208" s="10" t="str">
        <f t="shared" si="3"/>
        <v>Db_203</v>
      </c>
      <c r="E208" s="10" t="s">
        <v>2206</v>
      </c>
      <c r="F208" s="10" t="str">
        <f>MID(Table1[[#This Row],[Reference_Name]], 4, LEN(Table1[[#This Row],[Reference_Name]])-3)</f>
        <v>Dose2_GV2_y5_retro</v>
      </c>
      <c r="G208" s="10" t="s">
        <v>2165</v>
      </c>
      <c r="H208" s="10" t="s">
        <v>3996</v>
      </c>
      <c r="I208" s="10">
        <f>Db_Dose2_GV2_y5_retro</f>
        <v>4444.4000000000005</v>
      </c>
    </row>
    <row r="209" spans="4:10" ht="12" customHeight="1" x14ac:dyDescent="0.2">
      <c r="D209" s="10" t="str">
        <f t="shared" si="3"/>
        <v>Db_204</v>
      </c>
      <c r="E209" s="10" t="s">
        <v>2455</v>
      </c>
      <c r="F209" s="10" t="str">
        <f>MID(Table1[[#This Row],[Reference_Name]], 4, LEN(Table1[[#This Row],[Reference_Name]])-3)</f>
        <v>MicroCtotalF_FC</v>
      </c>
      <c r="G209" s="10" t="s">
        <v>2938</v>
      </c>
      <c r="H209" t="s">
        <v>2939</v>
      </c>
      <c r="I209" s="10">
        <f>Db_MicroCtotalF_FC</f>
        <v>0</v>
      </c>
      <c r="J209" s="10"/>
    </row>
    <row r="210" spans="4:10" ht="12" customHeight="1" x14ac:dyDescent="0.2">
      <c r="D210" s="10" t="str">
        <f t="shared" si="3"/>
        <v>Db_205</v>
      </c>
      <c r="E210" s="10" t="s">
        <v>2456</v>
      </c>
      <c r="F210" s="10" t="str">
        <f>MID(Table1[[#This Row],[Reference_Name]], 4, LEN(Table1[[#This Row],[Reference_Name]])-3)</f>
        <v>MicroCy1F_FC</v>
      </c>
      <c r="G210" s="10" t="s">
        <v>2940</v>
      </c>
      <c r="H210" s="10" t="s">
        <v>2941</v>
      </c>
      <c r="I210" s="10">
        <f>Db_MicroCy1F_FC</f>
        <v>0</v>
      </c>
      <c r="J210" s="10"/>
    </row>
    <row r="211" spans="4:10" ht="12" customHeight="1" x14ac:dyDescent="0.2">
      <c r="D211" s="10" t="str">
        <f t="shared" si="3"/>
        <v>Db_206</v>
      </c>
      <c r="E211" s="10" t="s">
        <v>2457</v>
      </c>
      <c r="F211" s="10" t="str">
        <f>MID(Table1[[#This Row],[Reference_Name]], 4, LEN(Table1[[#This Row],[Reference_Name]])-3)</f>
        <v>MicroCy2F_FC</v>
      </c>
      <c r="G211" s="10" t="s">
        <v>2942</v>
      </c>
      <c r="H211" s="10" t="s">
        <v>2943</v>
      </c>
      <c r="I211" s="10">
        <f>Db_MicroCy2F_FC</f>
        <v>0</v>
      </c>
      <c r="J211" s="10"/>
    </row>
    <row r="212" spans="4:10" ht="12" customHeight="1" x14ac:dyDescent="0.2">
      <c r="D212" s="10" t="str">
        <f t="shared" si="3"/>
        <v>Db_207</v>
      </c>
      <c r="E212" s="10" t="s">
        <v>2458</v>
      </c>
      <c r="F212" s="10" t="str">
        <f>MID(Table1[[#This Row],[Reference_Name]], 4, LEN(Table1[[#This Row],[Reference_Name]])-3)</f>
        <v>MicroCy3F_FC</v>
      </c>
      <c r="G212" s="10" t="s">
        <v>2944</v>
      </c>
      <c r="H212" s="10" t="s">
        <v>2945</v>
      </c>
      <c r="I212" s="10">
        <f>Db_MicroCy3F_FC</f>
        <v>0</v>
      </c>
      <c r="J212" s="10"/>
    </row>
    <row r="213" spans="4:10" ht="12" customHeight="1" x14ac:dyDescent="0.2">
      <c r="D213" s="10" t="str">
        <f t="shared" si="3"/>
        <v>Db_208</v>
      </c>
      <c r="E213" s="10" t="s">
        <v>2459</v>
      </c>
      <c r="F213" s="10" t="str">
        <f>MID(Table1[[#This Row],[Reference_Name]], 4, LEN(Table1[[#This Row],[Reference_Name]])-3)</f>
        <v>MicroCy4F_FC</v>
      </c>
      <c r="G213" s="10" t="s">
        <v>2946</v>
      </c>
      <c r="H213" s="10" t="s">
        <v>2947</v>
      </c>
      <c r="I213" s="10">
        <f>Db_MicroCy4F_FC</f>
        <v>0</v>
      </c>
      <c r="J213" s="10"/>
    </row>
    <row r="214" spans="4:10" ht="12" customHeight="1" x14ac:dyDescent="0.2">
      <c r="D214" s="10" t="str">
        <f t="shared" si="3"/>
        <v>Db_209</v>
      </c>
      <c r="E214" s="10" t="s">
        <v>2460</v>
      </c>
      <c r="F214" s="10" t="str">
        <f>MID(Table1[[#This Row],[Reference_Name]], 4, LEN(Table1[[#This Row],[Reference_Name]])-3)</f>
        <v>MicroCy5F_FC</v>
      </c>
      <c r="G214" s="10" t="s">
        <v>2948</v>
      </c>
      <c r="H214" s="10" t="s">
        <v>2949</v>
      </c>
      <c r="I214" s="10">
        <f>Db_MicroCy5F_FC</f>
        <v>0</v>
      </c>
      <c r="J214" s="10"/>
    </row>
    <row r="215" spans="4:10" ht="12" customHeight="1" x14ac:dyDescent="0.2">
      <c r="D215" s="10" t="str">
        <f t="shared" si="3"/>
        <v>Db_210</v>
      </c>
      <c r="E215" s="10" t="s">
        <v>2461</v>
      </c>
      <c r="F215" s="10" t="str">
        <f>MID(Table1[[#This Row],[Reference_Name]], 4, LEN(Table1[[#This Row],[Reference_Name]])-3)</f>
        <v>TrainCtotalF_FC</v>
      </c>
      <c r="G215" s="10" t="s">
        <v>2950</v>
      </c>
      <c r="H215" t="s">
        <v>2951</v>
      </c>
      <c r="I215" s="10">
        <f>Db_TrainCtotalF_FC</f>
        <v>0</v>
      </c>
      <c r="J215" s="10"/>
    </row>
    <row r="216" spans="4:10" ht="12" customHeight="1" x14ac:dyDescent="0.2">
      <c r="D216" s="10" t="str">
        <f t="shared" si="3"/>
        <v>Db_211</v>
      </c>
      <c r="E216" s="10" t="s">
        <v>2462</v>
      </c>
      <c r="F216" s="10" t="str">
        <f>MID(Table1[[#This Row],[Reference_Name]], 4, LEN(Table1[[#This Row],[Reference_Name]])-3)</f>
        <v>TrainCy1F_FC</v>
      </c>
      <c r="G216" s="10" t="s">
        <v>2952</v>
      </c>
      <c r="H216" s="10" t="s">
        <v>2953</v>
      </c>
      <c r="I216" s="10">
        <f>Db_TrainCy1F_FC</f>
        <v>0</v>
      </c>
      <c r="J216" s="10"/>
    </row>
    <row r="217" spans="4:10" ht="12" customHeight="1" x14ac:dyDescent="0.2">
      <c r="D217" s="10" t="str">
        <f t="shared" si="3"/>
        <v>Db_212</v>
      </c>
      <c r="E217" s="10" t="s">
        <v>2463</v>
      </c>
      <c r="F217" s="10" t="str">
        <f>MID(Table1[[#This Row],[Reference_Name]], 4, LEN(Table1[[#This Row],[Reference_Name]])-3)</f>
        <v>TrainCy2F_FC</v>
      </c>
      <c r="G217" s="10" t="s">
        <v>2954</v>
      </c>
      <c r="H217" s="10" t="s">
        <v>2955</v>
      </c>
      <c r="I217" s="10">
        <f>Db_TrainCy2F_FC</f>
        <v>0</v>
      </c>
      <c r="J217" s="10"/>
    </row>
    <row r="218" spans="4:10" ht="12" customHeight="1" x14ac:dyDescent="0.2">
      <c r="D218" s="10" t="str">
        <f t="shared" si="3"/>
        <v>Db_213</v>
      </c>
      <c r="E218" s="10" t="s">
        <v>2464</v>
      </c>
      <c r="F218" s="10" t="str">
        <f>MID(Table1[[#This Row],[Reference_Name]], 4, LEN(Table1[[#This Row],[Reference_Name]])-3)</f>
        <v>TrainCy3F_FC</v>
      </c>
      <c r="G218" s="10" t="s">
        <v>2956</v>
      </c>
      <c r="H218" s="10" t="s">
        <v>2957</v>
      </c>
      <c r="I218" s="10">
        <f>Db_TrainCy3F_FC</f>
        <v>0</v>
      </c>
      <c r="J218" s="10"/>
    </row>
    <row r="219" spans="4:10" ht="12" customHeight="1" x14ac:dyDescent="0.2">
      <c r="D219" s="10" t="str">
        <f t="shared" si="3"/>
        <v>Db_214</v>
      </c>
      <c r="E219" s="10" t="s">
        <v>2465</v>
      </c>
      <c r="F219" s="10" t="str">
        <f>MID(Table1[[#This Row],[Reference_Name]], 4, LEN(Table1[[#This Row],[Reference_Name]])-3)</f>
        <v>TrainCy4F_FC</v>
      </c>
      <c r="G219" s="10" t="s">
        <v>2958</v>
      </c>
      <c r="H219" s="10" t="s">
        <v>2959</v>
      </c>
      <c r="I219" s="10">
        <f>Db_TrainCy4F_FC</f>
        <v>0</v>
      </c>
      <c r="J219" s="10"/>
    </row>
    <row r="220" spans="4:10" ht="12" customHeight="1" x14ac:dyDescent="0.2">
      <c r="D220" s="10" t="str">
        <f t="shared" si="3"/>
        <v>Db_215</v>
      </c>
      <c r="E220" s="10" t="s">
        <v>2466</v>
      </c>
      <c r="F220" s="10" t="str">
        <f>MID(Table1[[#This Row],[Reference_Name]], 4, LEN(Table1[[#This Row],[Reference_Name]])-3)</f>
        <v>TrainCy5F_FC</v>
      </c>
      <c r="G220" s="10" t="s">
        <v>2960</v>
      </c>
      <c r="H220" s="10" t="s">
        <v>2961</v>
      </c>
      <c r="I220" s="10">
        <f>Db_TrainCy5F_FC</f>
        <v>0</v>
      </c>
      <c r="J220" s="10"/>
    </row>
    <row r="221" spans="4:10" ht="12" customHeight="1" x14ac:dyDescent="0.2">
      <c r="D221" s="10" t="str">
        <f t="shared" si="3"/>
        <v>Db_216</v>
      </c>
      <c r="E221" s="10" t="s">
        <v>2467</v>
      </c>
      <c r="F221" s="10" t="str">
        <f>MID(Table1[[#This Row],[Reference_Name]], 4, LEN(Table1[[#This Row],[Reference_Name]])-3)</f>
        <v>SenCtotalF_FC</v>
      </c>
      <c r="G221" s="10" t="s">
        <v>2962</v>
      </c>
      <c r="H221" t="s">
        <v>2963</v>
      </c>
      <c r="I221" s="10">
        <f>Db_SenCtotalF_FC</f>
        <v>0</v>
      </c>
      <c r="J221" s="10"/>
    </row>
    <row r="222" spans="4:10" ht="12" customHeight="1" x14ac:dyDescent="0.2">
      <c r="D222" s="10" t="str">
        <f t="shared" si="3"/>
        <v>Db_217</v>
      </c>
      <c r="E222" s="10" t="s">
        <v>2468</v>
      </c>
      <c r="F222" s="10" t="str">
        <f>MID(Table1[[#This Row],[Reference_Name]], 4, LEN(Table1[[#This Row],[Reference_Name]])-3)</f>
        <v>SenCy1F_FC</v>
      </c>
      <c r="G222" s="10" t="s">
        <v>2964</v>
      </c>
      <c r="H222" s="10" t="s">
        <v>2965</v>
      </c>
      <c r="I222" s="10">
        <f>Db_SenCy1F_FC</f>
        <v>0</v>
      </c>
      <c r="J222" s="10"/>
    </row>
    <row r="223" spans="4:10" ht="12" customHeight="1" x14ac:dyDescent="0.2">
      <c r="D223" s="10" t="str">
        <f t="shared" si="3"/>
        <v>Db_218</v>
      </c>
      <c r="E223" s="10" t="s">
        <v>2469</v>
      </c>
      <c r="F223" s="10" t="str">
        <f>MID(Table1[[#This Row],[Reference_Name]], 4, LEN(Table1[[#This Row],[Reference_Name]])-3)</f>
        <v>SenCy2F_FC</v>
      </c>
      <c r="G223" s="10" t="s">
        <v>2966</v>
      </c>
      <c r="H223" s="10" t="s">
        <v>2967</v>
      </c>
      <c r="I223" s="10">
        <f>Db_SenCy2F_FC</f>
        <v>0</v>
      </c>
      <c r="J223" s="10"/>
    </row>
    <row r="224" spans="4:10" ht="12" customHeight="1" x14ac:dyDescent="0.2">
      <c r="D224" s="10" t="str">
        <f t="shared" si="3"/>
        <v>Db_219</v>
      </c>
      <c r="E224" s="10" t="s">
        <v>2470</v>
      </c>
      <c r="F224" s="10" t="str">
        <f>MID(Table1[[#This Row],[Reference_Name]], 4, LEN(Table1[[#This Row],[Reference_Name]])-3)</f>
        <v>SenCy3F_FC</v>
      </c>
      <c r="G224" s="10" t="s">
        <v>2968</v>
      </c>
      <c r="H224" s="10" t="s">
        <v>2969</v>
      </c>
      <c r="I224" s="10">
        <f>Db_SenCy3F_FC</f>
        <v>0</v>
      </c>
      <c r="J224" s="10"/>
    </row>
    <row r="225" spans="4:10" ht="12" customHeight="1" x14ac:dyDescent="0.2">
      <c r="D225" s="10" t="str">
        <f t="shared" si="3"/>
        <v>Db_220</v>
      </c>
      <c r="E225" s="10" t="s">
        <v>2471</v>
      </c>
      <c r="F225" s="10" t="str">
        <f>MID(Table1[[#This Row],[Reference_Name]], 4, LEN(Table1[[#This Row],[Reference_Name]])-3)</f>
        <v>SenCy4F_FC</v>
      </c>
      <c r="G225" s="10" t="s">
        <v>2970</v>
      </c>
      <c r="H225" s="10" t="s">
        <v>2971</v>
      </c>
      <c r="I225" s="10">
        <f>Db_SenCy4F_FC</f>
        <v>0</v>
      </c>
      <c r="J225" s="10"/>
    </row>
    <row r="226" spans="4:10" ht="12" customHeight="1" x14ac:dyDescent="0.2">
      <c r="D226" s="10" t="str">
        <f t="shared" si="3"/>
        <v>Db_221</v>
      </c>
      <c r="E226" s="10" t="s">
        <v>2472</v>
      </c>
      <c r="F226" s="10" t="str">
        <f>MID(Table1[[#This Row],[Reference_Name]], 4, LEN(Table1[[#This Row],[Reference_Name]])-3)</f>
        <v>SenCy5F_FC</v>
      </c>
      <c r="G226" s="10" t="s">
        <v>2972</v>
      </c>
      <c r="H226" s="10" t="s">
        <v>2973</v>
      </c>
      <c r="I226" s="10">
        <f>Db_SenCy5F_FC</f>
        <v>0</v>
      </c>
      <c r="J226" s="10"/>
    </row>
    <row r="227" spans="4:10" ht="12" customHeight="1" x14ac:dyDescent="0.2">
      <c r="D227" s="10" t="str">
        <f t="shared" si="3"/>
        <v>Db_222</v>
      </c>
      <c r="E227" s="10" t="s">
        <v>2473</v>
      </c>
      <c r="F227" s="10" t="str">
        <f>MID(Table1[[#This Row],[Reference_Name]], 4, LEN(Table1[[#This Row],[Reference_Name]])-3)</f>
        <v>SocCtotalF_FC</v>
      </c>
      <c r="G227" s="10" t="s">
        <v>2974</v>
      </c>
      <c r="H227" t="s">
        <v>2975</v>
      </c>
      <c r="I227" s="10">
        <f>Db_SocCtotalF_FC</f>
        <v>0</v>
      </c>
      <c r="J227" s="10"/>
    </row>
    <row r="228" spans="4:10" ht="12" customHeight="1" x14ac:dyDescent="0.2">
      <c r="D228" s="10" t="str">
        <f t="shared" si="3"/>
        <v>Db_223</v>
      </c>
      <c r="E228" s="10" t="s">
        <v>2474</v>
      </c>
      <c r="F228" s="10" t="str">
        <f>MID(Table1[[#This Row],[Reference_Name]], 4, LEN(Table1[[#This Row],[Reference_Name]])-3)</f>
        <v>SocCy1F_FC</v>
      </c>
      <c r="G228" s="10" t="s">
        <v>2976</v>
      </c>
      <c r="H228" s="10" t="s">
        <v>2977</v>
      </c>
      <c r="I228" s="10">
        <f>Db_SocCy1F_FC</f>
        <v>0</v>
      </c>
      <c r="J228" s="10"/>
    </row>
    <row r="229" spans="4:10" ht="12" customHeight="1" x14ac:dyDescent="0.2">
      <c r="D229" s="10" t="str">
        <f t="shared" si="3"/>
        <v>Db_224</v>
      </c>
      <c r="E229" s="10" t="s">
        <v>2475</v>
      </c>
      <c r="F229" s="10" t="str">
        <f>MID(Table1[[#This Row],[Reference_Name]], 4, LEN(Table1[[#This Row],[Reference_Name]])-3)</f>
        <v>SocCy2F_FC</v>
      </c>
      <c r="G229" s="10" t="s">
        <v>2978</v>
      </c>
      <c r="H229" s="10" t="s">
        <v>2979</v>
      </c>
      <c r="I229" s="10">
        <f>Db_SocCy2F_FC</f>
        <v>0</v>
      </c>
      <c r="J229" s="10"/>
    </row>
    <row r="230" spans="4:10" ht="12" customHeight="1" x14ac:dyDescent="0.2">
      <c r="D230" s="10" t="str">
        <f t="shared" si="3"/>
        <v>Db_225</v>
      </c>
      <c r="E230" s="10" t="s">
        <v>2476</v>
      </c>
      <c r="F230" s="10" t="str">
        <f>MID(Table1[[#This Row],[Reference_Name]], 4, LEN(Table1[[#This Row],[Reference_Name]])-3)</f>
        <v>SocCy3F_FC</v>
      </c>
      <c r="G230" s="10" t="s">
        <v>2980</v>
      </c>
      <c r="H230" s="10" t="s">
        <v>2981</v>
      </c>
      <c r="I230" s="10">
        <f>Db_SocCy3F_FC</f>
        <v>0</v>
      </c>
      <c r="J230" s="10"/>
    </row>
    <row r="231" spans="4:10" ht="12" customHeight="1" x14ac:dyDescent="0.2">
      <c r="D231" s="10" t="str">
        <f t="shared" si="3"/>
        <v>Db_226</v>
      </c>
      <c r="E231" s="10" t="s">
        <v>2477</v>
      </c>
      <c r="F231" s="10" t="str">
        <f>MID(Table1[[#This Row],[Reference_Name]], 4, LEN(Table1[[#This Row],[Reference_Name]])-3)</f>
        <v>SocCy4F_FC</v>
      </c>
      <c r="G231" s="10" t="s">
        <v>2982</v>
      </c>
      <c r="H231" s="10" t="s">
        <v>2983</v>
      </c>
      <c r="I231" s="10">
        <f>Db_SocCy4F_FC</f>
        <v>0</v>
      </c>
      <c r="J231" s="10"/>
    </row>
    <row r="232" spans="4:10" ht="12" customHeight="1" x14ac:dyDescent="0.2">
      <c r="D232" s="10" t="str">
        <f t="shared" si="3"/>
        <v>Db_227</v>
      </c>
      <c r="E232" s="10" t="s">
        <v>2478</v>
      </c>
      <c r="F232" s="10" t="str">
        <f>MID(Table1[[#This Row],[Reference_Name]], 4, LEN(Table1[[#This Row],[Reference_Name]])-3)</f>
        <v>SocCy5F_FC</v>
      </c>
      <c r="G232" s="10" t="s">
        <v>2984</v>
      </c>
      <c r="H232" s="10" t="s">
        <v>2985</v>
      </c>
      <c r="I232" s="10">
        <f>Db_SocCy5F_FC</f>
        <v>0</v>
      </c>
      <c r="J232" s="10"/>
    </row>
    <row r="233" spans="4:10" ht="12" customHeight="1" x14ac:dyDescent="0.2">
      <c r="D233" s="10" t="str">
        <f t="shared" si="3"/>
        <v>Db_228</v>
      </c>
      <c r="E233" s="10" t="s">
        <v>2479</v>
      </c>
      <c r="F233" s="10" t="str">
        <f>MID(Table1[[#This Row],[Reference_Name]], 4, LEN(Table1[[#This Row],[Reference_Name]])-3)</f>
        <v>VacCtotalF_FC</v>
      </c>
      <c r="G233" s="10" t="s">
        <v>2986</v>
      </c>
      <c r="H233" t="s">
        <v>2987</v>
      </c>
      <c r="I233" s="10">
        <f>Db_VacCtotalF_FC</f>
        <v>0</v>
      </c>
      <c r="J233" s="10"/>
    </row>
    <row r="234" spans="4:10" ht="12" customHeight="1" x14ac:dyDescent="0.2">
      <c r="D234" s="10" t="str">
        <f t="shared" si="3"/>
        <v>Db_229</v>
      </c>
      <c r="E234" s="10" t="s">
        <v>2480</v>
      </c>
      <c r="F234" s="10" t="str">
        <f>MID(Table1[[#This Row],[Reference_Name]], 4, LEN(Table1[[#This Row],[Reference_Name]])-3)</f>
        <v>VacCy1F_FC</v>
      </c>
      <c r="G234" s="10" t="s">
        <v>2988</v>
      </c>
      <c r="H234" s="10" t="s">
        <v>2989</v>
      </c>
      <c r="I234" s="10">
        <f>Db_VacCy1F_FC</f>
        <v>0</v>
      </c>
      <c r="J234" s="10"/>
    </row>
    <row r="235" spans="4:10" ht="12" customHeight="1" x14ac:dyDescent="0.2">
      <c r="D235" s="10" t="str">
        <f t="shared" si="3"/>
        <v>Db_230</v>
      </c>
      <c r="E235" s="10" t="s">
        <v>2481</v>
      </c>
      <c r="F235" s="10" t="str">
        <f>MID(Table1[[#This Row],[Reference_Name]], 4, LEN(Table1[[#This Row],[Reference_Name]])-3)</f>
        <v>VacCy2F_FC</v>
      </c>
      <c r="G235" s="10" t="s">
        <v>2990</v>
      </c>
      <c r="H235" s="10" t="s">
        <v>2991</v>
      </c>
      <c r="I235" s="10">
        <f>Db_VacCy2F_FC</f>
        <v>0</v>
      </c>
      <c r="J235" s="10"/>
    </row>
    <row r="236" spans="4:10" ht="12" customHeight="1" x14ac:dyDescent="0.2">
      <c r="D236" s="10" t="str">
        <f t="shared" si="3"/>
        <v>Db_231</v>
      </c>
      <c r="E236" s="10" t="s">
        <v>2482</v>
      </c>
      <c r="F236" s="10" t="str">
        <f>MID(Table1[[#This Row],[Reference_Name]], 4, LEN(Table1[[#This Row],[Reference_Name]])-3)</f>
        <v>VacCy3F_FC</v>
      </c>
      <c r="G236" s="10" t="s">
        <v>2992</v>
      </c>
      <c r="H236" s="10" t="s">
        <v>2993</v>
      </c>
      <c r="I236" s="10">
        <f>Db_VacCy3F_FC</f>
        <v>0</v>
      </c>
      <c r="J236" s="10"/>
    </row>
    <row r="237" spans="4:10" ht="12" customHeight="1" x14ac:dyDescent="0.2">
      <c r="D237" s="10" t="str">
        <f t="shared" si="3"/>
        <v>Db_232</v>
      </c>
      <c r="E237" s="10" t="s">
        <v>2483</v>
      </c>
      <c r="F237" s="10" t="str">
        <f>MID(Table1[[#This Row],[Reference_Name]], 4, LEN(Table1[[#This Row],[Reference_Name]])-3)</f>
        <v>VacCy4F_FC</v>
      </c>
      <c r="G237" s="10" t="s">
        <v>2994</v>
      </c>
      <c r="H237" s="10" t="s">
        <v>2995</v>
      </c>
      <c r="I237" s="10">
        <f>Db_VacCy4F_FC</f>
        <v>0</v>
      </c>
      <c r="J237" s="10"/>
    </row>
    <row r="238" spans="4:10" ht="12" customHeight="1" x14ac:dyDescent="0.2">
      <c r="D238" s="10" t="str">
        <f t="shared" si="3"/>
        <v>Db_233</v>
      </c>
      <c r="E238" s="10" t="s">
        <v>2484</v>
      </c>
      <c r="F238" s="10" t="str">
        <f>MID(Table1[[#This Row],[Reference_Name]], 4, LEN(Table1[[#This Row],[Reference_Name]])-3)</f>
        <v>VacCy5F_FC</v>
      </c>
      <c r="G238" s="10" t="s">
        <v>2996</v>
      </c>
      <c r="H238" s="10" t="s">
        <v>2997</v>
      </c>
      <c r="I238" s="10">
        <f>Db_VacCy5F_FC</f>
        <v>0</v>
      </c>
      <c r="J238" s="10"/>
    </row>
    <row r="239" spans="4:10" ht="12" customHeight="1" x14ac:dyDescent="0.2">
      <c r="D239" s="10" t="str">
        <f t="shared" si="3"/>
        <v>Db_234</v>
      </c>
      <c r="E239" s="10" t="s">
        <v>2485</v>
      </c>
      <c r="F239" s="10" t="str">
        <f>MID(Table1[[#This Row],[Reference_Name]], 4, LEN(Table1[[#This Row],[Reference_Name]])-3)</f>
        <v>SerCtotalF_FC</v>
      </c>
      <c r="G239" s="10" t="s">
        <v>2998</v>
      </c>
      <c r="H239" t="s">
        <v>2999</v>
      </c>
      <c r="I239" s="10">
        <f>Db_SerCtotalF_FC</f>
        <v>0</v>
      </c>
      <c r="J239" s="10"/>
    </row>
    <row r="240" spans="4:10" ht="12" customHeight="1" x14ac:dyDescent="0.2">
      <c r="D240" s="10" t="str">
        <f t="shared" si="3"/>
        <v>Db_235</v>
      </c>
      <c r="E240" s="10" t="s">
        <v>2486</v>
      </c>
      <c r="F240" s="10" t="str">
        <f>MID(Table1[[#This Row],[Reference_Name]], 4, LEN(Table1[[#This Row],[Reference_Name]])-3)</f>
        <v>SerCy1F_FC</v>
      </c>
      <c r="G240" s="10" t="s">
        <v>3000</v>
      </c>
      <c r="H240" s="10" t="s">
        <v>3001</v>
      </c>
      <c r="I240" s="10">
        <f>Db_SerCy1F_FC</f>
        <v>0</v>
      </c>
      <c r="J240" s="10"/>
    </row>
    <row r="241" spans="4:10" ht="12" customHeight="1" x14ac:dyDescent="0.2">
      <c r="D241" s="10" t="str">
        <f t="shared" si="3"/>
        <v>Db_236</v>
      </c>
      <c r="E241" s="10" t="s">
        <v>2487</v>
      </c>
      <c r="F241" s="10" t="str">
        <f>MID(Table1[[#This Row],[Reference_Name]], 4, LEN(Table1[[#This Row],[Reference_Name]])-3)</f>
        <v>SerCy2F_FC</v>
      </c>
      <c r="G241" s="10" t="s">
        <v>3002</v>
      </c>
      <c r="H241" s="10" t="s">
        <v>3003</v>
      </c>
      <c r="I241" s="10">
        <f>Db_SerCy2F_FC</f>
        <v>0</v>
      </c>
      <c r="J241" s="10"/>
    </row>
    <row r="242" spans="4:10" ht="12" customHeight="1" x14ac:dyDescent="0.2">
      <c r="D242" s="10" t="str">
        <f t="shared" si="3"/>
        <v>Db_237</v>
      </c>
      <c r="E242" s="10" t="s">
        <v>2488</v>
      </c>
      <c r="F242" s="10" t="str">
        <f>MID(Table1[[#This Row],[Reference_Name]], 4, LEN(Table1[[#This Row],[Reference_Name]])-3)</f>
        <v>SerCy3F_FC</v>
      </c>
      <c r="G242" s="10" t="s">
        <v>3004</v>
      </c>
      <c r="H242" s="10" t="s">
        <v>3005</v>
      </c>
      <c r="I242" s="10">
        <f>Db_SerCy3F_FC</f>
        <v>0</v>
      </c>
      <c r="J242" s="10"/>
    </row>
    <row r="243" spans="4:10" ht="12" customHeight="1" x14ac:dyDescent="0.2">
      <c r="D243" s="10" t="str">
        <f t="shared" si="3"/>
        <v>Db_238</v>
      </c>
      <c r="E243" s="10" t="s">
        <v>2489</v>
      </c>
      <c r="F243" s="10" t="str">
        <f>MID(Table1[[#This Row],[Reference_Name]], 4, LEN(Table1[[#This Row],[Reference_Name]])-3)</f>
        <v>SerCy4F_FC</v>
      </c>
      <c r="G243" s="10" t="s">
        <v>3006</v>
      </c>
      <c r="H243" s="10" t="s">
        <v>3007</v>
      </c>
      <c r="I243" s="10">
        <f>Db_SerCy4F_FC</f>
        <v>0</v>
      </c>
      <c r="J243" s="10"/>
    </row>
    <row r="244" spans="4:10" ht="12" customHeight="1" x14ac:dyDescent="0.2">
      <c r="D244" s="10" t="str">
        <f t="shared" si="3"/>
        <v>Db_239</v>
      </c>
      <c r="E244" s="10" t="s">
        <v>2490</v>
      </c>
      <c r="F244" s="10" t="str">
        <f>MID(Table1[[#This Row],[Reference_Name]], 4, LEN(Table1[[#This Row],[Reference_Name]])-3)</f>
        <v>SerCy5F_FC</v>
      </c>
      <c r="G244" s="10" t="s">
        <v>3008</v>
      </c>
      <c r="H244" s="10" t="s">
        <v>3009</v>
      </c>
      <c r="I244" s="10">
        <f>Db_SerCy5F_FC</f>
        <v>0</v>
      </c>
      <c r="J244" s="10"/>
    </row>
    <row r="245" spans="4:10" s="10" customFormat="1" ht="12" customHeight="1" x14ac:dyDescent="0.2">
      <c r="D245" s="10" t="str">
        <f t="shared" si="3"/>
        <v>Db_240</v>
      </c>
      <c r="E245" s="10" t="s">
        <v>2491</v>
      </c>
      <c r="F245" s="10" t="str">
        <f>MID(Table1[[#This Row],[Reference_Name]], 4, LEN(Table1[[#This Row],[Reference_Name]])-3)</f>
        <v>SerC_SV1_totalF_FC</v>
      </c>
      <c r="G245" s="10" t="s">
        <v>3010</v>
      </c>
      <c r="H245" s="10" t="s">
        <v>3011</v>
      </c>
      <c r="I245" s="10">
        <f>Db_SerC_SV1_totalF_FC</f>
        <v>0</v>
      </c>
    </row>
    <row r="246" spans="4:10" s="10" customFormat="1" ht="12" customHeight="1" x14ac:dyDescent="0.2">
      <c r="D246" s="10" t="str">
        <f t="shared" si="3"/>
        <v>Db_241</v>
      </c>
      <c r="E246" s="10" t="s">
        <v>2492</v>
      </c>
      <c r="F246" s="10" t="str">
        <f>MID(Table1[[#This Row],[Reference_Name]], 4, LEN(Table1[[#This Row],[Reference_Name]])-3)</f>
        <v>SerC_SV1_y1F_FC</v>
      </c>
      <c r="G246" s="10" t="s">
        <v>3012</v>
      </c>
      <c r="H246" s="10" t="s">
        <v>3013</v>
      </c>
      <c r="I246" s="10">
        <f>Db_SerC_SV1_y1F_FC</f>
        <v>0</v>
      </c>
    </row>
    <row r="247" spans="4:10" s="10" customFormat="1" ht="12" customHeight="1" x14ac:dyDescent="0.2">
      <c r="D247" s="10" t="str">
        <f t="shared" si="3"/>
        <v>Db_242</v>
      </c>
      <c r="E247" s="10" t="s">
        <v>2493</v>
      </c>
      <c r="F247" s="10" t="str">
        <f>MID(Table1[[#This Row],[Reference_Name]], 4, LEN(Table1[[#This Row],[Reference_Name]])-3)</f>
        <v>SerC_SV1_y2F_FC</v>
      </c>
      <c r="G247" s="10" t="s">
        <v>3014</v>
      </c>
      <c r="H247" s="10" t="s">
        <v>3015</v>
      </c>
      <c r="I247" s="10">
        <f>Db_SerC_SV1_y2F_FC</f>
        <v>0</v>
      </c>
    </row>
    <row r="248" spans="4:10" s="10" customFormat="1" ht="12" customHeight="1" x14ac:dyDescent="0.2">
      <c r="D248" s="10" t="str">
        <f t="shared" si="3"/>
        <v>Db_243</v>
      </c>
      <c r="E248" s="10" t="s">
        <v>2494</v>
      </c>
      <c r="F248" s="10" t="str">
        <f>MID(Table1[[#This Row],[Reference_Name]], 4, LEN(Table1[[#This Row],[Reference_Name]])-3)</f>
        <v>SerC_SV1_y3F_FC</v>
      </c>
      <c r="G248" s="10" t="s">
        <v>3016</v>
      </c>
      <c r="H248" s="10" t="s">
        <v>3017</v>
      </c>
      <c r="I248" s="10">
        <f>Db_SerC_SV1_y3F_FC</f>
        <v>0</v>
      </c>
    </row>
    <row r="249" spans="4:10" s="10" customFormat="1" ht="12" customHeight="1" x14ac:dyDescent="0.2">
      <c r="D249" s="10" t="str">
        <f t="shared" si="3"/>
        <v>Db_244</v>
      </c>
      <c r="E249" s="10" t="s">
        <v>2495</v>
      </c>
      <c r="F249" s="10" t="str">
        <f>MID(Table1[[#This Row],[Reference_Name]], 4, LEN(Table1[[#This Row],[Reference_Name]])-3)</f>
        <v>SerC_SV1_y4F_FC</v>
      </c>
      <c r="G249" s="10" t="s">
        <v>3018</v>
      </c>
      <c r="H249" s="10" t="s">
        <v>3019</v>
      </c>
      <c r="I249" s="10">
        <f>Db_SerC_SV1_y4F_FC</f>
        <v>0</v>
      </c>
    </row>
    <row r="250" spans="4:10" s="10" customFormat="1" ht="12" customHeight="1" x14ac:dyDescent="0.2">
      <c r="D250" s="10" t="str">
        <f t="shared" si="3"/>
        <v>Db_245</v>
      </c>
      <c r="E250" s="10" t="s">
        <v>2496</v>
      </c>
      <c r="F250" s="10" t="str">
        <f>MID(Table1[[#This Row],[Reference_Name]], 4, LEN(Table1[[#This Row],[Reference_Name]])-3)</f>
        <v>SerC_SV1_y5F_FC</v>
      </c>
      <c r="G250" s="10" t="s">
        <v>3020</v>
      </c>
      <c r="H250" s="10" t="s">
        <v>3021</v>
      </c>
      <c r="I250" s="10">
        <f>Db_SerC_SV1_y5F_FC</f>
        <v>0</v>
      </c>
    </row>
    <row r="251" spans="4:10" s="10" customFormat="1" ht="12" customHeight="1" x14ac:dyDescent="0.2">
      <c r="D251" s="10" t="str">
        <f t="shared" si="3"/>
        <v>Db_246</v>
      </c>
      <c r="E251" s="10" t="s">
        <v>2497</v>
      </c>
      <c r="F251" s="10" t="str">
        <f>MID(Table1[[#This Row],[Reference_Name]], 4, LEN(Table1[[#This Row],[Reference_Name]])-3)</f>
        <v>SerC_SV2_totalF_FC</v>
      </c>
      <c r="G251" s="10" t="s">
        <v>3022</v>
      </c>
      <c r="H251" s="10" t="s">
        <v>3023</v>
      </c>
      <c r="I251" s="10">
        <f>Db_SerC_SV2_totalF_FC</f>
        <v>0</v>
      </c>
    </row>
    <row r="252" spans="4:10" s="10" customFormat="1" ht="12" customHeight="1" x14ac:dyDescent="0.2">
      <c r="D252" s="10" t="str">
        <f t="shared" si="3"/>
        <v>Db_247</v>
      </c>
      <c r="E252" s="10" t="s">
        <v>2498</v>
      </c>
      <c r="F252" s="10" t="str">
        <f>MID(Table1[[#This Row],[Reference_Name]], 4, LEN(Table1[[#This Row],[Reference_Name]])-3)</f>
        <v>SerC_SV2_y1F_FC</v>
      </c>
      <c r="G252" s="10" t="s">
        <v>3024</v>
      </c>
      <c r="H252" s="10" t="s">
        <v>3025</v>
      </c>
      <c r="I252" s="10">
        <f>Db_SerC_SV2_y1F_FC</f>
        <v>0</v>
      </c>
    </row>
    <row r="253" spans="4:10" s="10" customFormat="1" ht="12" customHeight="1" x14ac:dyDescent="0.2">
      <c r="D253" s="10" t="str">
        <f t="shared" si="3"/>
        <v>Db_248</v>
      </c>
      <c r="E253" s="10" t="s">
        <v>2499</v>
      </c>
      <c r="F253" s="10" t="str">
        <f>MID(Table1[[#This Row],[Reference_Name]], 4, LEN(Table1[[#This Row],[Reference_Name]])-3)</f>
        <v>SerC_SV2_y2F_FC</v>
      </c>
      <c r="G253" s="10" t="s">
        <v>3026</v>
      </c>
      <c r="H253" s="10" t="s">
        <v>3027</v>
      </c>
      <c r="I253" s="10">
        <f>Db_SerC_SV2_y2F_FC</f>
        <v>0</v>
      </c>
    </row>
    <row r="254" spans="4:10" s="10" customFormat="1" ht="12" customHeight="1" x14ac:dyDescent="0.2">
      <c r="D254" s="10" t="str">
        <f t="shared" si="3"/>
        <v>Db_249</v>
      </c>
      <c r="E254" s="10" t="s">
        <v>2500</v>
      </c>
      <c r="F254" s="10" t="str">
        <f>MID(Table1[[#This Row],[Reference_Name]], 4, LEN(Table1[[#This Row],[Reference_Name]])-3)</f>
        <v>SerC_SV2_y3F_FC</v>
      </c>
      <c r="G254" s="10" t="s">
        <v>3028</v>
      </c>
      <c r="H254" s="10" t="s">
        <v>3029</v>
      </c>
      <c r="I254" s="10">
        <f>Db_SerC_SV2_y3F_FC</f>
        <v>0</v>
      </c>
    </row>
    <row r="255" spans="4:10" s="10" customFormat="1" ht="12" customHeight="1" x14ac:dyDescent="0.2">
      <c r="D255" s="10" t="str">
        <f t="shared" si="3"/>
        <v>Db_250</v>
      </c>
      <c r="E255" s="10" t="s">
        <v>2501</v>
      </c>
      <c r="F255" s="10" t="str">
        <f>MID(Table1[[#This Row],[Reference_Name]], 4, LEN(Table1[[#This Row],[Reference_Name]])-3)</f>
        <v>SerC_SV2_y4F_FC</v>
      </c>
      <c r="G255" s="10" t="s">
        <v>3030</v>
      </c>
      <c r="H255" s="10" t="s">
        <v>3031</v>
      </c>
      <c r="I255" s="10">
        <f>Db_SerC_SV2_y4F_FC</f>
        <v>0</v>
      </c>
    </row>
    <row r="256" spans="4:10" s="10" customFormat="1" ht="12" customHeight="1" x14ac:dyDescent="0.2">
      <c r="D256" s="10" t="str">
        <f t="shared" si="3"/>
        <v>Db_251</v>
      </c>
      <c r="E256" s="10" t="s">
        <v>2502</v>
      </c>
      <c r="F256" s="10" t="str">
        <f>MID(Table1[[#This Row],[Reference_Name]], 4, LEN(Table1[[#This Row],[Reference_Name]])-3)</f>
        <v>SerC_SV2_y5F_FC</v>
      </c>
      <c r="G256" s="10" t="s">
        <v>3032</v>
      </c>
      <c r="H256" s="10" t="s">
        <v>3033</v>
      </c>
      <c r="I256" s="10">
        <f>Db_SerC_SV2_y5F_FC</f>
        <v>0</v>
      </c>
    </row>
    <row r="257" spans="4:10" s="10" customFormat="1" ht="12" customHeight="1" x14ac:dyDescent="0.2">
      <c r="D257" s="10" t="str">
        <f t="shared" si="3"/>
        <v>Db_252</v>
      </c>
      <c r="E257" s="10" t="s">
        <v>2503</v>
      </c>
      <c r="F257" s="10" t="str">
        <f>MID(Table1[[#This Row],[Reference_Name]], 4, LEN(Table1[[#This Row],[Reference_Name]])-3)</f>
        <v>SerC_GV1_totalF_FC</v>
      </c>
      <c r="G257" s="10" t="s">
        <v>3034</v>
      </c>
      <c r="H257" s="10" t="s">
        <v>3035</v>
      </c>
      <c r="I257" s="10">
        <f>Db_SerC_GV1_totalF_FC</f>
        <v>0</v>
      </c>
    </row>
    <row r="258" spans="4:10" s="10" customFormat="1" ht="12" customHeight="1" x14ac:dyDescent="0.2">
      <c r="D258" s="10" t="str">
        <f t="shared" si="3"/>
        <v>Db_253</v>
      </c>
      <c r="E258" s="10" t="s">
        <v>2504</v>
      </c>
      <c r="F258" s="10" t="str">
        <f>MID(Table1[[#This Row],[Reference_Name]], 4, LEN(Table1[[#This Row],[Reference_Name]])-3)</f>
        <v>SerC_GV1_y1F_FC</v>
      </c>
      <c r="G258" s="10" t="s">
        <v>3036</v>
      </c>
      <c r="H258" s="10" t="s">
        <v>3037</v>
      </c>
      <c r="I258" s="10">
        <f>Db_SerC_GV1_y1F_FC</f>
        <v>0</v>
      </c>
    </row>
    <row r="259" spans="4:10" s="10" customFormat="1" ht="12" customHeight="1" x14ac:dyDescent="0.2">
      <c r="D259" s="10" t="str">
        <f t="shared" si="3"/>
        <v>Db_254</v>
      </c>
      <c r="E259" s="10" t="s">
        <v>2505</v>
      </c>
      <c r="F259" s="10" t="str">
        <f>MID(Table1[[#This Row],[Reference_Name]], 4, LEN(Table1[[#This Row],[Reference_Name]])-3)</f>
        <v>SerC_GV1_y2F_FC</v>
      </c>
      <c r="G259" s="10" t="s">
        <v>3038</v>
      </c>
      <c r="H259" s="10" t="s">
        <v>3039</v>
      </c>
      <c r="I259" s="10">
        <f>Db_SerC_GV1_y2F_FC</f>
        <v>0</v>
      </c>
    </row>
    <row r="260" spans="4:10" s="10" customFormat="1" ht="12" customHeight="1" x14ac:dyDescent="0.2">
      <c r="D260" s="10" t="str">
        <f t="shared" si="3"/>
        <v>Db_255</v>
      </c>
      <c r="E260" s="10" t="s">
        <v>2506</v>
      </c>
      <c r="F260" s="10" t="str">
        <f>MID(Table1[[#This Row],[Reference_Name]], 4, LEN(Table1[[#This Row],[Reference_Name]])-3)</f>
        <v>SerC_GV1_y3F_FC</v>
      </c>
      <c r="G260" s="10" t="s">
        <v>3040</v>
      </c>
      <c r="H260" s="10" t="s">
        <v>3041</v>
      </c>
      <c r="I260" s="10">
        <f>Db_SerC_GV1_y3F_FC</f>
        <v>0</v>
      </c>
    </row>
    <row r="261" spans="4:10" s="10" customFormat="1" ht="12" customHeight="1" x14ac:dyDescent="0.2">
      <c r="D261" s="10" t="str">
        <f t="shared" si="3"/>
        <v>Db_256</v>
      </c>
      <c r="E261" s="10" t="s">
        <v>2507</v>
      </c>
      <c r="F261" s="10" t="str">
        <f>MID(Table1[[#This Row],[Reference_Name]], 4, LEN(Table1[[#This Row],[Reference_Name]])-3)</f>
        <v>SerC_GV1_y4F_FC</v>
      </c>
      <c r="G261" s="10" t="s">
        <v>3042</v>
      </c>
      <c r="H261" s="10" t="s">
        <v>3043</v>
      </c>
      <c r="I261" s="10">
        <f>Db_SerC_GV1_y4F_FC</f>
        <v>0</v>
      </c>
    </row>
    <row r="262" spans="4:10" s="10" customFormat="1" ht="12" customHeight="1" x14ac:dyDescent="0.2">
      <c r="D262" s="10" t="str">
        <f t="shared" ref="D262:D325" si="4">"Db_"&amp;ROW()-5</f>
        <v>Db_257</v>
      </c>
      <c r="E262" s="10" t="s">
        <v>2508</v>
      </c>
      <c r="F262" s="10" t="str">
        <f>MID(Table1[[#This Row],[Reference_Name]], 4, LEN(Table1[[#This Row],[Reference_Name]])-3)</f>
        <v>SerC_GV1_y5F_FC</v>
      </c>
      <c r="G262" s="10" t="s">
        <v>3044</v>
      </c>
      <c r="H262" s="10" t="s">
        <v>3045</v>
      </c>
      <c r="I262" s="10">
        <f>Db_SerC_GV1_y5F_FC</f>
        <v>0</v>
      </c>
    </row>
    <row r="263" spans="4:10" s="10" customFormat="1" ht="12" customHeight="1" x14ac:dyDescent="0.2">
      <c r="D263" s="10" t="str">
        <f t="shared" si="4"/>
        <v>Db_258</v>
      </c>
      <c r="E263" s="10" t="s">
        <v>2509</v>
      </c>
      <c r="F263" s="10" t="str">
        <f>MID(Table1[[#This Row],[Reference_Name]], 4, LEN(Table1[[#This Row],[Reference_Name]])-3)</f>
        <v>SerC_GV2_totalF_FC</v>
      </c>
      <c r="G263" s="10" t="s">
        <v>3046</v>
      </c>
      <c r="H263" s="10" t="s">
        <v>3047</v>
      </c>
      <c r="I263" s="10">
        <f>Db_SerC_GV2_totalF_FC</f>
        <v>0</v>
      </c>
    </row>
    <row r="264" spans="4:10" s="10" customFormat="1" ht="12" customHeight="1" x14ac:dyDescent="0.2">
      <c r="D264" s="10" t="str">
        <f t="shared" si="4"/>
        <v>Db_259</v>
      </c>
      <c r="E264" s="10" t="s">
        <v>2510</v>
      </c>
      <c r="F264" s="10" t="str">
        <f>MID(Table1[[#This Row],[Reference_Name]], 4, LEN(Table1[[#This Row],[Reference_Name]])-3)</f>
        <v>SerC_GV2_y1F_FC</v>
      </c>
      <c r="G264" s="10" t="s">
        <v>3048</v>
      </c>
      <c r="H264" s="10" t="s">
        <v>3049</v>
      </c>
      <c r="I264" s="10">
        <f>Db_SerC_GV2_y1F_FC</f>
        <v>0</v>
      </c>
    </row>
    <row r="265" spans="4:10" s="10" customFormat="1" ht="12" customHeight="1" x14ac:dyDescent="0.2">
      <c r="D265" s="10" t="str">
        <f t="shared" si="4"/>
        <v>Db_260</v>
      </c>
      <c r="E265" s="10" t="s">
        <v>2511</v>
      </c>
      <c r="F265" s="10" t="str">
        <f>MID(Table1[[#This Row],[Reference_Name]], 4, LEN(Table1[[#This Row],[Reference_Name]])-3)</f>
        <v>SerC_GV2_y2F_FC</v>
      </c>
      <c r="G265" s="10" t="s">
        <v>3050</v>
      </c>
      <c r="H265" s="10" t="s">
        <v>3051</v>
      </c>
      <c r="I265" s="10">
        <f>Db_SerC_GV2_y2F_FC</f>
        <v>0</v>
      </c>
    </row>
    <row r="266" spans="4:10" s="10" customFormat="1" ht="12" customHeight="1" x14ac:dyDescent="0.2">
      <c r="D266" s="10" t="str">
        <f t="shared" si="4"/>
        <v>Db_261</v>
      </c>
      <c r="E266" s="10" t="s">
        <v>2512</v>
      </c>
      <c r="F266" s="10" t="str">
        <f>MID(Table1[[#This Row],[Reference_Name]], 4, LEN(Table1[[#This Row],[Reference_Name]])-3)</f>
        <v>SerC_GV2_y3F_FC</v>
      </c>
      <c r="G266" s="10" t="s">
        <v>3052</v>
      </c>
      <c r="H266" s="10" t="s">
        <v>3053</v>
      </c>
      <c r="I266" s="10">
        <f>Db_SerC_GV2_y3F_FC</f>
        <v>0</v>
      </c>
    </row>
    <row r="267" spans="4:10" s="10" customFormat="1" ht="12" customHeight="1" x14ac:dyDescent="0.2">
      <c r="D267" s="10" t="str">
        <f t="shared" si="4"/>
        <v>Db_262</v>
      </c>
      <c r="E267" s="10" t="s">
        <v>2513</v>
      </c>
      <c r="F267" s="10" t="str">
        <f>MID(Table1[[#This Row],[Reference_Name]], 4, LEN(Table1[[#This Row],[Reference_Name]])-3)</f>
        <v>SerC_GV2_y4F_FC</v>
      </c>
      <c r="G267" s="10" t="s">
        <v>3054</v>
      </c>
      <c r="H267" s="10" t="s">
        <v>3055</v>
      </c>
      <c r="I267" s="10">
        <f>Db_SerC_GV2_y4F_FC</f>
        <v>0</v>
      </c>
    </row>
    <row r="268" spans="4:10" s="10" customFormat="1" ht="12" customHeight="1" x14ac:dyDescent="0.2">
      <c r="D268" s="10" t="str">
        <f t="shared" si="4"/>
        <v>Db_263</v>
      </c>
      <c r="E268" s="10" t="s">
        <v>2514</v>
      </c>
      <c r="F268" s="10" t="str">
        <f>MID(Table1[[#This Row],[Reference_Name]], 4, LEN(Table1[[#This Row],[Reference_Name]])-3)</f>
        <v>SerC_GV2_y5F_FC</v>
      </c>
      <c r="G268" s="10" t="s">
        <v>3056</v>
      </c>
      <c r="H268" s="10" t="s">
        <v>3057</v>
      </c>
      <c r="I268" s="10">
        <f>Db_SerC_GV2_y5F_FC</f>
        <v>0</v>
      </c>
    </row>
    <row r="269" spans="4:10" ht="12" customHeight="1" x14ac:dyDescent="0.2">
      <c r="D269" s="10" t="str">
        <f t="shared" si="4"/>
        <v>Db_264</v>
      </c>
      <c r="E269" s="10" t="s">
        <v>2515</v>
      </c>
      <c r="F269" s="10" t="str">
        <f>MID(Table1[[#This Row],[Reference_Name]], 4, LEN(Table1[[#This Row],[Reference_Name]])-3)</f>
        <v>SupCtotalF_FC</v>
      </c>
      <c r="G269" s="10" t="s">
        <v>3058</v>
      </c>
      <c r="H269" t="s">
        <v>3059</v>
      </c>
      <c r="I269" s="10">
        <f>Db_SupCtotalF_FC</f>
        <v>0</v>
      </c>
      <c r="J269" s="10"/>
    </row>
    <row r="270" spans="4:10" ht="12" customHeight="1" x14ac:dyDescent="0.2">
      <c r="D270" s="10" t="str">
        <f t="shared" si="4"/>
        <v>Db_265</v>
      </c>
      <c r="E270" s="10" t="s">
        <v>2516</v>
      </c>
      <c r="F270" s="10" t="str">
        <f>MID(Table1[[#This Row],[Reference_Name]], 4, LEN(Table1[[#This Row],[Reference_Name]])-3)</f>
        <v>SupCy1F_FC</v>
      </c>
      <c r="G270" s="10" t="s">
        <v>3060</v>
      </c>
      <c r="H270" s="10" t="s">
        <v>3061</v>
      </c>
      <c r="I270" s="10">
        <f>Db_SupCy1F_FC</f>
        <v>0</v>
      </c>
      <c r="J270" s="10"/>
    </row>
    <row r="271" spans="4:10" ht="12" customHeight="1" x14ac:dyDescent="0.2">
      <c r="D271" s="10" t="str">
        <f t="shared" si="4"/>
        <v>Db_266</v>
      </c>
      <c r="E271" s="10" t="s">
        <v>2517</v>
      </c>
      <c r="F271" s="10" t="str">
        <f>MID(Table1[[#This Row],[Reference_Name]], 4, LEN(Table1[[#This Row],[Reference_Name]])-3)</f>
        <v>SupCy2F_FC</v>
      </c>
      <c r="G271" s="10" t="s">
        <v>3062</v>
      </c>
      <c r="H271" s="10" t="s">
        <v>3063</v>
      </c>
      <c r="I271" s="10">
        <f>Db_SupCy2F_FC</f>
        <v>0</v>
      </c>
      <c r="J271" s="10"/>
    </row>
    <row r="272" spans="4:10" ht="12" customHeight="1" x14ac:dyDescent="0.2">
      <c r="D272" s="10" t="str">
        <f t="shared" si="4"/>
        <v>Db_267</v>
      </c>
      <c r="E272" s="10" t="s">
        <v>2518</v>
      </c>
      <c r="F272" s="10" t="str">
        <f>MID(Table1[[#This Row],[Reference_Name]], 4, LEN(Table1[[#This Row],[Reference_Name]])-3)</f>
        <v>SupCy3F_FC</v>
      </c>
      <c r="G272" s="10" t="s">
        <v>3064</v>
      </c>
      <c r="H272" s="10" t="s">
        <v>3065</v>
      </c>
      <c r="I272" s="10">
        <f>Db_SupCy3F_FC</f>
        <v>0</v>
      </c>
      <c r="J272" s="10"/>
    </row>
    <row r="273" spans="4:10" ht="12" customHeight="1" x14ac:dyDescent="0.2">
      <c r="D273" s="10" t="str">
        <f t="shared" si="4"/>
        <v>Db_268</v>
      </c>
      <c r="E273" s="10" t="s">
        <v>2519</v>
      </c>
      <c r="F273" s="10" t="str">
        <f>MID(Table1[[#This Row],[Reference_Name]], 4, LEN(Table1[[#This Row],[Reference_Name]])-3)</f>
        <v>SupCy4F_FC</v>
      </c>
      <c r="G273" s="10" t="s">
        <v>3066</v>
      </c>
      <c r="H273" s="10" t="s">
        <v>3067</v>
      </c>
      <c r="I273" s="10">
        <f>Db_SupCy4F_FC</f>
        <v>0</v>
      </c>
      <c r="J273" s="10"/>
    </row>
    <row r="274" spans="4:10" ht="12" customHeight="1" x14ac:dyDescent="0.2">
      <c r="D274" s="10" t="str">
        <f t="shared" si="4"/>
        <v>Db_269</v>
      </c>
      <c r="E274" s="10" t="s">
        <v>2520</v>
      </c>
      <c r="F274" s="10" t="str">
        <f>MID(Table1[[#This Row],[Reference_Name]], 4, LEN(Table1[[#This Row],[Reference_Name]])-3)</f>
        <v>SupCy5F_FC</v>
      </c>
      <c r="G274" s="10" t="s">
        <v>3068</v>
      </c>
      <c r="H274" s="10" t="s">
        <v>3069</v>
      </c>
      <c r="I274" s="10">
        <f>Db_SupCy5F_FC</f>
        <v>0</v>
      </c>
      <c r="J274" s="10"/>
    </row>
    <row r="275" spans="4:10" ht="12" customHeight="1" x14ac:dyDescent="0.2">
      <c r="D275" s="10" t="str">
        <f t="shared" si="4"/>
        <v>Db_270</v>
      </c>
      <c r="E275" s="10" t="s">
        <v>2521</v>
      </c>
      <c r="F275" s="10" t="str">
        <f>MID(Table1[[#This Row],[Reference_Name]], 4, LEN(Table1[[#This Row],[Reference_Name]])-3)</f>
        <v>ColdCtotalF_FC</v>
      </c>
      <c r="G275" s="10" t="s">
        <v>3070</v>
      </c>
      <c r="H275" t="s">
        <v>3071</v>
      </c>
      <c r="I275" s="10">
        <f>Db_ColdCtotalF_FC</f>
        <v>0</v>
      </c>
      <c r="J275" s="10"/>
    </row>
    <row r="276" spans="4:10" ht="12" customHeight="1" x14ac:dyDescent="0.2">
      <c r="D276" s="10" t="str">
        <f t="shared" si="4"/>
        <v>Db_271</v>
      </c>
      <c r="E276" s="10" t="s">
        <v>2522</v>
      </c>
      <c r="F276" s="10" t="str">
        <f>MID(Table1[[#This Row],[Reference_Name]], 4, LEN(Table1[[#This Row],[Reference_Name]])-3)</f>
        <v>ColdCy1F_FC</v>
      </c>
      <c r="G276" s="10" t="s">
        <v>3072</v>
      </c>
      <c r="H276" s="10" t="s">
        <v>3073</v>
      </c>
      <c r="I276" s="10">
        <f>Db_ColdCy1F_FC</f>
        <v>0</v>
      </c>
      <c r="J276" s="10"/>
    </row>
    <row r="277" spans="4:10" ht="12" customHeight="1" x14ac:dyDescent="0.2">
      <c r="D277" s="10" t="str">
        <f t="shared" si="4"/>
        <v>Db_272</v>
      </c>
      <c r="E277" s="10" t="s">
        <v>2523</v>
      </c>
      <c r="F277" s="10" t="str">
        <f>MID(Table1[[#This Row],[Reference_Name]], 4, LEN(Table1[[#This Row],[Reference_Name]])-3)</f>
        <v>ColdCy2F_FC</v>
      </c>
      <c r="G277" s="10" t="s">
        <v>3074</v>
      </c>
      <c r="H277" s="10" t="s">
        <v>3075</v>
      </c>
      <c r="I277" s="10">
        <f>Db_ColdCy2F_FC</f>
        <v>0</v>
      </c>
      <c r="J277" s="10"/>
    </row>
    <row r="278" spans="4:10" ht="12" customHeight="1" x14ac:dyDescent="0.2">
      <c r="D278" s="10" t="str">
        <f t="shared" si="4"/>
        <v>Db_273</v>
      </c>
      <c r="E278" s="10" t="s">
        <v>2524</v>
      </c>
      <c r="F278" s="10" t="str">
        <f>MID(Table1[[#This Row],[Reference_Name]], 4, LEN(Table1[[#This Row],[Reference_Name]])-3)</f>
        <v>ColdCy3F_FC</v>
      </c>
      <c r="G278" s="10" t="s">
        <v>3076</v>
      </c>
      <c r="H278" s="10" t="s">
        <v>3077</v>
      </c>
      <c r="I278" s="10">
        <f>Db_ColdCy3F_FC</f>
        <v>0</v>
      </c>
      <c r="J278" s="10"/>
    </row>
    <row r="279" spans="4:10" ht="12" customHeight="1" x14ac:dyDescent="0.2">
      <c r="D279" s="10" t="str">
        <f t="shared" si="4"/>
        <v>Db_274</v>
      </c>
      <c r="E279" s="10" t="s">
        <v>2525</v>
      </c>
      <c r="F279" s="10" t="str">
        <f>MID(Table1[[#This Row],[Reference_Name]], 4, LEN(Table1[[#This Row],[Reference_Name]])-3)</f>
        <v>ColdCy4F_FC</v>
      </c>
      <c r="G279" s="10" t="s">
        <v>3078</v>
      </c>
      <c r="H279" s="10" t="s">
        <v>3079</v>
      </c>
      <c r="I279" s="10">
        <f>Db_ColdCy4F_FC</f>
        <v>0</v>
      </c>
      <c r="J279" s="10"/>
    </row>
    <row r="280" spans="4:10" ht="12" customHeight="1" x14ac:dyDescent="0.2">
      <c r="D280" s="10" t="str">
        <f t="shared" si="4"/>
        <v>Db_275</v>
      </c>
      <c r="E280" s="10" t="s">
        <v>2526</v>
      </c>
      <c r="F280" s="10" t="str">
        <f>MID(Table1[[#This Row],[Reference_Name]], 4, LEN(Table1[[#This Row],[Reference_Name]])-3)</f>
        <v>ColdCy5F_FC</v>
      </c>
      <c r="G280" s="10" t="s">
        <v>3080</v>
      </c>
      <c r="H280" s="10" t="s">
        <v>3081</v>
      </c>
      <c r="I280" s="10">
        <f>Db_ColdCy5F_FC</f>
        <v>0</v>
      </c>
      <c r="J280" s="10"/>
    </row>
    <row r="281" spans="4:10" ht="12" customHeight="1" x14ac:dyDescent="0.2">
      <c r="D281" s="10" t="str">
        <f t="shared" si="4"/>
        <v>Db_276</v>
      </c>
      <c r="E281" s="10" t="s">
        <v>2527</v>
      </c>
      <c r="F281" s="10" t="str">
        <f>MID(Table1[[#This Row],[Reference_Name]], 4, LEN(Table1[[#This Row],[Reference_Name]])-3)</f>
        <v>ColdCANtotalF_FC</v>
      </c>
      <c r="G281" s="10" t="s">
        <v>3082</v>
      </c>
      <c r="H281" t="s">
        <v>3083</v>
      </c>
      <c r="I281" s="10">
        <f>Db_ColdCANtotalF_FC</f>
        <v>0</v>
      </c>
      <c r="J281" s="10"/>
    </row>
    <row r="282" spans="4:10" ht="12" customHeight="1" x14ac:dyDescent="0.2">
      <c r="D282" s="10" t="str">
        <f t="shared" si="4"/>
        <v>Db_277</v>
      </c>
      <c r="E282" s="10" t="s">
        <v>2528</v>
      </c>
      <c r="F282" s="10" t="str">
        <f>MID(Table1[[#This Row],[Reference_Name]], 4, LEN(Table1[[#This Row],[Reference_Name]])-3)</f>
        <v>ColdCANy1F_FC</v>
      </c>
      <c r="G282" s="10" t="s">
        <v>3084</v>
      </c>
      <c r="H282" s="10" t="s">
        <v>3085</v>
      </c>
      <c r="I282" s="10">
        <f>Db_ColdCANy1F_FC</f>
        <v>0</v>
      </c>
      <c r="J282" s="10"/>
    </row>
    <row r="283" spans="4:10" ht="12" customHeight="1" x14ac:dyDescent="0.2">
      <c r="D283" s="10" t="str">
        <f t="shared" si="4"/>
        <v>Db_278</v>
      </c>
      <c r="E283" s="10" t="s">
        <v>2529</v>
      </c>
      <c r="F283" s="10" t="str">
        <f>MID(Table1[[#This Row],[Reference_Name]], 4, LEN(Table1[[#This Row],[Reference_Name]])-3)</f>
        <v>ColdCANy2F_FC</v>
      </c>
      <c r="G283" s="10" t="s">
        <v>3086</v>
      </c>
      <c r="H283" s="10" t="s">
        <v>3087</v>
      </c>
      <c r="I283" s="10">
        <f>Db_ColdCANy2F_FC</f>
        <v>0</v>
      </c>
      <c r="J283" s="10"/>
    </row>
    <row r="284" spans="4:10" ht="12" customHeight="1" x14ac:dyDescent="0.2">
      <c r="D284" s="10" t="str">
        <f t="shared" si="4"/>
        <v>Db_279</v>
      </c>
      <c r="E284" s="10" t="s">
        <v>2530</v>
      </c>
      <c r="F284" s="10" t="str">
        <f>MID(Table1[[#This Row],[Reference_Name]], 4, LEN(Table1[[#This Row],[Reference_Name]])-3)</f>
        <v>ColdCANy3F_FC</v>
      </c>
      <c r="G284" s="10" t="s">
        <v>3088</v>
      </c>
      <c r="H284" s="10" t="s">
        <v>3089</v>
      </c>
      <c r="I284" s="10">
        <f>Db_ColdCANy3F_FC</f>
        <v>0</v>
      </c>
      <c r="J284" s="10"/>
    </row>
    <row r="285" spans="4:10" ht="12" customHeight="1" x14ac:dyDescent="0.2">
      <c r="D285" s="10" t="str">
        <f t="shared" si="4"/>
        <v>Db_280</v>
      </c>
      <c r="E285" s="10" t="s">
        <v>2531</v>
      </c>
      <c r="F285" s="10" t="str">
        <f>MID(Table1[[#This Row],[Reference_Name]], 4, LEN(Table1[[#This Row],[Reference_Name]])-3)</f>
        <v>ColdCANy4F_FC</v>
      </c>
      <c r="G285" s="10" t="s">
        <v>3090</v>
      </c>
      <c r="H285" s="10" t="s">
        <v>3091</v>
      </c>
      <c r="I285" s="10">
        <f>Db_ColdCANy4F_FC</f>
        <v>0</v>
      </c>
      <c r="J285" s="10"/>
    </row>
    <row r="286" spans="4:10" ht="12" customHeight="1" x14ac:dyDescent="0.2">
      <c r="D286" s="10" t="str">
        <f t="shared" si="4"/>
        <v>Db_281</v>
      </c>
      <c r="E286" s="10" t="s">
        <v>2532</v>
      </c>
      <c r="F286" s="10" t="str">
        <f>MID(Table1[[#This Row],[Reference_Name]], 4, LEN(Table1[[#This Row],[Reference_Name]])-3)</f>
        <v>ColdCANy5F_FC</v>
      </c>
      <c r="G286" s="10" t="s">
        <v>3092</v>
      </c>
      <c r="H286" s="10" t="s">
        <v>3093</v>
      </c>
      <c r="I286" s="10">
        <f>Db_ColdCANy5F_FC</f>
        <v>0</v>
      </c>
      <c r="J286" s="10"/>
    </row>
    <row r="287" spans="4:10" ht="12" customHeight="1" x14ac:dyDescent="0.2">
      <c r="D287" s="10" t="str">
        <f t="shared" si="4"/>
        <v>Db_282</v>
      </c>
      <c r="E287" s="10" t="s">
        <v>2533</v>
      </c>
      <c r="F287" s="10" t="str">
        <f>MID(Table1[[#This Row],[Reference_Name]], 4, LEN(Table1[[#This Row],[Reference_Name]])-3)</f>
        <v>OthCapCtotalF_FC</v>
      </c>
      <c r="G287" s="10" t="s">
        <v>3094</v>
      </c>
      <c r="H287" t="s">
        <v>3095</v>
      </c>
      <c r="I287" s="10">
        <f>Db_OthCapCtotalF_FC</f>
        <v>0</v>
      </c>
      <c r="J287" s="10"/>
    </row>
    <row r="288" spans="4:10" ht="12" customHeight="1" x14ac:dyDescent="0.2">
      <c r="D288" s="10" t="str">
        <f t="shared" si="4"/>
        <v>Db_283</v>
      </c>
      <c r="E288" s="10" t="s">
        <v>2534</v>
      </c>
      <c r="F288" s="10" t="str">
        <f>MID(Table1[[#This Row],[Reference_Name]], 4, LEN(Table1[[#This Row],[Reference_Name]])-3)</f>
        <v>OthCapCy1F_FC</v>
      </c>
      <c r="G288" s="10" t="s">
        <v>3096</v>
      </c>
      <c r="H288" s="10" t="s">
        <v>3097</v>
      </c>
      <c r="I288" s="10">
        <f>Db_OthCapCy1F_FC</f>
        <v>0</v>
      </c>
      <c r="J288" s="10"/>
    </row>
    <row r="289" spans="4:10" ht="12" customHeight="1" x14ac:dyDescent="0.2">
      <c r="D289" s="10" t="str">
        <f t="shared" si="4"/>
        <v>Db_284</v>
      </c>
      <c r="E289" s="10" t="s">
        <v>2535</v>
      </c>
      <c r="F289" s="10" t="str">
        <f>MID(Table1[[#This Row],[Reference_Name]], 4, LEN(Table1[[#This Row],[Reference_Name]])-3)</f>
        <v>OthCapCy2F_FC</v>
      </c>
      <c r="G289" s="10" t="s">
        <v>3098</v>
      </c>
      <c r="H289" s="10" t="s">
        <v>3099</v>
      </c>
      <c r="I289" s="10">
        <f>Db_OthCapCy2F_FC</f>
        <v>0</v>
      </c>
      <c r="J289" s="10"/>
    </row>
    <row r="290" spans="4:10" ht="12" customHeight="1" x14ac:dyDescent="0.2">
      <c r="D290" s="10" t="str">
        <f t="shared" si="4"/>
        <v>Db_285</v>
      </c>
      <c r="E290" s="10" t="s">
        <v>2536</v>
      </c>
      <c r="F290" s="10" t="str">
        <f>MID(Table1[[#This Row],[Reference_Name]], 4, LEN(Table1[[#This Row],[Reference_Name]])-3)</f>
        <v>OthCapCy3F_FC</v>
      </c>
      <c r="G290" s="10" t="s">
        <v>3100</v>
      </c>
      <c r="H290" s="10" t="s">
        <v>3101</v>
      </c>
      <c r="I290" s="10">
        <f>Db_OthCapCy3F_FC</f>
        <v>0</v>
      </c>
      <c r="J290" s="10"/>
    </row>
    <row r="291" spans="4:10" ht="12" customHeight="1" x14ac:dyDescent="0.2">
      <c r="D291" s="10" t="str">
        <f t="shared" si="4"/>
        <v>Db_286</v>
      </c>
      <c r="E291" s="10" t="s">
        <v>2537</v>
      </c>
      <c r="F291" s="10" t="str">
        <f>MID(Table1[[#This Row],[Reference_Name]], 4, LEN(Table1[[#This Row],[Reference_Name]])-3)</f>
        <v>OthCapCy4F_FC</v>
      </c>
      <c r="G291" s="10" t="s">
        <v>3102</v>
      </c>
      <c r="H291" s="10" t="s">
        <v>3103</v>
      </c>
      <c r="I291" s="10">
        <f>Db_OthCapCy4F_FC</f>
        <v>0</v>
      </c>
      <c r="J291" s="10"/>
    </row>
    <row r="292" spans="4:10" ht="12" customHeight="1" x14ac:dyDescent="0.2">
      <c r="D292" s="10" t="str">
        <f t="shared" si="4"/>
        <v>Db_287</v>
      </c>
      <c r="E292" s="10" t="s">
        <v>2538</v>
      </c>
      <c r="F292" s="10" t="str">
        <f>MID(Table1[[#This Row],[Reference_Name]], 4, LEN(Table1[[#This Row],[Reference_Name]])-3)</f>
        <v>OthCapCy5F_FC</v>
      </c>
      <c r="G292" s="10" t="s">
        <v>3104</v>
      </c>
      <c r="H292" s="10" t="s">
        <v>3105</v>
      </c>
      <c r="I292" s="10">
        <f>Db_OthCapCy5F_FC</f>
        <v>0</v>
      </c>
      <c r="J292" s="10"/>
    </row>
    <row r="293" spans="4:10" ht="12" customHeight="1" x14ac:dyDescent="0.2">
      <c r="D293" s="10" t="str">
        <f t="shared" si="4"/>
        <v>Db_288</v>
      </c>
      <c r="E293" s="10" t="s">
        <v>2539</v>
      </c>
      <c r="F293" s="10" t="str">
        <f>MID(Table1[[#This Row],[Reference_Name]], 4, LEN(Table1[[#This Row],[Reference_Name]])-3)</f>
        <v>OthCapCANtotalF_FC</v>
      </c>
      <c r="G293" s="10" t="s">
        <v>3106</v>
      </c>
      <c r="H293" t="s">
        <v>3107</v>
      </c>
      <c r="I293" s="10">
        <f>Db_OthCapCANtotalF_FC</f>
        <v>0</v>
      </c>
      <c r="J293" s="10"/>
    </row>
    <row r="294" spans="4:10" ht="12" customHeight="1" x14ac:dyDescent="0.2">
      <c r="D294" s="10" t="str">
        <f t="shared" si="4"/>
        <v>Db_289</v>
      </c>
      <c r="E294" s="10" t="s">
        <v>2540</v>
      </c>
      <c r="F294" s="10" t="str">
        <f>MID(Table1[[#This Row],[Reference_Name]], 4, LEN(Table1[[#This Row],[Reference_Name]])-3)</f>
        <v>OthCapCANy1F_FC</v>
      </c>
      <c r="G294" s="10" t="s">
        <v>3108</v>
      </c>
      <c r="H294" s="10" t="s">
        <v>3109</v>
      </c>
      <c r="I294" s="10">
        <f>Db_OthCapCANy1F_FC</f>
        <v>0</v>
      </c>
      <c r="J294" s="10"/>
    </row>
    <row r="295" spans="4:10" ht="12" customHeight="1" x14ac:dyDescent="0.2">
      <c r="D295" s="10" t="str">
        <f t="shared" si="4"/>
        <v>Db_290</v>
      </c>
      <c r="E295" s="10" t="s">
        <v>2541</v>
      </c>
      <c r="F295" s="10" t="str">
        <f>MID(Table1[[#This Row],[Reference_Name]], 4, LEN(Table1[[#This Row],[Reference_Name]])-3)</f>
        <v>OthCapCANy2F_FC</v>
      </c>
      <c r="G295" s="10" t="s">
        <v>3110</v>
      </c>
      <c r="H295" s="10" t="s">
        <v>3111</v>
      </c>
      <c r="I295" s="10">
        <f>Db_OthCapCANy2F_FC</f>
        <v>0</v>
      </c>
      <c r="J295" s="10"/>
    </row>
    <row r="296" spans="4:10" ht="12" customHeight="1" x14ac:dyDescent="0.2">
      <c r="D296" s="10" t="str">
        <f t="shared" si="4"/>
        <v>Db_291</v>
      </c>
      <c r="E296" s="10" t="s">
        <v>2542</v>
      </c>
      <c r="F296" s="10" t="str">
        <f>MID(Table1[[#This Row],[Reference_Name]], 4, LEN(Table1[[#This Row],[Reference_Name]])-3)</f>
        <v>OthCapCANy3F_FC</v>
      </c>
      <c r="G296" s="10" t="s">
        <v>3112</v>
      </c>
      <c r="H296" s="10" t="s">
        <v>3113</v>
      </c>
      <c r="I296" s="10">
        <f>Db_OthCapCANy3F_FC</f>
        <v>0</v>
      </c>
      <c r="J296" s="10"/>
    </row>
    <row r="297" spans="4:10" ht="12" customHeight="1" x14ac:dyDescent="0.2">
      <c r="D297" s="10" t="str">
        <f t="shared" si="4"/>
        <v>Db_292</v>
      </c>
      <c r="E297" s="10" t="s">
        <v>2543</v>
      </c>
      <c r="F297" s="10" t="str">
        <f>MID(Table1[[#This Row],[Reference_Name]], 4, LEN(Table1[[#This Row],[Reference_Name]])-3)</f>
        <v>OthCapCANy4F_FC</v>
      </c>
      <c r="G297" s="10" t="s">
        <v>3114</v>
      </c>
      <c r="H297" s="10" t="s">
        <v>3115</v>
      </c>
      <c r="I297" s="10">
        <f>Db_OthCapCANy4F_FC</f>
        <v>0</v>
      </c>
      <c r="J297" s="10"/>
    </row>
    <row r="298" spans="4:10" ht="12" customHeight="1" x14ac:dyDescent="0.2">
      <c r="D298" s="10" t="str">
        <f t="shared" si="4"/>
        <v>Db_293</v>
      </c>
      <c r="E298" s="10" t="s">
        <v>2544</v>
      </c>
      <c r="F298" s="10" t="str">
        <f>MID(Table1[[#This Row],[Reference_Name]], 4, LEN(Table1[[#This Row],[Reference_Name]])-3)</f>
        <v>OthCapCANy5F_FC</v>
      </c>
      <c r="G298" s="10" t="s">
        <v>3116</v>
      </c>
      <c r="H298" s="10" t="s">
        <v>3117</v>
      </c>
      <c r="I298" s="10">
        <f>Db_OthCapCANy5F_FC</f>
        <v>0</v>
      </c>
      <c r="J298" s="10"/>
    </row>
    <row r="299" spans="4:10" ht="12" customHeight="1" x14ac:dyDescent="0.2">
      <c r="D299" s="10" t="str">
        <f t="shared" si="4"/>
        <v>Db_294</v>
      </c>
      <c r="E299" s="10" t="s">
        <v>2545</v>
      </c>
      <c r="F299" s="10" t="str">
        <f>MID(Table1[[#This Row],[Reference_Name]], 4, LEN(Table1[[#This Row],[Reference_Name]])-3)</f>
        <v>OthRecurCtotalF_FC</v>
      </c>
      <c r="G299" s="10" t="s">
        <v>3118</v>
      </c>
      <c r="H299" t="s">
        <v>3119</v>
      </c>
      <c r="I299" s="10">
        <f>Db_OthRecurCtotalF_FC</f>
        <v>0</v>
      </c>
      <c r="J299" s="10"/>
    </row>
    <row r="300" spans="4:10" ht="12" customHeight="1" x14ac:dyDescent="0.2">
      <c r="D300" s="10" t="str">
        <f t="shared" si="4"/>
        <v>Db_295</v>
      </c>
      <c r="E300" s="10" t="s">
        <v>2546</v>
      </c>
      <c r="F300" s="10" t="str">
        <f>MID(Table1[[#This Row],[Reference_Name]], 4, LEN(Table1[[#This Row],[Reference_Name]])-3)</f>
        <v>OthRecurCy1F_FC</v>
      </c>
      <c r="G300" s="10" t="s">
        <v>3120</v>
      </c>
      <c r="H300" s="10" t="s">
        <v>3121</v>
      </c>
      <c r="I300" s="10">
        <f>Db_OthRecurCy1F_FC</f>
        <v>0</v>
      </c>
      <c r="J300" s="10"/>
    </row>
    <row r="301" spans="4:10" ht="12" customHeight="1" x14ac:dyDescent="0.2">
      <c r="D301" s="10" t="str">
        <f t="shared" si="4"/>
        <v>Db_296</v>
      </c>
      <c r="E301" s="10" t="s">
        <v>2547</v>
      </c>
      <c r="F301" s="10" t="str">
        <f>MID(Table1[[#This Row],[Reference_Name]], 4, LEN(Table1[[#This Row],[Reference_Name]])-3)</f>
        <v>OthRecurCy2F_FC</v>
      </c>
      <c r="G301" s="10" t="s">
        <v>3122</v>
      </c>
      <c r="H301" s="10" t="s">
        <v>3123</v>
      </c>
      <c r="I301" s="10">
        <f>Db_OthRecurCy2F_FC</f>
        <v>0</v>
      </c>
      <c r="J301" s="10"/>
    </row>
    <row r="302" spans="4:10" ht="12" customHeight="1" x14ac:dyDescent="0.2">
      <c r="D302" s="10" t="str">
        <f t="shared" si="4"/>
        <v>Db_297</v>
      </c>
      <c r="E302" s="10" t="s">
        <v>2548</v>
      </c>
      <c r="F302" s="10" t="str">
        <f>MID(Table1[[#This Row],[Reference_Name]], 4, LEN(Table1[[#This Row],[Reference_Name]])-3)</f>
        <v>OthRecurCy3F_FC</v>
      </c>
      <c r="G302" s="10" t="s">
        <v>3124</v>
      </c>
      <c r="H302" s="10" t="s">
        <v>3125</v>
      </c>
      <c r="I302" s="10">
        <f>Db_OthRecurCy3F_FC</f>
        <v>0</v>
      </c>
      <c r="J302" s="10"/>
    </row>
    <row r="303" spans="4:10" ht="12" customHeight="1" x14ac:dyDescent="0.2">
      <c r="D303" s="10" t="str">
        <f t="shared" si="4"/>
        <v>Db_298</v>
      </c>
      <c r="E303" s="10" t="s">
        <v>2549</v>
      </c>
      <c r="F303" s="10" t="str">
        <f>MID(Table1[[#This Row],[Reference_Name]], 4, LEN(Table1[[#This Row],[Reference_Name]])-3)</f>
        <v>OthRecurCy4F_FC</v>
      </c>
      <c r="G303" s="10" t="s">
        <v>3126</v>
      </c>
      <c r="H303" s="10" t="s">
        <v>3127</v>
      </c>
      <c r="I303" s="10">
        <f>Db_OthRecurCy4F_FC</f>
        <v>0</v>
      </c>
      <c r="J303" s="10"/>
    </row>
    <row r="304" spans="4:10" ht="12" customHeight="1" x14ac:dyDescent="0.2">
      <c r="D304" s="10" t="str">
        <f t="shared" si="4"/>
        <v>Db_299</v>
      </c>
      <c r="E304" s="10" t="s">
        <v>2550</v>
      </c>
      <c r="F304" s="10" t="str">
        <f>MID(Table1[[#This Row],[Reference_Name]], 4, LEN(Table1[[#This Row],[Reference_Name]])-3)</f>
        <v>OthRecurCy5F_FC</v>
      </c>
      <c r="G304" s="10" t="s">
        <v>3128</v>
      </c>
      <c r="H304" s="10" t="s">
        <v>3129</v>
      </c>
      <c r="I304" s="10">
        <f>Db_OthRecurCy5F_FC</f>
        <v>0</v>
      </c>
      <c r="J304" s="10"/>
    </row>
    <row r="305" spans="4:10" ht="12" customHeight="1" x14ac:dyDescent="0.2">
      <c r="D305" s="10" t="str">
        <f t="shared" si="4"/>
        <v>Db_300</v>
      </c>
      <c r="E305" s="10" t="s">
        <v>2551</v>
      </c>
      <c r="F305" s="10" t="str">
        <f>MID(Table1[[#This Row],[Reference_Name]], 4, LEN(Table1[[#This Row],[Reference_Name]])-3)</f>
        <v>MicroCtotalE_FC</v>
      </c>
      <c r="G305" s="10" t="s">
        <v>3130</v>
      </c>
      <c r="H305" t="s">
        <v>3131</v>
      </c>
      <c r="I305" s="10">
        <f>Db_MicroCtotalE_FC</f>
        <v>0</v>
      </c>
      <c r="J305" s="10"/>
    </row>
    <row r="306" spans="4:10" ht="12" customHeight="1" x14ac:dyDescent="0.2">
      <c r="D306" s="10" t="str">
        <f t="shared" si="4"/>
        <v>Db_301</v>
      </c>
      <c r="E306" s="10" t="s">
        <v>2552</v>
      </c>
      <c r="F306" s="10" t="str">
        <f>MID(Table1[[#This Row],[Reference_Name]], 4, LEN(Table1[[#This Row],[Reference_Name]])-3)</f>
        <v>MicroCy1E_FC</v>
      </c>
      <c r="G306" s="10" t="s">
        <v>3132</v>
      </c>
      <c r="H306" s="10" t="s">
        <v>3133</v>
      </c>
      <c r="I306" s="10">
        <f>Db_MicroCy1E_FC</f>
        <v>0</v>
      </c>
      <c r="J306" s="10"/>
    </row>
    <row r="307" spans="4:10" ht="12" customHeight="1" x14ac:dyDescent="0.2">
      <c r="D307" s="10" t="str">
        <f t="shared" si="4"/>
        <v>Db_302</v>
      </c>
      <c r="E307" s="10" t="s">
        <v>2553</v>
      </c>
      <c r="F307" s="10" t="str">
        <f>MID(Table1[[#This Row],[Reference_Name]], 4, LEN(Table1[[#This Row],[Reference_Name]])-3)</f>
        <v>MicroCy2E_FC</v>
      </c>
      <c r="G307" s="10" t="s">
        <v>3134</v>
      </c>
      <c r="H307" s="10" t="s">
        <v>3135</v>
      </c>
      <c r="I307" s="10">
        <f>Db_MicroCy2E_FC</f>
        <v>0</v>
      </c>
      <c r="J307" s="10"/>
    </row>
    <row r="308" spans="4:10" ht="12" customHeight="1" x14ac:dyDescent="0.2">
      <c r="D308" s="10" t="str">
        <f t="shared" si="4"/>
        <v>Db_303</v>
      </c>
      <c r="E308" s="10" t="s">
        <v>2554</v>
      </c>
      <c r="F308" s="10" t="str">
        <f>MID(Table1[[#This Row],[Reference_Name]], 4, LEN(Table1[[#This Row],[Reference_Name]])-3)</f>
        <v>MicroCy3E_FC</v>
      </c>
      <c r="G308" s="10" t="s">
        <v>3136</v>
      </c>
      <c r="H308" s="10" t="s">
        <v>3137</v>
      </c>
      <c r="I308" s="10">
        <f>Db_MicroCy3E_FC</f>
        <v>0</v>
      </c>
      <c r="J308" s="10"/>
    </row>
    <row r="309" spans="4:10" ht="12" customHeight="1" x14ac:dyDescent="0.2">
      <c r="D309" s="10" t="str">
        <f t="shared" si="4"/>
        <v>Db_304</v>
      </c>
      <c r="E309" s="10" t="s">
        <v>2555</v>
      </c>
      <c r="F309" s="10" t="str">
        <f>MID(Table1[[#This Row],[Reference_Name]], 4, LEN(Table1[[#This Row],[Reference_Name]])-3)</f>
        <v>MicroCy4E_FC</v>
      </c>
      <c r="G309" s="10" t="s">
        <v>3138</v>
      </c>
      <c r="H309" s="10" t="s">
        <v>3139</v>
      </c>
      <c r="I309" s="10">
        <f>Db_MicroCy4E_FC</f>
        <v>0</v>
      </c>
      <c r="J309" s="10"/>
    </row>
    <row r="310" spans="4:10" ht="12" customHeight="1" x14ac:dyDescent="0.2">
      <c r="D310" s="10" t="str">
        <f t="shared" si="4"/>
        <v>Db_305</v>
      </c>
      <c r="E310" s="10" t="s">
        <v>2556</v>
      </c>
      <c r="F310" s="10" t="str">
        <f>MID(Table1[[#This Row],[Reference_Name]], 4, LEN(Table1[[#This Row],[Reference_Name]])-3)</f>
        <v>MicroCy5E_FC</v>
      </c>
      <c r="G310" s="10" t="s">
        <v>3140</v>
      </c>
      <c r="H310" s="10" t="s">
        <v>3141</v>
      </c>
      <c r="I310" s="10">
        <f>Db_MicroCy5E_FC</f>
        <v>0</v>
      </c>
      <c r="J310" s="10"/>
    </row>
    <row r="311" spans="4:10" ht="12" customHeight="1" x14ac:dyDescent="0.2">
      <c r="D311" s="10" t="str">
        <f t="shared" si="4"/>
        <v>Db_306</v>
      </c>
      <c r="E311" s="10" t="s">
        <v>2557</v>
      </c>
      <c r="F311" s="10" t="str">
        <f>MID(Table1[[#This Row],[Reference_Name]], 4, LEN(Table1[[#This Row],[Reference_Name]])-3)</f>
        <v>TrainCtotalE_FC</v>
      </c>
      <c r="G311" s="10" t="s">
        <v>3142</v>
      </c>
      <c r="H311" t="s">
        <v>3143</v>
      </c>
      <c r="I311" s="10">
        <f>Db_TrainCtotalE_FC</f>
        <v>0</v>
      </c>
      <c r="J311" s="10"/>
    </row>
    <row r="312" spans="4:10" ht="12" customHeight="1" x14ac:dyDescent="0.2">
      <c r="D312" s="10" t="str">
        <f t="shared" si="4"/>
        <v>Db_307</v>
      </c>
      <c r="E312" s="10" t="s">
        <v>2558</v>
      </c>
      <c r="F312" s="10" t="str">
        <f>MID(Table1[[#This Row],[Reference_Name]], 4, LEN(Table1[[#This Row],[Reference_Name]])-3)</f>
        <v>TrainCy1E_FC</v>
      </c>
      <c r="G312" s="10" t="s">
        <v>3144</v>
      </c>
      <c r="H312" s="10" t="s">
        <v>3145</v>
      </c>
      <c r="I312" s="10">
        <f>Db_TrainCy1E_FC</f>
        <v>0</v>
      </c>
      <c r="J312" s="10"/>
    </row>
    <row r="313" spans="4:10" ht="12" customHeight="1" x14ac:dyDescent="0.2">
      <c r="D313" s="10" t="str">
        <f t="shared" si="4"/>
        <v>Db_308</v>
      </c>
      <c r="E313" s="10" t="s">
        <v>2559</v>
      </c>
      <c r="F313" s="10" t="str">
        <f>MID(Table1[[#This Row],[Reference_Name]], 4, LEN(Table1[[#This Row],[Reference_Name]])-3)</f>
        <v>TrainCy2E_FC</v>
      </c>
      <c r="G313" s="10" t="s">
        <v>3146</v>
      </c>
      <c r="H313" s="10" t="s">
        <v>3147</v>
      </c>
      <c r="I313" s="10">
        <f>Db_TrainCy2E_FC</f>
        <v>0</v>
      </c>
      <c r="J313" s="10"/>
    </row>
    <row r="314" spans="4:10" ht="12" customHeight="1" x14ac:dyDescent="0.2">
      <c r="D314" s="10" t="str">
        <f t="shared" si="4"/>
        <v>Db_309</v>
      </c>
      <c r="E314" s="10" t="s">
        <v>2560</v>
      </c>
      <c r="F314" s="10" t="str">
        <f>MID(Table1[[#This Row],[Reference_Name]], 4, LEN(Table1[[#This Row],[Reference_Name]])-3)</f>
        <v>TrainCy3E_FC</v>
      </c>
      <c r="G314" s="10" t="s">
        <v>3148</v>
      </c>
      <c r="H314" s="10" t="s">
        <v>3149</v>
      </c>
      <c r="I314" s="10">
        <f>Db_TrainCy3E_FC</f>
        <v>0</v>
      </c>
      <c r="J314" s="10"/>
    </row>
    <row r="315" spans="4:10" ht="12" customHeight="1" x14ac:dyDescent="0.2">
      <c r="D315" s="10" t="str">
        <f t="shared" si="4"/>
        <v>Db_310</v>
      </c>
      <c r="E315" s="10" t="s">
        <v>2561</v>
      </c>
      <c r="F315" s="10" t="str">
        <f>MID(Table1[[#This Row],[Reference_Name]], 4, LEN(Table1[[#This Row],[Reference_Name]])-3)</f>
        <v>TrainCy4E_FC</v>
      </c>
      <c r="G315" s="10" t="s">
        <v>3150</v>
      </c>
      <c r="H315" s="10" t="s">
        <v>3151</v>
      </c>
      <c r="I315" s="10">
        <f>Db_TrainCy4E_FC</f>
        <v>0</v>
      </c>
      <c r="J315" s="10"/>
    </row>
    <row r="316" spans="4:10" ht="12" customHeight="1" x14ac:dyDescent="0.2">
      <c r="D316" s="10" t="str">
        <f t="shared" si="4"/>
        <v>Db_311</v>
      </c>
      <c r="E316" s="10" t="s">
        <v>2562</v>
      </c>
      <c r="F316" s="10" t="str">
        <f>MID(Table1[[#This Row],[Reference_Name]], 4, LEN(Table1[[#This Row],[Reference_Name]])-3)</f>
        <v>TrainCy5E_FC</v>
      </c>
      <c r="G316" s="10" t="s">
        <v>3152</v>
      </c>
      <c r="H316" s="10" t="s">
        <v>3153</v>
      </c>
      <c r="I316" s="10">
        <f>Db_TrainCy5E_FC</f>
        <v>0</v>
      </c>
      <c r="J316" s="10"/>
    </row>
    <row r="317" spans="4:10" ht="12" customHeight="1" x14ac:dyDescent="0.2">
      <c r="D317" s="10" t="str">
        <f t="shared" si="4"/>
        <v>Db_312</v>
      </c>
      <c r="E317" s="10" t="s">
        <v>2563</v>
      </c>
      <c r="F317" s="10" t="str">
        <f>MID(Table1[[#This Row],[Reference_Name]], 4, LEN(Table1[[#This Row],[Reference_Name]])-3)</f>
        <v>SenCtotalE_FC</v>
      </c>
      <c r="G317" s="10" t="s">
        <v>3154</v>
      </c>
      <c r="H317" t="s">
        <v>3155</v>
      </c>
      <c r="I317" s="10">
        <f>Db_SenCtotalE_FC</f>
        <v>0</v>
      </c>
      <c r="J317" s="10"/>
    </row>
    <row r="318" spans="4:10" ht="12" customHeight="1" x14ac:dyDescent="0.2">
      <c r="D318" s="10" t="str">
        <f t="shared" si="4"/>
        <v>Db_313</v>
      </c>
      <c r="E318" s="10" t="s">
        <v>2564</v>
      </c>
      <c r="F318" s="10" t="str">
        <f>MID(Table1[[#This Row],[Reference_Name]], 4, LEN(Table1[[#This Row],[Reference_Name]])-3)</f>
        <v>SenCy1E_FC</v>
      </c>
      <c r="G318" s="10" t="s">
        <v>3156</v>
      </c>
      <c r="H318" s="10" t="s">
        <v>3157</v>
      </c>
      <c r="I318" s="10">
        <f>Db_SenCy1E_FC</f>
        <v>0</v>
      </c>
      <c r="J318" s="10"/>
    </row>
    <row r="319" spans="4:10" ht="12" customHeight="1" x14ac:dyDescent="0.2">
      <c r="D319" s="10" t="str">
        <f t="shared" si="4"/>
        <v>Db_314</v>
      </c>
      <c r="E319" s="10" t="s">
        <v>2565</v>
      </c>
      <c r="F319" s="10" t="str">
        <f>MID(Table1[[#This Row],[Reference_Name]], 4, LEN(Table1[[#This Row],[Reference_Name]])-3)</f>
        <v>SenCy2E_FC</v>
      </c>
      <c r="G319" s="10" t="s">
        <v>3158</v>
      </c>
      <c r="H319" s="10" t="s">
        <v>3159</v>
      </c>
      <c r="I319" s="10">
        <f>Db_SenCy2E_FC</f>
        <v>0</v>
      </c>
      <c r="J319" s="10"/>
    </row>
    <row r="320" spans="4:10" ht="12" customHeight="1" x14ac:dyDescent="0.2">
      <c r="D320" s="10" t="str">
        <f t="shared" si="4"/>
        <v>Db_315</v>
      </c>
      <c r="E320" s="10" t="s">
        <v>2566</v>
      </c>
      <c r="F320" s="10" t="str">
        <f>MID(Table1[[#This Row],[Reference_Name]], 4, LEN(Table1[[#This Row],[Reference_Name]])-3)</f>
        <v>SenCy3E_FC</v>
      </c>
      <c r="G320" s="10" t="s">
        <v>3160</v>
      </c>
      <c r="H320" s="10" t="s">
        <v>3161</v>
      </c>
      <c r="I320" s="10">
        <f>Db_SenCy3E_FC</f>
        <v>0</v>
      </c>
      <c r="J320" s="10"/>
    </row>
    <row r="321" spans="4:10" ht="12" customHeight="1" x14ac:dyDescent="0.2">
      <c r="D321" s="10" t="str">
        <f t="shared" si="4"/>
        <v>Db_316</v>
      </c>
      <c r="E321" s="10" t="s">
        <v>2567</v>
      </c>
      <c r="F321" s="10" t="str">
        <f>MID(Table1[[#This Row],[Reference_Name]], 4, LEN(Table1[[#This Row],[Reference_Name]])-3)</f>
        <v>SenCy4E_FC</v>
      </c>
      <c r="G321" s="10" t="s">
        <v>3162</v>
      </c>
      <c r="H321" s="10" t="s">
        <v>3163</v>
      </c>
      <c r="I321" s="10">
        <f>Db_SenCy4E_FC</f>
        <v>0</v>
      </c>
      <c r="J321" s="10"/>
    </row>
    <row r="322" spans="4:10" ht="12" customHeight="1" x14ac:dyDescent="0.2">
      <c r="D322" s="10" t="str">
        <f t="shared" si="4"/>
        <v>Db_317</v>
      </c>
      <c r="E322" s="10" t="s">
        <v>2568</v>
      </c>
      <c r="F322" s="10" t="str">
        <f>MID(Table1[[#This Row],[Reference_Name]], 4, LEN(Table1[[#This Row],[Reference_Name]])-3)</f>
        <v>SenCy5E_FC</v>
      </c>
      <c r="G322" s="10" t="s">
        <v>3164</v>
      </c>
      <c r="H322" s="10" t="s">
        <v>3165</v>
      </c>
      <c r="I322" s="10">
        <f>Db_SenCy5E_FC</f>
        <v>0</v>
      </c>
      <c r="J322" s="10"/>
    </row>
    <row r="323" spans="4:10" ht="12" customHeight="1" x14ac:dyDescent="0.2">
      <c r="D323" s="10" t="str">
        <f t="shared" si="4"/>
        <v>Db_318</v>
      </c>
      <c r="E323" s="10" t="s">
        <v>2569</v>
      </c>
      <c r="F323" s="10" t="str">
        <f>MID(Table1[[#This Row],[Reference_Name]], 4, LEN(Table1[[#This Row],[Reference_Name]])-3)</f>
        <v>SocCtotalE_FC</v>
      </c>
      <c r="G323" s="10" t="s">
        <v>3166</v>
      </c>
      <c r="H323" t="s">
        <v>3167</v>
      </c>
      <c r="I323" s="10">
        <f>Db_SocCtotalE_FC</f>
        <v>0</v>
      </c>
      <c r="J323" s="10"/>
    </row>
    <row r="324" spans="4:10" ht="12" customHeight="1" x14ac:dyDescent="0.2">
      <c r="D324" s="10" t="str">
        <f t="shared" si="4"/>
        <v>Db_319</v>
      </c>
      <c r="E324" s="10" t="s">
        <v>2570</v>
      </c>
      <c r="F324" s="10" t="str">
        <f>MID(Table1[[#This Row],[Reference_Name]], 4, LEN(Table1[[#This Row],[Reference_Name]])-3)</f>
        <v>SocCy1E_FC</v>
      </c>
      <c r="G324" s="10" t="s">
        <v>3168</v>
      </c>
      <c r="H324" s="10" t="s">
        <v>3169</v>
      </c>
      <c r="I324" s="10">
        <f>Db_SocCy1E_FC</f>
        <v>0</v>
      </c>
      <c r="J324" s="10"/>
    </row>
    <row r="325" spans="4:10" ht="12" customHeight="1" x14ac:dyDescent="0.2">
      <c r="D325" s="10" t="str">
        <f t="shared" si="4"/>
        <v>Db_320</v>
      </c>
      <c r="E325" s="10" t="s">
        <v>2571</v>
      </c>
      <c r="F325" s="10" t="str">
        <f>MID(Table1[[#This Row],[Reference_Name]], 4, LEN(Table1[[#This Row],[Reference_Name]])-3)</f>
        <v>SocCy2E_FC</v>
      </c>
      <c r="G325" s="10" t="s">
        <v>3170</v>
      </c>
      <c r="H325" s="10" t="s">
        <v>3171</v>
      </c>
      <c r="I325" s="10">
        <f>Db_SocCy2E_FC</f>
        <v>0</v>
      </c>
      <c r="J325" s="10"/>
    </row>
    <row r="326" spans="4:10" ht="12" customHeight="1" x14ac:dyDescent="0.2">
      <c r="D326" s="10" t="str">
        <f t="shared" ref="D326:D389" si="5">"Db_"&amp;ROW()-5</f>
        <v>Db_321</v>
      </c>
      <c r="E326" s="10" t="s">
        <v>2572</v>
      </c>
      <c r="F326" s="10" t="str">
        <f>MID(Table1[[#This Row],[Reference_Name]], 4, LEN(Table1[[#This Row],[Reference_Name]])-3)</f>
        <v>SocCy3E_FC</v>
      </c>
      <c r="G326" s="10" t="s">
        <v>3172</v>
      </c>
      <c r="H326" s="10" t="s">
        <v>3173</v>
      </c>
      <c r="I326" s="10">
        <f>Db_SocCy3E_FC</f>
        <v>0</v>
      </c>
      <c r="J326" s="10"/>
    </row>
    <row r="327" spans="4:10" ht="12" customHeight="1" x14ac:dyDescent="0.2">
      <c r="D327" s="10" t="str">
        <f t="shared" si="5"/>
        <v>Db_322</v>
      </c>
      <c r="E327" s="10" t="s">
        <v>2573</v>
      </c>
      <c r="F327" s="10" t="str">
        <f>MID(Table1[[#This Row],[Reference_Name]], 4, LEN(Table1[[#This Row],[Reference_Name]])-3)</f>
        <v>SocCy4E_FC</v>
      </c>
      <c r="G327" s="10" t="s">
        <v>3174</v>
      </c>
      <c r="H327" s="10" t="s">
        <v>3175</v>
      </c>
      <c r="I327" s="10">
        <f>Db_SocCy4E_FC</f>
        <v>0</v>
      </c>
      <c r="J327" s="10"/>
    </row>
    <row r="328" spans="4:10" ht="12" customHeight="1" x14ac:dyDescent="0.2">
      <c r="D328" s="10" t="str">
        <f t="shared" si="5"/>
        <v>Db_323</v>
      </c>
      <c r="E328" s="10" t="s">
        <v>2574</v>
      </c>
      <c r="F328" s="10" t="str">
        <f>MID(Table1[[#This Row],[Reference_Name]], 4, LEN(Table1[[#This Row],[Reference_Name]])-3)</f>
        <v>SocCy5E_FC</v>
      </c>
      <c r="G328" s="10" t="s">
        <v>3176</v>
      </c>
      <c r="H328" s="10" t="s">
        <v>3177</v>
      </c>
      <c r="I328" s="10">
        <f>Db_SocCy5E_FC</f>
        <v>0</v>
      </c>
      <c r="J328" s="10"/>
    </row>
    <row r="329" spans="4:10" ht="12" customHeight="1" x14ac:dyDescent="0.2">
      <c r="D329" s="10" t="str">
        <f t="shared" si="5"/>
        <v>Db_324</v>
      </c>
      <c r="E329" s="10" t="s">
        <v>2575</v>
      </c>
      <c r="F329" s="10" t="str">
        <f>MID(Table1[[#This Row],[Reference_Name]], 4, LEN(Table1[[#This Row],[Reference_Name]])-3)</f>
        <v>VacCtotalE_FC</v>
      </c>
      <c r="G329" s="10" t="s">
        <v>3178</v>
      </c>
      <c r="H329" t="s">
        <v>3179</v>
      </c>
      <c r="I329" s="10">
        <f>Db_VacCtotalE_FC</f>
        <v>0</v>
      </c>
      <c r="J329" s="10"/>
    </row>
    <row r="330" spans="4:10" ht="12" customHeight="1" x14ac:dyDescent="0.2">
      <c r="D330" s="10" t="str">
        <f t="shared" si="5"/>
        <v>Db_325</v>
      </c>
      <c r="E330" s="10" t="s">
        <v>2576</v>
      </c>
      <c r="F330" s="10" t="str">
        <f>MID(Table1[[#This Row],[Reference_Name]], 4, LEN(Table1[[#This Row],[Reference_Name]])-3)</f>
        <v>VacCy1E_FC</v>
      </c>
      <c r="G330" s="10" t="s">
        <v>3180</v>
      </c>
      <c r="H330" s="10" t="s">
        <v>3181</v>
      </c>
      <c r="I330" s="10">
        <f>Db_VacCy1E_FC</f>
        <v>0</v>
      </c>
      <c r="J330" s="10"/>
    </row>
    <row r="331" spans="4:10" ht="12" customHeight="1" x14ac:dyDescent="0.2">
      <c r="D331" s="10" t="str">
        <f t="shared" si="5"/>
        <v>Db_326</v>
      </c>
      <c r="E331" s="10" t="s">
        <v>2577</v>
      </c>
      <c r="F331" s="10" t="str">
        <f>MID(Table1[[#This Row],[Reference_Name]], 4, LEN(Table1[[#This Row],[Reference_Name]])-3)</f>
        <v>VacCy2E_FC</v>
      </c>
      <c r="G331" s="10" t="s">
        <v>3182</v>
      </c>
      <c r="H331" s="10" t="s">
        <v>3183</v>
      </c>
      <c r="I331" s="10">
        <f>Db_VacCy2E_FC</f>
        <v>0</v>
      </c>
      <c r="J331" s="10"/>
    </row>
    <row r="332" spans="4:10" ht="12" customHeight="1" x14ac:dyDescent="0.2">
      <c r="D332" s="10" t="str">
        <f t="shared" si="5"/>
        <v>Db_327</v>
      </c>
      <c r="E332" s="10" t="s">
        <v>2578</v>
      </c>
      <c r="F332" s="10" t="str">
        <f>MID(Table1[[#This Row],[Reference_Name]], 4, LEN(Table1[[#This Row],[Reference_Name]])-3)</f>
        <v>VacCy3E_FC</v>
      </c>
      <c r="G332" s="10" t="s">
        <v>3184</v>
      </c>
      <c r="H332" s="10" t="s">
        <v>3185</v>
      </c>
      <c r="I332" s="10">
        <f>Db_VacCy3E_FC</f>
        <v>0</v>
      </c>
      <c r="J332" s="10"/>
    </row>
    <row r="333" spans="4:10" ht="12" customHeight="1" x14ac:dyDescent="0.2">
      <c r="D333" s="10" t="str">
        <f t="shared" si="5"/>
        <v>Db_328</v>
      </c>
      <c r="E333" s="10" t="s">
        <v>2579</v>
      </c>
      <c r="F333" s="10" t="str">
        <f>MID(Table1[[#This Row],[Reference_Name]], 4, LEN(Table1[[#This Row],[Reference_Name]])-3)</f>
        <v>VacCy4E_FC</v>
      </c>
      <c r="G333" s="10" t="s">
        <v>3186</v>
      </c>
      <c r="H333" s="10" t="s">
        <v>3187</v>
      </c>
      <c r="I333" s="10">
        <f>Db_VacCy4E_FC</f>
        <v>0</v>
      </c>
      <c r="J333" s="10"/>
    </row>
    <row r="334" spans="4:10" ht="12" customHeight="1" x14ac:dyDescent="0.2">
      <c r="D334" s="10" t="str">
        <f t="shared" si="5"/>
        <v>Db_329</v>
      </c>
      <c r="E334" s="10" t="s">
        <v>2580</v>
      </c>
      <c r="F334" s="10" t="str">
        <f>MID(Table1[[#This Row],[Reference_Name]], 4, LEN(Table1[[#This Row],[Reference_Name]])-3)</f>
        <v>VacCy5E_FC</v>
      </c>
      <c r="G334" s="10" t="s">
        <v>3188</v>
      </c>
      <c r="H334" s="10" t="s">
        <v>3189</v>
      </c>
      <c r="I334" s="10">
        <f>Db_VacCy5E_FC</f>
        <v>0</v>
      </c>
      <c r="J334" s="10"/>
    </row>
    <row r="335" spans="4:10" ht="12" customHeight="1" x14ac:dyDescent="0.2">
      <c r="D335" s="10" t="str">
        <f t="shared" si="5"/>
        <v>Db_330</v>
      </c>
      <c r="E335" s="10" t="s">
        <v>2581</v>
      </c>
      <c r="F335" s="10" t="str">
        <f>MID(Table1[[#This Row],[Reference_Name]], 4, LEN(Table1[[#This Row],[Reference_Name]])-3)</f>
        <v>SerCtotalE_FC</v>
      </c>
      <c r="G335" s="10" t="s">
        <v>3190</v>
      </c>
      <c r="H335" t="s">
        <v>3191</v>
      </c>
      <c r="I335" s="10">
        <f>Db_SerCtotalE_FC</f>
        <v>0</v>
      </c>
      <c r="J335" s="10"/>
    </row>
    <row r="336" spans="4:10" ht="12" customHeight="1" x14ac:dyDescent="0.2">
      <c r="D336" s="10" t="str">
        <f t="shared" si="5"/>
        <v>Db_331</v>
      </c>
      <c r="E336" s="10" t="s">
        <v>2582</v>
      </c>
      <c r="F336" s="10" t="str">
        <f>MID(Table1[[#This Row],[Reference_Name]], 4, LEN(Table1[[#This Row],[Reference_Name]])-3)</f>
        <v>SerCy1E_FC</v>
      </c>
      <c r="G336" s="10" t="s">
        <v>3192</v>
      </c>
      <c r="H336" s="10" t="s">
        <v>3193</v>
      </c>
      <c r="I336" s="10">
        <f>Db_SerCy1E_FC</f>
        <v>0</v>
      </c>
      <c r="J336" s="10"/>
    </row>
    <row r="337" spans="4:10" ht="12" customHeight="1" x14ac:dyDescent="0.2">
      <c r="D337" s="10" t="str">
        <f t="shared" si="5"/>
        <v>Db_332</v>
      </c>
      <c r="E337" s="10" t="s">
        <v>2583</v>
      </c>
      <c r="F337" s="10" t="str">
        <f>MID(Table1[[#This Row],[Reference_Name]], 4, LEN(Table1[[#This Row],[Reference_Name]])-3)</f>
        <v>SerCy2E_FC</v>
      </c>
      <c r="G337" s="10" t="s">
        <v>3194</v>
      </c>
      <c r="H337" s="10" t="s">
        <v>3195</v>
      </c>
      <c r="I337" s="10">
        <f>Db_SerCy2E_FC</f>
        <v>0</v>
      </c>
      <c r="J337" s="10"/>
    </row>
    <row r="338" spans="4:10" ht="12" customHeight="1" x14ac:dyDescent="0.2">
      <c r="D338" s="10" t="str">
        <f t="shared" si="5"/>
        <v>Db_333</v>
      </c>
      <c r="E338" s="10" t="s">
        <v>2584</v>
      </c>
      <c r="F338" s="10" t="str">
        <f>MID(Table1[[#This Row],[Reference_Name]], 4, LEN(Table1[[#This Row],[Reference_Name]])-3)</f>
        <v>SerCy3E_FC</v>
      </c>
      <c r="G338" s="10" t="s">
        <v>3196</v>
      </c>
      <c r="H338" s="10" t="s">
        <v>3197</v>
      </c>
      <c r="I338" s="10">
        <f>Db_SerCy3E_FC</f>
        <v>0</v>
      </c>
      <c r="J338" s="10"/>
    </row>
    <row r="339" spans="4:10" ht="12" customHeight="1" x14ac:dyDescent="0.2">
      <c r="D339" s="10" t="str">
        <f t="shared" si="5"/>
        <v>Db_334</v>
      </c>
      <c r="E339" s="10" t="s">
        <v>2585</v>
      </c>
      <c r="F339" s="10" t="str">
        <f>MID(Table1[[#This Row],[Reference_Name]], 4, LEN(Table1[[#This Row],[Reference_Name]])-3)</f>
        <v>SerCy4E_FC</v>
      </c>
      <c r="G339" s="10" t="s">
        <v>3198</v>
      </c>
      <c r="H339" s="10" t="s">
        <v>3199</v>
      </c>
      <c r="I339" s="10">
        <f>Db_SerCy4E_FC</f>
        <v>0</v>
      </c>
      <c r="J339" s="10"/>
    </row>
    <row r="340" spans="4:10" ht="12" customHeight="1" x14ac:dyDescent="0.2">
      <c r="D340" s="10" t="str">
        <f t="shared" si="5"/>
        <v>Db_335</v>
      </c>
      <c r="E340" s="10" t="s">
        <v>2586</v>
      </c>
      <c r="F340" s="10" t="str">
        <f>MID(Table1[[#This Row],[Reference_Name]], 4, LEN(Table1[[#This Row],[Reference_Name]])-3)</f>
        <v>SerCy5E_FC</v>
      </c>
      <c r="G340" s="10" t="s">
        <v>3200</v>
      </c>
      <c r="H340" s="10" t="s">
        <v>3201</v>
      </c>
      <c r="I340" s="10">
        <f>Db_SerCy5E_FC</f>
        <v>0</v>
      </c>
      <c r="J340" s="10"/>
    </row>
    <row r="341" spans="4:10" s="10" customFormat="1" ht="12" customHeight="1" x14ac:dyDescent="0.2">
      <c r="D341" s="10" t="str">
        <f t="shared" si="5"/>
        <v>Db_336</v>
      </c>
      <c r="E341" s="10" t="s">
        <v>2587</v>
      </c>
      <c r="F341" s="10" t="str">
        <f>MID(Table1[[#This Row],[Reference_Name]], 4, LEN(Table1[[#This Row],[Reference_Name]])-3)</f>
        <v>SerC_SV1_totalE_FC</v>
      </c>
      <c r="G341" s="10" t="s">
        <v>3202</v>
      </c>
      <c r="H341" s="10" t="s">
        <v>3203</v>
      </c>
      <c r="I341" s="10">
        <f>Db_SerC_SV1_totalE_FC</f>
        <v>0</v>
      </c>
    </row>
    <row r="342" spans="4:10" s="10" customFormat="1" ht="12" customHeight="1" x14ac:dyDescent="0.2">
      <c r="D342" s="10" t="str">
        <f t="shared" si="5"/>
        <v>Db_337</v>
      </c>
      <c r="E342" s="10" t="s">
        <v>2588</v>
      </c>
      <c r="F342" s="10" t="str">
        <f>MID(Table1[[#This Row],[Reference_Name]], 4, LEN(Table1[[#This Row],[Reference_Name]])-3)</f>
        <v>SerC_SV1_y1E_FC</v>
      </c>
      <c r="G342" s="10" t="s">
        <v>3204</v>
      </c>
      <c r="H342" s="10" t="s">
        <v>3205</v>
      </c>
      <c r="I342" s="10">
        <f>Db_SerC_SV1_y1E_FC</f>
        <v>0</v>
      </c>
    </row>
    <row r="343" spans="4:10" s="10" customFormat="1" ht="12" customHeight="1" x14ac:dyDescent="0.2">
      <c r="D343" s="10" t="str">
        <f t="shared" si="5"/>
        <v>Db_338</v>
      </c>
      <c r="E343" s="10" t="s">
        <v>2589</v>
      </c>
      <c r="F343" s="10" t="str">
        <f>MID(Table1[[#This Row],[Reference_Name]], 4, LEN(Table1[[#This Row],[Reference_Name]])-3)</f>
        <v>SerC_SV1_y2E_FC</v>
      </c>
      <c r="G343" s="10" t="s">
        <v>3206</v>
      </c>
      <c r="H343" s="10" t="s">
        <v>3207</v>
      </c>
      <c r="I343" s="10">
        <f>Db_SerC_SV1_y2E_FC</f>
        <v>0</v>
      </c>
    </row>
    <row r="344" spans="4:10" s="10" customFormat="1" ht="12" customHeight="1" x14ac:dyDescent="0.2">
      <c r="D344" s="10" t="str">
        <f t="shared" si="5"/>
        <v>Db_339</v>
      </c>
      <c r="E344" s="10" t="s">
        <v>2590</v>
      </c>
      <c r="F344" s="10" t="str">
        <f>MID(Table1[[#This Row],[Reference_Name]], 4, LEN(Table1[[#This Row],[Reference_Name]])-3)</f>
        <v>SerC_SV1_y3E_FC</v>
      </c>
      <c r="G344" s="10" t="s">
        <v>3208</v>
      </c>
      <c r="H344" s="10" t="s">
        <v>3209</v>
      </c>
      <c r="I344" s="10">
        <f>Db_SerC_SV1_y3E_FC</f>
        <v>0</v>
      </c>
    </row>
    <row r="345" spans="4:10" s="10" customFormat="1" ht="12" customHeight="1" x14ac:dyDescent="0.2">
      <c r="D345" s="10" t="str">
        <f t="shared" si="5"/>
        <v>Db_340</v>
      </c>
      <c r="E345" s="10" t="s">
        <v>2591</v>
      </c>
      <c r="F345" s="10" t="str">
        <f>MID(Table1[[#This Row],[Reference_Name]], 4, LEN(Table1[[#This Row],[Reference_Name]])-3)</f>
        <v>SerC_SV1_y4E_FC</v>
      </c>
      <c r="G345" s="10" t="s">
        <v>3210</v>
      </c>
      <c r="H345" s="10" t="s">
        <v>3211</v>
      </c>
      <c r="I345" s="10">
        <f>Db_SerC_SV1_y4E_FC</f>
        <v>0</v>
      </c>
    </row>
    <row r="346" spans="4:10" s="10" customFormat="1" ht="12" customHeight="1" x14ac:dyDescent="0.2">
      <c r="D346" s="10" t="str">
        <f t="shared" si="5"/>
        <v>Db_341</v>
      </c>
      <c r="E346" s="10" t="s">
        <v>2592</v>
      </c>
      <c r="F346" s="10" t="str">
        <f>MID(Table1[[#This Row],[Reference_Name]], 4, LEN(Table1[[#This Row],[Reference_Name]])-3)</f>
        <v>SerC_SV1_y5E_FC</v>
      </c>
      <c r="G346" s="10" t="s">
        <v>3212</v>
      </c>
      <c r="H346" s="10" t="s">
        <v>3213</v>
      </c>
      <c r="I346" s="10">
        <f>Db_SerC_SV1_y5E_FC</f>
        <v>0</v>
      </c>
    </row>
    <row r="347" spans="4:10" s="10" customFormat="1" ht="12" customHeight="1" x14ac:dyDescent="0.2">
      <c r="D347" s="10" t="str">
        <f t="shared" si="5"/>
        <v>Db_342</v>
      </c>
      <c r="E347" s="10" t="s">
        <v>2593</v>
      </c>
      <c r="F347" s="10" t="str">
        <f>MID(Table1[[#This Row],[Reference_Name]], 4, LEN(Table1[[#This Row],[Reference_Name]])-3)</f>
        <v>SerC_SV2_totalE_FC</v>
      </c>
      <c r="G347" s="10" t="s">
        <v>3214</v>
      </c>
      <c r="H347" s="10" t="s">
        <v>3215</v>
      </c>
      <c r="I347" s="10">
        <f>Db_SerC_SV2_totalE_FC</f>
        <v>0</v>
      </c>
    </row>
    <row r="348" spans="4:10" s="10" customFormat="1" ht="12" customHeight="1" x14ac:dyDescent="0.2">
      <c r="D348" s="10" t="str">
        <f t="shared" si="5"/>
        <v>Db_343</v>
      </c>
      <c r="E348" s="10" t="s">
        <v>2594</v>
      </c>
      <c r="F348" s="10" t="str">
        <f>MID(Table1[[#This Row],[Reference_Name]], 4, LEN(Table1[[#This Row],[Reference_Name]])-3)</f>
        <v>SerC_SV2_y1E_FC</v>
      </c>
      <c r="G348" s="10" t="s">
        <v>3216</v>
      </c>
      <c r="H348" s="10" t="s">
        <v>3217</v>
      </c>
      <c r="I348" s="10">
        <f>Db_SerC_SV2_y1E_FC</f>
        <v>0</v>
      </c>
    </row>
    <row r="349" spans="4:10" s="10" customFormat="1" ht="12" customHeight="1" x14ac:dyDescent="0.2">
      <c r="D349" s="10" t="str">
        <f t="shared" si="5"/>
        <v>Db_344</v>
      </c>
      <c r="E349" s="10" t="s">
        <v>2595</v>
      </c>
      <c r="F349" s="10" t="str">
        <f>MID(Table1[[#This Row],[Reference_Name]], 4, LEN(Table1[[#This Row],[Reference_Name]])-3)</f>
        <v>SerC_SV2_y2E_FC</v>
      </c>
      <c r="G349" s="10" t="s">
        <v>3218</v>
      </c>
      <c r="H349" s="10" t="s">
        <v>3219</v>
      </c>
      <c r="I349" s="10">
        <f>Db_SerC_SV2_y2E_FC</f>
        <v>0</v>
      </c>
    </row>
    <row r="350" spans="4:10" s="10" customFormat="1" ht="12" customHeight="1" x14ac:dyDescent="0.2">
      <c r="D350" s="10" t="str">
        <f t="shared" si="5"/>
        <v>Db_345</v>
      </c>
      <c r="E350" s="10" t="s">
        <v>2596</v>
      </c>
      <c r="F350" s="10" t="str">
        <f>MID(Table1[[#This Row],[Reference_Name]], 4, LEN(Table1[[#This Row],[Reference_Name]])-3)</f>
        <v>SerC_SV2_y3E_FC</v>
      </c>
      <c r="G350" s="10" t="s">
        <v>3220</v>
      </c>
      <c r="H350" s="10" t="s">
        <v>3221</v>
      </c>
      <c r="I350" s="10">
        <f>Db_SerC_SV2_y3E_FC</f>
        <v>0</v>
      </c>
    </row>
    <row r="351" spans="4:10" s="10" customFormat="1" ht="12" customHeight="1" x14ac:dyDescent="0.2">
      <c r="D351" s="10" t="str">
        <f t="shared" si="5"/>
        <v>Db_346</v>
      </c>
      <c r="E351" s="10" t="s">
        <v>2597</v>
      </c>
      <c r="F351" s="10" t="str">
        <f>MID(Table1[[#This Row],[Reference_Name]], 4, LEN(Table1[[#This Row],[Reference_Name]])-3)</f>
        <v>SerC_SV2_y4E_FC</v>
      </c>
      <c r="G351" s="10" t="s">
        <v>3222</v>
      </c>
      <c r="H351" s="10" t="s">
        <v>3223</v>
      </c>
      <c r="I351" s="10">
        <f>Db_SerC_SV2_y4E_FC</f>
        <v>0</v>
      </c>
    </row>
    <row r="352" spans="4:10" s="10" customFormat="1" ht="12" customHeight="1" x14ac:dyDescent="0.2">
      <c r="D352" s="10" t="str">
        <f t="shared" si="5"/>
        <v>Db_347</v>
      </c>
      <c r="E352" s="10" t="s">
        <v>2598</v>
      </c>
      <c r="F352" s="10" t="str">
        <f>MID(Table1[[#This Row],[Reference_Name]], 4, LEN(Table1[[#This Row],[Reference_Name]])-3)</f>
        <v>SerC_SV2_y5E_FC</v>
      </c>
      <c r="G352" s="10" t="s">
        <v>3224</v>
      </c>
      <c r="H352" s="10" t="s">
        <v>3225</v>
      </c>
      <c r="I352" s="10">
        <f>Db_SerC_SV2_y5E_FC</f>
        <v>0</v>
      </c>
    </row>
    <row r="353" spans="4:10" s="10" customFormat="1" ht="12" customHeight="1" x14ac:dyDescent="0.2">
      <c r="D353" s="10" t="str">
        <f t="shared" si="5"/>
        <v>Db_348</v>
      </c>
      <c r="E353" s="10" t="s">
        <v>2599</v>
      </c>
      <c r="F353" s="10" t="str">
        <f>MID(Table1[[#This Row],[Reference_Name]], 4, LEN(Table1[[#This Row],[Reference_Name]])-3)</f>
        <v>SerC_GV1_totalE_FC</v>
      </c>
      <c r="G353" s="10" t="s">
        <v>3226</v>
      </c>
      <c r="H353" s="10" t="s">
        <v>3227</v>
      </c>
      <c r="I353" s="10">
        <f>Db_SerC_GV1_totalE_FC</f>
        <v>0</v>
      </c>
    </row>
    <row r="354" spans="4:10" s="10" customFormat="1" ht="12" customHeight="1" x14ac:dyDescent="0.2">
      <c r="D354" s="10" t="str">
        <f t="shared" si="5"/>
        <v>Db_349</v>
      </c>
      <c r="E354" s="10" t="s">
        <v>2600</v>
      </c>
      <c r="F354" s="10" t="str">
        <f>MID(Table1[[#This Row],[Reference_Name]], 4, LEN(Table1[[#This Row],[Reference_Name]])-3)</f>
        <v>SerC_GV1_y1E_FC</v>
      </c>
      <c r="G354" s="10" t="s">
        <v>3228</v>
      </c>
      <c r="H354" s="10" t="s">
        <v>3229</v>
      </c>
      <c r="I354" s="10">
        <f>Db_SerC_GV1_y1E_FC</f>
        <v>0</v>
      </c>
    </row>
    <row r="355" spans="4:10" s="10" customFormat="1" ht="12" customHeight="1" x14ac:dyDescent="0.2">
      <c r="D355" s="10" t="str">
        <f t="shared" si="5"/>
        <v>Db_350</v>
      </c>
      <c r="E355" s="10" t="s">
        <v>2601</v>
      </c>
      <c r="F355" s="10" t="str">
        <f>MID(Table1[[#This Row],[Reference_Name]], 4, LEN(Table1[[#This Row],[Reference_Name]])-3)</f>
        <v>SerC_GV1_y2E_FC</v>
      </c>
      <c r="G355" s="10" t="s">
        <v>3230</v>
      </c>
      <c r="H355" s="10" t="s">
        <v>3231</v>
      </c>
      <c r="I355" s="10">
        <f>Db_SerC_GV1_y2E_FC</f>
        <v>0</v>
      </c>
    </row>
    <row r="356" spans="4:10" s="10" customFormat="1" ht="12" customHeight="1" x14ac:dyDescent="0.2">
      <c r="D356" s="10" t="str">
        <f t="shared" si="5"/>
        <v>Db_351</v>
      </c>
      <c r="E356" s="10" t="s">
        <v>2602</v>
      </c>
      <c r="F356" s="10" t="str">
        <f>MID(Table1[[#This Row],[Reference_Name]], 4, LEN(Table1[[#This Row],[Reference_Name]])-3)</f>
        <v>SerC_GV1_y3E_FC</v>
      </c>
      <c r="G356" s="10" t="s">
        <v>3232</v>
      </c>
      <c r="H356" s="10" t="s">
        <v>3233</v>
      </c>
      <c r="I356" s="10">
        <f>Db_SerC_GV1_y3E_FC</f>
        <v>0</v>
      </c>
    </row>
    <row r="357" spans="4:10" s="10" customFormat="1" ht="12" customHeight="1" x14ac:dyDescent="0.2">
      <c r="D357" s="10" t="str">
        <f t="shared" si="5"/>
        <v>Db_352</v>
      </c>
      <c r="E357" s="10" t="s">
        <v>2603</v>
      </c>
      <c r="F357" s="10" t="str">
        <f>MID(Table1[[#This Row],[Reference_Name]], 4, LEN(Table1[[#This Row],[Reference_Name]])-3)</f>
        <v>SerC_GV1_y4E_FC</v>
      </c>
      <c r="G357" s="10" t="s">
        <v>3234</v>
      </c>
      <c r="H357" s="10" t="s">
        <v>3235</v>
      </c>
      <c r="I357" s="10">
        <f>Db_SerC_GV1_y4E_FC</f>
        <v>0</v>
      </c>
    </row>
    <row r="358" spans="4:10" s="10" customFormat="1" ht="12" customHeight="1" x14ac:dyDescent="0.2">
      <c r="D358" s="10" t="str">
        <f t="shared" si="5"/>
        <v>Db_353</v>
      </c>
      <c r="E358" s="10" t="s">
        <v>2604</v>
      </c>
      <c r="F358" s="10" t="str">
        <f>MID(Table1[[#This Row],[Reference_Name]], 4, LEN(Table1[[#This Row],[Reference_Name]])-3)</f>
        <v>SerC_GV1_y5E_FC</v>
      </c>
      <c r="G358" s="10" t="s">
        <v>3236</v>
      </c>
      <c r="H358" s="10" t="s">
        <v>3237</v>
      </c>
      <c r="I358" s="10">
        <f>Db_SerC_GV1_y5E_FC</f>
        <v>0</v>
      </c>
    </row>
    <row r="359" spans="4:10" s="10" customFormat="1" ht="12" customHeight="1" x14ac:dyDescent="0.2">
      <c r="D359" s="10" t="str">
        <f t="shared" si="5"/>
        <v>Db_354</v>
      </c>
      <c r="E359" s="10" t="s">
        <v>2605</v>
      </c>
      <c r="F359" s="10" t="str">
        <f>MID(Table1[[#This Row],[Reference_Name]], 4, LEN(Table1[[#This Row],[Reference_Name]])-3)</f>
        <v>SerC_GV2_totalE_FC</v>
      </c>
      <c r="G359" s="10" t="s">
        <v>3238</v>
      </c>
      <c r="H359" s="10" t="s">
        <v>3239</v>
      </c>
      <c r="I359" s="10">
        <f>Db_SerC_GV2_totalE_FC</f>
        <v>0</v>
      </c>
    </row>
    <row r="360" spans="4:10" s="10" customFormat="1" ht="12" customHeight="1" x14ac:dyDescent="0.2">
      <c r="D360" s="10" t="str">
        <f t="shared" si="5"/>
        <v>Db_355</v>
      </c>
      <c r="E360" s="10" t="s">
        <v>2606</v>
      </c>
      <c r="F360" s="10" t="str">
        <f>MID(Table1[[#This Row],[Reference_Name]], 4, LEN(Table1[[#This Row],[Reference_Name]])-3)</f>
        <v>SerC_GV2_y1E_FC</v>
      </c>
      <c r="G360" s="10" t="s">
        <v>3240</v>
      </c>
      <c r="H360" s="10" t="s">
        <v>3241</v>
      </c>
      <c r="I360" s="10">
        <f>Db_SerC_GV2_y1E_FC</f>
        <v>0</v>
      </c>
    </row>
    <row r="361" spans="4:10" s="10" customFormat="1" ht="12" customHeight="1" x14ac:dyDescent="0.2">
      <c r="D361" s="10" t="str">
        <f t="shared" si="5"/>
        <v>Db_356</v>
      </c>
      <c r="E361" s="10" t="s">
        <v>2607</v>
      </c>
      <c r="F361" s="10" t="str">
        <f>MID(Table1[[#This Row],[Reference_Name]], 4, LEN(Table1[[#This Row],[Reference_Name]])-3)</f>
        <v>SerC_GV2_y2E_FC</v>
      </c>
      <c r="G361" s="10" t="s">
        <v>3242</v>
      </c>
      <c r="H361" s="10" t="s">
        <v>3243</v>
      </c>
      <c r="I361" s="10">
        <f>Db_SerC_GV2_y2E_FC</f>
        <v>0</v>
      </c>
    </row>
    <row r="362" spans="4:10" s="10" customFormat="1" ht="12" customHeight="1" x14ac:dyDescent="0.2">
      <c r="D362" s="10" t="str">
        <f t="shared" si="5"/>
        <v>Db_357</v>
      </c>
      <c r="E362" s="10" t="s">
        <v>2608</v>
      </c>
      <c r="F362" s="10" t="str">
        <f>MID(Table1[[#This Row],[Reference_Name]], 4, LEN(Table1[[#This Row],[Reference_Name]])-3)</f>
        <v>SerC_GV2_y3E_FC</v>
      </c>
      <c r="G362" s="10" t="s">
        <v>3244</v>
      </c>
      <c r="H362" s="10" t="s">
        <v>3245</v>
      </c>
      <c r="I362" s="10">
        <f>Db_SerC_GV2_y3E_FC</f>
        <v>0</v>
      </c>
    </row>
    <row r="363" spans="4:10" s="10" customFormat="1" ht="12" customHeight="1" x14ac:dyDescent="0.2">
      <c r="D363" s="10" t="str">
        <f t="shared" si="5"/>
        <v>Db_358</v>
      </c>
      <c r="E363" s="10" t="s">
        <v>2609</v>
      </c>
      <c r="F363" s="10" t="str">
        <f>MID(Table1[[#This Row],[Reference_Name]], 4, LEN(Table1[[#This Row],[Reference_Name]])-3)</f>
        <v>SerC_GV2_y4E_FC</v>
      </c>
      <c r="G363" s="10" t="s">
        <v>3246</v>
      </c>
      <c r="H363" s="10" t="s">
        <v>3247</v>
      </c>
      <c r="I363" s="10">
        <f>Db_SerC_GV2_y4E_FC</f>
        <v>0</v>
      </c>
    </row>
    <row r="364" spans="4:10" s="10" customFormat="1" ht="12" customHeight="1" x14ac:dyDescent="0.2">
      <c r="D364" s="10" t="str">
        <f t="shared" si="5"/>
        <v>Db_359</v>
      </c>
      <c r="E364" s="10" t="s">
        <v>2610</v>
      </c>
      <c r="F364" s="10" t="str">
        <f>MID(Table1[[#This Row],[Reference_Name]], 4, LEN(Table1[[#This Row],[Reference_Name]])-3)</f>
        <v>SerC_GV2_y5E_FC</v>
      </c>
      <c r="G364" s="10" t="s">
        <v>3248</v>
      </c>
      <c r="H364" s="10" t="s">
        <v>3249</v>
      </c>
      <c r="I364" s="10">
        <f>Db_SerC_GV2_y5E_FC</f>
        <v>0</v>
      </c>
    </row>
    <row r="365" spans="4:10" ht="12" customHeight="1" x14ac:dyDescent="0.2">
      <c r="D365" s="10" t="str">
        <f t="shared" si="5"/>
        <v>Db_360</v>
      </c>
      <c r="E365" s="10" t="s">
        <v>2611</v>
      </c>
      <c r="F365" s="10" t="str">
        <f>MID(Table1[[#This Row],[Reference_Name]], 4, LEN(Table1[[#This Row],[Reference_Name]])-3)</f>
        <v>SupCtotalE_FC</v>
      </c>
      <c r="G365" s="10" t="s">
        <v>3250</v>
      </c>
      <c r="H365" t="s">
        <v>3251</v>
      </c>
      <c r="I365" s="10">
        <f>Db_SupCtotalE_FC</f>
        <v>0</v>
      </c>
      <c r="J365" s="10"/>
    </row>
    <row r="366" spans="4:10" ht="12" customHeight="1" x14ac:dyDescent="0.2">
      <c r="D366" s="10" t="str">
        <f t="shared" si="5"/>
        <v>Db_361</v>
      </c>
      <c r="E366" s="10" t="s">
        <v>2612</v>
      </c>
      <c r="F366" s="10" t="str">
        <f>MID(Table1[[#This Row],[Reference_Name]], 4, LEN(Table1[[#This Row],[Reference_Name]])-3)</f>
        <v>SupCy1E_FC</v>
      </c>
      <c r="G366" s="10" t="s">
        <v>3252</v>
      </c>
      <c r="H366" s="10" t="s">
        <v>3253</v>
      </c>
      <c r="I366" s="10">
        <f>Db_SupCy1E_FC</f>
        <v>0</v>
      </c>
      <c r="J366" s="10"/>
    </row>
    <row r="367" spans="4:10" ht="12" customHeight="1" x14ac:dyDescent="0.2">
      <c r="D367" s="10" t="str">
        <f t="shared" si="5"/>
        <v>Db_362</v>
      </c>
      <c r="E367" s="10" t="s">
        <v>2613</v>
      </c>
      <c r="F367" s="10" t="str">
        <f>MID(Table1[[#This Row],[Reference_Name]], 4, LEN(Table1[[#This Row],[Reference_Name]])-3)</f>
        <v>SupCy2E_FC</v>
      </c>
      <c r="G367" s="10" t="s">
        <v>3254</v>
      </c>
      <c r="H367" s="10" t="s">
        <v>3255</v>
      </c>
      <c r="I367" s="10">
        <f>Db_SupCy2E_FC</f>
        <v>0</v>
      </c>
      <c r="J367" s="10"/>
    </row>
    <row r="368" spans="4:10" ht="12" customHeight="1" x14ac:dyDescent="0.2">
      <c r="D368" s="10" t="str">
        <f t="shared" si="5"/>
        <v>Db_363</v>
      </c>
      <c r="E368" s="10" t="s">
        <v>2614</v>
      </c>
      <c r="F368" s="10" t="str">
        <f>MID(Table1[[#This Row],[Reference_Name]], 4, LEN(Table1[[#This Row],[Reference_Name]])-3)</f>
        <v>SupCy3E_FC</v>
      </c>
      <c r="G368" s="10" t="s">
        <v>3256</v>
      </c>
      <c r="H368" s="10" t="s">
        <v>3257</v>
      </c>
      <c r="I368" s="10">
        <f>Db_SupCy3E_FC</f>
        <v>0</v>
      </c>
      <c r="J368" s="10"/>
    </row>
    <row r="369" spans="4:10" ht="12" customHeight="1" x14ac:dyDescent="0.2">
      <c r="D369" s="10" t="str">
        <f t="shared" si="5"/>
        <v>Db_364</v>
      </c>
      <c r="E369" s="10" t="s">
        <v>2615</v>
      </c>
      <c r="F369" s="10" t="str">
        <f>MID(Table1[[#This Row],[Reference_Name]], 4, LEN(Table1[[#This Row],[Reference_Name]])-3)</f>
        <v>SupCy4E_FC</v>
      </c>
      <c r="G369" s="10" t="s">
        <v>3258</v>
      </c>
      <c r="H369" s="10" t="s">
        <v>3259</v>
      </c>
      <c r="I369" s="10">
        <f>Db_SupCy4E_FC</f>
        <v>0</v>
      </c>
      <c r="J369" s="10"/>
    </row>
    <row r="370" spans="4:10" ht="12" customHeight="1" x14ac:dyDescent="0.2">
      <c r="D370" s="10" t="str">
        <f t="shared" si="5"/>
        <v>Db_365</v>
      </c>
      <c r="E370" s="10" t="s">
        <v>2616</v>
      </c>
      <c r="F370" s="10" t="str">
        <f>MID(Table1[[#This Row],[Reference_Name]], 4, LEN(Table1[[#This Row],[Reference_Name]])-3)</f>
        <v>SupCy5E_FC</v>
      </c>
      <c r="G370" s="10" t="s">
        <v>3260</v>
      </c>
      <c r="H370" s="10" t="s">
        <v>3261</v>
      </c>
      <c r="I370" s="10">
        <f>Db_SupCy5E_FC</f>
        <v>0</v>
      </c>
      <c r="J370" s="10"/>
    </row>
    <row r="371" spans="4:10" ht="12" customHeight="1" x14ac:dyDescent="0.2">
      <c r="D371" s="10" t="str">
        <f t="shared" si="5"/>
        <v>Db_366</v>
      </c>
      <c r="E371" s="10" t="s">
        <v>2617</v>
      </c>
      <c r="F371" s="10" t="str">
        <f>MID(Table1[[#This Row],[Reference_Name]], 4, LEN(Table1[[#This Row],[Reference_Name]])-3)</f>
        <v>ColdCtotalE_FC</v>
      </c>
      <c r="G371" s="10" t="s">
        <v>3262</v>
      </c>
      <c r="H371" t="s">
        <v>3263</v>
      </c>
      <c r="I371" s="10">
        <f>Db_ColdCtotalE_FC</f>
        <v>0</v>
      </c>
      <c r="J371" s="10"/>
    </row>
    <row r="372" spans="4:10" ht="12" customHeight="1" x14ac:dyDescent="0.2">
      <c r="D372" s="10" t="str">
        <f t="shared" si="5"/>
        <v>Db_367</v>
      </c>
      <c r="E372" s="10" t="s">
        <v>2618</v>
      </c>
      <c r="F372" s="10" t="str">
        <f>MID(Table1[[#This Row],[Reference_Name]], 4, LEN(Table1[[#This Row],[Reference_Name]])-3)</f>
        <v>ColdCy1E_FC</v>
      </c>
      <c r="G372" s="10" t="s">
        <v>3264</v>
      </c>
      <c r="H372" s="10" t="s">
        <v>3265</v>
      </c>
      <c r="I372" s="10">
        <f>Db_ColdCy1E_FC</f>
        <v>0</v>
      </c>
      <c r="J372" s="10"/>
    </row>
    <row r="373" spans="4:10" ht="12" customHeight="1" x14ac:dyDescent="0.2">
      <c r="D373" s="10" t="str">
        <f t="shared" si="5"/>
        <v>Db_368</v>
      </c>
      <c r="E373" s="10" t="s">
        <v>2619</v>
      </c>
      <c r="F373" s="10" t="str">
        <f>MID(Table1[[#This Row],[Reference_Name]], 4, LEN(Table1[[#This Row],[Reference_Name]])-3)</f>
        <v>ColdCy2E_FC</v>
      </c>
      <c r="G373" s="10" t="s">
        <v>3266</v>
      </c>
      <c r="H373" s="10" t="s">
        <v>3267</v>
      </c>
      <c r="I373" s="10">
        <f>Db_ColdCy2E_FC</f>
        <v>0</v>
      </c>
      <c r="J373" s="10"/>
    </row>
    <row r="374" spans="4:10" ht="12" customHeight="1" x14ac:dyDescent="0.2">
      <c r="D374" s="10" t="str">
        <f t="shared" si="5"/>
        <v>Db_369</v>
      </c>
      <c r="E374" s="10" t="s">
        <v>2620</v>
      </c>
      <c r="F374" s="10" t="str">
        <f>MID(Table1[[#This Row],[Reference_Name]], 4, LEN(Table1[[#This Row],[Reference_Name]])-3)</f>
        <v>ColdCy3E_FC</v>
      </c>
      <c r="G374" s="10" t="s">
        <v>3268</v>
      </c>
      <c r="H374" s="10" t="s">
        <v>3269</v>
      </c>
      <c r="I374" s="10">
        <f>Db_ColdCy3E_FC</f>
        <v>0</v>
      </c>
      <c r="J374" s="10"/>
    </row>
    <row r="375" spans="4:10" ht="12" customHeight="1" x14ac:dyDescent="0.2">
      <c r="D375" s="10" t="str">
        <f t="shared" si="5"/>
        <v>Db_370</v>
      </c>
      <c r="E375" s="10" t="s">
        <v>2621</v>
      </c>
      <c r="F375" s="10" t="str">
        <f>MID(Table1[[#This Row],[Reference_Name]], 4, LEN(Table1[[#This Row],[Reference_Name]])-3)</f>
        <v>ColdCy4E_FC</v>
      </c>
      <c r="G375" s="10" t="s">
        <v>3270</v>
      </c>
      <c r="H375" s="10" t="s">
        <v>3271</v>
      </c>
      <c r="I375" s="10">
        <f>Db_ColdCy4E_FC</f>
        <v>0</v>
      </c>
      <c r="J375" s="10"/>
    </row>
    <row r="376" spans="4:10" ht="12" customHeight="1" x14ac:dyDescent="0.2">
      <c r="D376" s="10" t="str">
        <f t="shared" si="5"/>
        <v>Db_371</v>
      </c>
      <c r="E376" s="10" t="s">
        <v>2622</v>
      </c>
      <c r="F376" s="10" t="str">
        <f>MID(Table1[[#This Row],[Reference_Name]], 4, LEN(Table1[[#This Row],[Reference_Name]])-3)</f>
        <v>ColdCy5E_FC</v>
      </c>
      <c r="G376" s="10" t="s">
        <v>3272</v>
      </c>
      <c r="H376" s="10" t="s">
        <v>3273</v>
      </c>
      <c r="I376" s="10">
        <f>Db_ColdCy5E_FC</f>
        <v>0</v>
      </c>
      <c r="J376" s="10"/>
    </row>
    <row r="377" spans="4:10" ht="12" customHeight="1" x14ac:dyDescent="0.2">
      <c r="D377" s="10" t="str">
        <f t="shared" si="5"/>
        <v>Db_372</v>
      </c>
      <c r="E377" s="10" t="s">
        <v>2623</v>
      </c>
      <c r="F377" s="10" t="str">
        <f>MID(Table1[[#This Row],[Reference_Name]], 4, LEN(Table1[[#This Row],[Reference_Name]])-3)</f>
        <v>ColdCANtotalE_FC</v>
      </c>
      <c r="G377" s="10" t="s">
        <v>3274</v>
      </c>
      <c r="H377" t="s">
        <v>3275</v>
      </c>
      <c r="I377" s="10">
        <f>Db_ColdCANtotalE_FC</f>
        <v>0</v>
      </c>
      <c r="J377" s="10"/>
    </row>
    <row r="378" spans="4:10" ht="12" customHeight="1" x14ac:dyDescent="0.2">
      <c r="D378" s="10" t="str">
        <f t="shared" si="5"/>
        <v>Db_373</v>
      </c>
      <c r="E378" s="10" t="s">
        <v>2624</v>
      </c>
      <c r="F378" s="10" t="str">
        <f>MID(Table1[[#This Row],[Reference_Name]], 4, LEN(Table1[[#This Row],[Reference_Name]])-3)</f>
        <v>ColdCANy1E_FC</v>
      </c>
      <c r="G378" s="10" t="s">
        <v>3276</v>
      </c>
      <c r="H378" s="10" t="s">
        <v>3277</v>
      </c>
      <c r="I378" s="10">
        <f>Db_ColdCANy1E_FC</f>
        <v>0</v>
      </c>
      <c r="J378" s="10"/>
    </row>
    <row r="379" spans="4:10" ht="12" customHeight="1" x14ac:dyDescent="0.2">
      <c r="D379" s="10" t="str">
        <f t="shared" si="5"/>
        <v>Db_374</v>
      </c>
      <c r="E379" s="10" t="s">
        <v>2625</v>
      </c>
      <c r="F379" s="10" t="str">
        <f>MID(Table1[[#This Row],[Reference_Name]], 4, LEN(Table1[[#This Row],[Reference_Name]])-3)</f>
        <v>ColdCANy2E_FC</v>
      </c>
      <c r="G379" s="10" t="s">
        <v>3278</v>
      </c>
      <c r="H379" s="10" t="s">
        <v>3279</v>
      </c>
      <c r="I379" s="10">
        <f>Db_ColdCANy2E_FC</f>
        <v>0</v>
      </c>
      <c r="J379" s="10"/>
    </row>
    <row r="380" spans="4:10" ht="12" customHeight="1" x14ac:dyDescent="0.2">
      <c r="D380" s="10" t="str">
        <f t="shared" si="5"/>
        <v>Db_375</v>
      </c>
      <c r="E380" s="10" t="s">
        <v>2626</v>
      </c>
      <c r="F380" s="10" t="str">
        <f>MID(Table1[[#This Row],[Reference_Name]], 4, LEN(Table1[[#This Row],[Reference_Name]])-3)</f>
        <v>ColdCANy3E_FC</v>
      </c>
      <c r="G380" s="10" t="s">
        <v>3280</v>
      </c>
      <c r="H380" s="10" t="s">
        <v>3281</v>
      </c>
      <c r="I380" s="10">
        <f>Db_ColdCANy3E_FC</f>
        <v>0</v>
      </c>
      <c r="J380" s="10"/>
    </row>
    <row r="381" spans="4:10" ht="12" customHeight="1" x14ac:dyDescent="0.2">
      <c r="D381" s="10" t="str">
        <f t="shared" si="5"/>
        <v>Db_376</v>
      </c>
      <c r="E381" s="10" t="s">
        <v>2627</v>
      </c>
      <c r="F381" s="10" t="str">
        <f>MID(Table1[[#This Row],[Reference_Name]], 4, LEN(Table1[[#This Row],[Reference_Name]])-3)</f>
        <v>ColdCANy4E_FC</v>
      </c>
      <c r="G381" s="10" t="s">
        <v>3282</v>
      </c>
      <c r="H381" s="10" t="s">
        <v>3283</v>
      </c>
      <c r="I381" s="10">
        <f>Db_ColdCANy4E_FC</f>
        <v>0</v>
      </c>
      <c r="J381" s="10"/>
    </row>
    <row r="382" spans="4:10" ht="12" customHeight="1" x14ac:dyDescent="0.2">
      <c r="D382" s="10" t="str">
        <f t="shared" si="5"/>
        <v>Db_377</v>
      </c>
      <c r="E382" s="10" t="s">
        <v>2628</v>
      </c>
      <c r="F382" s="10" t="str">
        <f>MID(Table1[[#This Row],[Reference_Name]], 4, LEN(Table1[[#This Row],[Reference_Name]])-3)</f>
        <v>ColdCANy5E_FC</v>
      </c>
      <c r="G382" s="10" t="s">
        <v>3284</v>
      </c>
      <c r="H382" s="10" t="s">
        <v>3285</v>
      </c>
      <c r="I382" s="10">
        <f>Db_ColdCANy5E_FC</f>
        <v>0</v>
      </c>
      <c r="J382" s="10"/>
    </row>
    <row r="383" spans="4:10" ht="12" customHeight="1" x14ac:dyDescent="0.2">
      <c r="D383" s="10" t="str">
        <f t="shared" si="5"/>
        <v>Db_378</v>
      </c>
      <c r="E383" s="10" t="s">
        <v>2629</v>
      </c>
      <c r="F383" s="10" t="str">
        <f>MID(Table1[[#This Row],[Reference_Name]], 4, LEN(Table1[[#This Row],[Reference_Name]])-3)</f>
        <v>OthCapCtotalE_FC</v>
      </c>
      <c r="G383" s="10" t="s">
        <v>3286</v>
      </c>
      <c r="H383" t="s">
        <v>3287</v>
      </c>
      <c r="I383" s="10">
        <f>Db_OthCapCtotalE_FC</f>
        <v>0</v>
      </c>
      <c r="J383" s="10"/>
    </row>
    <row r="384" spans="4:10" ht="12" customHeight="1" x14ac:dyDescent="0.2">
      <c r="D384" s="10" t="str">
        <f t="shared" si="5"/>
        <v>Db_379</v>
      </c>
      <c r="E384" s="10" t="s">
        <v>2630</v>
      </c>
      <c r="F384" s="10" t="str">
        <f>MID(Table1[[#This Row],[Reference_Name]], 4, LEN(Table1[[#This Row],[Reference_Name]])-3)</f>
        <v>OthCapCy1E_FC</v>
      </c>
      <c r="G384" s="10" t="s">
        <v>3288</v>
      </c>
      <c r="H384" s="10" t="s">
        <v>3289</v>
      </c>
      <c r="I384" s="10">
        <f>Db_OthCapCy1E_FC</f>
        <v>0</v>
      </c>
      <c r="J384" s="10"/>
    </row>
    <row r="385" spans="4:10" ht="12" customHeight="1" x14ac:dyDescent="0.2">
      <c r="D385" s="10" t="str">
        <f t="shared" si="5"/>
        <v>Db_380</v>
      </c>
      <c r="E385" s="10" t="s">
        <v>2631</v>
      </c>
      <c r="F385" s="10" t="str">
        <f>MID(Table1[[#This Row],[Reference_Name]], 4, LEN(Table1[[#This Row],[Reference_Name]])-3)</f>
        <v>OthCapCy2E_FC</v>
      </c>
      <c r="G385" s="10" t="s">
        <v>3290</v>
      </c>
      <c r="H385" s="10" t="s">
        <v>3291</v>
      </c>
      <c r="I385" s="10">
        <f>Db_OthCapCy2E_FC</f>
        <v>0</v>
      </c>
      <c r="J385" s="10"/>
    </row>
    <row r="386" spans="4:10" ht="12" customHeight="1" x14ac:dyDescent="0.2">
      <c r="D386" s="10" t="str">
        <f t="shared" si="5"/>
        <v>Db_381</v>
      </c>
      <c r="E386" s="10" t="s">
        <v>2632</v>
      </c>
      <c r="F386" s="10" t="str">
        <f>MID(Table1[[#This Row],[Reference_Name]], 4, LEN(Table1[[#This Row],[Reference_Name]])-3)</f>
        <v>OthCapCy3E_FC</v>
      </c>
      <c r="G386" s="10" t="s">
        <v>3292</v>
      </c>
      <c r="H386" s="10" t="s">
        <v>3293</v>
      </c>
      <c r="I386" s="10">
        <f>Db_OthCapCy3E_FC</f>
        <v>0</v>
      </c>
      <c r="J386" s="10"/>
    </row>
    <row r="387" spans="4:10" ht="12" customHeight="1" x14ac:dyDescent="0.2">
      <c r="D387" s="10" t="str">
        <f t="shared" si="5"/>
        <v>Db_382</v>
      </c>
      <c r="E387" s="10" t="s">
        <v>2633</v>
      </c>
      <c r="F387" s="10" t="str">
        <f>MID(Table1[[#This Row],[Reference_Name]], 4, LEN(Table1[[#This Row],[Reference_Name]])-3)</f>
        <v>OthCapCy4E_FC</v>
      </c>
      <c r="G387" s="10" t="s">
        <v>3294</v>
      </c>
      <c r="H387" s="10" t="s">
        <v>3295</v>
      </c>
      <c r="I387" s="10">
        <f>Db_OthCapCy4E_FC</f>
        <v>0</v>
      </c>
      <c r="J387" s="10"/>
    </row>
    <row r="388" spans="4:10" ht="12" customHeight="1" x14ac:dyDescent="0.2">
      <c r="D388" s="10" t="str">
        <f t="shared" si="5"/>
        <v>Db_383</v>
      </c>
      <c r="E388" s="10" t="s">
        <v>2634</v>
      </c>
      <c r="F388" s="10" t="str">
        <f>MID(Table1[[#This Row],[Reference_Name]], 4, LEN(Table1[[#This Row],[Reference_Name]])-3)</f>
        <v>OthCapCy5E_FC</v>
      </c>
      <c r="G388" s="10" t="s">
        <v>3296</v>
      </c>
      <c r="H388" s="10" t="s">
        <v>3297</v>
      </c>
      <c r="I388" s="10">
        <f>Db_OthCapCy5E_FC</f>
        <v>0</v>
      </c>
      <c r="J388" s="10"/>
    </row>
    <row r="389" spans="4:10" ht="12" customHeight="1" x14ac:dyDescent="0.2">
      <c r="D389" s="10" t="str">
        <f t="shared" si="5"/>
        <v>Db_384</v>
      </c>
      <c r="E389" s="10" t="s">
        <v>2635</v>
      </c>
      <c r="F389" s="10" t="str">
        <f>MID(Table1[[#This Row],[Reference_Name]], 4, LEN(Table1[[#This Row],[Reference_Name]])-3)</f>
        <v>OthCapCANtotalE_FC</v>
      </c>
      <c r="G389" s="10" t="s">
        <v>3298</v>
      </c>
      <c r="H389" t="s">
        <v>3299</v>
      </c>
      <c r="I389" s="10">
        <f>Db_OthCapCANtotalE_FC</f>
        <v>0</v>
      </c>
      <c r="J389" s="10"/>
    </row>
    <row r="390" spans="4:10" ht="12" customHeight="1" x14ac:dyDescent="0.2">
      <c r="D390" s="10" t="str">
        <f t="shared" ref="D390:D453" si="6">"Db_"&amp;ROW()-5</f>
        <v>Db_385</v>
      </c>
      <c r="E390" s="10" t="s">
        <v>2636</v>
      </c>
      <c r="F390" s="10" t="str">
        <f>MID(Table1[[#This Row],[Reference_Name]], 4, LEN(Table1[[#This Row],[Reference_Name]])-3)</f>
        <v>OthCapCANy1E_FC</v>
      </c>
      <c r="G390" s="10" t="s">
        <v>3300</v>
      </c>
      <c r="H390" s="10" t="s">
        <v>3301</v>
      </c>
      <c r="I390" s="10">
        <f>Db_OthCapCANy1E_FC</f>
        <v>0</v>
      </c>
      <c r="J390" s="10"/>
    </row>
    <row r="391" spans="4:10" ht="12" customHeight="1" x14ac:dyDescent="0.2">
      <c r="D391" s="10" t="str">
        <f t="shared" si="6"/>
        <v>Db_386</v>
      </c>
      <c r="E391" s="10" t="s">
        <v>2637</v>
      </c>
      <c r="F391" s="10" t="str">
        <f>MID(Table1[[#This Row],[Reference_Name]], 4, LEN(Table1[[#This Row],[Reference_Name]])-3)</f>
        <v>OthCapCANy2E_FC</v>
      </c>
      <c r="G391" s="10" t="s">
        <v>3302</v>
      </c>
      <c r="H391" s="10" t="s">
        <v>3303</v>
      </c>
      <c r="I391" s="10">
        <f>Db_OthCapCANy2E_FC</f>
        <v>0</v>
      </c>
      <c r="J391" s="10"/>
    </row>
    <row r="392" spans="4:10" ht="12" customHeight="1" x14ac:dyDescent="0.2">
      <c r="D392" s="10" t="str">
        <f t="shared" si="6"/>
        <v>Db_387</v>
      </c>
      <c r="E392" s="10" t="s">
        <v>2638</v>
      </c>
      <c r="F392" s="10" t="str">
        <f>MID(Table1[[#This Row],[Reference_Name]], 4, LEN(Table1[[#This Row],[Reference_Name]])-3)</f>
        <v>OthCapCANy3E_FC</v>
      </c>
      <c r="G392" s="10" t="s">
        <v>3304</v>
      </c>
      <c r="H392" s="10" t="s">
        <v>3305</v>
      </c>
      <c r="I392" s="10">
        <f>Db_OthCapCANy3E_FC</f>
        <v>0</v>
      </c>
      <c r="J392" s="10"/>
    </row>
    <row r="393" spans="4:10" ht="12" customHeight="1" x14ac:dyDescent="0.2">
      <c r="D393" s="10" t="str">
        <f t="shared" si="6"/>
        <v>Db_388</v>
      </c>
      <c r="E393" s="10" t="s">
        <v>2639</v>
      </c>
      <c r="F393" s="10" t="str">
        <f>MID(Table1[[#This Row],[Reference_Name]], 4, LEN(Table1[[#This Row],[Reference_Name]])-3)</f>
        <v>OthCapCANy4E_FC</v>
      </c>
      <c r="G393" s="10" t="s">
        <v>3306</v>
      </c>
      <c r="H393" s="10" t="s">
        <v>3307</v>
      </c>
      <c r="I393" s="10">
        <f>Db_OthCapCANy4E_FC</f>
        <v>0</v>
      </c>
      <c r="J393" s="10"/>
    </row>
    <row r="394" spans="4:10" ht="12" customHeight="1" x14ac:dyDescent="0.2">
      <c r="D394" s="10" t="str">
        <f t="shared" si="6"/>
        <v>Db_389</v>
      </c>
      <c r="E394" s="10" t="s">
        <v>2640</v>
      </c>
      <c r="F394" s="10" t="str">
        <f>MID(Table1[[#This Row],[Reference_Name]], 4, LEN(Table1[[#This Row],[Reference_Name]])-3)</f>
        <v>OthCapCANy5E_FC</v>
      </c>
      <c r="G394" s="10" t="s">
        <v>3308</v>
      </c>
      <c r="H394" s="10" t="s">
        <v>3309</v>
      </c>
      <c r="I394" s="10">
        <f>Db_OthCapCANy5E_FC</f>
        <v>0</v>
      </c>
      <c r="J394" s="10"/>
    </row>
    <row r="395" spans="4:10" ht="12" customHeight="1" x14ac:dyDescent="0.2">
      <c r="D395" s="10" t="str">
        <f t="shared" si="6"/>
        <v>Db_390</v>
      </c>
      <c r="E395" s="10" t="s">
        <v>2641</v>
      </c>
      <c r="F395" s="10" t="str">
        <f>MID(Table1[[#This Row],[Reference_Name]], 4, LEN(Table1[[#This Row],[Reference_Name]])-3)</f>
        <v>OthRecurCtotalE_FC</v>
      </c>
      <c r="G395" s="10" t="s">
        <v>3310</v>
      </c>
      <c r="H395" t="s">
        <v>3311</v>
      </c>
      <c r="I395" s="10">
        <f>Db_OthRecurCtotalE_FC</f>
        <v>0</v>
      </c>
      <c r="J395" s="10"/>
    </row>
    <row r="396" spans="4:10" ht="12" customHeight="1" x14ac:dyDescent="0.2">
      <c r="D396" s="10" t="str">
        <f t="shared" si="6"/>
        <v>Db_391</v>
      </c>
      <c r="E396" s="10" t="s">
        <v>2642</v>
      </c>
      <c r="F396" s="10" t="str">
        <f>MID(Table1[[#This Row],[Reference_Name]], 4, LEN(Table1[[#This Row],[Reference_Name]])-3)</f>
        <v>OthRecurCy1E_FC</v>
      </c>
      <c r="G396" s="10" t="s">
        <v>3312</v>
      </c>
      <c r="H396" s="10" t="s">
        <v>3313</v>
      </c>
      <c r="I396" s="10">
        <f>Db_OthRecurCy1E_FC</f>
        <v>0</v>
      </c>
      <c r="J396" s="10"/>
    </row>
    <row r="397" spans="4:10" ht="12" customHeight="1" x14ac:dyDescent="0.2">
      <c r="D397" s="10" t="str">
        <f t="shared" si="6"/>
        <v>Db_392</v>
      </c>
      <c r="E397" s="10" t="s">
        <v>2643</v>
      </c>
      <c r="F397" s="10" t="str">
        <f>MID(Table1[[#This Row],[Reference_Name]], 4, LEN(Table1[[#This Row],[Reference_Name]])-3)</f>
        <v>OthRecurCy2E_FC</v>
      </c>
      <c r="G397" s="10" t="s">
        <v>3314</v>
      </c>
      <c r="H397" s="10" t="s">
        <v>3315</v>
      </c>
      <c r="I397" s="10">
        <f>Db_OthRecurCy2E_FC</f>
        <v>0</v>
      </c>
      <c r="J397" s="10"/>
    </row>
    <row r="398" spans="4:10" ht="12" customHeight="1" x14ac:dyDescent="0.2">
      <c r="D398" s="10" t="str">
        <f t="shared" si="6"/>
        <v>Db_393</v>
      </c>
      <c r="E398" s="10" t="s">
        <v>2644</v>
      </c>
      <c r="F398" s="10" t="str">
        <f>MID(Table1[[#This Row],[Reference_Name]], 4, LEN(Table1[[#This Row],[Reference_Name]])-3)</f>
        <v>OthRecurCy3E_FC</v>
      </c>
      <c r="G398" s="10" t="s">
        <v>3316</v>
      </c>
      <c r="H398" s="10" t="s">
        <v>3317</v>
      </c>
      <c r="I398" s="10">
        <f>Db_OthRecurCy3E_FC</f>
        <v>0</v>
      </c>
      <c r="J398" s="10"/>
    </row>
    <row r="399" spans="4:10" ht="12" customHeight="1" x14ac:dyDescent="0.2">
      <c r="D399" s="10" t="str">
        <f t="shared" si="6"/>
        <v>Db_394</v>
      </c>
      <c r="E399" s="10" t="s">
        <v>2645</v>
      </c>
      <c r="F399" s="10" t="str">
        <f>MID(Table1[[#This Row],[Reference_Name]], 4, LEN(Table1[[#This Row],[Reference_Name]])-3)</f>
        <v>OthRecurCy4E_FC</v>
      </c>
      <c r="G399" s="10" t="s">
        <v>3318</v>
      </c>
      <c r="H399" s="10" t="s">
        <v>3319</v>
      </c>
      <c r="I399" s="10">
        <f>Db_OthRecurCy4E_FC</f>
        <v>0</v>
      </c>
      <c r="J399" s="10"/>
    </row>
    <row r="400" spans="4:10" ht="12" customHeight="1" x14ac:dyDescent="0.2">
      <c r="D400" s="10" t="str">
        <f t="shared" si="6"/>
        <v>Db_395</v>
      </c>
      <c r="E400" s="10" t="s">
        <v>2646</v>
      </c>
      <c r="F400" s="10" t="str">
        <f>MID(Table1[[#This Row],[Reference_Name]], 4, LEN(Table1[[#This Row],[Reference_Name]])-3)</f>
        <v>OthRecurCy5E_FC</v>
      </c>
      <c r="G400" s="10" t="s">
        <v>3320</v>
      </c>
      <c r="H400" s="10" t="s">
        <v>3321</v>
      </c>
      <c r="I400" s="10">
        <f>Db_OthRecurCy5E_FC</f>
        <v>0</v>
      </c>
      <c r="J400" s="10"/>
    </row>
    <row r="401" spans="4:10" ht="12" customHeight="1" x14ac:dyDescent="0.2">
      <c r="D401" s="10" t="str">
        <f t="shared" si="6"/>
        <v>Db_396</v>
      </c>
      <c r="E401" s="10" t="s">
        <v>2647</v>
      </c>
      <c r="F401" s="10" t="str">
        <f>MID(Table1[[#This Row],[Reference_Name]], 4, LEN(Table1[[#This Row],[Reference_Name]])-3)</f>
        <v>MicroCtotalF_LC</v>
      </c>
      <c r="G401" s="10" t="s">
        <v>3322</v>
      </c>
      <c r="H401" t="s">
        <v>3323</v>
      </c>
      <c r="I401" s="10">
        <f>Db_MicroCtotalF_LC</f>
        <v>0</v>
      </c>
      <c r="J401" s="10"/>
    </row>
    <row r="402" spans="4:10" ht="12" customHeight="1" x14ac:dyDescent="0.2">
      <c r="D402" s="10" t="str">
        <f t="shared" si="6"/>
        <v>Db_397</v>
      </c>
      <c r="E402" s="10" t="s">
        <v>2648</v>
      </c>
      <c r="F402" s="10" t="str">
        <f>MID(Table1[[#This Row],[Reference_Name]], 4, LEN(Table1[[#This Row],[Reference_Name]])-3)</f>
        <v>MicroCy1F_LC</v>
      </c>
      <c r="G402" s="10" t="s">
        <v>3324</v>
      </c>
      <c r="H402" s="10" t="s">
        <v>3325</v>
      </c>
      <c r="I402" s="10">
        <f>Db_MicroCy1F_LC</f>
        <v>0</v>
      </c>
      <c r="J402" s="10"/>
    </row>
    <row r="403" spans="4:10" ht="12" customHeight="1" x14ac:dyDescent="0.2">
      <c r="D403" s="10" t="str">
        <f t="shared" si="6"/>
        <v>Db_398</v>
      </c>
      <c r="E403" s="10" t="s">
        <v>2649</v>
      </c>
      <c r="F403" s="10" t="str">
        <f>MID(Table1[[#This Row],[Reference_Name]], 4, LEN(Table1[[#This Row],[Reference_Name]])-3)</f>
        <v>MicroCy2F_LC</v>
      </c>
      <c r="G403" s="10" t="s">
        <v>3326</v>
      </c>
      <c r="H403" s="10" t="s">
        <v>3327</v>
      </c>
      <c r="I403" s="10">
        <f>Db_MicroCy2F_LC</f>
        <v>0</v>
      </c>
      <c r="J403" s="10"/>
    </row>
    <row r="404" spans="4:10" ht="12" customHeight="1" x14ac:dyDescent="0.2">
      <c r="D404" s="10" t="str">
        <f t="shared" si="6"/>
        <v>Db_399</v>
      </c>
      <c r="E404" s="10" t="s">
        <v>2650</v>
      </c>
      <c r="F404" s="10" t="str">
        <f>MID(Table1[[#This Row],[Reference_Name]], 4, LEN(Table1[[#This Row],[Reference_Name]])-3)</f>
        <v>MicroCy3F_LC</v>
      </c>
      <c r="G404" s="10" t="s">
        <v>3328</v>
      </c>
      <c r="H404" s="10" t="s">
        <v>3329</v>
      </c>
      <c r="I404" s="10">
        <f>Db_MicroCy3F_LC</f>
        <v>0</v>
      </c>
      <c r="J404" s="10"/>
    </row>
    <row r="405" spans="4:10" ht="12" customHeight="1" x14ac:dyDescent="0.2">
      <c r="D405" s="10" t="str">
        <f t="shared" si="6"/>
        <v>Db_400</v>
      </c>
      <c r="E405" s="10" t="s">
        <v>2651</v>
      </c>
      <c r="F405" s="10" t="str">
        <f>MID(Table1[[#This Row],[Reference_Name]], 4, LEN(Table1[[#This Row],[Reference_Name]])-3)</f>
        <v>MicroCy4F_LC</v>
      </c>
      <c r="G405" s="10" t="s">
        <v>3330</v>
      </c>
      <c r="H405" s="10" t="s">
        <v>3331</v>
      </c>
      <c r="I405" s="10">
        <f>Db_MicroCy4F_LC</f>
        <v>0</v>
      </c>
      <c r="J405" s="10"/>
    </row>
    <row r="406" spans="4:10" ht="12" customHeight="1" x14ac:dyDescent="0.2">
      <c r="D406" s="10" t="str">
        <f t="shared" si="6"/>
        <v>Db_401</v>
      </c>
      <c r="E406" s="10" t="s">
        <v>2652</v>
      </c>
      <c r="F406" s="10" t="str">
        <f>MID(Table1[[#This Row],[Reference_Name]], 4, LEN(Table1[[#This Row],[Reference_Name]])-3)</f>
        <v>MicroCy5F_LC</v>
      </c>
      <c r="G406" s="10" t="s">
        <v>3332</v>
      </c>
      <c r="H406" s="10" t="s">
        <v>3333</v>
      </c>
      <c r="I406" s="10">
        <f>Db_MicroCy5F_LC</f>
        <v>0</v>
      </c>
      <c r="J406" s="10"/>
    </row>
    <row r="407" spans="4:10" ht="12" customHeight="1" x14ac:dyDescent="0.2">
      <c r="D407" s="10" t="str">
        <f t="shared" si="6"/>
        <v>Db_402</v>
      </c>
      <c r="E407" s="10" t="s">
        <v>2653</v>
      </c>
      <c r="F407" s="10" t="str">
        <f>MID(Table1[[#This Row],[Reference_Name]], 4, LEN(Table1[[#This Row],[Reference_Name]])-3)</f>
        <v>TrainCtotalF_LC</v>
      </c>
      <c r="G407" s="10" t="s">
        <v>3334</v>
      </c>
      <c r="H407" t="s">
        <v>3335</v>
      </c>
      <c r="I407" s="10">
        <f>Db_TrainCtotalF_LC</f>
        <v>0</v>
      </c>
      <c r="J407" s="10"/>
    </row>
    <row r="408" spans="4:10" ht="12" customHeight="1" x14ac:dyDescent="0.2">
      <c r="D408" s="10" t="str">
        <f t="shared" si="6"/>
        <v>Db_403</v>
      </c>
      <c r="E408" s="10" t="s">
        <v>2654</v>
      </c>
      <c r="F408" s="10" t="str">
        <f>MID(Table1[[#This Row],[Reference_Name]], 4, LEN(Table1[[#This Row],[Reference_Name]])-3)</f>
        <v>TrainCy1F_LC</v>
      </c>
      <c r="G408" s="10" t="s">
        <v>3336</v>
      </c>
      <c r="H408" s="10" t="s">
        <v>3337</v>
      </c>
      <c r="I408" s="10">
        <f>Db_TrainCy1F_LC</f>
        <v>0</v>
      </c>
      <c r="J408" s="10"/>
    </row>
    <row r="409" spans="4:10" ht="12" customHeight="1" x14ac:dyDescent="0.2">
      <c r="D409" s="10" t="str">
        <f t="shared" si="6"/>
        <v>Db_404</v>
      </c>
      <c r="E409" s="10" t="s">
        <v>2655</v>
      </c>
      <c r="F409" s="10" t="str">
        <f>MID(Table1[[#This Row],[Reference_Name]], 4, LEN(Table1[[#This Row],[Reference_Name]])-3)</f>
        <v>TrainCy2F_LC</v>
      </c>
      <c r="G409" s="10" t="s">
        <v>3338</v>
      </c>
      <c r="H409" s="10" t="s">
        <v>3339</v>
      </c>
      <c r="I409" s="10">
        <f>Db_TrainCy2F_LC</f>
        <v>0</v>
      </c>
      <c r="J409" s="10"/>
    </row>
    <row r="410" spans="4:10" ht="12" customHeight="1" x14ac:dyDescent="0.2">
      <c r="D410" s="10" t="str">
        <f t="shared" si="6"/>
        <v>Db_405</v>
      </c>
      <c r="E410" s="10" t="s">
        <v>2656</v>
      </c>
      <c r="F410" s="10" t="str">
        <f>MID(Table1[[#This Row],[Reference_Name]], 4, LEN(Table1[[#This Row],[Reference_Name]])-3)</f>
        <v>TrainCy3F_LC</v>
      </c>
      <c r="G410" s="10" t="s">
        <v>3340</v>
      </c>
      <c r="H410" s="10" t="s">
        <v>3341</v>
      </c>
      <c r="I410" s="10">
        <f>Db_TrainCy3F_LC</f>
        <v>0</v>
      </c>
      <c r="J410" s="10"/>
    </row>
    <row r="411" spans="4:10" ht="12" customHeight="1" x14ac:dyDescent="0.2">
      <c r="D411" s="10" t="str">
        <f t="shared" si="6"/>
        <v>Db_406</v>
      </c>
      <c r="E411" s="10" t="s">
        <v>2657</v>
      </c>
      <c r="F411" s="10" t="str">
        <f>MID(Table1[[#This Row],[Reference_Name]], 4, LEN(Table1[[#This Row],[Reference_Name]])-3)</f>
        <v>TrainCy4F_LC</v>
      </c>
      <c r="G411" s="10" t="s">
        <v>3342</v>
      </c>
      <c r="H411" s="10" t="s">
        <v>3343</v>
      </c>
      <c r="I411" s="10">
        <f>Db_TrainCy4F_LC</f>
        <v>0</v>
      </c>
      <c r="J411" s="10"/>
    </row>
    <row r="412" spans="4:10" ht="12" customHeight="1" x14ac:dyDescent="0.2">
      <c r="D412" s="10" t="str">
        <f t="shared" si="6"/>
        <v>Db_407</v>
      </c>
      <c r="E412" s="10" t="s">
        <v>2658</v>
      </c>
      <c r="F412" s="10" t="str">
        <f>MID(Table1[[#This Row],[Reference_Name]], 4, LEN(Table1[[#This Row],[Reference_Name]])-3)</f>
        <v>TrainCy5F_LC</v>
      </c>
      <c r="G412" s="10" t="s">
        <v>3344</v>
      </c>
      <c r="H412" s="10" t="s">
        <v>3345</v>
      </c>
      <c r="I412" s="10">
        <f>Db_TrainCy5F_LC</f>
        <v>0</v>
      </c>
      <c r="J412" s="10"/>
    </row>
    <row r="413" spans="4:10" ht="12" customHeight="1" x14ac:dyDescent="0.2">
      <c r="D413" s="10" t="str">
        <f t="shared" si="6"/>
        <v>Db_408</v>
      </c>
      <c r="E413" s="10" t="s">
        <v>2659</v>
      </c>
      <c r="F413" s="10" t="str">
        <f>MID(Table1[[#This Row],[Reference_Name]], 4, LEN(Table1[[#This Row],[Reference_Name]])-3)</f>
        <v>SenCtotalF_LC</v>
      </c>
      <c r="G413" s="10" t="s">
        <v>3346</v>
      </c>
      <c r="H413" t="s">
        <v>3347</v>
      </c>
      <c r="I413" s="10">
        <f>Db_SenCtotalF_LC</f>
        <v>0</v>
      </c>
      <c r="J413" s="10"/>
    </row>
    <row r="414" spans="4:10" ht="12" customHeight="1" x14ac:dyDescent="0.2">
      <c r="D414" s="10" t="str">
        <f t="shared" si="6"/>
        <v>Db_409</v>
      </c>
      <c r="E414" s="10" t="s">
        <v>2660</v>
      </c>
      <c r="F414" s="10" t="str">
        <f>MID(Table1[[#This Row],[Reference_Name]], 4, LEN(Table1[[#This Row],[Reference_Name]])-3)</f>
        <v>SenCy1F_LC</v>
      </c>
      <c r="G414" s="10" t="s">
        <v>3348</v>
      </c>
      <c r="H414" s="10" t="s">
        <v>3349</v>
      </c>
      <c r="I414" s="10">
        <f>Db_SenCy1F_LC</f>
        <v>0</v>
      </c>
      <c r="J414" s="10"/>
    </row>
    <row r="415" spans="4:10" ht="12" customHeight="1" x14ac:dyDescent="0.2">
      <c r="D415" s="10" t="str">
        <f t="shared" si="6"/>
        <v>Db_410</v>
      </c>
      <c r="E415" s="10" t="s">
        <v>2661</v>
      </c>
      <c r="F415" s="10" t="str">
        <f>MID(Table1[[#This Row],[Reference_Name]], 4, LEN(Table1[[#This Row],[Reference_Name]])-3)</f>
        <v>SenCy2F_LC</v>
      </c>
      <c r="G415" s="10" t="s">
        <v>3350</v>
      </c>
      <c r="H415" s="10" t="s">
        <v>3351</v>
      </c>
      <c r="I415" s="10">
        <f>Db_SenCy2F_LC</f>
        <v>0</v>
      </c>
      <c r="J415" s="10"/>
    </row>
    <row r="416" spans="4:10" ht="12" customHeight="1" x14ac:dyDescent="0.2">
      <c r="D416" s="10" t="str">
        <f t="shared" si="6"/>
        <v>Db_411</v>
      </c>
      <c r="E416" s="10" t="s">
        <v>2662</v>
      </c>
      <c r="F416" s="10" t="str">
        <f>MID(Table1[[#This Row],[Reference_Name]], 4, LEN(Table1[[#This Row],[Reference_Name]])-3)</f>
        <v>SenCy3F_LC</v>
      </c>
      <c r="G416" s="10" t="s">
        <v>3352</v>
      </c>
      <c r="H416" s="10" t="s">
        <v>3353</v>
      </c>
      <c r="I416" s="10">
        <f>Db_SenCy3F_LC</f>
        <v>0</v>
      </c>
      <c r="J416" s="10"/>
    </row>
    <row r="417" spans="4:10" ht="12" customHeight="1" x14ac:dyDescent="0.2">
      <c r="D417" s="10" t="str">
        <f t="shared" si="6"/>
        <v>Db_412</v>
      </c>
      <c r="E417" s="10" t="s">
        <v>2663</v>
      </c>
      <c r="F417" s="10" t="str">
        <f>MID(Table1[[#This Row],[Reference_Name]], 4, LEN(Table1[[#This Row],[Reference_Name]])-3)</f>
        <v>SenCy4F_LC</v>
      </c>
      <c r="G417" s="10" t="s">
        <v>3354</v>
      </c>
      <c r="H417" s="10" t="s">
        <v>3355</v>
      </c>
      <c r="I417" s="10">
        <f>Db_SenCy4F_LC</f>
        <v>0</v>
      </c>
      <c r="J417" s="10"/>
    </row>
    <row r="418" spans="4:10" ht="12" customHeight="1" x14ac:dyDescent="0.2">
      <c r="D418" s="10" t="str">
        <f t="shared" si="6"/>
        <v>Db_413</v>
      </c>
      <c r="E418" s="10" t="s">
        <v>2664</v>
      </c>
      <c r="F418" s="10" t="str">
        <f>MID(Table1[[#This Row],[Reference_Name]], 4, LEN(Table1[[#This Row],[Reference_Name]])-3)</f>
        <v>SenCy5F_LC</v>
      </c>
      <c r="G418" s="10" t="s">
        <v>3356</v>
      </c>
      <c r="H418" s="10" t="s">
        <v>3357</v>
      </c>
      <c r="I418" s="10">
        <f>Db_SenCy5F_LC</f>
        <v>0</v>
      </c>
      <c r="J418" s="10"/>
    </row>
    <row r="419" spans="4:10" ht="12" customHeight="1" x14ac:dyDescent="0.2">
      <c r="D419" s="10" t="str">
        <f t="shared" si="6"/>
        <v>Db_414</v>
      </c>
      <c r="E419" s="10" t="s">
        <v>2665</v>
      </c>
      <c r="F419" s="10" t="str">
        <f>MID(Table1[[#This Row],[Reference_Name]], 4, LEN(Table1[[#This Row],[Reference_Name]])-3)</f>
        <v>SocCtotalF_LC</v>
      </c>
      <c r="G419" s="10" t="s">
        <v>3358</v>
      </c>
      <c r="H419" t="s">
        <v>3359</v>
      </c>
      <c r="I419" s="10">
        <f>Db_SocCtotalF_LC</f>
        <v>0</v>
      </c>
      <c r="J419" s="10"/>
    </row>
    <row r="420" spans="4:10" ht="12" customHeight="1" x14ac:dyDescent="0.2">
      <c r="D420" s="10" t="str">
        <f t="shared" si="6"/>
        <v>Db_415</v>
      </c>
      <c r="E420" s="10" t="s">
        <v>2666</v>
      </c>
      <c r="F420" s="10" t="str">
        <f>MID(Table1[[#This Row],[Reference_Name]], 4, LEN(Table1[[#This Row],[Reference_Name]])-3)</f>
        <v>SocCy1F_LC</v>
      </c>
      <c r="G420" s="10" t="s">
        <v>3360</v>
      </c>
      <c r="H420" s="10" t="s">
        <v>3361</v>
      </c>
      <c r="I420" s="10">
        <f>Db_SocCy1F_LC</f>
        <v>0</v>
      </c>
      <c r="J420" s="10"/>
    </row>
    <row r="421" spans="4:10" ht="12" customHeight="1" x14ac:dyDescent="0.2">
      <c r="D421" s="10" t="str">
        <f t="shared" si="6"/>
        <v>Db_416</v>
      </c>
      <c r="E421" s="10" t="s">
        <v>2667</v>
      </c>
      <c r="F421" s="10" t="str">
        <f>MID(Table1[[#This Row],[Reference_Name]], 4, LEN(Table1[[#This Row],[Reference_Name]])-3)</f>
        <v>SocCy2F_LC</v>
      </c>
      <c r="G421" s="10" t="s">
        <v>3362</v>
      </c>
      <c r="H421" s="10" t="s">
        <v>3363</v>
      </c>
      <c r="I421" s="10">
        <f>Db_SocCy2F_LC</f>
        <v>0</v>
      </c>
      <c r="J421" s="10"/>
    </row>
    <row r="422" spans="4:10" ht="12" customHeight="1" x14ac:dyDescent="0.2">
      <c r="D422" s="10" t="str">
        <f t="shared" si="6"/>
        <v>Db_417</v>
      </c>
      <c r="E422" s="10" t="s">
        <v>2668</v>
      </c>
      <c r="F422" s="10" t="str">
        <f>MID(Table1[[#This Row],[Reference_Name]], 4, LEN(Table1[[#This Row],[Reference_Name]])-3)</f>
        <v>SocCy3F_LC</v>
      </c>
      <c r="G422" s="10" t="s">
        <v>3364</v>
      </c>
      <c r="H422" s="10" t="s">
        <v>3365</v>
      </c>
      <c r="I422" s="10">
        <f>Db_SocCy3F_LC</f>
        <v>0</v>
      </c>
      <c r="J422" s="10"/>
    </row>
    <row r="423" spans="4:10" ht="12" customHeight="1" x14ac:dyDescent="0.2">
      <c r="D423" s="10" t="str">
        <f t="shared" si="6"/>
        <v>Db_418</v>
      </c>
      <c r="E423" s="10" t="s">
        <v>2669</v>
      </c>
      <c r="F423" s="10" t="str">
        <f>MID(Table1[[#This Row],[Reference_Name]], 4, LEN(Table1[[#This Row],[Reference_Name]])-3)</f>
        <v>SocCy4F_LC</v>
      </c>
      <c r="G423" s="10" t="s">
        <v>3366</v>
      </c>
      <c r="H423" s="10" t="s">
        <v>3367</v>
      </c>
      <c r="I423" s="10">
        <f>Db_SocCy4F_LC</f>
        <v>0</v>
      </c>
      <c r="J423" s="10"/>
    </row>
    <row r="424" spans="4:10" ht="12" customHeight="1" x14ac:dyDescent="0.2">
      <c r="D424" s="10" t="str">
        <f t="shared" si="6"/>
        <v>Db_419</v>
      </c>
      <c r="E424" s="10" t="s">
        <v>2670</v>
      </c>
      <c r="F424" s="10" t="str">
        <f>MID(Table1[[#This Row],[Reference_Name]], 4, LEN(Table1[[#This Row],[Reference_Name]])-3)</f>
        <v>SocCy5F_LC</v>
      </c>
      <c r="G424" s="10" t="s">
        <v>3368</v>
      </c>
      <c r="H424" s="10" t="s">
        <v>3369</v>
      </c>
      <c r="I424" s="10">
        <f>Db_SocCy5F_LC</f>
        <v>0</v>
      </c>
      <c r="J424" s="10"/>
    </row>
    <row r="425" spans="4:10" ht="12" customHeight="1" x14ac:dyDescent="0.2">
      <c r="D425" s="10" t="str">
        <f t="shared" si="6"/>
        <v>Db_420</v>
      </c>
      <c r="E425" s="10" t="s">
        <v>2671</v>
      </c>
      <c r="F425" s="10" t="str">
        <f>MID(Table1[[#This Row],[Reference_Name]], 4, LEN(Table1[[#This Row],[Reference_Name]])-3)</f>
        <v>VacCtotalF_LC</v>
      </c>
      <c r="G425" s="10" t="s">
        <v>3370</v>
      </c>
      <c r="H425" t="s">
        <v>3371</v>
      </c>
      <c r="I425" s="10">
        <f>Db_VacCtotalF_LC</f>
        <v>0</v>
      </c>
      <c r="J425" s="10"/>
    </row>
    <row r="426" spans="4:10" ht="12" customHeight="1" x14ac:dyDescent="0.2">
      <c r="D426" s="10" t="str">
        <f t="shared" si="6"/>
        <v>Db_421</v>
      </c>
      <c r="E426" s="10" t="s">
        <v>2672</v>
      </c>
      <c r="F426" s="10" t="str">
        <f>MID(Table1[[#This Row],[Reference_Name]], 4, LEN(Table1[[#This Row],[Reference_Name]])-3)</f>
        <v>VacCy1F_LC</v>
      </c>
      <c r="G426" s="10" t="s">
        <v>3372</v>
      </c>
      <c r="H426" s="10" t="s">
        <v>3373</v>
      </c>
      <c r="I426" s="10">
        <f>Db_VacCy1F_LC</f>
        <v>0</v>
      </c>
      <c r="J426" s="10"/>
    </row>
    <row r="427" spans="4:10" ht="12" customHeight="1" x14ac:dyDescent="0.2">
      <c r="D427" s="10" t="str">
        <f t="shared" si="6"/>
        <v>Db_422</v>
      </c>
      <c r="E427" s="10" t="s">
        <v>2673</v>
      </c>
      <c r="F427" s="10" t="str">
        <f>MID(Table1[[#This Row],[Reference_Name]], 4, LEN(Table1[[#This Row],[Reference_Name]])-3)</f>
        <v>VacCy2F_LC</v>
      </c>
      <c r="G427" s="10" t="s">
        <v>3374</v>
      </c>
      <c r="H427" s="10" t="s">
        <v>3375</v>
      </c>
      <c r="I427" s="10">
        <f>Db_VacCy2F_LC</f>
        <v>0</v>
      </c>
      <c r="J427" s="10"/>
    </row>
    <row r="428" spans="4:10" ht="12" customHeight="1" x14ac:dyDescent="0.2">
      <c r="D428" s="10" t="str">
        <f t="shared" si="6"/>
        <v>Db_423</v>
      </c>
      <c r="E428" s="10" t="s">
        <v>2674</v>
      </c>
      <c r="F428" s="10" t="str">
        <f>MID(Table1[[#This Row],[Reference_Name]], 4, LEN(Table1[[#This Row],[Reference_Name]])-3)</f>
        <v>VacCy3F_LC</v>
      </c>
      <c r="G428" s="10" t="s">
        <v>3376</v>
      </c>
      <c r="H428" s="10" t="s">
        <v>3377</v>
      </c>
      <c r="I428" s="10">
        <f>Db_VacCy3F_LC</f>
        <v>0</v>
      </c>
      <c r="J428" s="10"/>
    </row>
    <row r="429" spans="4:10" ht="12" customHeight="1" x14ac:dyDescent="0.2">
      <c r="D429" s="10" t="str">
        <f t="shared" si="6"/>
        <v>Db_424</v>
      </c>
      <c r="E429" s="10" t="s">
        <v>2675</v>
      </c>
      <c r="F429" s="10" t="str">
        <f>MID(Table1[[#This Row],[Reference_Name]], 4, LEN(Table1[[#This Row],[Reference_Name]])-3)</f>
        <v>VacCy4F_LC</v>
      </c>
      <c r="G429" s="10" t="s">
        <v>3378</v>
      </c>
      <c r="H429" s="10" t="s">
        <v>3379</v>
      </c>
      <c r="I429" s="10">
        <f>Db_VacCy4F_LC</f>
        <v>0</v>
      </c>
      <c r="J429" s="10"/>
    </row>
    <row r="430" spans="4:10" ht="12" customHeight="1" x14ac:dyDescent="0.2">
      <c r="D430" s="10" t="str">
        <f t="shared" si="6"/>
        <v>Db_425</v>
      </c>
      <c r="E430" s="10" t="s">
        <v>2676</v>
      </c>
      <c r="F430" s="10" t="str">
        <f>MID(Table1[[#This Row],[Reference_Name]], 4, LEN(Table1[[#This Row],[Reference_Name]])-3)</f>
        <v>VacCy5F_LC</v>
      </c>
      <c r="G430" s="10" t="s">
        <v>3380</v>
      </c>
      <c r="H430" s="10" t="s">
        <v>3381</v>
      </c>
      <c r="I430" s="10">
        <f>Db_VacCy5F_LC</f>
        <v>0</v>
      </c>
      <c r="J430" s="10"/>
    </row>
    <row r="431" spans="4:10" ht="12" customHeight="1" x14ac:dyDescent="0.2">
      <c r="D431" s="10" t="str">
        <f t="shared" si="6"/>
        <v>Db_426</v>
      </c>
      <c r="E431" s="10" t="s">
        <v>2677</v>
      </c>
      <c r="F431" s="10" t="str">
        <f>MID(Table1[[#This Row],[Reference_Name]], 4, LEN(Table1[[#This Row],[Reference_Name]])-3)</f>
        <v>SerCtotalF_LC</v>
      </c>
      <c r="G431" s="10" t="s">
        <v>3382</v>
      </c>
      <c r="H431" t="s">
        <v>3383</v>
      </c>
      <c r="I431" s="10">
        <f>Db_SerCtotalF_LC</f>
        <v>0</v>
      </c>
      <c r="J431" s="10"/>
    </row>
    <row r="432" spans="4:10" ht="12" customHeight="1" x14ac:dyDescent="0.2">
      <c r="D432" s="10" t="str">
        <f t="shared" si="6"/>
        <v>Db_427</v>
      </c>
      <c r="E432" s="10" t="s">
        <v>2678</v>
      </c>
      <c r="F432" s="10" t="str">
        <f>MID(Table1[[#This Row],[Reference_Name]], 4, LEN(Table1[[#This Row],[Reference_Name]])-3)</f>
        <v>SerCy1F_LC</v>
      </c>
      <c r="G432" s="10" t="s">
        <v>3384</v>
      </c>
      <c r="H432" s="10" t="s">
        <v>3385</v>
      </c>
      <c r="I432" s="10">
        <f>Db_SerCy1F_LC</f>
        <v>0</v>
      </c>
      <c r="J432" s="10"/>
    </row>
    <row r="433" spans="4:10" ht="12" customHeight="1" x14ac:dyDescent="0.2">
      <c r="D433" s="10" t="str">
        <f t="shared" si="6"/>
        <v>Db_428</v>
      </c>
      <c r="E433" s="10" t="s">
        <v>2679</v>
      </c>
      <c r="F433" s="10" t="str">
        <f>MID(Table1[[#This Row],[Reference_Name]], 4, LEN(Table1[[#This Row],[Reference_Name]])-3)</f>
        <v>SerCy2F_LC</v>
      </c>
      <c r="G433" s="10" t="s">
        <v>3386</v>
      </c>
      <c r="H433" s="10" t="s">
        <v>3387</v>
      </c>
      <c r="I433" s="10">
        <f>Db_SerCy2F_LC</f>
        <v>0</v>
      </c>
      <c r="J433" s="10"/>
    </row>
    <row r="434" spans="4:10" ht="12" customHeight="1" x14ac:dyDescent="0.2">
      <c r="D434" s="10" t="str">
        <f t="shared" si="6"/>
        <v>Db_429</v>
      </c>
      <c r="E434" s="10" t="s">
        <v>2680</v>
      </c>
      <c r="F434" s="10" t="str">
        <f>MID(Table1[[#This Row],[Reference_Name]], 4, LEN(Table1[[#This Row],[Reference_Name]])-3)</f>
        <v>SerCy3F_LC</v>
      </c>
      <c r="G434" s="10" t="s">
        <v>3388</v>
      </c>
      <c r="H434" s="10" t="s">
        <v>3389</v>
      </c>
      <c r="I434" s="10">
        <f>Db_SerCy3F_LC</f>
        <v>0</v>
      </c>
      <c r="J434" s="10"/>
    </row>
    <row r="435" spans="4:10" ht="12" customHeight="1" x14ac:dyDescent="0.2">
      <c r="D435" s="10" t="str">
        <f t="shared" si="6"/>
        <v>Db_430</v>
      </c>
      <c r="E435" s="10" t="s">
        <v>2681</v>
      </c>
      <c r="F435" s="10" t="str">
        <f>MID(Table1[[#This Row],[Reference_Name]], 4, LEN(Table1[[#This Row],[Reference_Name]])-3)</f>
        <v>SerCy4F_LC</v>
      </c>
      <c r="G435" s="10" t="s">
        <v>3390</v>
      </c>
      <c r="H435" s="10" t="s">
        <v>3391</v>
      </c>
      <c r="I435" s="10">
        <f>Db_SerCy4F_LC</f>
        <v>0</v>
      </c>
      <c r="J435" s="10"/>
    </row>
    <row r="436" spans="4:10" ht="12" customHeight="1" x14ac:dyDescent="0.2">
      <c r="D436" s="10" t="str">
        <f t="shared" si="6"/>
        <v>Db_431</v>
      </c>
      <c r="E436" s="10" t="s">
        <v>2682</v>
      </c>
      <c r="F436" s="10" t="str">
        <f>MID(Table1[[#This Row],[Reference_Name]], 4, LEN(Table1[[#This Row],[Reference_Name]])-3)</f>
        <v>SerCy5F_LC</v>
      </c>
      <c r="G436" s="10" t="s">
        <v>3392</v>
      </c>
      <c r="H436" s="10" t="s">
        <v>3393</v>
      </c>
      <c r="I436" s="10">
        <f>Db_SerCy5F_LC</f>
        <v>0</v>
      </c>
      <c r="J436" s="10"/>
    </row>
    <row r="437" spans="4:10" s="10" customFormat="1" ht="12" customHeight="1" x14ac:dyDescent="0.2">
      <c r="D437" s="10" t="str">
        <f t="shared" si="6"/>
        <v>Db_432</v>
      </c>
      <c r="E437" s="10" t="s">
        <v>2683</v>
      </c>
      <c r="F437" s="10" t="str">
        <f>MID(Table1[[#This Row],[Reference_Name]], 4, LEN(Table1[[#This Row],[Reference_Name]])-3)</f>
        <v>SerC_SV1_totalF_LC</v>
      </c>
      <c r="G437" s="10" t="s">
        <v>3394</v>
      </c>
      <c r="H437" s="10" t="s">
        <v>3395</v>
      </c>
      <c r="I437" s="10">
        <f>Db_SerC_SV1_totalF_LC</f>
        <v>0</v>
      </c>
    </row>
    <row r="438" spans="4:10" s="10" customFormat="1" ht="12" customHeight="1" x14ac:dyDescent="0.2">
      <c r="D438" s="10" t="str">
        <f t="shared" si="6"/>
        <v>Db_433</v>
      </c>
      <c r="E438" s="10" t="s">
        <v>2684</v>
      </c>
      <c r="F438" s="10" t="str">
        <f>MID(Table1[[#This Row],[Reference_Name]], 4, LEN(Table1[[#This Row],[Reference_Name]])-3)</f>
        <v>SerC_SV1_y1F_LC</v>
      </c>
      <c r="G438" s="10" t="s">
        <v>3396</v>
      </c>
      <c r="H438" s="10" t="s">
        <v>3397</v>
      </c>
      <c r="I438" s="10">
        <f>Db_SerC_SV1_y1F_LC</f>
        <v>0</v>
      </c>
    </row>
    <row r="439" spans="4:10" s="10" customFormat="1" ht="12" customHeight="1" x14ac:dyDescent="0.2">
      <c r="D439" s="10" t="str">
        <f t="shared" si="6"/>
        <v>Db_434</v>
      </c>
      <c r="E439" s="10" t="s">
        <v>2685</v>
      </c>
      <c r="F439" s="10" t="str">
        <f>MID(Table1[[#This Row],[Reference_Name]], 4, LEN(Table1[[#This Row],[Reference_Name]])-3)</f>
        <v>SerC_SV1_y2F_LC</v>
      </c>
      <c r="G439" s="10" t="s">
        <v>3398</v>
      </c>
      <c r="H439" s="10" t="s">
        <v>3399</v>
      </c>
      <c r="I439" s="10">
        <f>Db_SerC_SV1_y2F_LC</f>
        <v>0</v>
      </c>
    </row>
    <row r="440" spans="4:10" s="10" customFormat="1" ht="12" customHeight="1" x14ac:dyDescent="0.2">
      <c r="D440" s="10" t="str">
        <f t="shared" si="6"/>
        <v>Db_435</v>
      </c>
      <c r="E440" s="10" t="s">
        <v>2686</v>
      </c>
      <c r="F440" s="10" t="str">
        <f>MID(Table1[[#This Row],[Reference_Name]], 4, LEN(Table1[[#This Row],[Reference_Name]])-3)</f>
        <v>SerC_SV1_y3F_LC</v>
      </c>
      <c r="G440" s="10" t="s">
        <v>3400</v>
      </c>
      <c r="H440" s="10" t="s">
        <v>3401</v>
      </c>
      <c r="I440" s="10">
        <f>Db_SerC_SV1_y3F_LC</f>
        <v>0</v>
      </c>
    </row>
    <row r="441" spans="4:10" s="10" customFormat="1" ht="12" customHeight="1" x14ac:dyDescent="0.2">
      <c r="D441" s="10" t="str">
        <f t="shared" si="6"/>
        <v>Db_436</v>
      </c>
      <c r="E441" s="10" t="s">
        <v>2687</v>
      </c>
      <c r="F441" s="10" t="str">
        <f>MID(Table1[[#This Row],[Reference_Name]], 4, LEN(Table1[[#This Row],[Reference_Name]])-3)</f>
        <v>SerC_SV1_y4F_LC</v>
      </c>
      <c r="G441" s="10" t="s">
        <v>3402</v>
      </c>
      <c r="H441" s="10" t="s">
        <v>3403</v>
      </c>
      <c r="I441" s="10">
        <f>Db_SerC_SV1_y4F_LC</f>
        <v>0</v>
      </c>
    </row>
    <row r="442" spans="4:10" s="10" customFormat="1" ht="12" customHeight="1" x14ac:dyDescent="0.2">
      <c r="D442" s="10" t="str">
        <f t="shared" si="6"/>
        <v>Db_437</v>
      </c>
      <c r="E442" s="10" t="s">
        <v>2688</v>
      </c>
      <c r="F442" s="10" t="str">
        <f>MID(Table1[[#This Row],[Reference_Name]], 4, LEN(Table1[[#This Row],[Reference_Name]])-3)</f>
        <v>SerC_SV1_y5F_LC</v>
      </c>
      <c r="G442" s="10" t="s">
        <v>3404</v>
      </c>
      <c r="H442" s="10" t="s">
        <v>3405</v>
      </c>
      <c r="I442" s="10">
        <f>Db_SerC_SV1_y5F_LC</f>
        <v>0</v>
      </c>
    </row>
    <row r="443" spans="4:10" s="10" customFormat="1" ht="12" customHeight="1" x14ac:dyDescent="0.2">
      <c r="D443" s="10" t="str">
        <f t="shared" si="6"/>
        <v>Db_438</v>
      </c>
      <c r="E443" s="10" t="s">
        <v>2689</v>
      </c>
      <c r="F443" s="10" t="str">
        <f>MID(Table1[[#This Row],[Reference_Name]], 4, LEN(Table1[[#This Row],[Reference_Name]])-3)</f>
        <v>SerC_SV2_totalF_LC</v>
      </c>
      <c r="G443" s="10" t="s">
        <v>3406</v>
      </c>
      <c r="H443" s="10" t="s">
        <v>3407</v>
      </c>
      <c r="I443" s="10">
        <f>Db_SerC_SV2_totalF_LC</f>
        <v>0</v>
      </c>
    </row>
    <row r="444" spans="4:10" s="10" customFormat="1" ht="12" customHeight="1" x14ac:dyDescent="0.2">
      <c r="D444" s="10" t="str">
        <f t="shared" si="6"/>
        <v>Db_439</v>
      </c>
      <c r="E444" s="10" t="s">
        <v>2690</v>
      </c>
      <c r="F444" s="10" t="str">
        <f>MID(Table1[[#This Row],[Reference_Name]], 4, LEN(Table1[[#This Row],[Reference_Name]])-3)</f>
        <v>SerC_SV2_y1F_LC</v>
      </c>
      <c r="G444" s="10" t="s">
        <v>3408</v>
      </c>
      <c r="H444" s="10" t="s">
        <v>3409</v>
      </c>
      <c r="I444" s="10">
        <f>Db_SerC_SV2_y1F_LC</f>
        <v>0</v>
      </c>
    </row>
    <row r="445" spans="4:10" s="10" customFormat="1" ht="12" customHeight="1" x14ac:dyDescent="0.2">
      <c r="D445" s="10" t="str">
        <f t="shared" si="6"/>
        <v>Db_440</v>
      </c>
      <c r="E445" s="10" t="s">
        <v>2691</v>
      </c>
      <c r="F445" s="10" t="str">
        <f>MID(Table1[[#This Row],[Reference_Name]], 4, LEN(Table1[[#This Row],[Reference_Name]])-3)</f>
        <v>SerC_SV2_y2F_LC</v>
      </c>
      <c r="G445" s="10" t="s">
        <v>3410</v>
      </c>
      <c r="H445" s="10" t="s">
        <v>3411</v>
      </c>
      <c r="I445" s="10">
        <f>Db_SerC_SV2_y2F_LC</f>
        <v>0</v>
      </c>
    </row>
    <row r="446" spans="4:10" s="10" customFormat="1" ht="12" customHeight="1" x14ac:dyDescent="0.2">
      <c r="D446" s="10" t="str">
        <f t="shared" si="6"/>
        <v>Db_441</v>
      </c>
      <c r="E446" s="10" t="s">
        <v>2692</v>
      </c>
      <c r="F446" s="10" t="str">
        <f>MID(Table1[[#This Row],[Reference_Name]], 4, LEN(Table1[[#This Row],[Reference_Name]])-3)</f>
        <v>SerC_SV2_y3F_LC</v>
      </c>
      <c r="G446" s="10" t="s">
        <v>3412</v>
      </c>
      <c r="H446" s="10" t="s">
        <v>3413</v>
      </c>
      <c r="I446" s="10">
        <f>Db_SerC_SV2_y3F_LC</f>
        <v>0</v>
      </c>
    </row>
    <row r="447" spans="4:10" s="10" customFormat="1" ht="12" customHeight="1" x14ac:dyDescent="0.2">
      <c r="D447" s="10" t="str">
        <f t="shared" si="6"/>
        <v>Db_442</v>
      </c>
      <c r="E447" s="10" t="s">
        <v>2693</v>
      </c>
      <c r="F447" s="10" t="str">
        <f>MID(Table1[[#This Row],[Reference_Name]], 4, LEN(Table1[[#This Row],[Reference_Name]])-3)</f>
        <v>SerC_SV2_y4F_LC</v>
      </c>
      <c r="G447" s="10" t="s">
        <v>3414</v>
      </c>
      <c r="H447" s="10" t="s">
        <v>3415</v>
      </c>
      <c r="I447" s="10">
        <f>Db_SerC_SV2_y4F_LC</f>
        <v>0</v>
      </c>
    </row>
    <row r="448" spans="4:10" s="10" customFormat="1" ht="12" customHeight="1" x14ac:dyDescent="0.2">
      <c r="D448" s="10" t="str">
        <f t="shared" si="6"/>
        <v>Db_443</v>
      </c>
      <c r="E448" s="10" t="s">
        <v>2694</v>
      </c>
      <c r="F448" s="10" t="str">
        <f>MID(Table1[[#This Row],[Reference_Name]], 4, LEN(Table1[[#This Row],[Reference_Name]])-3)</f>
        <v>SerC_SV2_y5F_LC</v>
      </c>
      <c r="G448" s="10" t="s">
        <v>3416</v>
      </c>
      <c r="H448" s="10" t="s">
        <v>3417</v>
      </c>
      <c r="I448" s="10">
        <f>Db_SerC_SV2_y5F_LC</f>
        <v>0</v>
      </c>
    </row>
    <row r="449" spans="4:10" s="10" customFormat="1" ht="12" customHeight="1" x14ac:dyDescent="0.2">
      <c r="D449" s="10" t="str">
        <f t="shared" si="6"/>
        <v>Db_444</v>
      </c>
      <c r="E449" s="10" t="s">
        <v>2695</v>
      </c>
      <c r="F449" s="10" t="str">
        <f>MID(Table1[[#This Row],[Reference_Name]], 4, LEN(Table1[[#This Row],[Reference_Name]])-3)</f>
        <v>SerC_GV1_totalF_LC</v>
      </c>
      <c r="G449" s="10" t="s">
        <v>3418</v>
      </c>
      <c r="H449" s="10" t="s">
        <v>3419</v>
      </c>
      <c r="I449" s="10">
        <f>Db_SerC_GV1_totalF_LC</f>
        <v>0</v>
      </c>
    </row>
    <row r="450" spans="4:10" s="10" customFormat="1" ht="12" customHeight="1" x14ac:dyDescent="0.2">
      <c r="D450" s="10" t="str">
        <f t="shared" si="6"/>
        <v>Db_445</v>
      </c>
      <c r="E450" s="10" t="s">
        <v>2696</v>
      </c>
      <c r="F450" s="10" t="str">
        <f>MID(Table1[[#This Row],[Reference_Name]], 4, LEN(Table1[[#This Row],[Reference_Name]])-3)</f>
        <v>SerC_GV1_y1F_LC</v>
      </c>
      <c r="G450" s="10" t="s">
        <v>3420</v>
      </c>
      <c r="H450" s="10" t="s">
        <v>3421</v>
      </c>
      <c r="I450" s="10">
        <f>Db_SerC_GV1_y1F_LC</f>
        <v>0</v>
      </c>
    </row>
    <row r="451" spans="4:10" s="10" customFormat="1" ht="12" customHeight="1" x14ac:dyDescent="0.2">
      <c r="D451" s="10" t="str">
        <f t="shared" si="6"/>
        <v>Db_446</v>
      </c>
      <c r="E451" s="10" t="s">
        <v>2697</v>
      </c>
      <c r="F451" s="10" t="str">
        <f>MID(Table1[[#This Row],[Reference_Name]], 4, LEN(Table1[[#This Row],[Reference_Name]])-3)</f>
        <v>SerC_GV1_y2F_LC</v>
      </c>
      <c r="G451" s="10" t="s">
        <v>3422</v>
      </c>
      <c r="H451" s="10" t="s">
        <v>3423</v>
      </c>
      <c r="I451" s="10">
        <f>Db_SerC_GV1_y2F_LC</f>
        <v>0</v>
      </c>
    </row>
    <row r="452" spans="4:10" s="10" customFormat="1" ht="12" customHeight="1" x14ac:dyDescent="0.2">
      <c r="D452" s="10" t="str">
        <f t="shared" si="6"/>
        <v>Db_447</v>
      </c>
      <c r="E452" s="10" t="s">
        <v>2698</v>
      </c>
      <c r="F452" s="10" t="str">
        <f>MID(Table1[[#This Row],[Reference_Name]], 4, LEN(Table1[[#This Row],[Reference_Name]])-3)</f>
        <v>SerC_GV1_y3F_LC</v>
      </c>
      <c r="G452" s="10" t="s">
        <v>3424</v>
      </c>
      <c r="H452" s="10" t="s">
        <v>3425</v>
      </c>
      <c r="I452" s="10">
        <f>Db_SerC_GV1_y3F_LC</f>
        <v>0</v>
      </c>
    </row>
    <row r="453" spans="4:10" s="10" customFormat="1" ht="12" customHeight="1" x14ac:dyDescent="0.2">
      <c r="D453" s="10" t="str">
        <f t="shared" si="6"/>
        <v>Db_448</v>
      </c>
      <c r="E453" s="10" t="s">
        <v>2699</v>
      </c>
      <c r="F453" s="10" t="str">
        <f>MID(Table1[[#This Row],[Reference_Name]], 4, LEN(Table1[[#This Row],[Reference_Name]])-3)</f>
        <v>SerC_GV1_y4F_LC</v>
      </c>
      <c r="G453" s="10" t="s">
        <v>3426</v>
      </c>
      <c r="H453" s="10" t="s">
        <v>3427</v>
      </c>
      <c r="I453" s="10">
        <f>Db_SerC_GV1_y4F_LC</f>
        <v>0</v>
      </c>
    </row>
    <row r="454" spans="4:10" s="10" customFormat="1" ht="12" customHeight="1" x14ac:dyDescent="0.2">
      <c r="D454" s="10" t="str">
        <f t="shared" ref="D454:D517" si="7">"Db_"&amp;ROW()-5</f>
        <v>Db_449</v>
      </c>
      <c r="E454" s="10" t="s">
        <v>2700</v>
      </c>
      <c r="F454" s="10" t="str">
        <f>MID(Table1[[#This Row],[Reference_Name]], 4, LEN(Table1[[#This Row],[Reference_Name]])-3)</f>
        <v>SerC_GV1_y5F_LC</v>
      </c>
      <c r="G454" s="10" t="s">
        <v>3428</v>
      </c>
      <c r="H454" s="10" t="s">
        <v>3429</v>
      </c>
      <c r="I454" s="10">
        <f>Db_SerC_GV1_y5F_LC</f>
        <v>0</v>
      </c>
    </row>
    <row r="455" spans="4:10" s="10" customFormat="1" ht="12" customHeight="1" x14ac:dyDescent="0.2">
      <c r="D455" s="10" t="str">
        <f t="shared" si="7"/>
        <v>Db_450</v>
      </c>
      <c r="E455" s="10" t="s">
        <v>2701</v>
      </c>
      <c r="F455" s="10" t="str">
        <f>MID(Table1[[#This Row],[Reference_Name]], 4, LEN(Table1[[#This Row],[Reference_Name]])-3)</f>
        <v>SerC_GV2_totalF_LC</v>
      </c>
      <c r="G455" s="10" t="s">
        <v>3430</v>
      </c>
      <c r="H455" s="10" t="s">
        <v>3431</v>
      </c>
      <c r="I455" s="10">
        <f>Db_SerC_GV2_totalF_LC</f>
        <v>0</v>
      </c>
    </row>
    <row r="456" spans="4:10" s="10" customFormat="1" ht="12" customHeight="1" x14ac:dyDescent="0.2">
      <c r="D456" s="10" t="str">
        <f t="shared" si="7"/>
        <v>Db_451</v>
      </c>
      <c r="E456" s="10" t="s">
        <v>2702</v>
      </c>
      <c r="F456" s="10" t="str">
        <f>MID(Table1[[#This Row],[Reference_Name]], 4, LEN(Table1[[#This Row],[Reference_Name]])-3)</f>
        <v>SerC_GV2_y1F_LC</v>
      </c>
      <c r="G456" s="10" t="s">
        <v>3432</v>
      </c>
      <c r="H456" s="10" t="s">
        <v>3433</v>
      </c>
      <c r="I456" s="10">
        <f>Db_SerC_GV2_y1F_LC</f>
        <v>0</v>
      </c>
    </row>
    <row r="457" spans="4:10" s="10" customFormat="1" ht="12" customHeight="1" x14ac:dyDescent="0.2">
      <c r="D457" s="10" t="str">
        <f t="shared" si="7"/>
        <v>Db_452</v>
      </c>
      <c r="E457" s="10" t="s">
        <v>2703</v>
      </c>
      <c r="F457" s="10" t="str">
        <f>MID(Table1[[#This Row],[Reference_Name]], 4, LEN(Table1[[#This Row],[Reference_Name]])-3)</f>
        <v>SerC_GV2_y2F_LC</v>
      </c>
      <c r="G457" s="10" t="s">
        <v>3434</v>
      </c>
      <c r="H457" s="10" t="s">
        <v>3435</v>
      </c>
      <c r="I457" s="10">
        <f>Db_SerC_GV2_y2F_LC</f>
        <v>0</v>
      </c>
    </row>
    <row r="458" spans="4:10" s="10" customFormat="1" ht="12" customHeight="1" x14ac:dyDescent="0.2">
      <c r="D458" s="10" t="str">
        <f t="shared" si="7"/>
        <v>Db_453</v>
      </c>
      <c r="E458" s="10" t="s">
        <v>2704</v>
      </c>
      <c r="F458" s="10" t="str">
        <f>MID(Table1[[#This Row],[Reference_Name]], 4, LEN(Table1[[#This Row],[Reference_Name]])-3)</f>
        <v>SerC_GV2_y3F_LC</v>
      </c>
      <c r="G458" s="10" t="s">
        <v>3436</v>
      </c>
      <c r="H458" s="10" t="s">
        <v>3437</v>
      </c>
      <c r="I458" s="10">
        <f>Db_SerC_GV2_y3F_LC</f>
        <v>0</v>
      </c>
    </row>
    <row r="459" spans="4:10" s="10" customFormat="1" ht="12" customHeight="1" x14ac:dyDescent="0.2">
      <c r="D459" s="10" t="str">
        <f t="shared" si="7"/>
        <v>Db_454</v>
      </c>
      <c r="E459" s="10" t="s">
        <v>2705</v>
      </c>
      <c r="F459" s="10" t="str">
        <f>MID(Table1[[#This Row],[Reference_Name]], 4, LEN(Table1[[#This Row],[Reference_Name]])-3)</f>
        <v>SerC_GV2_y4F_LC</v>
      </c>
      <c r="G459" s="10" t="s">
        <v>3438</v>
      </c>
      <c r="H459" s="10" t="s">
        <v>3439</v>
      </c>
      <c r="I459" s="10">
        <f>Db_SerC_GV2_y4F_LC</f>
        <v>0</v>
      </c>
    </row>
    <row r="460" spans="4:10" s="10" customFormat="1" ht="12" customHeight="1" x14ac:dyDescent="0.2">
      <c r="D460" s="10" t="str">
        <f t="shared" si="7"/>
        <v>Db_455</v>
      </c>
      <c r="E460" s="10" t="s">
        <v>2706</v>
      </c>
      <c r="F460" s="10" t="str">
        <f>MID(Table1[[#This Row],[Reference_Name]], 4, LEN(Table1[[#This Row],[Reference_Name]])-3)</f>
        <v>SerC_GV2_y5F_LC</v>
      </c>
      <c r="G460" s="10" t="s">
        <v>3440</v>
      </c>
      <c r="H460" s="10" t="s">
        <v>3441</v>
      </c>
      <c r="I460" s="10">
        <f>Db_SerC_GV2_y5F_LC</f>
        <v>0</v>
      </c>
    </row>
    <row r="461" spans="4:10" ht="12" customHeight="1" x14ac:dyDescent="0.2">
      <c r="D461" s="10" t="str">
        <f t="shared" si="7"/>
        <v>Db_456</v>
      </c>
      <c r="E461" s="10" t="s">
        <v>2707</v>
      </c>
      <c r="F461" s="10" t="str">
        <f>MID(Table1[[#This Row],[Reference_Name]], 4, LEN(Table1[[#This Row],[Reference_Name]])-3)</f>
        <v>SupCtotalF_LC</v>
      </c>
      <c r="G461" s="10" t="s">
        <v>3442</v>
      </c>
      <c r="H461" t="s">
        <v>3443</v>
      </c>
      <c r="I461" s="10">
        <f>Db_SupCtotalF_LC</f>
        <v>0</v>
      </c>
      <c r="J461" s="10"/>
    </row>
    <row r="462" spans="4:10" ht="12" customHeight="1" x14ac:dyDescent="0.2">
      <c r="D462" s="10" t="str">
        <f t="shared" si="7"/>
        <v>Db_457</v>
      </c>
      <c r="E462" s="10" t="s">
        <v>2708</v>
      </c>
      <c r="F462" s="10" t="str">
        <f>MID(Table1[[#This Row],[Reference_Name]], 4, LEN(Table1[[#This Row],[Reference_Name]])-3)</f>
        <v>SupCy1F_LC</v>
      </c>
      <c r="G462" s="10" t="s">
        <v>3444</v>
      </c>
      <c r="H462" s="10" t="s">
        <v>3445</v>
      </c>
      <c r="I462" s="10">
        <f>Db_SupCy1F_LC</f>
        <v>0</v>
      </c>
      <c r="J462" s="10"/>
    </row>
    <row r="463" spans="4:10" ht="12" customHeight="1" x14ac:dyDescent="0.2">
      <c r="D463" s="10" t="str">
        <f t="shared" si="7"/>
        <v>Db_458</v>
      </c>
      <c r="E463" s="10" t="s">
        <v>2709</v>
      </c>
      <c r="F463" s="10" t="str">
        <f>MID(Table1[[#This Row],[Reference_Name]], 4, LEN(Table1[[#This Row],[Reference_Name]])-3)</f>
        <v>SupCy2F_LC</v>
      </c>
      <c r="G463" s="10" t="s">
        <v>3446</v>
      </c>
      <c r="H463" s="10" t="s">
        <v>3447</v>
      </c>
      <c r="I463" s="10">
        <f>Db_SupCy2F_LC</f>
        <v>0</v>
      </c>
      <c r="J463" s="10"/>
    </row>
    <row r="464" spans="4:10" ht="12" customHeight="1" x14ac:dyDescent="0.2">
      <c r="D464" s="10" t="str">
        <f t="shared" si="7"/>
        <v>Db_459</v>
      </c>
      <c r="E464" s="10" t="s">
        <v>2710</v>
      </c>
      <c r="F464" s="10" t="str">
        <f>MID(Table1[[#This Row],[Reference_Name]], 4, LEN(Table1[[#This Row],[Reference_Name]])-3)</f>
        <v>SupCy3F_LC</v>
      </c>
      <c r="G464" s="10" t="s">
        <v>3448</v>
      </c>
      <c r="H464" s="10" t="s">
        <v>3449</v>
      </c>
      <c r="I464" s="10">
        <f>Db_SupCy3F_LC</f>
        <v>0</v>
      </c>
      <c r="J464" s="10"/>
    </row>
    <row r="465" spans="4:10" ht="12" customHeight="1" x14ac:dyDescent="0.2">
      <c r="D465" s="10" t="str">
        <f t="shared" si="7"/>
        <v>Db_460</v>
      </c>
      <c r="E465" s="10" t="s">
        <v>2711</v>
      </c>
      <c r="F465" s="10" t="str">
        <f>MID(Table1[[#This Row],[Reference_Name]], 4, LEN(Table1[[#This Row],[Reference_Name]])-3)</f>
        <v>SupCy4F_LC</v>
      </c>
      <c r="G465" s="10" t="s">
        <v>3450</v>
      </c>
      <c r="H465" s="10" t="s">
        <v>3451</v>
      </c>
      <c r="I465" s="10">
        <f>Db_SupCy4F_LC</f>
        <v>0</v>
      </c>
      <c r="J465" s="10"/>
    </row>
    <row r="466" spans="4:10" ht="12" customHeight="1" x14ac:dyDescent="0.2">
      <c r="D466" s="10" t="str">
        <f t="shared" si="7"/>
        <v>Db_461</v>
      </c>
      <c r="E466" s="10" t="s">
        <v>2712</v>
      </c>
      <c r="F466" s="10" t="str">
        <f>MID(Table1[[#This Row],[Reference_Name]], 4, LEN(Table1[[#This Row],[Reference_Name]])-3)</f>
        <v>SupCy5F_LC</v>
      </c>
      <c r="G466" s="10" t="s">
        <v>3452</v>
      </c>
      <c r="H466" s="10" t="s">
        <v>3453</v>
      </c>
      <c r="I466" s="10">
        <f>Db_SupCy5F_LC</f>
        <v>0</v>
      </c>
      <c r="J466" s="10"/>
    </row>
    <row r="467" spans="4:10" ht="12" customHeight="1" x14ac:dyDescent="0.2">
      <c r="D467" s="10" t="str">
        <f t="shared" si="7"/>
        <v>Db_462</v>
      </c>
      <c r="E467" s="10" t="s">
        <v>2713</v>
      </c>
      <c r="F467" s="10" t="str">
        <f>MID(Table1[[#This Row],[Reference_Name]], 4, LEN(Table1[[#This Row],[Reference_Name]])-3)</f>
        <v>ColdCtotalF_LC</v>
      </c>
      <c r="G467" s="10" t="s">
        <v>3454</v>
      </c>
      <c r="H467" t="s">
        <v>3455</v>
      </c>
      <c r="I467" s="10">
        <f>Db_ColdCtotalF_LC</f>
        <v>0</v>
      </c>
      <c r="J467" s="10"/>
    </row>
    <row r="468" spans="4:10" ht="12" customHeight="1" x14ac:dyDescent="0.2">
      <c r="D468" s="10" t="str">
        <f t="shared" si="7"/>
        <v>Db_463</v>
      </c>
      <c r="E468" s="10" t="s">
        <v>2714</v>
      </c>
      <c r="F468" s="10" t="str">
        <f>MID(Table1[[#This Row],[Reference_Name]], 4, LEN(Table1[[#This Row],[Reference_Name]])-3)</f>
        <v>ColdCy1F_LC</v>
      </c>
      <c r="G468" s="10" t="s">
        <v>3456</v>
      </c>
      <c r="H468" s="10" t="s">
        <v>3457</v>
      </c>
      <c r="I468" s="10">
        <f>Db_ColdCy1F_LC</f>
        <v>0</v>
      </c>
      <c r="J468" s="10"/>
    </row>
    <row r="469" spans="4:10" ht="12" customHeight="1" x14ac:dyDescent="0.2">
      <c r="D469" s="10" t="str">
        <f t="shared" si="7"/>
        <v>Db_464</v>
      </c>
      <c r="E469" s="10" t="s">
        <v>2715</v>
      </c>
      <c r="F469" s="10" t="str">
        <f>MID(Table1[[#This Row],[Reference_Name]], 4, LEN(Table1[[#This Row],[Reference_Name]])-3)</f>
        <v>ColdCy2F_LC</v>
      </c>
      <c r="G469" s="10" t="s">
        <v>3458</v>
      </c>
      <c r="H469" s="10" t="s">
        <v>3459</v>
      </c>
      <c r="I469" s="10">
        <f>Db_ColdCy2F_LC</f>
        <v>0</v>
      </c>
      <c r="J469" s="10"/>
    </row>
    <row r="470" spans="4:10" ht="12" customHeight="1" x14ac:dyDescent="0.2">
      <c r="D470" s="10" t="str">
        <f t="shared" si="7"/>
        <v>Db_465</v>
      </c>
      <c r="E470" s="10" t="s">
        <v>2716</v>
      </c>
      <c r="F470" s="10" t="str">
        <f>MID(Table1[[#This Row],[Reference_Name]], 4, LEN(Table1[[#This Row],[Reference_Name]])-3)</f>
        <v>ColdCy3F_LC</v>
      </c>
      <c r="G470" s="10" t="s">
        <v>3460</v>
      </c>
      <c r="H470" s="10" t="s">
        <v>3461</v>
      </c>
      <c r="I470" s="10">
        <f>Db_ColdCy3F_LC</f>
        <v>0</v>
      </c>
      <c r="J470" s="10"/>
    </row>
    <row r="471" spans="4:10" ht="12" customHeight="1" x14ac:dyDescent="0.2">
      <c r="D471" s="10" t="str">
        <f t="shared" si="7"/>
        <v>Db_466</v>
      </c>
      <c r="E471" s="10" t="s">
        <v>2717</v>
      </c>
      <c r="F471" s="10" t="str">
        <f>MID(Table1[[#This Row],[Reference_Name]], 4, LEN(Table1[[#This Row],[Reference_Name]])-3)</f>
        <v>ColdCy4F_LC</v>
      </c>
      <c r="G471" s="10" t="s">
        <v>3462</v>
      </c>
      <c r="H471" s="10" t="s">
        <v>3463</v>
      </c>
      <c r="I471" s="10">
        <f>Db_ColdCy4F_LC</f>
        <v>0</v>
      </c>
      <c r="J471" s="10"/>
    </row>
    <row r="472" spans="4:10" ht="12" customHeight="1" x14ac:dyDescent="0.2">
      <c r="D472" s="10" t="str">
        <f t="shared" si="7"/>
        <v>Db_467</v>
      </c>
      <c r="E472" s="10" t="s">
        <v>2718</v>
      </c>
      <c r="F472" s="10" t="str">
        <f>MID(Table1[[#This Row],[Reference_Name]], 4, LEN(Table1[[#This Row],[Reference_Name]])-3)</f>
        <v>ColdCy5F_LC</v>
      </c>
      <c r="G472" s="10" t="s">
        <v>3464</v>
      </c>
      <c r="H472" s="10" t="s">
        <v>3465</v>
      </c>
      <c r="I472" s="10">
        <f>Db_ColdCy5F_LC</f>
        <v>0</v>
      </c>
      <c r="J472" s="10"/>
    </row>
    <row r="473" spans="4:10" ht="12" customHeight="1" x14ac:dyDescent="0.2">
      <c r="D473" s="10" t="str">
        <f t="shared" si="7"/>
        <v>Db_468</v>
      </c>
      <c r="E473" s="10" t="s">
        <v>2719</v>
      </c>
      <c r="F473" s="10" t="str">
        <f>MID(Table1[[#This Row],[Reference_Name]], 4, LEN(Table1[[#This Row],[Reference_Name]])-3)</f>
        <v>ColdCANtotalF_LC</v>
      </c>
      <c r="G473" s="10" t="s">
        <v>3466</v>
      </c>
      <c r="H473" t="s">
        <v>3467</v>
      </c>
      <c r="I473" s="10">
        <f>Db_ColdCANtotalF_LC</f>
        <v>0</v>
      </c>
      <c r="J473" s="10"/>
    </row>
    <row r="474" spans="4:10" ht="12" customHeight="1" x14ac:dyDescent="0.2">
      <c r="D474" s="10" t="str">
        <f t="shared" si="7"/>
        <v>Db_469</v>
      </c>
      <c r="E474" s="10" t="s">
        <v>2720</v>
      </c>
      <c r="F474" s="10" t="str">
        <f>MID(Table1[[#This Row],[Reference_Name]], 4, LEN(Table1[[#This Row],[Reference_Name]])-3)</f>
        <v>ColdCANy1F_LC</v>
      </c>
      <c r="G474" s="10" t="s">
        <v>3468</v>
      </c>
      <c r="H474" s="10" t="s">
        <v>3469</v>
      </c>
      <c r="I474" s="10">
        <f>Db_ColdCANy1F_LC</f>
        <v>0</v>
      </c>
      <c r="J474" s="10"/>
    </row>
    <row r="475" spans="4:10" ht="12" customHeight="1" x14ac:dyDescent="0.2">
      <c r="D475" s="10" t="str">
        <f t="shared" si="7"/>
        <v>Db_470</v>
      </c>
      <c r="E475" s="10" t="s">
        <v>2721</v>
      </c>
      <c r="F475" s="10" t="str">
        <f>MID(Table1[[#This Row],[Reference_Name]], 4, LEN(Table1[[#This Row],[Reference_Name]])-3)</f>
        <v>ColdCANy2F_LC</v>
      </c>
      <c r="G475" s="10" t="s">
        <v>3470</v>
      </c>
      <c r="H475" s="10" t="s">
        <v>3471</v>
      </c>
      <c r="I475" s="10">
        <f>Db_ColdCANy2F_LC</f>
        <v>0</v>
      </c>
      <c r="J475" s="10"/>
    </row>
    <row r="476" spans="4:10" ht="12" customHeight="1" x14ac:dyDescent="0.2">
      <c r="D476" s="10" t="str">
        <f t="shared" si="7"/>
        <v>Db_471</v>
      </c>
      <c r="E476" s="10" t="s">
        <v>2722</v>
      </c>
      <c r="F476" s="10" t="str">
        <f>MID(Table1[[#This Row],[Reference_Name]], 4, LEN(Table1[[#This Row],[Reference_Name]])-3)</f>
        <v>ColdCANy3F_LC</v>
      </c>
      <c r="G476" s="10" t="s">
        <v>3472</v>
      </c>
      <c r="H476" s="10" t="s">
        <v>3473</v>
      </c>
      <c r="I476" s="10">
        <f>Db_ColdCANy3F_LC</f>
        <v>0</v>
      </c>
      <c r="J476" s="10"/>
    </row>
    <row r="477" spans="4:10" ht="12" customHeight="1" x14ac:dyDescent="0.2">
      <c r="D477" s="10" t="str">
        <f t="shared" si="7"/>
        <v>Db_472</v>
      </c>
      <c r="E477" s="10" t="s">
        <v>2723</v>
      </c>
      <c r="F477" s="10" t="str">
        <f>MID(Table1[[#This Row],[Reference_Name]], 4, LEN(Table1[[#This Row],[Reference_Name]])-3)</f>
        <v>ColdCANy4F_LC</v>
      </c>
      <c r="G477" s="10" t="s">
        <v>3474</v>
      </c>
      <c r="H477" s="10" t="s">
        <v>3475</v>
      </c>
      <c r="I477" s="10">
        <f>Db_ColdCANy4F_LC</f>
        <v>0</v>
      </c>
      <c r="J477" s="10"/>
    </row>
    <row r="478" spans="4:10" ht="12" customHeight="1" x14ac:dyDescent="0.2">
      <c r="D478" s="10" t="str">
        <f t="shared" si="7"/>
        <v>Db_473</v>
      </c>
      <c r="E478" s="10" t="s">
        <v>2724</v>
      </c>
      <c r="F478" s="10" t="str">
        <f>MID(Table1[[#This Row],[Reference_Name]], 4, LEN(Table1[[#This Row],[Reference_Name]])-3)</f>
        <v>ColdCANy5F_LC</v>
      </c>
      <c r="G478" s="10" t="s">
        <v>3476</v>
      </c>
      <c r="H478" s="10" t="s">
        <v>3477</v>
      </c>
      <c r="I478" s="10">
        <f>Db_ColdCANy5F_LC</f>
        <v>0</v>
      </c>
      <c r="J478" s="10"/>
    </row>
    <row r="479" spans="4:10" ht="12" customHeight="1" x14ac:dyDescent="0.2">
      <c r="D479" s="10" t="str">
        <f t="shared" si="7"/>
        <v>Db_474</v>
      </c>
      <c r="E479" s="10" t="s">
        <v>2725</v>
      </c>
      <c r="F479" s="10" t="str">
        <f>MID(Table1[[#This Row],[Reference_Name]], 4, LEN(Table1[[#This Row],[Reference_Name]])-3)</f>
        <v>OthCapCtotalF_LC</v>
      </c>
      <c r="G479" s="10" t="s">
        <v>3478</v>
      </c>
      <c r="H479" t="s">
        <v>3479</v>
      </c>
      <c r="I479" s="10">
        <f>Db_OthCapCtotalF_LC</f>
        <v>0</v>
      </c>
      <c r="J479" s="10"/>
    </row>
    <row r="480" spans="4:10" ht="12" customHeight="1" x14ac:dyDescent="0.2">
      <c r="D480" s="10" t="str">
        <f t="shared" si="7"/>
        <v>Db_475</v>
      </c>
      <c r="E480" s="10" t="s">
        <v>2726</v>
      </c>
      <c r="F480" s="10" t="str">
        <f>MID(Table1[[#This Row],[Reference_Name]], 4, LEN(Table1[[#This Row],[Reference_Name]])-3)</f>
        <v>OthCapCy1F_LC</v>
      </c>
      <c r="G480" s="10" t="s">
        <v>3480</v>
      </c>
      <c r="H480" s="10" t="s">
        <v>3481</v>
      </c>
      <c r="I480" s="10">
        <f>Db_OthCapCy1F_LC</f>
        <v>0</v>
      </c>
      <c r="J480" s="10"/>
    </row>
    <row r="481" spans="4:10" ht="12" customHeight="1" x14ac:dyDescent="0.2">
      <c r="D481" s="10" t="str">
        <f t="shared" si="7"/>
        <v>Db_476</v>
      </c>
      <c r="E481" s="10" t="s">
        <v>2727</v>
      </c>
      <c r="F481" s="10" t="str">
        <f>MID(Table1[[#This Row],[Reference_Name]], 4, LEN(Table1[[#This Row],[Reference_Name]])-3)</f>
        <v>OthCapCy2F_LC</v>
      </c>
      <c r="G481" s="10" t="s">
        <v>3482</v>
      </c>
      <c r="H481" s="10" t="s">
        <v>3483</v>
      </c>
      <c r="I481" s="10">
        <f>Db_OthCapCy2F_LC</f>
        <v>0</v>
      </c>
      <c r="J481" s="10"/>
    </row>
    <row r="482" spans="4:10" ht="12" customHeight="1" x14ac:dyDescent="0.2">
      <c r="D482" s="10" t="str">
        <f t="shared" si="7"/>
        <v>Db_477</v>
      </c>
      <c r="E482" s="10" t="s">
        <v>2728</v>
      </c>
      <c r="F482" s="10" t="str">
        <f>MID(Table1[[#This Row],[Reference_Name]], 4, LEN(Table1[[#This Row],[Reference_Name]])-3)</f>
        <v>OthCapCy3F_LC</v>
      </c>
      <c r="G482" s="10" t="s">
        <v>3484</v>
      </c>
      <c r="H482" s="10" t="s">
        <v>3485</v>
      </c>
      <c r="I482" s="10">
        <f>Db_OthCapCy3F_LC</f>
        <v>0</v>
      </c>
      <c r="J482" s="10"/>
    </row>
    <row r="483" spans="4:10" ht="12" customHeight="1" x14ac:dyDescent="0.2">
      <c r="D483" s="10" t="str">
        <f t="shared" si="7"/>
        <v>Db_478</v>
      </c>
      <c r="E483" s="10" t="s">
        <v>2729</v>
      </c>
      <c r="F483" s="10" t="str">
        <f>MID(Table1[[#This Row],[Reference_Name]], 4, LEN(Table1[[#This Row],[Reference_Name]])-3)</f>
        <v>OthCapCy4F_LC</v>
      </c>
      <c r="G483" s="10" t="s">
        <v>3486</v>
      </c>
      <c r="H483" s="10" t="s">
        <v>3487</v>
      </c>
      <c r="I483" s="10">
        <f>Db_OthCapCy4F_LC</f>
        <v>0</v>
      </c>
      <c r="J483" s="10"/>
    </row>
    <row r="484" spans="4:10" ht="12" customHeight="1" x14ac:dyDescent="0.2">
      <c r="D484" s="10" t="str">
        <f t="shared" si="7"/>
        <v>Db_479</v>
      </c>
      <c r="E484" s="10" t="s">
        <v>2730</v>
      </c>
      <c r="F484" s="10" t="str">
        <f>MID(Table1[[#This Row],[Reference_Name]], 4, LEN(Table1[[#This Row],[Reference_Name]])-3)</f>
        <v>OthCapCy5F_LC</v>
      </c>
      <c r="G484" s="10" t="s">
        <v>3488</v>
      </c>
      <c r="H484" s="10" t="s">
        <v>3489</v>
      </c>
      <c r="I484" s="10">
        <f>Db_OthCapCy5F_LC</f>
        <v>0</v>
      </c>
      <c r="J484" s="10"/>
    </row>
    <row r="485" spans="4:10" ht="12" customHeight="1" x14ac:dyDescent="0.2">
      <c r="D485" s="10" t="str">
        <f t="shared" si="7"/>
        <v>Db_480</v>
      </c>
      <c r="E485" s="10" t="s">
        <v>2731</v>
      </c>
      <c r="F485" s="10" t="str">
        <f>MID(Table1[[#This Row],[Reference_Name]], 4, LEN(Table1[[#This Row],[Reference_Name]])-3)</f>
        <v>OthCapCANtotalF_LC</v>
      </c>
      <c r="G485" s="10" t="s">
        <v>3490</v>
      </c>
      <c r="H485" t="s">
        <v>3491</v>
      </c>
      <c r="I485" s="10">
        <f>Db_OthCapCANtotalF_LC</f>
        <v>0</v>
      </c>
      <c r="J485" s="10"/>
    </row>
    <row r="486" spans="4:10" ht="12" customHeight="1" x14ac:dyDescent="0.2">
      <c r="D486" s="10" t="str">
        <f t="shared" si="7"/>
        <v>Db_481</v>
      </c>
      <c r="E486" s="10" t="s">
        <v>2732</v>
      </c>
      <c r="F486" s="10" t="str">
        <f>MID(Table1[[#This Row],[Reference_Name]], 4, LEN(Table1[[#This Row],[Reference_Name]])-3)</f>
        <v>OthCapCANy1F_LC</v>
      </c>
      <c r="G486" s="10" t="s">
        <v>3492</v>
      </c>
      <c r="H486" s="10" t="s">
        <v>3493</v>
      </c>
      <c r="I486" s="10">
        <f>Db_OthCapCANy1F_LC</f>
        <v>0</v>
      </c>
      <c r="J486" s="10"/>
    </row>
    <row r="487" spans="4:10" ht="12" customHeight="1" x14ac:dyDescent="0.2">
      <c r="D487" s="10" t="str">
        <f t="shared" si="7"/>
        <v>Db_482</v>
      </c>
      <c r="E487" s="10" t="s">
        <v>2733</v>
      </c>
      <c r="F487" s="10" t="str">
        <f>MID(Table1[[#This Row],[Reference_Name]], 4, LEN(Table1[[#This Row],[Reference_Name]])-3)</f>
        <v>OthCapCANy2F_LC</v>
      </c>
      <c r="G487" s="10" t="s">
        <v>3494</v>
      </c>
      <c r="H487" s="10" t="s">
        <v>3495</v>
      </c>
      <c r="I487" s="10">
        <f>Db_OthCapCANy2F_LC</f>
        <v>0</v>
      </c>
      <c r="J487" s="10"/>
    </row>
    <row r="488" spans="4:10" ht="12" customHeight="1" x14ac:dyDescent="0.2">
      <c r="D488" s="10" t="str">
        <f t="shared" si="7"/>
        <v>Db_483</v>
      </c>
      <c r="E488" s="10" t="s">
        <v>2734</v>
      </c>
      <c r="F488" s="10" t="str">
        <f>MID(Table1[[#This Row],[Reference_Name]], 4, LEN(Table1[[#This Row],[Reference_Name]])-3)</f>
        <v>OthCapCANy3F_LC</v>
      </c>
      <c r="G488" s="10" t="s">
        <v>3496</v>
      </c>
      <c r="H488" s="10" t="s">
        <v>3497</v>
      </c>
      <c r="I488" s="10">
        <f>Db_OthCapCANy3F_LC</f>
        <v>0</v>
      </c>
      <c r="J488" s="10"/>
    </row>
    <row r="489" spans="4:10" ht="12" customHeight="1" x14ac:dyDescent="0.2">
      <c r="D489" s="10" t="str">
        <f t="shared" si="7"/>
        <v>Db_484</v>
      </c>
      <c r="E489" s="10" t="s">
        <v>2735</v>
      </c>
      <c r="F489" s="10" t="str">
        <f>MID(Table1[[#This Row],[Reference_Name]], 4, LEN(Table1[[#This Row],[Reference_Name]])-3)</f>
        <v>OthCapCANy4F_LC</v>
      </c>
      <c r="G489" s="10" t="s">
        <v>3498</v>
      </c>
      <c r="H489" s="10" t="s">
        <v>3499</v>
      </c>
      <c r="I489" s="10">
        <f>Db_OthCapCANy4F_LC</f>
        <v>0</v>
      </c>
      <c r="J489" s="10"/>
    </row>
    <row r="490" spans="4:10" ht="12" customHeight="1" x14ac:dyDescent="0.2">
      <c r="D490" s="10" t="str">
        <f t="shared" si="7"/>
        <v>Db_485</v>
      </c>
      <c r="E490" s="10" t="s">
        <v>2736</v>
      </c>
      <c r="F490" s="10" t="str">
        <f>MID(Table1[[#This Row],[Reference_Name]], 4, LEN(Table1[[#This Row],[Reference_Name]])-3)</f>
        <v>OthCapCANy5F_LC</v>
      </c>
      <c r="G490" s="10" t="s">
        <v>3500</v>
      </c>
      <c r="H490" s="10" t="s">
        <v>3501</v>
      </c>
      <c r="I490" s="10">
        <f>Db_OthCapCANy5F_LC</f>
        <v>0</v>
      </c>
      <c r="J490" s="10"/>
    </row>
    <row r="491" spans="4:10" ht="12" customHeight="1" x14ac:dyDescent="0.2">
      <c r="D491" s="10" t="str">
        <f t="shared" si="7"/>
        <v>Db_486</v>
      </c>
      <c r="E491" s="10" t="s">
        <v>2737</v>
      </c>
      <c r="F491" s="10" t="str">
        <f>MID(Table1[[#This Row],[Reference_Name]], 4, LEN(Table1[[#This Row],[Reference_Name]])-3)</f>
        <v>OthRecurCtotalF_LC</v>
      </c>
      <c r="G491" s="10" t="s">
        <v>3502</v>
      </c>
      <c r="H491" t="s">
        <v>3503</v>
      </c>
      <c r="I491" s="10">
        <f>Db_OthRecurCtotalF_LC</f>
        <v>0</v>
      </c>
      <c r="J491" s="10"/>
    </row>
    <row r="492" spans="4:10" ht="12" customHeight="1" x14ac:dyDescent="0.2">
      <c r="D492" s="10" t="str">
        <f t="shared" si="7"/>
        <v>Db_487</v>
      </c>
      <c r="E492" s="10" t="s">
        <v>2738</v>
      </c>
      <c r="F492" s="10" t="str">
        <f>MID(Table1[[#This Row],[Reference_Name]], 4, LEN(Table1[[#This Row],[Reference_Name]])-3)</f>
        <v>OthRecurCy1F_LC</v>
      </c>
      <c r="G492" s="10" t="s">
        <v>3504</v>
      </c>
      <c r="H492" s="10" t="s">
        <v>3505</v>
      </c>
      <c r="I492" s="10">
        <f>Db_OthRecurCy1F_LC</f>
        <v>0</v>
      </c>
      <c r="J492" s="10"/>
    </row>
    <row r="493" spans="4:10" ht="12" customHeight="1" x14ac:dyDescent="0.2">
      <c r="D493" s="10" t="str">
        <f t="shared" si="7"/>
        <v>Db_488</v>
      </c>
      <c r="E493" s="10" t="s">
        <v>2739</v>
      </c>
      <c r="F493" s="10" t="str">
        <f>MID(Table1[[#This Row],[Reference_Name]], 4, LEN(Table1[[#This Row],[Reference_Name]])-3)</f>
        <v>OthRecurCy2F_LC</v>
      </c>
      <c r="G493" s="10" t="s">
        <v>3506</v>
      </c>
      <c r="H493" s="10" t="s">
        <v>3507</v>
      </c>
      <c r="I493" s="10">
        <f>Db_OthRecurCy2F_LC</f>
        <v>0</v>
      </c>
      <c r="J493" s="10"/>
    </row>
    <row r="494" spans="4:10" ht="12" customHeight="1" x14ac:dyDescent="0.2">
      <c r="D494" s="10" t="str">
        <f t="shared" si="7"/>
        <v>Db_489</v>
      </c>
      <c r="E494" s="10" t="s">
        <v>2740</v>
      </c>
      <c r="F494" s="10" t="str">
        <f>MID(Table1[[#This Row],[Reference_Name]], 4, LEN(Table1[[#This Row],[Reference_Name]])-3)</f>
        <v>OthRecurCy3F_LC</v>
      </c>
      <c r="G494" s="10" t="s">
        <v>3508</v>
      </c>
      <c r="H494" s="10" t="s">
        <v>3509</v>
      </c>
      <c r="I494" s="10">
        <f>Db_OthRecurCy3F_LC</f>
        <v>0</v>
      </c>
      <c r="J494" s="10"/>
    </row>
    <row r="495" spans="4:10" ht="12" customHeight="1" x14ac:dyDescent="0.2">
      <c r="D495" s="10" t="str">
        <f t="shared" si="7"/>
        <v>Db_490</v>
      </c>
      <c r="E495" s="10" t="s">
        <v>2741</v>
      </c>
      <c r="F495" s="10" t="str">
        <f>MID(Table1[[#This Row],[Reference_Name]], 4, LEN(Table1[[#This Row],[Reference_Name]])-3)</f>
        <v>OthRecurCy4F_LC</v>
      </c>
      <c r="G495" s="10" t="s">
        <v>3510</v>
      </c>
      <c r="H495" s="10" t="s">
        <v>3511</v>
      </c>
      <c r="I495" s="10">
        <f>Db_OthRecurCy4F_LC</f>
        <v>0</v>
      </c>
      <c r="J495" s="10"/>
    </row>
    <row r="496" spans="4:10" ht="12" customHeight="1" x14ac:dyDescent="0.2">
      <c r="D496" s="10" t="str">
        <f t="shared" si="7"/>
        <v>Db_491</v>
      </c>
      <c r="E496" s="10" t="s">
        <v>2742</v>
      </c>
      <c r="F496" s="10" t="str">
        <f>MID(Table1[[#This Row],[Reference_Name]], 4, LEN(Table1[[#This Row],[Reference_Name]])-3)</f>
        <v>OthRecurCy5F_LC</v>
      </c>
      <c r="G496" s="10" t="s">
        <v>3512</v>
      </c>
      <c r="H496" s="10" t="s">
        <v>3513</v>
      </c>
      <c r="I496" s="10">
        <f>Db_OthRecurCy5F_LC</f>
        <v>0</v>
      </c>
      <c r="J496" s="10"/>
    </row>
    <row r="497" spans="4:10" ht="12" customHeight="1" x14ac:dyDescent="0.2">
      <c r="D497" s="10" t="str">
        <f t="shared" si="7"/>
        <v>Db_492</v>
      </c>
      <c r="E497" s="10" t="s">
        <v>2743</v>
      </c>
      <c r="F497" s="10" t="str">
        <f>MID(Table1[[#This Row],[Reference_Name]], 4, LEN(Table1[[#This Row],[Reference_Name]])-3)</f>
        <v>MicroCtotalE_LC</v>
      </c>
      <c r="G497" s="10" t="s">
        <v>3514</v>
      </c>
      <c r="H497" t="s">
        <v>3515</v>
      </c>
      <c r="I497" s="10">
        <f>Db_MicroCtotalE_LC</f>
        <v>0</v>
      </c>
      <c r="J497" s="10"/>
    </row>
    <row r="498" spans="4:10" ht="12" customHeight="1" x14ac:dyDescent="0.2">
      <c r="D498" s="10" t="str">
        <f t="shared" si="7"/>
        <v>Db_493</v>
      </c>
      <c r="E498" s="10" t="s">
        <v>2744</v>
      </c>
      <c r="F498" s="10" t="str">
        <f>MID(Table1[[#This Row],[Reference_Name]], 4, LEN(Table1[[#This Row],[Reference_Name]])-3)</f>
        <v>MicroCy1E_LC</v>
      </c>
      <c r="G498" s="10" t="s">
        <v>3516</v>
      </c>
      <c r="H498" s="10" t="s">
        <v>3517</v>
      </c>
      <c r="I498" s="10">
        <f>Db_MicroCy1E_LC</f>
        <v>0</v>
      </c>
      <c r="J498" s="10"/>
    </row>
    <row r="499" spans="4:10" ht="12" customHeight="1" x14ac:dyDescent="0.2">
      <c r="D499" s="10" t="str">
        <f t="shared" si="7"/>
        <v>Db_494</v>
      </c>
      <c r="E499" s="10" t="s">
        <v>2745</v>
      </c>
      <c r="F499" s="10" t="str">
        <f>MID(Table1[[#This Row],[Reference_Name]], 4, LEN(Table1[[#This Row],[Reference_Name]])-3)</f>
        <v>MicroCy2E_LC</v>
      </c>
      <c r="G499" s="10" t="s">
        <v>3518</v>
      </c>
      <c r="H499" s="10" t="s">
        <v>3519</v>
      </c>
      <c r="I499" s="10">
        <f>Db_MicroCy2E_LC</f>
        <v>0</v>
      </c>
      <c r="J499" s="10"/>
    </row>
    <row r="500" spans="4:10" ht="12" customHeight="1" x14ac:dyDescent="0.2">
      <c r="D500" s="10" t="str">
        <f t="shared" si="7"/>
        <v>Db_495</v>
      </c>
      <c r="E500" s="10" t="s">
        <v>2746</v>
      </c>
      <c r="F500" s="10" t="str">
        <f>MID(Table1[[#This Row],[Reference_Name]], 4, LEN(Table1[[#This Row],[Reference_Name]])-3)</f>
        <v>MicroCy3E_LC</v>
      </c>
      <c r="G500" s="10" t="s">
        <v>3520</v>
      </c>
      <c r="H500" s="10" t="s">
        <v>3521</v>
      </c>
      <c r="I500" s="10">
        <f>Db_MicroCy3E_LC</f>
        <v>0</v>
      </c>
      <c r="J500" s="10"/>
    </row>
    <row r="501" spans="4:10" ht="12" customHeight="1" x14ac:dyDescent="0.2">
      <c r="D501" s="10" t="str">
        <f t="shared" si="7"/>
        <v>Db_496</v>
      </c>
      <c r="E501" s="10" t="s">
        <v>2747</v>
      </c>
      <c r="F501" s="10" t="str">
        <f>MID(Table1[[#This Row],[Reference_Name]], 4, LEN(Table1[[#This Row],[Reference_Name]])-3)</f>
        <v>MicroCy4E_LC</v>
      </c>
      <c r="G501" s="10" t="s">
        <v>3522</v>
      </c>
      <c r="H501" s="10" t="s">
        <v>3523</v>
      </c>
      <c r="I501" s="10">
        <f>Db_MicroCy4E_LC</f>
        <v>0</v>
      </c>
      <c r="J501" s="10"/>
    </row>
    <row r="502" spans="4:10" ht="12" customHeight="1" x14ac:dyDescent="0.2">
      <c r="D502" s="10" t="str">
        <f t="shared" si="7"/>
        <v>Db_497</v>
      </c>
      <c r="E502" s="10" t="s">
        <v>2748</v>
      </c>
      <c r="F502" s="10" t="str">
        <f>MID(Table1[[#This Row],[Reference_Name]], 4, LEN(Table1[[#This Row],[Reference_Name]])-3)</f>
        <v>MicroCy5E_LC</v>
      </c>
      <c r="G502" s="10" t="s">
        <v>3524</v>
      </c>
      <c r="H502" s="10" t="s">
        <v>3525</v>
      </c>
      <c r="I502" s="10">
        <f>Db_MicroCy5E_LC</f>
        <v>0</v>
      </c>
      <c r="J502" s="10"/>
    </row>
    <row r="503" spans="4:10" ht="12" customHeight="1" x14ac:dyDescent="0.2">
      <c r="D503" s="10" t="str">
        <f t="shared" si="7"/>
        <v>Db_498</v>
      </c>
      <c r="E503" s="10" t="s">
        <v>2749</v>
      </c>
      <c r="F503" s="10" t="str">
        <f>MID(Table1[[#This Row],[Reference_Name]], 4, LEN(Table1[[#This Row],[Reference_Name]])-3)</f>
        <v>TrainCtotalE_LC</v>
      </c>
      <c r="G503" s="10" t="s">
        <v>3526</v>
      </c>
      <c r="H503" t="s">
        <v>3527</v>
      </c>
      <c r="I503" s="10">
        <f>Db_TrainCtotalE_LC</f>
        <v>0</v>
      </c>
      <c r="J503" s="10"/>
    </row>
    <row r="504" spans="4:10" ht="12" customHeight="1" x14ac:dyDescent="0.2">
      <c r="D504" s="10" t="str">
        <f t="shared" si="7"/>
        <v>Db_499</v>
      </c>
      <c r="E504" s="10" t="s">
        <v>2750</v>
      </c>
      <c r="F504" s="10" t="str">
        <f>MID(Table1[[#This Row],[Reference_Name]], 4, LEN(Table1[[#This Row],[Reference_Name]])-3)</f>
        <v>TrainCy1E_LC</v>
      </c>
      <c r="G504" s="10" t="s">
        <v>3528</v>
      </c>
      <c r="H504" s="10" t="s">
        <v>3529</v>
      </c>
      <c r="I504" s="10">
        <f>Db_TrainCy1E_LC</f>
        <v>0</v>
      </c>
      <c r="J504" s="10"/>
    </row>
    <row r="505" spans="4:10" ht="12" customHeight="1" x14ac:dyDescent="0.2">
      <c r="D505" s="10" t="str">
        <f t="shared" si="7"/>
        <v>Db_500</v>
      </c>
      <c r="E505" s="10" t="s">
        <v>2751</v>
      </c>
      <c r="F505" s="10" t="str">
        <f>MID(Table1[[#This Row],[Reference_Name]], 4, LEN(Table1[[#This Row],[Reference_Name]])-3)</f>
        <v>TrainCy2E_LC</v>
      </c>
      <c r="G505" s="10" t="s">
        <v>3530</v>
      </c>
      <c r="H505" s="10" t="s">
        <v>3531</v>
      </c>
      <c r="I505" s="10">
        <f>Db_TrainCy2E_LC</f>
        <v>0</v>
      </c>
      <c r="J505" s="10"/>
    </row>
    <row r="506" spans="4:10" ht="12" customHeight="1" x14ac:dyDescent="0.2">
      <c r="D506" s="10" t="str">
        <f t="shared" si="7"/>
        <v>Db_501</v>
      </c>
      <c r="E506" s="10" t="s">
        <v>2752</v>
      </c>
      <c r="F506" s="10" t="str">
        <f>MID(Table1[[#This Row],[Reference_Name]], 4, LEN(Table1[[#This Row],[Reference_Name]])-3)</f>
        <v>TrainCy3E_LC</v>
      </c>
      <c r="G506" s="10" t="s">
        <v>3532</v>
      </c>
      <c r="H506" s="10" t="s">
        <v>3533</v>
      </c>
      <c r="I506" s="10">
        <f>Db_TrainCy3E_LC</f>
        <v>0</v>
      </c>
      <c r="J506" s="10"/>
    </row>
    <row r="507" spans="4:10" ht="12" customHeight="1" x14ac:dyDescent="0.2">
      <c r="D507" s="10" t="str">
        <f t="shared" si="7"/>
        <v>Db_502</v>
      </c>
      <c r="E507" s="10" t="s">
        <v>2753</v>
      </c>
      <c r="F507" s="10" t="str">
        <f>MID(Table1[[#This Row],[Reference_Name]], 4, LEN(Table1[[#This Row],[Reference_Name]])-3)</f>
        <v>TrainCy4E_LC</v>
      </c>
      <c r="G507" s="10" t="s">
        <v>3534</v>
      </c>
      <c r="H507" s="10" t="s">
        <v>3535</v>
      </c>
      <c r="I507" s="10">
        <f>Db_TrainCy4E_LC</f>
        <v>0</v>
      </c>
      <c r="J507" s="10"/>
    </row>
    <row r="508" spans="4:10" ht="12" customHeight="1" x14ac:dyDescent="0.2">
      <c r="D508" s="10" t="str">
        <f t="shared" si="7"/>
        <v>Db_503</v>
      </c>
      <c r="E508" s="10" t="s">
        <v>2754</v>
      </c>
      <c r="F508" s="10" t="str">
        <f>MID(Table1[[#This Row],[Reference_Name]], 4, LEN(Table1[[#This Row],[Reference_Name]])-3)</f>
        <v>TrainCy5E_LC</v>
      </c>
      <c r="G508" s="10" t="s">
        <v>3536</v>
      </c>
      <c r="H508" s="10" t="s">
        <v>3537</v>
      </c>
      <c r="I508" s="10">
        <f>Db_TrainCy5E_LC</f>
        <v>0</v>
      </c>
      <c r="J508" s="10"/>
    </row>
    <row r="509" spans="4:10" ht="12" customHeight="1" x14ac:dyDescent="0.2">
      <c r="D509" s="10" t="str">
        <f t="shared" si="7"/>
        <v>Db_504</v>
      </c>
      <c r="E509" s="10" t="s">
        <v>2755</v>
      </c>
      <c r="F509" s="10" t="str">
        <f>MID(Table1[[#This Row],[Reference_Name]], 4, LEN(Table1[[#This Row],[Reference_Name]])-3)</f>
        <v>SenCtotalE_LC</v>
      </c>
      <c r="G509" s="10" t="s">
        <v>3538</v>
      </c>
      <c r="H509" t="s">
        <v>3539</v>
      </c>
      <c r="I509" s="10">
        <f>Db_SenCtotalE_LC</f>
        <v>0</v>
      </c>
      <c r="J509" s="10"/>
    </row>
    <row r="510" spans="4:10" ht="12" customHeight="1" x14ac:dyDescent="0.2">
      <c r="D510" s="10" t="str">
        <f t="shared" si="7"/>
        <v>Db_505</v>
      </c>
      <c r="E510" s="10" t="s">
        <v>2756</v>
      </c>
      <c r="F510" s="10" t="str">
        <f>MID(Table1[[#This Row],[Reference_Name]], 4, LEN(Table1[[#This Row],[Reference_Name]])-3)</f>
        <v>SenCy1E_LC</v>
      </c>
      <c r="G510" s="10" t="s">
        <v>3540</v>
      </c>
      <c r="H510" s="10" t="s">
        <v>3541</v>
      </c>
      <c r="I510" s="10">
        <f>Db_SenCy1E_LC</f>
        <v>0</v>
      </c>
      <c r="J510" s="10"/>
    </row>
    <row r="511" spans="4:10" ht="12" customHeight="1" x14ac:dyDescent="0.2">
      <c r="D511" s="10" t="str">
        <f t="shared" si="7"/>
        <v>Db_506</v>
      </c>
      <c r="E511" s="10" t="s">
        <v>2757</v>
      </c>
      <c r="F511" s="10" t="str">
        <f>MID(Table1[[#This Row],[Reference_Name]], 4, LEN(Table1[[#This Row],[Reference_Name]])-3)</f>
        <v>SenCy2E_LC</v>
      </c>
      <c r="G511" s="10" t="s">
        <v>3542</v>
      </c>
      <c r="H511" s="10" t="s">
        <v>3543</v>
      </c>
      <c r="I511" s="10">
        <f>-Db_SenCy2E_LC</f>
        <v>0</v>
      </c>
      <c r="J511" s="10"/>
    </row>
    <row r="512" spans="4:10" ht="12" customHeight="1" x14ac:dyDescent="0.2">
      <c r="D512" s="10" t="str">
        <f t="shared" si="7"/>
        <v>Db_507</v>
      </c>
      <c r="E512" s="10" t="s">
        <v>2758</v>
      </c>
      <c r="F512" s="10" t="str">
        <f>MID(Table1[[#This Row],[Reference_Name]], 4, LEN(Table1[[#This Row],[Reference_Name]])-3)</f>
        <v>SenCy3E_LC</v>
      </c>
      <c r="G512" s="10" t="s">
        <v>3544</v>
      </c>
      <c r="H512" s="10" t="s">
        <v>3545</v>
      </c>
      <c r="I512" s="10">
        <f>Db_SenCy3E_LC</f>
        <v>0</v>
      </c>
      <c r="J512" s="10"/>
    </row>
    <row r="513" spans="4:10" ht="12" customHeight="1" x14ac:dyDescent="0.2">
      <c r="D513" s="10" t="str">
        <f t="shared" si="7"/>
        <v>Db_508</v>
      </c>
      <c r="E513" s="10" t="s">
        <v>2759</v>
      </c>
      <c r="F513" s="10" t="str">
        <f>MID(Table1[[#This Row],[Reference_Name]], 4, LEN(Table1[[#This Row],[Reference_Name]])-3)</f>
        <v>SenCy4E_LC</v>
      </c>
      <c r="G513" s="10" t="s">
        <v>3546</v>
      </c>
      <c r="H513" s="10" t="s">
        <v>3547</v>
      </c>
      <c r="I513" s="10">
        <f>Db_SenCy4E_LC</f>
        <v>0</v>
      </c>
      <c r="J513" s="10"/>
    </row>
    <row r="514" spans="4:10" ht="12" customHeight="1" x14ac:dyDescent="0.2">
      <c r="D514" s="10" t="str">
        <f t="shared" si="7"/>
        <v>Db_509</v>
      </c>
      <c r="E514" s="10" t="s">
        <v>2760</v>
      </c>
      <c r="F514" s="10" t="str">
        <f>MID(Table1[[#This Row],[Reference_Name]], 4, LEN(Table1[[#This Row],[Reference_Name]])-3)</f>
        <v>SenCy5E_LC</v>
      </c>
      <c r="G514" s="10" t="s">
        <v>3548</v>
      </c>
      <c r="H514" s="10" t="s">
        <v>3549</v>
      </c>
      <c r="I514" s="10">
        <f>Db_SenCy5E_LC</f>
        <v>0</v>
      </c>
      <c r="J514" s="10"/>
    </row>
    <row r="515" spans="4:10" ht="12" customHeight="1" x14ac:dyDescent="0.2">
      <c r="D515" s="10" t="str">
        <f t="shared" si="7"/>
        <v>Db_510</v>
      </c>
      <c r="E515" s="10" t="s">
        <v>2761</v>
      </c>
      <c r="F515" s="10" t="str">
        <f>MID(Table1[[#This Row],[Reference_Name]], 4, LEN(Table1[[#This Row],[Reference_Name]])-3)</f>
        <v>SocCtotalE_LC</v>
      </c>
      <c r="G515" s="10" t="s">
        <v>3550</v>
      </c>
      <c r="H515" t="s">
        <v>3551</v>
      </c>
      <c r="I515" s="10">
        <f>Db_SocCtotalE_LC</f>
        <v>0</v>
      </c>
      <c r="J515" s="10"/>
    </row>
    <row r="516" spans="4:10" ht="12" customHeight="1" x14ac:dyDescent="0.2">
      <c r="D516" s="10" t="str">
        <f t="shared" si="7"/>
        <v>Db_511</v>
      </c>
      <c r="E516" s="10" t="s">
        <v>2762</v>
      </c>
      <c r="F516" s="10" t="str">
        <f>MID(Table1[[#This Row],[Reference_Name]], 4, LEN(Table1[[#This Row],[Reference_Name]])-3)</f>
        <v>SocCy1E_LC</v>
      </c>
      <c r="G516" s="10" t="s">
        <v>3552</v>
      </c>
      <c r="H516" s="10" t="s">
        <v>3553</v>
      </c>
      <c r="I516" s="10">
        <f>Db_SocCy1E_LC</f>
        <v>0</v>
      </c>
      <c r="J516" s="10"/>
    </row>
    <row r="517" spans="4:10" ht="12" customHeight="1" x14ac:dyDescent="0.2">
      <c r="D517" s="10" t="str">
        <f t="shared" si="7"/>
        <v>Db_512</v>
      </c>
      <c r="E517" s="10" t="s">
        <v>2763</v>
      </c>
      <c r="F517" s="10" t="str">
        <f>MID(Table1[[#This Row],[Reference_Name]], 4, LEN(Table1[[#This Row],[Reference_Name]])-3)</f>
        <v>SocCy2E_LC</v>
      </c>
      <c r="G517" s="10" t="s">
        <v>3554</v>
      </c>
      <c r="H517" s="10" t="s">
        <v>3555</v>
      </c>
      <c r="I517" s="10">
        <f>Db_SocCy2E_LC</f>
        <v>0</v>
      </c>
      <c r="J517" s="10"/>
    </row>
    <row r="518" spans="4:10" ht="12" customHeight="1" x14ac:dyDescent="0.2">
      <c r="D518" s="10" t="str">
        <f t="shared" ref="D518:D581" si="8">"Db_"&amp;ROW()-5</f>
        <v>Db_513</v>
      </c>
      <c r="E518" s="10" t="s">
        <v>2764</v>
      </c>
      <c r="F518" s="10" t="str">
        <f>MID(Table1[[#This Row],[Reference_Name]], 4, LEN(Table1[[#This Row],[Reference_Name]])-3)</f>
        <v>SocCy3E_LC</v>
      </c>
      <c r="G518" s="10" t="s">
        <v>3556</v>
      </c>
      <c r="H518" s="10" t="s">
        <v>3557</v>
      </c>
      <c r="I518" s="10">
        <f>Db_SocCy3E_LC</f>
        <v>0</v>
      </c>
      <c r="J518" s="10"/>
    </row>
    <row r="519" spans="4:10" ht="12" customHeight="1" x14ac:dyDescent="0.2">
      <c r="D519" s="10" t="str">
        <f t="shared" si="8"/>
        <v>Db_514</v>
      </c>
      <c r="E519" s="10" t="s">
        <v>2765</v>
      </c>
      <c r="F519" s="10" t="str">
        <f>MID(Table1[[#This Row],[Reference_Name]], 4, LEN(Table1[[#This Row],[Reference_Name]])-3)</f>
        <v>SocCy4E_LC</v>
      </c>
      <c r="G519" s="10" t="s">
        <v>3558</v>
      </c>
      <c r="H519" s="10" t="s">
        <v>3559</v>
      </c>
      <c r="I519" s="10">
        <f>Db_SocCy4E_LC</f>
        <v>0</v>
      </c>
      <c r="J519" s="10"/>
    </row>
    <row r="520" spans="4:10" ht="12" customHeight="1" x14ac:dyDescent="0.2">
      <c r="D520" s="10" t="str">
        <f t="shared" si="8"/>
        <v>Db_515</v>
      </c>
      <c r="E520" s="10" t="s">
        <v>2766</v>
      </c>
      <c r="F520" s="10" t="str">
        <f>MID(Table1[[#This Row],[Reference_Name]], 4, LEN(Table1[[#This Row],[Reference_Name]])-3)</f>
        <v>SocCy5E_LC</v>
      </c>
      <c r="G520" s="10" t="s">
        <v>3560</v>
      </c>
      <c r="H520" s="10" t="s">
        <v>3561</v>
      </c>
      <c r="I520" s="10">
        <f>Db_SocCy5E_LC</f>
        <v>0</v>
      </c>
      <c r="J520" s="10"/>
    </row>
    <row r="521" spans="4:10" ht="12" customHeight="1" x14ac:dyDescent="0.2">
      <c r="D521" s="10" t="str">
        <f t="shared" si="8"/>
        <v>Db_516</v>
      </c>
      <c r="E521" s="10" t="s">
        <v>2767</v>
      </c>
      <c r="F521" s="10" t="str">
        <f>MID(Table1[[#This Row],[Reference_Name]], 4, LEN(Table1[[#This Row],[Reference_Name]])-3)</f>
        <v>VacCtotalE_LC</v>
      </c>
      <c r="G521" s="10" t="s">
        <v>3562</v>
      </c>
      <c r="H521" t="s">
        <v>3563</v>
      </c>
      <c r="I521" s="10">
        <f>Db_VacCtotalE_LC</f>
        <v>0</v>
      </c>
      <c r="J521" s="10"/>
    </row>
    <row r="522" spans="4:10" ht="12" customHeight="1" x14ac:dyDescent="0.2">
      <c r="D522" s="10" t="str">
        <f t="shared" si="8"/>
        <v>Db_517</v>
      </c>
      <c r="E522" s="10" t="s">
        <v>2768</v>
      </c>
      <c r="F522" s="10" t="str">
        <f>MID(Table1[[#This Row],[Reference_Name]], 4, LEN(Table1[[#This Row],[Reference_Name]])-3)</f>
        <v>VacCy1E_LC</v>
      </c>
      <c r="G522" s="10" t="s">
        <v>3564</v>
      </c>
      <c r="H522" s="10" t="s">
        <v>3565</v>
      </c>
      <c r="I522" s="10">
        <f>Db_VacCy1E_LC</f>
        <v>0</v>
      </c>
      <c r="J522" s="10"/>
    </row>
    <row r="523" spans="4:10" ht="12" customHeight="1" x14ac:dyDescent="0.2">
      <c r="D523" s="10" t="str">
        <f t="shared" si="8"/>
        <v>Db_518</v>
      </c>
      <c r="E523" s="10" t="s">
        <v>2769</v>
      </c>
      <c r="F523" s="10" t="str">
        <f>MID(Table1[[#This Row],[Reference_Name]], 4, LEN(Table1[[#This Row],[Reference_Name]])-3)</f>
        <v>VacCy2E_LC</v>
      </c>
      <c r="G523" s="10" t="s">
        <v>3566</v>
      </c>
      <c r="H523" s="10" t="s">
        <v>3567</v>
      </c>
      <c r="I523" s="10">
        <f>Db_VacCy2E_LC</f>
        <v>0</v>
      </c>
      <c r="J523" s="10"/>
    </row>
    <row r="524" spans="4:10" ht="12" customHeight="1" x14ac:dyDescent="0.2">
      <c r="D524" s="10" t="str">
        <f t="shared" si="8"/>
        <v>Db_519</v>
      </c>
      <c r="E524" s="10" t="s">
        <v>2770</v>
      </c>
      <c r="F524" s="10" t="str">
        <f>MID(Table1[[#This Row],[Reference_Name]], 4, LEN(Table1[[#This Row],[Reference_Name]])-3)</f>
        <v>VacCy3E_LC</v>
      </c>
      <c r="G524" s="10" t="s">
        <v>3568</v>
      </c>
      <c r="H524" s="10" t="s">
        <v>3569</v>
      </c>
      <c r="I524" s="10">
        <f>Db_VacCy3E_LC</f>
        <v>0</v>
      </c>
      <c r="J524" s="10"/>
    </row>
    <row r="525" spans="4:10" ht="12" customHeight="1" x14ac:dyDescent="0.2">
      <c r="D525" s="10" t="str">
        <f t="shared" si="8"/>
        <v>Db_520</v>
      </c>
      <c r="E525" s="10" t="s">
        <v>2771</v>
      </c>
      <c r="F525" s="10" t="str">
        <f>MID(Table1[[#This Row],[Reference_Name]], 4, LEN(Table1[[#This Row],[Reference_Name]])-3)</f>
        <v>VacCy4E_LC</v>
      </c>
      <c r="G525" s="10" t="s">
        <v>3570</v>
      </c>
      <c r="H525" s="10" t="s">
        <v>3571</v>
      </c>
      <c r="I525" s="10">
        <f>Db_VacCy4E_LC</f>
        <v>0</v>
      </c>
      <c r="J525" s="10"/>
    </row>
    <row r="526" spans="4:10" ht="12" customHeight="1" x14ac:dyDescent="0.2">
      <c r="D526" s="10" t="str">
        <f t="shared" si="8"/>
        <v>Db_521</v>
      </c>
      <c r="E526" s="10" t="s">
        <v>2772</v>
      </c>
      <c r="F526" s="10" t="str">
        <f>MID(Table1[[#This Row],[Reference_Name]], 4, LEN(Table1[[#This Row],[Reference_Name]])-3)</f>
        <v>VacCy5E_LC</v>
      </c>
      <c r="G526" s="10" t="s">
        <v>3572</v>
      </c>
      <c r="H526" s="10" t="s">
        <v>3573</v>
      </c>
      <c r="I526" s="10">
        <f>Db_VacCy5E_LC</f>
        <v>0</v>
      </c>
      <c r="J526" s="10"/>
    </row>
    <row r="527" spans="4:10" ht="12" customHeight="1" x14ac:dyDescent="0.2">
      <c r="D527" s="10" t="str">
        <f t="shared" si="8"/>
        <v>Db_522</v>
      </c>
      <c r="E527" s="10" t="s">
        <v>2773</v>
      </c>
      <c r="F527" s="10" t="str">
        <f>MID(Table1[[#This Row],[Reference_Name]], 4, LEN(Table1[[#This Row],[Reference_Name]])-3)</f>
        <v>SerCtotalE_LC</v>
      </c>
      <c r="G527" s="10" t="s">
        <v>3574</v>
      </c>
      <c r="H527" t="s">
        <v>3575</v>
      </c>
      <c r="I527" s="10">
        <f>Db_SerCtotalE_LC</f>
        <v>0</v>
      </c>
      <c r="J527" s="10"/>
    </row>
    <row r="528" spans="4:10" ht="12" customHeight="1" x14ac:dyDescent="0.2">
      <c r="D528" s="10" t="str">
        <f t="shared" si="8"/>
        <v>Db_523</v>
      </c>
      <c r="E528" s="10" t="s">
        <v>2774</v>
      </c>
      <c r="F528" s="10" t="str">
        <f>MID(Table1[[#This Row],[Reference_Name]], 4, LEN(Table1[[#This Row],[Reference_Name]])-3)</f>
        <v>SerCy1E_LC</v>
      </c>
      <c r="G528" s="10" t="s">
        <v>3576</v>
      </c>
      <c r="H528" s="10" t="s">
        <v>3577</v>
      </c>
      <c r="I528" s="10">
        <f>Db_SerCy1E_LC</f>
        <v>0</v>
      </c>
      <c r="J528" s="10"/>
    </row>
    <row r="529" spans="4:10" ht="12" customHeight="1" x14ac:dyDescent="0.2">
      <c r="D529" s="10" t="str">
        <f t="shared" si="8"/>
        <v>Db_524</v>
      </c>
      <c r="E529" s="10" t="s">
        <v>2775</v>
      </c>
      <c r="F529" s="10" t="str">
        <f>MID(Table1[[#This Row],[Reference_Name]], 4, LEN(Table1[[#This Row],[Reference_Name]])-3)</f>
        <v>SerCy2E_LC</v>
      </c>
      <c r="G529" s="10" t="s">
        <v>3578</v>
      </c>
      <c r="H529" s="10" t="s">
        <v>3579</v>
      </c>
      <c r="I529" s="10">
        <f>Db_SerCy2E_LC</f>
        <v>0</v>
      </c>
      <c r="J529" s="10"/>
    </row>
    <row r="530" spans="4:10" ht="12" customHeight="1" x14ac:dyDescent="0.2">
      <c r="D530" s="10" t="str">
        <f t="shared" si="8"/>
        <v>Db_525</v>
      </c>
      <c r="E530" s="10" t="s">
        <v>2776</v>
      </c>
      <c r="F530" s="10" t="str">
        <f>MID(Table1[[#This Row],[Reference_Name]], 4, LEN(Table1[[#This Row],[Reference_Name]])-3)</f>
        <v>SerCy3E_LC</v>
      </c>
      <c r="G530" s="10" t="s">
        <v>3580</v>
      </c>
      <c r="H530" s="10" t="s">
        <v>3581</v>
      </c>
      <c r="I530" s="10">
        <f>Db_SerCy3E_LC</f>
        <v>0</v>
      </c>
      <c r="J530" s="10"/>
    </row>
    <row r="531" spans="4:10" ht="12" customHeight="1" x14ac:dyDescent="0.2">
      <c r="D531" s="10" t="str">
        <f t="shared" si="8"/>
        <v>Db_526</v>
      </c>
      <c r="E531" s="10" t="s">
        <v>2777</v>
      </c>
      <c r="F531" s="10" t="str">
        <f>MID(Table1[[#This Row],[Reference_Name]], 4, LEN(Table1[[#This Row],[Reference_Name]])-3)</f>
        <v>SerCy4E_LC</v>
      </c>
      <c r="G531" s="10" t="s">
        <v>3582</v>
      </c>
      <c r="H531" s="10" t="s">
        <v>3583</v>
      </c>
      <c r="I531" s="10">
        <f>Db_SerCy4E_LC</f>
        <v>0</v>
      </c>
      <c r="J531" s="10"/>
    </row>
    <row r="532" spans="4:10" ht="12" customHeight="1" x14ac:dyDescent="0.2">
      <c r="D532" s="10" t="str">
        <f t="shared" si="8"/>
        <v>Db_527</v>
      </c>
      <c r="E532" s="10" t="s">
        <v>2778</v>
      </c>
      <c r="F532" s="10" t="str">
        <f>MID(Table1[[#This Row],[Reference_Name]], 4, LEN(Table1[[#This Row],[Reference_Name]])-3)</f>
        <v>SerCy5E_LC</v>
      </c>
      <c r="G532" s="10" t="s">
        <v>3584</v>
      </c>
      <c r="H532" s="10" t="s">
        <v>3585</v>
      </c>
      <c r="I532" s="10">
        <f>Db_SerCy5E_LC</f>
        <v>0</v>
      </c>
      <c r="J532" s="10"/>
    </row>
    <row r="533" spans="4:10" s="10" customFormat="1" ht="12" customHeight="1" x14ac:dyDescent="0.2">
      <c r="D533" s="10" t="str">
        <f t="shared" si="8"/>
        <v>Db_528</v>
      </c>
      <c r="E533" s="10" t="s">
        <v>2779</v>
      </c>
      <c r="F533" s="10" t="str">
        <f>MID(Table1[[#This Row],[Reference_Name]], 4, LEN(Table1[[#This Row],[Reference_Name]])-3)</f>
        <v>SerC_SV1_totalE_LC</v>
      </c>
      <c r="G533" s="10" t="s">
        <v>3586</v>
      </c>
      <c r="H533" s="10" t="s">
        <v>3587</v>
      </c>
      <c r="I533" s="10">
        <f>Db_SerC_SV1_totalE_LC</f>
        <v>0</v>
      </c>
    </row>
    <row r="534" spans="4:10" s="10" customFormat="1" ht="12" customHeight="1" x14ac:dyDescent="0.2">
      <c r="D534" s="10" t="str">
        <f t="shared" si="8"/>
        <v>Db_529</v>
      </c>
      <c r="E534" s="10" t="s">
        <v>2780</v>
      </c>
      <c r="F534" s="10" t="str">
        <f>MID(Table1[[#This Row],[Reference_Name]], 4, LEN(Table1[[#This Row],[Reference_Name]])-3)</f>
        <v>SerC_SV1_y1E_LC</v>
      </c>
      <c r="G534" s="10" t="s">
        <v>3588</v>
      </c>
      <c r="H534" s="10" t="s">
        <v>3589</v>
      </c>
      <c r="I534" s="10">
        <f>Db_SerC_SV1_y1E_LC</f>
        <v>0</v>
      </c>
    </row>
    <row r="535" spans="4:10" s="10" customFormat="1" ht="12" customHeight="1" x14ac:dyDescent="0.2">
      <c r="D535" s="10" t="str">
        <f t="shared" si="8"/>
        <v>Db_530</v>
      </c>
      <c r="E535" s="10" t="s">
        <v>2781</v>
      </c>
      <c r="F535" s="10" t="str">
        <f>MID(Table1[[#This Row],[Reference_Name]], 4, LEN(Table1[[#This Row],[Reference_Name]])-3)</f>
        <v>SerC_SV1_y2E_LC</v>
      </c>
      <c r="G535" s="10" t="s">
        <v>3590</v>
      </c>
      <c r="H535" s="10" t="s">
        <v>3591</v>
      </c>
      <c r="I535" s="10">
        <f>Db_SerC_SV1_y2E_LC</f>
        <v>0</v>
      </c>
    </row>
    <row r="536" spans="4:10" s="10" customFormat="1" ht="12" customHeight="1" x14ac:dyDescent="0.2">
      <c r="D536" s="10" t="str">
        <f t="shared" si="8"/>
        <v>Db_531</v>
      </c>
      <c r="E536" s="10" t="s">
        <v>2782</v>
      </c>
      <c r="F536" s="10" t="str">
        <f>MID(Table1[[#This Row],[Reference_Name]], 4, LEN(Table1[[#This Row],[Reference_Name]])-3)</f>
        <v>SerC_SV1_y3E_LC</v>
      </c>
      <c r="G536" s="10" t="s">
        <v>3592</v>
      </c>
      <c r="H536" s="10" t="s">
        <v>3593</v>
      </c>
      <c r="I536" s="10">
        <f>Db_SerC_SV1_y3E_LC</f>
        <v>0</v>
      </c>
    </row>
    <row r="537" spans="4:10" s="10" customFormat="1" ht="12" customHeight="1" x14ac:dyDescent="0.2">
      <c r="D537" s="10" t="str">
        <f t="shared" si="8"/>
        <v>Db_532</v>
      </c>
      <c r="E537" s="10" t="s">
        <v>2783</v>
      </c>
      <c r="F537" s="10" t="str">
        <f>MID(Table1[[#This Row],[Reference_Name]], 4, LEN(Table1[[#This Row],[Reference_Name]])-3)</f>
        <v>SerC_SV1_y4E_LC</v>
      </c>
      <c r="G537" s="10" t="s">
        <v>3594</v>
      </c>
      <c r="H537" s="10" t="s">
        <v>3595</v>
      </c>
      <c r="I537" s="10">
        <f>Db_SerC_SV1_y4E_LC</f>
        <v>0</v>
      </c>
    </row>
    <row r="538" spans="4:10" s="10" customFormat="1" ht="12" customHeight="1" x14ac:dyDescent="0.2">
      <c r="D538" s="10" t="str">
        <f t="shared" si="8"/>
        <v>Db_533</v>
      </c>
      <c r="E538" s="10" t="s">
        <v>2784</v>
      </c>
      <c r="F538" s="10" t="str">
        <f>MID(Table1[[#This Row],[Reference_Name]], 4, LEN(Table1[[#This Row],[Reference_Name]])-3)</f>
        <v>SerC_SV1_y5E_LC</v>
      </c>
      <c r="G538" s="10" t="s">
        <v>3596</v>
      </c>
      <c r="H538" s="10" t="s">
        <v>3597</v>
      </c>
      <c r="I538" s="10">
        <f>Db_SerC_SV1_y5E_LC</f>
        <v>0</v>
      </c>
    </row>
    <row r="539" spans="4:10" s="10" customFormat="1" ht="12" customHeight="1" x14ac:dyDescent="0.2">
      <c r="D539" s="10" t="str">
        <f t="shared" si="8"/>
        <v>Db_534</v>
      </c>
      <c r="E539" s="10" t="s">
        <v>2785</v>
      </c>
      <c r="F539" s="10" t="str">
        <f>MID(Table1[[#This Row],[Reference_Name]], 4, LEN(Table1[[#This Row],[Reference_Name]])-3)</f>
        <v>SerC_SV2_totalE_LC</v>
      </c>
      <c r="G539" s="10" t="s">
        <v>3598</v>
      </c>
      <c r="H539" s="10" t="s">
        <v>3599</v>
      </c>
      <c r="I539" s="10">
        <f>Db_SerC_SV2_totalE_LC</f>
        <v>0</v>
      </c>
    </row>
    <row r="540" spans="4:10" s="10" customFormat="1" ht="12" customHeight="1" x14ac:dyDescent="0.2">
      <c r="D540" s="10" t="str">
        <f t="shared" si="8"/>
        <v>Db_535</v>
      </c>
      <c r="E540" s="10" t="s">
        <v>2786</v>
      </c>
      <c r="F540" s="10" t="str">
        <f>MID(Table1[[#This Row],[Reference_Name]], 4, LEN(Table1[[#This Row],[Reference_Name]])-3)</f>
        <v>SerC_SV2_y1E_LC</v>
      </c>
      <c r="G540" s="10" t="s">
        <v>3600</v>
      </c>
      <c r="H540" s="10" t="s">
        <v>3601</v>
      </c>
      <c r="I540" s="10">
        <f>Db_SerC_SV2_y1E_LC</f>
        <v>0</v>
      </c>
    </row>
    <row r="541" spans="4:10" s="10" customFormat="1" ht="12" customHeight="1" x14ac:dyDescent="0.2">
      <c r="D541" s="10" t="str">
        <f t="shared" si="8"/>
        <v>Db_536</v>
      </c>
      <c r="E541" s="10" t="s">
        <v>2787</v>
      </c>
      <c r="F541" s="10" t="str">
        <f>MID(Table1[[#This Row],[Reference_Name]], 4, LEN(Table1[[#This Row],[Reference_Name]])-3)</f>
        <v>SerC_SV2_y2E_LC</v>
      </c>
      <c r="G541" s="10" t="s">
        <v>3602</v>
      </c>
      <c r="H541" s="10" t="s">
        <v>3603</v>
      </c>
      <c r="I541" s="10">
        <f>Db_SerC_SV2_y2E_LC</f>
        <v>0</v>
      </c>
    </row>
    <row r="542" spans="4:10" s="10" customFormat="1" ht="12" customHeight="1" x14ac:dyDescent="0.2">
      <c r="D542" s="10" t="str">
        <f t="shared" si="8"/>
        <v>Db_537</v>
      </c>
      <c r="E542" s="10" t="s">
        <v>2788</v>
      </c>
      <c r="F542" s="10" t="str">
        <f>MID(Table1[[#This Row],[Reference_Name]], 4, LEN(Table1[[#This Row],[Reference_Name]])-3)</f>
        <v>SerC_SV2_y3E_LC</v>
      </c>
      <c r="G542" s="10" t="s">
        <v>3604</v>
      </c>
      <c r="H542" s="10" t="s">
        <v>3605</v>
      </c>
      <c r="I542" s="10">
        <f>Db_SerC_SV2_y3E_LC</f>
        <v>0</v>
      </c>
    </row>
    <row r="543" spans="4:10" s="10" customFormat="1" ht="12" customHeight="1" x14ac:dyDescent="0.2">
      <c r="D543" s="10" t="str">
        <f t="shared" si="8"/>
        <v>Db_538</v>
      </c>
      <c r="E543" s="10" t="s">
        <v>2789</v>
      </c>
      <c r="F543" s="10" t="str">
        <f>MID(Table1[[#This Row],[Reference_Name]], 4, LEN(Table1[[#This Row],[Reference_Name]])-3)</f>
        <v>SerC_SV2_y4E_LC</v>
      </c>
      <c r="G543" s="10" t="s">
        <v>3606</v>
      </c>
      <c r="H543" s="10" t="s">
        <v>3607</v>
      </c>
      <c r="I543" s="10">
        <f>Db_SerC_SV2_y4E_LC</f>
        <v>0</v>
      </c>
    </row>
    <row r="544" spans="4:10" s="10" customFormat="1" ht="12" customHeight="1" x14ac:dyDescent="0.2">
      <c r="D544" s="10" t="str">
        <f t="shared" si="8"/>
        <v>Db_539</v>
      </c>
      <c r="E544" s="10" t="s">
        <v>2790</v>
      </c>
      <c r="F544" s="10" t="str">
        <f>MID(Table1[[#This Row],[Reference_Name]], 4, LEN(Table1[[#This Row],[Reference_Name]])-3)</f>
        <v>SerC_SV2_y5E_LC</v>
      </c>
      <c r="G544" s="10" t="s">
        <v>3608</v>
      </c>
      <c r="H544" s="10" t="s">
        <v>3609</v>
      </c>
      <c r="I544" s="10">
        <f>Db_SerC_SV2_y5E_LC</f>
        <v>0</v>
      </c>
    </row>
    <row r="545" spans="4:10" s="10" customFormat="1" ht="12" customHeight="1" x14ac:dyDescent="0.2">
      <c r="D545" s="10" t="str">
        <f t="shared" si="8"/>
        <v>Db_540</v>
      </c>
      <c r="E545" s="10" t="s">
        <v>2791</v>
      </c>
      <c r="F545" s="10" t="str">
        <f>MID(Table1[[#This Row],[Reference_Name]], 4, LEN(Table1[[#This Row],[Reference_Name]])-3)</f>
        <v>SerC_GV1_totalE_LC</v>
      </c>
      <c r="G545" s="10" t="s">
        <v>3610</v>
      </c>
      <c r="H545" s="10" t="s">
        <v>3611</v>
      </c>
      <c r="I545" s="10">
        <f>Db_SerC_GV1_totalE_LC</f>
        <v>0</v>
      </c>
    </row>
    <row r="546" spans="4:10" s="10" customFormat="1" ht="12" customHeight="1" x14ac:dyDescent="0.2">
      <c r="D546" s="10" t="str">
        <f t="shared" si="8"/>
        <v>Db_541</v>
      </c>
      <c r="E546" s="10" t="s">
        <v>2792</v>
      </c>
      <c r="F546" s="10" t="str">
        <f>MID(Table1[[#This Row],[Reference_Name]], 4, LEN(Table1[[#This Row],[Reference_Name]])-3)</f>
        <v>SerC_GV1_y1E_LC</v>
      </c>
      <c r="G546" s="10" t="s">
        <v>3612</v>
      </c>
      <c r="H546" s="10" t="s">
        <v>3613</v>
      </c>
      <c r="I546" s="10">
        <f>Db_SerC_GV1_y1E_LC</f>
        <v>0</v>
      </c>
    </row>
    <row r="547" spans="4:10" s="10" customFormat="1" ht="12" customHeight="1" x14ac:dyDescent="0.2">
      <c r="D547" s="10" t="str">
        <f t="shared" si="8"/>
        <v>Db_542</v>
      </c>
      <c r="E547" s="10" t="s">
        <v>2793</v>
      </c>
      <c r="F547" s="10" t="str">
        <f>MID(Table1[[#This Row],[Reference_Name]], 4, LEN(Table1[[#This Row],[Reference_Name]])-3)</f>
        <v>SerC_GV1_y2E_LC</v>
      </c>
      <c r="G547" s="10" t="s">
        <v>3614</v>
      </c>
      <c r="H547" s="10" t="s">
        <v>3615</v>
      </c>
      <c r="I547" s="10">
        <f>Db_SerC_GV1_y2E_LC</f>
        <v>0</v>
      </c>
    </row>
    <row r="548" spans="4:10" s="10" customFormat="1" ht="12" customHeight="1" x14ac:dyDescent="0.2">
      <c r="D548" s="10" t="str">
        <f t="shared" si="8"/>
        <v>Db_543</v>
      </c>
      <c r="E548" s="10" t="s">
        <v>2794</v>
      </c>
      <c r="F548" s="10" t="str">
        <f>MID(Table1[[#This Row],[Reference_Name]], 4, LEN(Table1[[#This Row],[Reference_Name]])-3)</f>
        <v>SerC_GV1_y3E_LC</v>
      </c>
      <c r="G548" s="10" t="s">
        <v>3616</v>
      </c>
      <c r="H548" s="10" t="s">
        <v>3617</v>
      </c>
      <c r="I548" s="10">
        <f>Db_SerC_GV1_y3E_LC</f>
        <v>0</v>
      </c>
    </row>
    <row r="549" spans="4:10" s="10" customFormat="1" ht="12" customHeight="1" x14ac:dyDescent="0.2">
      <c r="D549" s="10" t="str">
        <f t="shared" si="8"/>
        <v>Db_544</v>
      </c>
      <c r="E549" s="10" t="s">
        <v>2795</v>
      </c>
      <c r="F549" s="10" t="str">
        <f>MID(Table1[[#This Row],[Reference_Name]], 4, LEN(Table1[[#This Row],[Reference_Name]])-3)</f>
        <v>SerC_GV1_y4E_LC</v>
      </c>
      <c r="G549" s="10" t="s">
        <v>3618</v>
      </c>
      <c r="H549" s="10" t="s">
        <v>3619</v>
      </c>
      <c r="I549" s="10">
        <f>Db_SerC_GV1_y4E_LC</f>
        <v>0</v>
      </c>
    </row>
    <row r="550" spans="4:10" s="10" customFormat="1" ht="12" customHeight="1" x14ac:dyDescent="0.2">
      <c r="D550" s="10" t="str">
        <f t="shared" si="8"/>
        <v>Db_545</v>
      </c>
      <c r="E550" s="10" t="s">
        <v>2796</v>
      </c>
      <c r="F550" s="10" t="str">
        <f>MID(Table1[[#This Row],[Reference_Name]], 4, LEN(Table1[[#This Row],[Reference_Name]])-3)</f>
        <v>SerC_GV1_y5E_LC</v>
      </c>
      <c r="G550" s="10" t="s">
        <v>3620</v>
      </c>
      <c r="H550" s="10" t="s">
        <v>3621</v>
      </c>
      <c r="I550" s="10">
        <f>Db_SerC_GV1_y5E_LC</f>
        <v>0</v>
      </c>
    </row>
    <row r="551" spans="4:10" s="10" customFormat="1" ht="12" customHeight="1" x14ac:dyDescent="0.2">
      <c r="D551" s="10" t="str">
        <f t="shared" si="8"/>
        <v>Db_546</v>
      </c>
      <c r="E551" s="10" t="s">
        <v>2797</v>
      </c>
      <c r="F551" s="10" t="str">
        <f>MID(Table1[[#This Row],[Reference_Name]], 4, LEN(Table1[[#This Row],[Reference_Name]])-3)</f>
        <v>SerC_GV2_totalE_LC</v>
      </c>
      <c r="G551" s="10" t="s">
        <v>3622</v>
      </c>
      <c r="H551" s="10" t="s">
        <v>3623</v>
      </c>
      <c r="I551" s="10">
        <f>Db_SerC_GV2_totalE_LC</f>
        <v>0</v>
      </c>
    </row>
    <row r="552" spans="4:10" s="10" customFormat="1" ht="12" customHeight="1" x14ac:dyDescent="0.2">
      <c r="D552" s="10" t="str">
        <f t="shared" si="8"/>
        <v>Db_547</v>
      </c>
      <c r="E552" s="10" t="s">
        <v>2798</v>
      </c>
      <c r="F552" s="10" t="str">
        <f>MID(Table1[[#This Row],[Reference_Name]], 4, LEN(Table1[[#This Row],[Reference_Name]])-3)</f>
        <v>SerC_GV2_y1E_LC</v>
      </c>
      <c r="G552" s="10" t="s">
        <v>3624</v>
      </c>
      <c r="H552" s="10" t="s">
        <v>3625</v>
      </c>
      <c r="I552" s="10">
        <f>Db_SerC_GV2_y1E_LC</f>
        <v>0</v>
      </c>
    </row>
    <row r="553" spans="4:10" s="10" customFormat="1" ht="12" customHeight="1" x14ac:dyDescent="0.2">
      <c r="D553" s="10" t="str">
        <f t="shared" si="8"/>
        <v>Db_548</v>
      </c>
      <c r="E553" s="10" t="s">
        <v>2799</v>
      </c>
      <c r="F553" s="10" t="str">
        <f>MID(Table1[[#This Row],[Reference_Name]], 4, LEN(Table1[[#This Row],[Reference_Name]])-3)</f>
        <v>SerC_GV2_y2E_LC</v>
      </c>
      <c r="G553" s="10" t="s">
        <v>3626</v>
      </c>
      <c r="H553" s="10" t="s">
        <v>3627</v>
      </c>
      <c r="I553" s="10">
        <f>Db_SerC_GV2_y2E_LC</f>
        <v>0</v>
      </c>
    </row>
    <row r="554" spans="4:10" s="10" customFormat="1" ht="12" customHeight="1" x14ac:dyDescent="0.2">
      <c r="D554" s="10" t="str">
        <f t="shared" si="8"/>
        <v>Db_549</v>
      </c>
      <c r="E554" s="10" t="s">
        <v>2800</v>
      </c>
      <c r="F554" s="10" t="str">
        <f>MID(Table1[[#This Row],[Reference_Name]], 4, LEN(Table1[[#This Row],[Reference_Name]])-3)</f>
        <v>SerC_GV2_y3E_LC</v>
      </c>
      <c r="G554" s="10" t="s">
        <v>3628</v>
      </c>
      <c r="H554" s="10" t="s">
        <v>3629</v>
      </c>
      <c r="I554" s="10">
        <f>Db_SerC_GV2_y3E_LC</f>
        <v>0</v>
      </c>
    </row>
    <row r="555" spans="4:10" s="10" customFormat="1" ht="12" customHeight="1" x14ac:dyDescent="0.2">
      <c r="D555" s="10" t="str">
        <f t="shared" si="8"/>
        <v>Db_550</v>
      </c>
      <c r="E555" s="10" t="s">
        <v>2801</v>
      </c>
      <c r="F555" s="10" t="str">
        <f>MID(Table1[[#This Row],[Reference_Name]], 4, LEN(Table1[[#This Row],[Reference_Name]])-3)</f>
        <v>SerC_GV2_y4E_LC</v>
      </c>
      <c r="G555" s="10" t="s">
        <v>3630</v>
      </c>
      <c r="H555" s="10" t="s">
        <v>3631</v>
      </c>
      <c r="I555" s="10">
        <f>Db_SerC_GV2_y4E_LC</f>
        <v>0</v>
      </c>
    </row>
    <row r="556" spans="4:10" s="10" customFormat="1" ht="12" customHeight="1" x14ac:dyDescent="0.2">
      <c r="D556" s="10" t="str">
        <f t="shared" si="8"/>
        <v>Db_551</v>
      </c>
      <c r="E556" s="10" t="s">
        <v>2802</v>
      </c>
      <c r="F556" s="10" t="str">
        <f>MID(Table1[[#This Row],[Reference_Name]], 4, LEN(Table1[[#This Row],[Reference_Name]])-3)</f>
        <v>SerC_GV2_y5E_LC</v>
      </c>
      <c r="G556" s="10" t="s">
        <v>3632</v>
      </c>
      <c r="H556" s="10" t="s">
        <v>3633</v>
      </c>
      <c r="I556" s="10">
        <f>Db_SerC_GV2_y5E_LC</f>
        <v>0</v>
      </c>
    </row>
    <row r="557" spans="4:10" ht="12" customHeight="1" x14ac:dyDescent="0.2">
      <c r="D557" s="10" t="str">
        <f t="shared" si="8"/>
        <v>Db_552</v>
      </c>
      <c r="E557" s="10" t="s">
        <v>2803</v>
      </c>
      <c r="F557" s="10" t="str">
        <f>MID(Table1[[#This Row],[Reference_Name]], 4, LEN(Table1[[#This Row],[Reference_Name]])-3)</f>
        <v>SupCtotalE_LC</v>
      </c>
      <c r="G557" s="10" t="s">
        <v>3634</v>
      </c>
      <c r="H557" t="s">
        <v>3635</v>
      </c>
      <c r="I557" s="10">
        <f>Db_SupCtotalE_LC</f>
        <v>0</v>
      </c>
      <c r="J557" s="10"/>
    </row>
    <row r="558" spans="4:10" ht="12" customHeight="1" x14ac:dyDescent="0.2">
      <c r="D558" s="10" t="str">
        <f t="shared" si="8"/>
        <v>Db_553</v>
      </c>
      <c r="E558" s="10" t="s">
        <v>2804</v>
      </c>
      <c r="F558" s="10" t="str">
        <f>MID(Table1[[#This Row],[Reference_Name]], 4, LEN(Table1[[#This Row],[Reference_Name]])-3)</f>
        <v>SupCy1E_LC</v>
      </c>
      <c r="G558" s="10" t="s">
        <v>3636</v>
      </c>
      <c r="H558" s="10" t="s">
        <v>3637</v>
      </c>
      <c r="I558" s="10">
        <f>Db_SupCy1E_LC</f>
        <v>0</v>
      </c>
      <c r="J558" s="10"/>
    </row>
    <row r="559" spans="4:10" ht="12" customHeight="1" x14ac:dyDescent="0.2">
      <c r="D559" s="10" t="str">
        <f t="shared" si="8"/>
        <v>Db_554</v>
      </c>
      <c r="E559" s="10" t="s">
        <v>2805</v>
      </c>
      <c r="F559" s="10" t="str">
        <f>MID(Table1[[#This Row],[Reference_Name]], 4, LEN(Table1[[#This Row],[Reference_Name]])-3)</f>
        <v>SupCy2E_LC</v>
      </c>
      <c r="G559" s="10" t="s">
        <v>3638</v>
      </c>
      <c r="H559" s="10" t="s">
        <v>3639</v>
      </c>
      <c r="I559" s="10">
        <f>Db_SupCy2E_LC</f>
        <v>0</v>
      </c>
      <c r="J559" s="10"/>
    </row>
    <row r="560" spans="4:10" ht="12" customHeight="1" x14ac:dyDescent="0.2">
      <c r="D560" s="10" t="str">
        <f t="shared" si="8"/>
        <v>Db_555</v>
      </c>
      <c r="E560" s="10" t="s">
        <v>2806</v>
      </c>
      <c r="F560" s="10" t="str">
        <f>MID(Table1[[#This Row],[Reference_Name]], 4, LEN(Table1[[#This Row],[Reference_Name]])-3)</f>
        <v>SupCy3E_LC</v>
      </c>
      <c r="G560" s="10" t="s">
        <v>3640</v>
      </c>
      <c r="H560" s="10" t="s">
        <v>3641</v>
      </c>
      <c r="I560" s="10">
        <f>Db_SupCy3E_LC</f>
        <v>0</v>
      </c>
      <c r="J560" s="10"/>
    </row>
    <row r="561" spans="4:10" ht="12" customHeight="1" x14ac:dyDescent="0.2">
      <c r="D561" s="10" t="str">
        <f t="shared" si="8"/>
        <v>Db_556</v>
      </c>
      <c r="E561" s="10" t="s">
        <v>2807</v>
      </c>
      <c r="F561" s="10" t="str">
        <f>MID(Table1[[#This Row],[Reference_Name]], 4, LEN(Table1[[#This Row],[Reference_Name]])-3)</f>
        <v>SupCy4E_LC</v>
      </c>
      <c r="G561" s="10" t="s">
        <v>3642</v>
      </c>
      <c r="H561" s="10" t="s">
        <v>3643</v>
      </c>
      <c r="I561" s="10">
        <f>Db_SupCy4E_LC</f>
        <v>0</v>
      </c>
      <c r="J561" s="10"/>
    </row>
    <row r="562" spans="4:10" ht="12" customHeight="1" x14ac:dyDescent="0.2">
      <c r="D562" s="10" t="str">
        <f t="shared" si="8"/>
        <v>Db_557</v>
      </c>
      <c r="E562" s="10" t="s">
        <v>2808</v>
      </c>
      <c r="F562" s="10" t="str">
        <f>MID(Table1[[#This Row],[Reference_Name]], 4, LEN(Table1[[#This Row],[Reference_Name]])-3)</f>
        <v>SupCy5E_LC</v>
      </c>
      <c r="G562" s="10" t="s">
        <v>3644</v>
      </c>
      <c r="H562" s="10" t="s">
        <v>3645</v>
      </c>
      <c r="I562" s="10">
        <f>Db_SupCy5E_LC</f>
        <v>0</v>
      </c>
      <c r="J562" s="10"/>
    </row>
    <row r="563" spans="4:10" ht="12" customHeight="1" x14ac:dyDescent="0.2">
      <c r="D563" s="10" t="str">
        <f t="shared" si="8"/>
        <v>Db_558</v>
      </c>
      <c r="E563" s="10" t="s">
        <v>2809</v>
      </c>
      <c r="F563" s="10" t="str">
        <f>MID(Table1[[#This Row],[Reference_Name]], 4, LEN(Table1[[#This Row],[Reference_Name]])-3)</f>
        <v>ColdCtotalE_LC</v>
      </c>
      <c r="G563" s="10" t="s">
        <v>3646</v>
      </c>
      <c r="H563" t="s">
        <v>3647</v>
      </c>
      <c r="I563" s="10">
        <f>Db_ColdCtotalE_LC</f>
        <v>0</v>
      </c>
      <c r="J563" s="10"/>
    </row>
    <row r="564" spans="4:10" ht="12" customHeight="1" x14ac:dyDescent="0.2">
      <c r="D564" s="10" t="str">
        <f t="shared" si="8"/>
        <v>Db_559</v>
      </c>
      <c r="E564" s="10" t="s">
        <v>2810</v>
      </c>
      <c r="F564" s="10" t="str">
        <f>MID(Table1[[#This Row],[Reference_Name]], 4, LEN(Table1[[#This Row],[Reference_Name]])-3)</f>
        <v>ColdCy1E_LC</v>
      </c>
      <c r="G564" s="10" t="s">
        <v>3648</v>
      </c>
      <c r="H564" s="10" t="s">
        <v>3649</v>
      </c>
      <c r="I564" s="10">
        <f>Db_ColdCy1E_LC</f>
        <v>0</v>
      </c>
      <c r="J564" s="10"/>
    </row>
    <row r="565" spans="4:10" ht="12" customHeight="1" x14ac:dyDescent="0.2">
      <c r="D565" s="10" t="str">
        <f t="shared" si="8"/>
        <v>Db_560</v>
      </c>
      <c r="E565" s="10" t="s">
        <v>2811</v>
      </c>
      <c r="F565" s="10" t="str">
        <f>MID(Table1[[#This Row],[Reference_Name]], 4, LEN(Table1[[#This Row],[Reference_Name]])-3)</f>
        <v>ColdCy2E_LC</v>
      </c>
      <c r="G565" s="10" t="s">
        <v>3650</v>
      </c>
      <c r="H565" s="10" t="s">
        <v>3651</v>
      </c>
      <c r="I565" s="10">
        <f>Db_ColdCy2E_LC</f>
        <v>0</v>
      </c>
      <c r="J565" s="10"/>
    </row>
    <row r="566" spans="4:10" ht="12" customHeight="1" x14ac:dyDescent="0.2">
      <c r="D566" s="10" t="str">
        <f t="shared" si="8"/>
        <v>Db_561</v>
      </c>
      <c r="E566" s="10" t="s">
        <v>2812</v>
      </c>
      <c r="F566" s="10" t="str">
        <f>MID(Table1[[#This Row],[Reference_Name]], 4, LEN(Table1[[#This Row],[Reference_Name]])-3)</f>
        <v>ColdCy3E_LC</v>
      </c>
      <c r="G566" s="10" t="s">
        <v>3652</v>
      </c>
      <c r="H566" s="10" t="s">
        <v>3653</v>
      </c>
      <c r="I566" s="10">
        <f>Db_ColdCy3E_LC</f>
        <v>0</v>
      </c>
      <c r="J566" s="10"/>
    </row>
    <row r="567" spans="4:10" ht="12" customHeight="1" x14ac:dyDescent="0.2">
      <c r="D567" s="10" t="str">
        <f t="shared" si="8"/>
        <v>Db_562</v>
      </c>
      <c r="E567" s="10" t="s">
        <v>2813</v>
      </c>
      <c r="F567" s="10" t="str">
        <f>MID(Table1[[#This Row],[Reference_Name]], 4, LEN(Table1[[#This Row],[Reference_Name]])-3)</f>
        <v>ColdCy4E_LC</v>
      </c>
      <c r="G567" s="10" t="s">
        <v>3654</v>
      </c>
      <c r="H567" s="10" t="s">
        <v>3655</v>
      </c>
      <c r="I567" s="10">
        <f>Db_ColdCy4E_LC</f>
        <v>0</v>
      </c>
      <c r="J567" s="10"/>
    </row>
    <row r="568" spans="4:10" ht="12" customHeight="1" x14ac:dyDescent="0.2">
      <c r="D568" s="10" t="str">
        <f t="shared" si="8"/>
        <v>Db_563</v>
      </c>
      <c r="E568" s="10" t="s">
        <v>2814</v>
      </c>
      <c r="F568" s="10" t="str">
        <f>MID(Table1[[#This Row],[Reference_Name]], 4, LEN(Table1[[#This Row],[Reference_Name]])-3)</f>
        <v>ColdCy5E_LC</v>
      </c>
      <c r="G568" s="10" t="s">
        <v>3656</v>
      </c>
      <c r="H568" s="10" t="s">
        <v>3657</v>
      </c>
      <c r="I568" s="10">
        <f>Db_ColdCy5E_LC</f>
        <v>0</v>
      </c>
      <c r="J568" s="10"/>
    </row>
    <row r="569" spans="4:10" ht="12" customHeight="1" x14ac:dyDescent="0.2">
      <c r="D569" s="10" t="str">
        <f t="shared" si="8"/>
        <v>Db_564</v>
      </c>
      <c r="E569" s="10" t="s">
        <v>2815</v>
      </c>
      <c r="F569" s="10" t="str">
        <f>MID(Table1[[#This Row],[Reference_Name]], 4, LEN(Table1[[#This Row],[Reference_Name]])-3)</f>
        <v>ColdCANtotalE_LC</v>
      </c>
      <c r="G569" s="10" t="s">
        <v>3658</v>
      </c>
      <c r="H569" t="s">
        <v>3659</v>
      </c>
      <c r="I569" s="10">
        <f>Db_ColdCANtotalE_LC</f>
        <v>0</v>
      </c>
      <c r="J569" s="10"/>
    </row>
    <row r="570" spans="4:10" ht="12" customHeight="1" x14ac:dyDescent="0.2">
      <c r="D570" s="10" t="str">
        <f t="shared" si="8"/>
        <v>Db_565</v>
      </c>
      <c r="E570" s="10" t="s">
        <v>2816</v>
      </c>
      <c r="F570" s="10" t="str">
        <f>MID(Table1[[#This Row],[Reference_Name]], 4, LEN(Table1[[#This Row],[Reference_Name]])-3)</f>
        <v>ColdCANy1E_LC</v>
      </c>
      <c r="G570" s="10" t="s">
        <v>3660</v>
      </c>
      <c r="H570" s="10" t="s">
        <v>3661</v>
      </c>
      <c r="I570" s="10">
        <f>Db_ColdCANy1E_LC</f>
        <v>0</v>
      </c>
      <c r="J570" s="10"/>
    </row>
    <row r="571" spans="4:10" ht="12" customHeight="1" x14ac:dyDescent="0.2">
      <c r="D571" s="10" t="str">
        <f t="shared" si="8"/>
        <v>Db_566</v>
      </c>
      <c r="E571" s="10" t="s">
        <v>2817</v>
      </c>
      <c r="F571" s="10" t="str">
        <f>MID(Table1[[#This Row],[Reference_Name]], 4, LEN(Table1[[#This Row],[Reference_Name]])-3)</f>
        <v>ColdCANy2E_LC</v>
      </c>
      <c r="G571" s="10" t="s">
        <v>3662</v>
      </c>
      <c r="H571" s="10" t="s">
        <v>3663</v>
      </c>
      <c r="I571" s="10">
        <f>Db_ColdCANy2E_LC</f>
        <v>0</v>
      </c>
      <c r="J571" s="10"/>
    </row>
    <row r="572" spans="4:10" ht="12" customHeight="1" x14ac:dyDescent="0.2">
      <c r="D572" s="10" t="str">
        <f t="shared" si="8"/>
        <v>Db_567</v>
      </c>
      <c r="E572" s="10" t="s">
        <v>2818</v>
      </c>
      <c r="F572" s="10" t="str">
        <f>MID(Table1[[#This Row],[Reference_Name]], 4, LEN(Table1[[#This Row],[Reference_Name]])-3)</f>
        <v>ColdCANy3E_LC</v>
      </c>
      <c r="G572" s="10" t="s">
        <v>3664</v>
      </c>
      <c r="H572" s="10" t="s">
        <v>3665</v>
      </c>
      <c r="I572" s="10">
        <f>Db_ColdCANy3E_LC</f>
        <v>0</v>
      </c>
      <c r="J572" s="10"/>
    </row>
    <row r="573" spans="4:10" ht="12" customHeight="1" x14ac:dyDescent="0.2">
      <c r="D573" s="10" t="str">
        <f t="shared" si="8"/>
        <v>Db_568</v>
      </c>
      <c r="E573" s="10" t="s">
        <v>2819</v>
      </c>
      <c r="F573" s="10" t="str">
        <f>MID(Table1[[#This Row],[Reference_Name]], 4, LEN(Table1[[#This Row],[Reference_Name]])-3)</f>
        <v>ColdCANy4E_LC</v>
      </c>
      <c r="G573" s="10" t="s">
        <v>3666</v>
      </c>
      <c r="H573" s="10" t="s">
        <v>3667</v>
      </c>
      <c r="I573" s="10">
        <f>Db_ColdCANy4E_LC</f>
        <v>0</v>
      </c>
      <c r="J573" s="10"/>
    </row>
    <row r="574" spans="4:10" ht="12" customHeight="1" x14ac:dyDescent="0.2">
      <c r="D574" s="10" t="str">
        <f t="shared" si="8"/>
        <v>Db_569</v>
      </c>
      <c r="E574" s="10" t="s">
        <v>2820</v>
      </c>
      <c r="F574" s="10" t="str">
        <f>MID(Table1[[#This Row],[Reference_Name]], 4, LEN(Table1[[#This Row],[Reference_Name]])-3)</f>
        <v>ColdCANy5E_LC</v>
      </c>
      <c r="G574" s="10" t="s">
        <v>3668</v>
      </c>
      <c r="H574" s="10" t="s">
        <v>3669</v>
      </c>
      <c r="I574" s="10">
        <f>Db_ColdCANy5E_LC</f>
        <v>0</v>
      </c>
      <c r="J574" s="10"/>
    </row>
    <row r="575" spans="4:10" ht="12" customHeight="1" x14ac:dyDescent="0.2">
      <c r="D575" s="10" t="str">
        <f t="shared" si="8"/>
        <v>Db_570</v>
      </c>
      <c r="E575" s="10" t="s">
        <v>2821</v>
      </c>
      <c r="F575" s="10" t="str">
        <f>MID(Table1[[#This Row],[Reference_Name]], 4, LEN(Table1[[#This Row],[Reference_Name]])-3)</f>
        <v>OthCapCtotalE_LC</v>
      </c>
      <c r="G575" s="10" t="s">
        <v>3670</v>
      </c>
      <c r="H575" t="s">
        <v>3671</v>
      </c>
      <c r="I575" s="10">
        <f>Db_OthCapCtotalE_LC</f>
        <v>0</v>
      </c>
      <c r="J575" s="10"/>
    </row>
    <row r="576" spans="4:10" ht="12" customHeight="1" x14ac:dyDescent="0.2">
      <c r="D576" s="10" t="str">
        <f t="shared" si="8"/>
        <v>Db_571</v>
      </c>
      <c r="E576" s="10" t="s">
        <v>2822</v>
      </c>
      <c r="F576" s="10" t="str">
        <f>MID(Table1[[#This Row],[Reference_Name]], 4, LEN(Table1[[#This Row],[Reference_Name]])-3)</f>
        <v>OthCapCy1E_LC</v>
      </c>
      <c r="G576" s="10" t="s">
        <v>3672</v>
      </c>
      <c r="H576" s="10" t="s">
        <v>3673</v>
      </c>
      <c r="I576" s="10">
        <f>Db_OthCapCy1E_LC</f>
        <v>0</v>
      </c>
      <c r="J576" s="10"/>
    </row>
    <row r="577" spans="4:10" ht="12" customHeight="1" x14ac:dyDescent="0.2">
      <c r="D577" s="10" t="str">
        <f t="shared" si="8"/>
        <v>Db_572</v>
      </c>
      <c r="E577" s="10" t="s">
        <v>2823</v>
      </c>
      <c r="F577" s="10" t="str">
        <f>MID(Table1[[#This Row],[Reference_Name]], 4, LEN(Table1[[#This Row],[Reference_Name]])-3)</f>
        <v>OthCapCy2E_LC</v>
      </c>
      <c r="G577" s="10" t="s">
        <v>3674</v>
      </c>
      <c r="H577" s="10" t="s">
        <v>3675</v>
      </c>
      <c r="I577" s="10">
        <f>Db_OthCapCy2E_LC</f>
        <v>0</v>
      </c>
      <c r="J577" s="10"/>
    </row>
    <row r="578" spans="4:10" ht="12" customHeight="1" x14ac:dyDescent="0.2">
      <c r="D578" s="10" t="str">
        <f t="shared" si="8"/>
        <v>Db_573</v>
      </c>
      <c r="E578" s="10" t="s">
        <v>2824</v>
      </c>
      <c r="F578" s="10" t="str">
        <f>MID(Table1[[#This Row],[Reference_Name]], 4, LEN(Table1[[#This Row],[Reference_Name]])-3)</f>
        <v>OthCapCy3E_LC</v>
      </c>
      <c r="G578" s="10" t="s">
        <v>3676</v>
      </c>
      <c r="H578" s="10" t="s">
        <v>3677</v>
      </c>
      <c r="I578" s="10">
        <f>Db_OthCapCy3E_LC</f>
        <v>0</v>
      </c>
      <c r="J578" s="10"/>
    </row>
    <row r="579" spans="4:10" ht="12" customHeight="1" x14ac:dyDescent="0.2">
      <c r="D579" s="10" t="str">
        <f t="shared" si="8"/>
        <v>Db_574</v>
      </c>
      <c r="E579" s="10" t="s">
        <v>2825</v>
      </c>
      <c r="F579" s="10" t="str">
        <f>MID(Table1[[#This Row],[Reference_Name]], 4, LEN(Table1[[#This Row],[Reference_Name]])-3)</f>
        <v>OthCapCy4E_LC</v>
      </c>
      <c r="G579" s="10" t="s">
        <v>3678</v>
      </c>
      <c r="H579" s="10" t="s">
        <v>3679</v>
      </c>
      <c r="I579" s="10">
        <f>Db_OthCapCy4E_LC</f>
        <v>0</v>
      </c>
      <c r="J579" s="10"/>
    </row>
    <row r="580" spans="4:10" ht="12" customHeight="1" x14ac:dyDescent="0.2">
      <c r="D580" s="10" t="str">
        <f t="shared" si="8"/>
        <v>Db_575</v>
      </c>
      <c r="E580" s="10" t="s">
        <v>2826</v>
      </c>
      <c r="F580" s="10" t="str">
        <f>MID(Table1[[#This Row],[Reference_Name]], 4, LEN(Table1[[#This Row],[Reference_Name]])-3)</f>
        <v>OthCapCy5E_LC</v>
      </c>
      <c r="G580" s="10" t="s">
        <v>3680</v>
      </c>
      <c r="H580" s="10" t="s">
        <v>3681</v>
      </c>
      <c r="I580" s="10">
        <f>Db_OthCapCy5E_LC</f>
        <v>0</v>
      </c>
      <c r="J580" s="10"/>
    </row>
    <row r="581" spans="4:10" ht="12" customHeight="1" x14ac:dyDescent="0.2">
      <c r="D581" s="10" t="str">
        <f t="shared" si="8"/>
        <v>Db_576</v>
      </c>
      <c r="E581" s="10" t="s">
        <v>2827</v>
      </c>
      <c r="F581" s="10" t="str">
        <f>MID(Table1[[#This Row],[Reference_Name]], 4, LEN(Table1[[#This Row],[Reference_Name]])-3)</f>
        <v>OthCapCANtotalE_LC</v>
      </c>
      <c r="G581" s="10" t="s">
        <v>3682</v>
      </c>
      <c r="H581" t="s">
        <v>3683</v>
      </c>
      <c r="I581" s="10">
        <f>Db_OthCapCANtotalE_LC</f>
        <v>0</v>
      </c>
      <c r="J581" s="10"/>
    </row>
    <row r="582" spans="4:10" ht="12" customHeight="1" x14ac:dyDescent="0.2">
      <c r="D582" s="10" t="str">
        <f t="shared" ref="D582:D645" si="9">"Db_"&amp;ROW()-5</f>
        <v>Db_577</v>
      </c>
      <c r="E582" s="10" t="s">
        <v>2828</v>
      </c>
      <c r="F582" s="10" t="str">
        <f>MID(Table1[[#This Row],[Reference_Name]], 4, LEN(Table1[[#This Row],[Reference_Name]])-3)</f>
        <v>OthCapCANy1E_LC</v>
      </c>
      <c r="G582" s="10" t="s">
        <v>3684</v>
      </c>
      <c r="H582" s="10" t="s">
        <v>3685</v>
      </c>
      <c r="I582" s="10">
        <f>Db_OthCapCANy1E_LC</f>
        <v>0</v>
      </c>
      <c r="J582" s="10"/>
    </row>
    <row r="583" spans="4:10" ht="12" customHeight="1" x14ac:dyDescent="0.2">
      <c r="D583" s="10" t="str">
        <f t="shared" si="9"/>
        <v>Db_578</v>
      </c>
      <c r="E583" s="10" t="s">
        <v>2829</v>
      </c>
      <c r="F583" s="10" t="str">
        <f>MID(Table1[[#This Row],[Reference_Name]], 4, LEN(Table1[[#This Row],[Reference_Name]])-3)</f>
        <v>OthCapCANy2E_LC</v>
      </c>
      <c r="G583" s="10" t="s">
        <v>3686</v>
      </c>
      <c r="H583" s="10" t="s">
        <v>3687</v>
      </c>
      <c r="I583" s="10">
        <f>Db_OthCapCANy2E_LC</f>
        <v>0</v>
      </c>
      <c r="J583" s="10"/>
    </row>
    <row r="584" spans="4:10" ht="12" customHeight="1" x14ac:dyDescent="0.2">
      <c r="D584" s="10" t="str">
        <f t="shared" si="9"/>
        <v>Db_579</v>
      </c>
      <c r="E584" s="10" t="s">
        <v>2830</v>
      </c>
      <c r="F584" s="10" t="str">
        <f>MID(Table1[[#This Row],[Reference_Name]], 4, LEN(Table1[[#This Row],[Reference_Name]])-3)</f>
        <v>OthCapCANy3E_LC</v>
      </c>
      <c r="G584" s="10" t="s">
        <v>3688</v>
      </c>
      <c r="H584" s="10" t="s">
        <v>3689</v>
      </c>
      <c r="I584" s="10">
        <f>Db_OthCapCANy3E_LC</f>
        <v>0</v>
      </c>
      <c r="J584" s="10"/>
    </row>
    <row r="585" spans="4:10" ht="12" customHeight="1" x14ac:dyDescent="0.2">
      <c r="D585" s="10" t="str">
        <f t="shared" si="9"/>
        <v>Db_580</v>
      </c>
      <c r="E585" s="10" t="s">
        <v>2831</v>
      </c>
      <c r="F585" s="10" t="str">
        <f>MID(Table1[[#This Row],[Reference_Name]], 4, LEN(Table1[[#This Row],[Reference_Name]])-3)</f>
        <v>OthCapCANy4E_LC</v>
      </c>
      <c r="G585" s="10" t="s">
        <v>3690</v>
      </c>
      <c r="H585" s="10" t="s">
        <v>3691</v>
      </c>
      <c r="I585" s="10">
        <f>Db_OthCapCANy4E_LC</f>
        <v>0</v>
      </c>
      <c r="J585" s="10"/>
    </row>
    <row r="586" spans="4:10" ht="12" customHeight="1" x14ac:dyDescent="0.2">
      <c r="D586" s="10" t="str">
        <f t="shared" si="9"/>
        <v>Db_581</v>
      </c>
      <c r="E586" s="10" t="s">
        <v>2832</v>
      </c>
      <c r="F586" s="10" t="str">
        <f>MID(Table1[[#This Row],[Reference_Name]], 4, LEN(Table1[[#This Row],[Reference_Name]])-3)</f>
        <v>OthCapCANy5E_LC</v>
      </c>
      <c r="G586" s="10" t="s">
        <v>3692</v>
      </c>
      <c r="H586" s="10" t="s">
        <v>3693</v>
      </c>
      <c r="I586" s="10">
        <f>Db_OthCapCANy5E_LC</f>
        <v>0</v>
      </c>
      <c r="J586" s="10"/>
    </row>
    <row r="587" spans="4:10" ht="12" customHeight="1" x14ac:dyDescent="0.2">
      <c r="D587" s="10" t="str">
        <f t="shared" si="9"/>
        <v>Db_582</v>
      </c>
      <c r="E587" s="10" t="s">
        <v>2833</v>
      </c>
      <c r="F587" s="10" t="str">
        <f>MID(Table1[[#This Row],[Reference_Name]], 4, LEN(Table1[[#This Row],[Reference_Name]])-3)</f>
        <v>OthRecurCtotalE_LC</v>
      </c>
      <c r="G587" s="10" t="s">
        <v>3694</v>
      </c>
      <c r="H587" t="s">
        <v>3695</v>
      </c>
      <c r="I587" s="10">
        <f>Db_OthRecurCtotalE_LC</f>
        <v>0</v>
      </c>
      <c r="J587" s="10"/>
    </row>
    <row r="588" spans="4:10" ht="12" customHeight="1" x14ac:dyDescent="0.2">
      <c r="D588" s="10" t="str">
        <f t="shared" si="9"/>
        <v>Db_583</v>
      </c>
      <c r="E588" s="10" t="s">
        <v>2834</v>
      </c>
      <c r="F588" s="10" t="str">
        <f>MID(Table1[[#This Row],[Reference_Name]], 4, LEN(Table1[[#This Row],[Reference_Name]])-3)</f>
        <v>OthRecurCy1E_LC</v>
      </c>
      <c r="G588" s="10" t="s">
        <v>3696</v>
      </c>
      <c r="H588" s="10" t="s">
        <v>3697</v>
      </c>
      <c r="I588" s="10">
        <f>Db_OthRecurCy1E_LC</f>
        <v>0</v>
      </c>
      <c r="J588" s="10"/>
    </row>
    <row r="589" spans="4:10" ht="12" customHeight="1" x14ac:dyDescent="0.2">
      <c r="D589" s="10" t="str">
        <f t="shared" si="9"/>
        <v>Db_584</v>
      </c>
      <c r="E589" s="10" t="s">
        <v>2835</v>
      </c>
      <c r="F589" s="10" t="str">
        <f>MID(Table1[[#This Row],[Reference_Name]], 4, LEN(Table1[[#This Row],[Reference_Name]])-3)</f>
        <v>OthRecurCy2E_LC</v>
      </c>
      <c r="G589" s="10" t="s">
        <v>3698</v>
      </c>
      <c r="H589" s="10" t="s">
        <v>3699</v>
      </c>
      <c r="I589" s="10">
        <f>Db_OthRecurCy2E_LC</f>
        <v>0</v>
      </c>
      <c r="J589" s="10"/>
    </row>
    <row r="590" spans="4:10" ht="12" customHeight="1" x14ac:dyDescent="0.2">
      <c r="D590" s="10" t="str">
        <f t="shared" si="9"/>
        <v>Db_585</v>
      </c>
      <c r="E590" s="10" t="s">
        <v>2836</v>
      </c>
      <c r="F590" s="10" t="str">
        <f>MID(Table1[[#This Row],[Reference_Name]], 4, LEN(Table1[[#This Row],[Reference_Name]])-3)</f>
        <v>OthRecurCy3E_LC</v>
      </c>
      <c r="G590" s="10" t="s">
        <v>3700</v>
      </c>
      <c r="H590" s="10" t="s">
        <v>3701</v>
      </c>
      <c r="I590" s="10">
        <f>Db_OthRecurCy3E_LC</f>
        <v>0</v>
      </c>
      <c r="J590" s="10"/>
    </row>
    <row r="591" spans="4:10" ht="12" customHeight="1" x14ac:dyDescent="0.2">
      <c r="D591" s="10" t="str">
        <f t="shared" si="9"/>
        <v>Db_586</v>
      </c>
      <c r="E591" s="10" t="s">
        <v>2837</v>
      </c>
      <c r="F591" s="10" t="str">
        <f>MID(Table1[[#This Row],[Reference_Name]], 4, LEN(Table1[[#This Row],[Reference_Name]])-3)</f>
        <v>OthRecurCy4E_LC</v>
      </c>
      <c r="G591" s="10" t="s">
        <v>3702</v>
      </c>
      <c r="H591" s="10" t="s">
        <v>3703</v>
      </c>
      <c r="I591" s="10">
        <f>Db_OthRecurCy4E_LC</f>
        <v>0</v>
      </c>
      <c r="J591" s="10"/>
    </row>
    <row r="592" spans="4:10" ht="12" customHeight="1" x14ac:dyDescent="0.2">
      <c r="D592" s="10" t="str">
        <f t="shared" si="9"/>
        <v>Db_587</v>
      </c>
      <c r="E592" s="10" t="s">
        <v>2838</v>
      </c>
      <c r="F592" s="10" t="str">
        <f>MID(Table1[[#This Row],[Reference_Name]], 4, LEN(Table1[[#This Row],[Reference_Name]])-3)</f>
        <v>OthRecurCy5E_LC</v>
      </c>
      <c r="G592" s="10" t="s">
        <v>3704</v>
      </c>
      <c r="H592" s="10" t="s">
        <v>3705</v>
      </c>
      <c r="I592" s="10">
        <f>Db_OthRecurCy5E_LC</f>
        <v>0</v>
      </c>
      <c r="J592" s="10"/>
    </row>
    <row r="593" spans="4:10" ht="12" customHeight="1" x14ac:dyDescent="0.2">
      <c r="D593" s="10" t="str">
        <f t="shared" si="9"/>
        <v>Db_588</v>
      </c>
      <c r="E593" s="10" t="s">
        <v>2839</v>
      </c>
      <c r="F593" s="10" t="str">
        <f>MID(Table1[[#This Row],[Reference_Name]], 4, LEN(Table1[[#This Row],[Reference_Name]])-3)</f>
        <v>SubsidyVacP_y1</v>
      </c>
      <c r="G593" s="10" t="s">
        <v>3706</v>
      </c>
      <c r="H593" s="10" t="s">
        <v>3707</v>
      </c>
      <c r="I593" s="10">
        <f>Db_SubsidyVacP_y1</f>
        <v>0</v>
      </c>
      <c r="J593" s="10"/>
    </row>
    <row r="594" spans="4:10" ht="12" customHeight="1" x14ac:dyDescent="0.2">
      <c r="D594" s="10" t="str">
        <f t="shared" si="9"/>
        <v>Db_589</v>
      </c>
      <c r="E594" s="10" t="s">
        <v>2840</v>
      </c>
      <c r="F594" s="10" t="str">
        <f>MID(Table1[[#This Row],[Reference_Name]], 4, LEN(Table1[[#This Row],[Reference_Name]])-3)</f>
        <v>SubsidyVacP_y2</v>
      </c>
      <c r="G594" s="10" t="s">
        <v>3708</v>
      </c>
      <c r="H594" s="10" t="s">
        <v>3709</v>
      </c>
      <c r="I594" s="10">
        <f>Db_SubsidyVacP_y2</f>
        <v>0</v>
      </c>
      <c r="J594" s="10"/>
    </row>
    <row r="595" spans="4:10" ht="12" customHeight="1" x14ac:dyDescent="0.2">
      <c r="D595" s="10" t="str">
        <f t="shared" si="9"/>
        <v>Db_590</v>
      </c>
      <c r="E595" s="10" t="s">
        <v>2841</v>
      </c>
      <c r="F595" s="10" t="str">
        <f>MID(Table1[[#This Row],[Reference_Name]], 4, LEN(Table1[[#This Row],[Reference_Name]])-3)</f>
        <v>SubsidyVacP_y3</v>
      </c>
      <c r="G595" s="10" t="s">
        <v>3710</v>
      </c>
      <c r="H595" s="10" t="s">
        <v>3711</v>
      </c>
      <c r="I595" s="10">
        <f>Db_SubsidyVacP_y3</f>
        <v>0</v>
      </c>
      <c r="J595" s="10"/>
    </row>
    <row r="596" spans="4:10" ht="12" customHeight="1" x14ac:dyDescent="0.2">
      <c r="D596" s="10" t="str">
        <f t="shared" si="9"/>
        <v>Db_591</v>
      </c>
      <c r="E596" s="10" t="s">
        <v>2842</v>
      </c>
      <c r="F596" s="10" t="str">
        <f>MID(Table1[[#This Row],[Reference_Name]], 4, LEN(Table1[[#This Row],[Reference_Name]])-3)</f>
        <v>SubsidyVacP_y4</v>
      </c>
      <c r="G596" s="10" t="s">
        <v>3712</v>
      </c>
      <c r="H596" s="10" t="s">
        <v>3713</v>
      </c>
      <c r="I596" s="10">
        <f>Db_SubsidyVacP_y4</f>
        <v>0</v>
      </c>
      <c r="J596" s="10"/>
    </row>
    <row r="597" spans="4:10" ht="12" customHeight="1" x14ac:dyDescent="0.2">
      <c r="D597" s="10" t="str">
        <f t="shared" si="9"/>
        <v>Db_592</v>
      </c>
      <c r="E597" s="10" t="s">
        <v>2843</v>
      </c>
      <c r="F597" s="10" t="str">
        <f>MID(Table1[[#This Row],[Reference_Name]], 4, LEN(Table1[[#This Row],[Reference_Name]])-3)</f>
        <v>SubsidyVacP_y5</v>
      </c>
      <c r="G597" s="10" t="s">
        <v>3714</v>
      </c>
      <c r="H597" s="10" t="s">
        <v>3715</v>
      </c>
      <c r="I597" s="10">
        <f>Db_SubsidyVacP_y5</f>
        <v>0</v>
      </c>
      <c r="J597" s="10"/>
    </row>
    <row r="598" spans="4:10" ht="12" customHeight="1" x14ac:dyDescent="0.2">
      <c r="D598" s="10" t="str">
        <f t="shared" si="9"/>
        <v>Db_593</v>
      </c>
      <c r="E598" s="10" t="s">
        <v>2844</v>
      </c>
      <c r="F598" s="10" t="str">
        <f>MID(Table1[[#This Row],[Reference_Name]], 4, LEN(Table1[[#This Row],[Reference_Name]])-3)</f>
        <v>SubsidyISP_y1</v>
      </c>
      <c r="G598" s="10" t="s">
        <v>3716</v>
      </c>
      <c r="H598" s="10" t="s">
        <v>3717</v>
      </c>
      <c r="I598" s="10">
        <f>Db_SubsidyISP_y1</f>
        <v>0</v>
      </c>
      <c r="J598" s="10"/>
    </row>
    <row r="599" spans="4:10" ht="12" customHeight="1" x14ac:dyDescent="0.2">
      <c r="D599" s="10" t="str">
        <f t="shared" si="9"/>
        <v>Db_594</v>
      </c>
      <c r="E599" s="10" t="s">
        <v>2845</v>
      </c>
      <c r="F599" s="10" t="str">
        <f>MID(Table1[[#This Row],[Reference_Name]], 4, LEN(Table1[[#This Row],[Reference_Name]])-3)</f>
        <v>SubsidyISP_y2</v>
      </c>
      <c r="G599" s="10" t="s">
        <v>3718</v>
      </c>
      <c r="H599" s="10" t="s">
        <v>3719</v>
      </c>
      <c r="I599" s="10">
        <f>Db_SubsidyISP_y2</f>
        <v>0</v>
      </c>
      <c r="J599" s="10"/>
    </row>
    <row r="600" spans="4:10" ht="12" customHeight="1" x14ac:dyDescent="0.2">
      <c r="D600" s="10" t="str">
        <f t="shared" si="9"/>
        <v>Db_595</v>
      </c>
      <c r="E600" s="10" t="s">
        <v>2846</v>
      </c>
      <c r="F600" s="10" t="str">
        <f>MID(Table1[[#This Row],[Reference_Name]], 4, LEN(Table1[[#This Row],[Reference_Name]])-3)</f>
        <v>SubsidyISP_y3</v>
      </c>
      <c r="G600" s="10" t="s">
        <v>3720</v>
      </c>
      <c r="H600" s="10" t="s">
        <v>3721</v>
      </c>
      <c r="I600" s="10">
        <f>Db_SubsidyISP_y3</f>
        <v>0</v>
      </c>
      <c r="J600" s="10"/>
    </row>
    <row r="601" spans="4:10" ht="12" customHeight="1" x14ac:dyDescent="0.2">
      <c r="D601" s="10" t="str">
        <f t="shared" si="9"/>
        <v>Db_596</v>
      </c>
      <c r="E601" s="10" t="s">
        <v>2847</v>
      </c>
      <c r="F601" s="10" t="str">
        <f>MID(Table1[[#This Row],[Reference_Name]], 4, LEN(Table1[[#This Row],[Reference_Name]])-3)</f>
        <v>SubsidyISP_y4</v>
      </c>
      <c r="G601" s="10" t="s">
        <v>3722</v>
      </c>
      <c r="H601" s="10" t="s">
        <v>3723</v>
      </c>
      <c r="I601" s="10">
        <f>Db_SubsidyISP_y4</f>
        <v>0</v>
      </c>
      <c r="J601" s="10"/>
    </row>
    <row r="602" spans="4:10" ht="12" customHeight="1" x14ac:dyDescent="0.2">
      <c r="D602" s="10" t="str">
        <f t="shared" si="9"/>
        <v>Db_597</v>
      </c>
      <c r="E602" s="10" t="s">
        <v>2848</v>
      </c>
      <c r="F602" s="10" t="str">
        <f>MID(Table1[[#This Row],[Reference_Name]], 4, LEN(Table1[[#This Row],[Reference_Name]])-3)</f>
        <v>SubsidyISP_y5</v>
      </c>
      <c r="G602" s="10" t="s">
        <v>3724</v>
      </c>
      <c r="H602" s="10" t="s">
        <v>3725</v>
      </c>
      <c r="I602" s="10">
        <f>Db_SubsidyISP_y5</f>
        <v>0</v>
      </c>
      <c r="J602" s="10"/>
    </row>
    <row r="603" spans="4:10" ht="12" customHeight="1" x14ac:dyDescent="0.2">
      <c r="D603" s="10" t="str">
        <f t="shared" si="9"/>
        <v>Db_598</v>
      </c>
      <c r="E603" s="10" t="s">
        <v>2849</v>
      </c>
      <c r="F603" s="10" t="str">
        <f>MID(Table1[[#This Row],[Reference_Name]], 4, LEN(Table1[[#This Row],[Reference_Name]])-3)</f>
        <v>SubsidySBP_y1</v>
      </c>
      <c r="G603" s="10" t="s">
        <v>3726</v>
      </c>
      <c r="H603" s="10" t="s">
        <v>3727</v>
      </c>
      <c r="I603" s="10">
        <f>Db_SubsidySBP_y1</f>
        <v>0</v>
      </c>
      <c r="J603" s="10"/>
    </row>
    <row r="604" spans="4:10" ht="12" customHeight="1" x14ac:dyDescent="0.2">
      <c r="D604" s="10" t="str">
        <f t="shared" si="9"/>
        <v>Db_599</v>
      </c>
      <c r="E604" s="10" t="s">
        <v>2850</v>
      </c>
      <c r="F604" s="10" t="str">
        <f>MID(Table1[[#This Row],[Reference_Name]], 4, LEN(Table1[[#This Row],[Reference_Name]])-3)</f>
        <v>SubsidySBP_y2</v>
      </c>
      <c r="G604" s="10" t="s">
        <v>3728</v>
      </c>
      <c r="H604" s="10" t="s">
        <v>3729</v>
      </c>
      <c r="I604" s="10">
        <f>Db_SubsidySBP_y2</f>
        <v>0</v>
      </c>
      <c r="J604" s="10"/>
    </row>
    <row r="605" spans="4:10" ht="12" customHeight="1" x14ac:dyDescent="0.2">
      <c r="D605" s="10" t="str">
        <f t="shared" si="9"/>
        <v>Db_600</v>
      </c>
      <c r="E605" s="10" t="s">
        <v>2851</v>
      </c>
      <c r="F605" s="10" t="str">
        <f>MID(Table1[[#This Row],[Reference_Name]], 4, LEN(Table1[[#This Row],[Reference_Name]])-3)</f>
        <v>SubsidySBP_y3</v>
      </c>
      <c r="G605" s="10" t="s">
        <v>3730</v>
      </c>
      <c r="H605" s="10" t="s">
        <v>3731</v>
      </c>
      <c r="I605" s="10">
        <f>Db_SubsidySBP_y3</f>
        <v>0</v>
      </c>
      <c r="J605" s="10"/>
    </row>
    <row r="606" spans="4:10" ht="12" customHeight="1" x14ac:dyDescent="0.2">
      <c r="D606" s="10" t="str">
        <f t="shared" si="9"/>
        <v>Db_601</v>
      </c>
      <c r="E606" s="10" t="s">
        <v>2852</v>
      </c>
      <c r="F606" s="10" t="str">
        <f>MID(Table1[[#This Row],[Reference_Name]], 4, LEN(Table1[[#This Row],[Reference_Name]])-3)</f>
        <v>SubsidySBP_y4</v>
      </c>
      <c r="G606" s="10" t="s">
        <v>3732</v>
      </c>
      <c r="H606" s="10" t="s">
        <v>3733</v>
      </c>
      <c r="I606" s="10">
        <f>Db_SubsidySBP_y4</f>
        <v>0</v>
      </c>
      <c r="J606" s="10"/>
    </row>
    <row r="607" spans="4:10" ht="12" customHeight="1" x14ac:dyDescent="0.2">
      <c r="D607" s="10" t="str">
        <f t="shared" si="9"/>
        <v>Db_602</v>
      </c>
      <c r="E607" s="10" t="s">
        <v>2853</v>
      </c>
      <c r="F607" s="10" t="str">
        <f>MID(Table1[[#This Row],[Reference_Name]], 4, LEN(Table1[[#This Row],[Reference_Name]])-3)</f>
        <v>SubsidySBP_y5</v>
      </c>
      <c r="G607" s="10" t="s">
        <v>3734</v>
      </c>
      <c r="H607" s="10" t="s">
        <v>3735</v>
      </c>
      <c r="I607" s="10">
        <f>Db_SubsidySBP_y5</f>
        <v>0</v>
      </c>
      <c r="J607" s="10"/>
    </row>
    <row r="608" spans="4:10" ht="12" customHeight="1" x14ac:dyDescent="0.2">
      <c r="D608" s="10" t="str">
        <f t="shared" si="9"/>
        <v>Db_603</v>
      </c>
      <c r="E608" s="10" t="s">
        <v>2854</v>
      </c>
      <c r="F608" s="10" t="str">
        <f>MID(Table1[[#This Row],[Reference_Name]], 4, LEN(Table1[[#This Row],[Reference_Name]])-3)</f>
        <v>AddCVacP_y1</v>
      </c>
      <c r="G608" s="10" t="s">
        <v>3736</v>
      </c>
      <c r="H608" s="10" t="s">
        <v>3737</v>
      </c>
      <c r="I608" s="10">
        <f>Db_AddCVacP_y1</f>
        <v>0</v>
      </c>
      <c r="J608" s="10"/>
    </row>
    <row r="609" spans="4:10" ht="12" customHeight="1" x14ac:dyDescent="0.2">
      <c r="D609" s="10" t="str">
        <f t="shared" si="9"/>
        <v>Db_604</v>
      </c>
      <c r="E609" s="10" t="s">
        <v>2855</v>
      </c>
      <c r="F609" s="10" t="str">
        <f>MID(Table1[[#This Row],[Reference_Name]], 4, LEN(Table1[[#This Row],[Reference_Name]])-3)</f>
        <v>AddCVacP_y2</v>
      </c>
      <c r="G609" s="10" t="s">
        <v>3738</v>
      </c>
      <c r="H609" s="10" t="s">
        <v>3739</v>
      </c>
      <c r="I609" s="10">
        <f>Db_AddCVacP_y2</f>
        <v>0</v>
      </c>
      <c r="J609" s="10"/>
    </row>
    <row r="610" spans="4:10" ht="12" customHeight="1" x14ac:dyDescent="0.2">
      <c r="D610" s="10" t="str">
        <f t="shared" si="9"/>
        <v>Db_605</v>
      </c>
      <c r="E610" s="10" t="s">
        <v>2856</v>
      </c>
      <c r="F610" s="10" t="str">
        <f>MID(Table1[[#This Row],[Reference_Name]], 4, LEN(Table1[[#This Row],[Reference_Name]])-3)</f>
        <v>AddCVacP_y3</v>
      </c>
      <c r="G610" s="10" t="s">
        <v>3740</v>
      </c>
      <c r="H610" s="10" t="s">
        <v>3741</v>
      </c>
      <c r="I610" s="10">
        <f>Db_AddCVacP_y3</f>
        <v>0</v>
      </c>
      <c r="J610" s="10"/>
    </row>
    <row r="611" spans="4:10" ht="12" customHeight="1" x14ac:dyDescent="0.2">
      <c r="D611" s="10" t="str">
        <f t="shared" si="9"/>
        <v>Db_606</v>
      </c>
      <c r="E611" s="10" t="s">
        <v>2857</v>
      </c>
      <c r="F611" s="10" t="str">
        <f>MID(Table1[[#This Row],[Reference_Name]], 4, LEN(Table1[[#This Row],[Reference_Name]])-3)</f>
        <v>AddCVacP_y4</v>
      </c>
      <c r="G611" s="10" t="s">
        <v>3742</v>
      </c>
      <c r="H611" s="10" t="s">
        <v>3743</v>
      </c>
      <c r="I611" s="10">
        <f>Db_AddCVacP_y4</f>
        <v>0</v>
      </c>
      <c r="J611" s="10"/>
    </row>
    <row r="612" spans="4:10" ht="12" customHeight="1" x14ac:dyDescent="0.2">
      <c r="D612" s="10" t="str">
        <f t="shared" si="9"/>
        <v>Db_607</v>
      </c>
      <c r="E612" s="10" t="s">
        <v>2858</v>
      </c>
      <c r="F612" s="10" t="str">
        <f>MID(Table1[[#This Row],[Reference_Name]], 4, LEN(Table1[[#This Row],[Reference_Name]])-3)</f>
        <v>AddCVacP_y5</v>
      </c>
      <c r="G612" s="10" t="s">
        <v>3744</v>
      </c>
      <c r="H612" s="10" t="s">
        <v>3745</v>
      </c>
      <c r="I612" s="10">
        <f>Db_AddCVacP_y5</f>
        <v>0</v>
      </c>
      <c r="J612" s="10"/>
    </row>
    <row r="613" spans="4:10" ht="12" customHeight="1" x14ac:dyDescent="0.2">
      <c r="D613" s="10" t="str">
        <f t="shared" si="9"/>
        <v>Db_608</v>
      </c>
      <c r="E613" s="10" t="s">
        <v>2859</v>
      </c>
      <c r="F613" s="10" t="str">
        <f>MID(Table1[[#This Row],[Reference_Name]], 4, LEN(Table1[[#This Row],[Reference_Name]])-3)</f>
        <v>AddCISP_y1</v>
      </c>
      <c r="G613" s="10" t="s">
        <v>3746</v>
      </c>
      <c r="H613" s="10" t="s">
        <v>3747</v>
      </c>
      <c r="I613" s="10">
        <f>Db_AddCISP_y1</f>
        <v>0</v>
      </c>
      <c r="J613" s="10"/>
    </row>
    <row r="614" spans="4:10" ht="12" customHeight="1" x14ac:dyDescent="0.2">
      <c r="D614" s="10" t="str">
        <f t="shared" si="9"/>
        <v>Db_609</v>
      </c>
      <c r="E614" s="10" t="s">
        <v>2860</v>
      </c>
      <c r="F614" s="10" t="str">
        <f>MID(Table1[[#This Row],[Reference_Name]], 4, LEN(Table1[[#This Row],[Reference_Name]])-3)</f>
        <v>AddCISP_y2</v>
      </c>
      <c r="G614" s="10" t="s">
        <v>3748</v>
      </c>
      <c r="H614" s="10" t="s">
        <v>3749</v>
      </c>
      <c r="I614" s="10">
        <f>Db_AddCISP_y2</f>
        <v>0</v>
      </c>
      <c r="J614" s="10"/>
    </row>
    <row r="615" spans="4:10" ht="12" customHeight="1" x14ac:dyDescent="0.2">
      <c r="D615" s="10" t="str">
        <f t="shared" si="9"/>
        <v>Db_610</v>
      </c>
      <c r="E615" s="10" t="s">
        <v>2861</v>
      </c>
      <c r="F615" s="10" t="str">
        <f>MID(Table1[[#This Row],[Reference_Name]], 4, LEN(Table1[[#This Row],[Reference_Name]])-3)</f>
        <v>AddCISP_y3</v>
      </c>
      <c r="G615" s="10" t="s">
        <v>3750</v>
      </c>
      <c r="H615" s="10" t="s">
        <v>3751</v>
      </c>
      <c r="I615" s="10">
        <f>Db_AddCISP_y3</f>
        <v>0</v>
      </c>
      <c r="J615" s="10"/>
    </row>
    <row r="616" spans="4:10" ht="12" customHeight="1" x14ac:dyDescent="0.2">
      <c r="D616" s="10" t="str">
        <f t="shared" si="9"/>
        <v>Db_611</v>
      </c>
      <c r="E616" s="10" t="s">
        <v>2862</v>
      </c>
      <c r="F616" s="10" t="str">
        <f>MID(Table1[[#This Row],[Reference_Name]], 4, LEN(Table1[[#This Row],[Reference_Name]])-3)</f>
        <v>AddCISP_y4</v>
      </c>
      <c r="G616" s="10" t="s">
        <v>3752</v>
      </c>
      <c r="H616" s="10" t="s">
        <v>3753</v>
      </c>
      <c r="I616" s="10">
        <f>Db_AddCISP_y4</f>
        <v>0</v>
      </c>
      <c r="J616" s="10"/>
    </row>
    <row r="617" spans="4:10" ht="12" customHeight="1" x14ac:dyDescent="0.2">
      <c r="D617" s="10" t="str">
        <f t="shared" si="9"/>
        <v>Db_612</v>
      </c>
      <c r="E617" s="10" t="s">
        <v>2863</v>
      </c>
      <c r="F617" s="10" t="str">
        <f>MID(Table1[[#This Row],[Reference_Name]], 4, LEN(Table1[[#This Row],[Reference_Name]])-3)</f>
        <v>AddCISP_y5</v>
      </c>
      <c r="G617" s="10" t="s">
        <v>3754</v>
      </c>
      <c r="H617" s="10" t="s">
        <v>3755</v>
      </c>
      <c r="I617" s="10">
        <f>Db_AddCISP_y5</f>
        <v>0</v>
      </c>
      <c r="J617" s="10"/>
    </row>
    <row r="618" spans="4:10" ht="12" customHeight="1" x14ac:dyDescent="0.2">
      <c r="D618" s="10" t="str">
        <f t="shared" si="9"/>
        <v>Db_613</v>
      </c>
      <c r="E618" s="10" t="s">
        <v>2864</v>
      </c>
      <c r="F618" s="10" t="str">
        <f>MID(Table1[[#This Row],[Reference_Name]], 4, LEN(Table1[[#This Row],[Reference_Name]])-3)</f>
        <v>AddCSBP_y1</v>
      </c>
      <c r="G618" s="10" t="s">
        <v>3756</v>
      </c>
      <c r="H618" s="10" t="s">
        <v>3757</v>
      </c>
      <c r="I618" s="10">
        <f>Db_AddCSBP_y1</f>
        <v>0</v>
      </c>
      <c r="J618" s="10"/>
    </row>
    <row r="619" spans="4:10" ht="12" customHeight="1" x14ac:dyDescent="0.2">
      <c r="D619" s="10" t="str">
        <f t="shared" si="9"/>
        <v>Db_614</v>
      </c>
      <c r="E619" s="10" t="s">
        <v>2865</v>
      </c>
      <c r="F619" s="10" t="str">
        <f>MID(Table1[[#This Row],[Reference_Name]], 4, LEN(Table1[[#This Row],[Reference_Name]])-3)</f>
        <v>AddCSBP_y2</v>
      </c>
      <c r="G619" s="10" t="s">
        <v>3758</v>
      </c>
      <c r="H619" s="10" t="s">
        <v>3759</v>
      </c>
      <c r="I619" s="10">
        <f>Db_AddCSBP_y2</f>
        <v>0</v>
      </c>
      <c r="J619" s="10"/>
    </row>
    <row r="620" spans="4:10" ht="12" customHeight="1" x14ac:dyDescent="0.2">
      <c r="D620" s="10" t="str">
        <f t="shared" si="9"/>
        <v>Db_615</v>
      </c>
      <c r="E620" s="10" t="s">
        <v>2866</v>
      </c>
      <c r="F620" s="10" t="str">
        <f>MID(Table1[[#This Row],[Reference_Name]], 4, LEN(Table1[[#This Row],[Reference_Name]])-3)</f>
        <v>AddCSBP_y3</v>
      </c>
      <c r="G620" s="10" t="s">
        <v>3760</v>
      </c>
      <c r="H620" s="10" t="s">
        <v>3761</v>
      </c>
      <c r="I620" s="10">
        <f>Db_AddCSBP_y3</f>
        <v>0</v>
      </c>
      <c r="J620" s="10"/>
    </row>
    <row r="621" spans="4:10" ht="12" customHeight="1" x14ac:dyDescent="0.2">
      <c r="D621" s="10" t="str">
        <f t="shared" si="9"/>
        <v>Db_616</v>
      </c>
      <c r="E621" s="10" t="s">
        <v>2867</v>
      </c>
      <c r="F621" s="10" t="str">
        <f>MID(Table1[[#This Row],[Reference_Name]], 4, LEN(Table1[[#This Row],[Reference_Name]])-3)</f>
        <v>AddCSBP_y4</v>
      </c>
      <c r="G621" s="10" t="s">
        <v>3762</v>
      </c>
      <c r="H621" s="10" t="s">
        <v>3763</v>
      </c>
      <c r="I621" s="10">
        <f>Db_AddCSBP_y4</f>
        <v>0</v>
      </c>
      <c r="J621" s="10"/>
    </row>
    <row r="622" spans="4:10" ht="12" customHeight="1" x14ac:dyDescent="0.2">
      <c r="D622" s="10" t="str">
        <f t="shared" si="9"/>
        <v>Db_617</v>
      </c>
      <c r="E622" s="10" t="s">
        <v>2868</v>
      </c>
      <c r="F622" s="10" t="str">
        <f>MID(Table1[[#This Row],[Reference_Name]], 4, LEN(Table1[[#This Row],[Reference_Name]])-3)</f>
        <v>AddCSBP_y5</v>
      </c>
      <c r="G622" s="10" t="s">
        <v>3764</v>
      </c>
      <c r="H622" s="10" t="s">
        <v>3765</v>
      </c>
      <c r="I622" s="10">
        <f>Db_AddCSBP_y5</f>
        <v>0</v>
      </c>
      <c r="J622" s="10"/>
    </row>
    <row r="623" spans="4:10" ht="12" customHeight="1" x14ac:dyDescent="0.2">
      <c r="D623" s="10" t="str">
        <f t="shared" si="9"/>
        <v>Db_618</v>
      </c>
      <c r="E623" s="10" t="s">
        <v>1866</v>
      </c>
      <c r="F623" s="10" t="str">
        <f>MID(Table1[[#This Row],[Reference_Name]], 4, LEN(Table1[[#This Row],[Reference_Name]])-3)</f>
        <v>SubsidyVacP</v>
      </c>
      <c r="G623" s="10" t="s">
        <v>2207</v>
      </c>
      <c r="H623" s="10" t="s">
        <v>3766</v>
      </c>
      <c r="I623" s="10">
        <f>Db_SubsidyVacP</f>
        <v>0.1</v>
      </c>
      <c r="J623" s="10"/>
    </row>
    <row r="624" spans="4:10" ht="12" customHeight="1" x14ac:dyDescent="0.2">
      <c r="D624" s="10" t="str">
        <f t="shared" si="9"/>
        <v>Db_619</v>
      </c>
      <c r="E624" s="10" t="s">
        <v>1867</v>
      </c>
      <c r="F624" s="10" t="str">
        <f>MID(Table1[[#This Row],[Reference_Name]], 4, LEN(Table1[[#This Row],[Reference_Name]])-3)</f>
        <v>SubsidyISP</v>
      </c>
      <c r="G624" s="10" t="s">
        <v>2208</v>
      </c>
      <c r="H624" s="10" t="s">
        <v>3767</v>
      </c>
      <c r="I624" s="10">
        <f>Db_SubsidyISP</f>
        <v>0.1</v>
      </c>
      <c r="J624" s="10"/>
    </row>
    <row r="625" spans="4:10" ht="12" customHeight="1" x14ac:dyDescent="0.2">
      <c r="D625" s="10" t="str">
        <f t="shared" si="9"/>
        <v>Db_620</v>
      </c>
      <c r="E625" s="10" t="s">
        <v>1868</v>
      </c>
      <c r="F625" s="10" t="str">
        <f>MID(Table1[[#This Row],[Reference_Name]], 4, LEN(Table1[[#This Row],[Reference_Name]])-3)</f>
        <v>SubsidySBP</v>
      </c>
      <c r="G625" s="10" t="s">
        <v>2209</v>
      </c>
      <c r="H625" s="10" t="s">
        <v>3768</v>
      </c>
      <c r="I625" s="10">
        <f>Db_SubsidySBP</f>
        <v>0.1</v>
      </c>
      <c r="J625" s="10"/>
    </row>
    <row r="626" spans="4:10" ht="12" customHeight="1" x14ac:dyDescent="0.2">
      <c r="D626" s="10" t="str">
        <f t="shared" si="9"/>
        <v>Db_621</v>
      </c>
      <c r="E626" s="10" t="s">
        <v>2869</v>
      </c>
      <c r="F626" s="10" t="str">
        <f>MID(Table1[[#This Row],[Reference_Name]], 4, LEN(Table1[[#This Row],[Reference_Name]])-3)</f>
        <v>Micro1</v>
      </c>
      <c r="G626" s="10" t="s">
        <v>3769</v>
      </c>
      <c r="H626" s="10" t="s">
        <v>3770</v>
      </c>
      <c r="I626" s="10" t="str">
        <f>HL_TOP_ACTV_Name</f>
        <v>Microplanning Activity #1 (Not in Use)</v>
      </c>
      <c r="J626" s="10"/>
    </row>
    <row r="627" spans="4:10" ht="12" customHeight="1" x14ac:dyDescent="0.2">
      <c r="D627" s="10" t="str">
        <f t="shared" si="9"/>
        <v>Db_622</v>
      </c>
      <c r="E627" s="10" t="s">
        <v>2870</v>
      </c>
      <c r="F627" s="10" t="str">
        <f>MID(Table1[[#This Row],[Reference_Name]], 4, LEN(Table1[[#This Row],[Reference_Name]])-3)</f>
        <v>Micro2</v>
      </c>
      <c r="G627" s="10" t="s">
        <v>3771</v>
      </c>
      <c r="H627" s="10" t="s">
        <v>3772</v>
      </c>
      <c r="I627" s="10" t="str">
        <f>HL_TOP_ACTV_7_Name</f>
        <v>Microplanning Activity #2 (Not in Use)</v>
      </c>
      <c r="J627" s="10"/>
    </row>
    <row r="628" spans="4:10" ht="12" customHeight="1" x14ac:dyDescent="0.2">
      <c r="D628" s="10" t="str">
        <f t="shared" si="9"/>
        <v>Db_623</v>
      </c>
      <c r="E628" s="10" t="s">
        <v>2871</v>
      </c>
      <c r="F628" s="10" t="str">
        <f>MID(Table1[[#This Row],[Reference_Name]], 4, LEN(Table1[[#This Row],[Reference_Name]])-3)</f>
        <v>Micro3</v>
      </c>
      <c r="G628" s="10" t="s">
        <v>3773</v>
      </c>
      <c r="H628" s="10" t="s">
        <v>3774</v>
      </c>
      <c r="I628" s="10" t="str">
        <f>HL_LVL2_ACTV_Name</f>
        <v>Microplanning Activity #3 (Not in Use)</v>
      </c>
      <c r="J628" s="10"/>
    </row>
    <row r="629" spans="4:10" ht="12" customHeight="1" x14ac:dyDescent="0.2">
      <c r="D629" s="10" t="str">
        <f t="shared" si="9"/>
        <v>Db_624</v>
      </c>
      <c r="E629" s="10" t="s">
        <v>2872</v>
      </c>
      <c r="F629" s="10" t="str">
        <f>MID(Table1[[#This Row],[Reference_Name]], 4, LEN(Table1[[#This Row],[Reference_Name]])-3)</f>
        <v>Micro4</v>
      </c>
      <c r="G629" s="10" t="s">
        <v>3775</v>
      </c>
      <c r="H629" s="10" t="s">
        <v>3776</v>
      </c>
      <c r="I629" s="10" t="str">
        <f>HL_LVL2_ACTV_20_Name</f>
        <v>Microplanning Activity #4 (Not in Use)</v>
      </c>
      <c r="J629" s="10"/>
    </row>
    <row r="630" spans="4:10" ht="12" customHeight="1" x14ac:dyDescent="0.2">
      <c r="D630" s="10" t="str">
        <f t="shared" si="9"/>
        <v>Db_625</v>
      </c>
      <c r="E630" s="10" t="s">
        <v>2873</v>
      </c>
      <c r="F630" s="10" t="str">
        <f>MID(Table1[[#This Row],[Reference_Name]], 4, LEN(Table1[[#This Row],[Reference_Name]])-3)</f>
        <v>Train1</v>
      </c>
      <c r="G630" s="10" t="s">
        <v>3777</v>
      </c>
      <c r="H630" s="10" t="s">
        <v>3778</v>
      </c>
      <c r="I630" s="10" t="str">
        <f>HL_TOP_ACTV_2_Name</f>
        <v>Training Activity #1 (Not in Use)</v>
      </c>
      <c r="J630" s="10"/>
    </row>
    <row r="631" spans="4:10" ht="12" customHeight="1" x14ac:dyDescent="0.2">
      <c r="D631" s="10" t="str">
        <f t="shared" si="9"/>
        <v>Db_626</v>
      </c>
      <c r="E631" s="10" t="s">
        <v>2874</v>
      </c>
      <c r="F631" s="10" t="str">
        <f>MID(Table1[[#This Row],[Reference_Name]], 4, LEN(Table1[[#This Row],[Reference_Name]])-3)</f>
        <v>Train2</v>
      </c>
      <c r="G631" s="10" t="s">
        <v>3779</v>
      </c>
      <c r="H631" s="10" t="s">
        <v>3780</v>
      </c>
      <c r="I631" s="10" t="str">
        <f>HL_TOP_ACTV_13_Name</f>
        <v>Training Activity #2 (Not in Use)</v>
      </c>
      <c r="J631" s="10"/>
    </row>
    <row r="632" spans="4:10" ht="12" customHeight="1" x14ac:dyDescent="0.2">
      <c r="D632" s="10" t="str">
        <f t="shared" si="9"/>
        <v>Db_627</v>
      </c>
      <c r="E632" s="10" t="s">
        <v>2875</v>
      </c>
      <c r="F632" s="10" t="str">
        <f>MID(Table1[[#This Row],[Reference_Name]], 4, LEN(Table1[[#This Row],[Reference_Name]])-3)</f>
        <v>Train3</v>
      </c>
      <c r="G632" s="10" t="s">
        <v>3781</v>
      </c>
      <c r="H632" s="10" t="s">
        <v>3782</v>
      </c>
      <c r="I632" s="10" t="str">
        <f>HL_TOP_ACTV_14_Name</f>
        <v>Training Activity #3 (Not in Use)</v>
      </c>
      <c r="J632" s="10"/>
    </row>
    <row r="633" spans="4:10" ht="12" customHeight="1" x14ac:dyDescent="0.2">
      <c r="D633" s="10" t="str">
        <f t="shared" si="9"/>
        <v>Db_628</v>
      </c>
      <c r="E633" s="10" t="s">
        <v>2876</v>
      </c>
      <c r="F633" s="10" t="str">
        <f>MID(Table1[[#This Row],[Reference_Name]], 4, LEN(Table1[[#This Row],[Reference_Name]])-3)</f>
        <v>Train4</v>
      </c>
      <c r="G633" s="10" t="s">
        <v>3783</v>
      </c>
      <c r="H633" s="10" t="s">
        <v>3784</v>
      </c>
      <c r="I633" s="10" t="str">
        <f>HL_LVL2_ACTV_2_Name</f>
        <v>Training Activity #4 (Not in Use)</v>
      </c>
      <c r="J633" s="10"/>
    </row>
    <row r="634" spans="4:10" ht="12" customHeight="1" x14ac:dyDescent="0.2">
      <c r="D634" s="10" t="str">
        <f t="shared" si="9"/>
        <v>Db_629</v>
      </c>
      <c r="E634" s="10" t="s">
        <v>2877</v>
      </c>
      <c r="F634" s="10" t="str">
        <f>MID(Table1[[#This Row],[Reference_Name]], 4, LEN(Table1[[#This Row],[Reference_Name]])-3)</f>
        <v>Sen1</v>
      </c>
      <c r="G634" s="10" t="s">
        <v>3785</v>
      </c>
      <c r="H634" s="10" t="s">
        <v>3786</v>
      </c>
      <c r="I634" s="10" t="str">
        <f>HL_TOP_ACTV_3_Name</f>
        <v xml:space="preserve"> Sensitisation Activity # 1 (Not in Use)</v>
      </c>
      <c r="J634" s="10"/>
    </row>
    <row r="635" spans="4:10" ht="12" customHeight="1" x14ac:dyDescent="0.2">
      <c r="D635" s="10" t="str">
        <f t="shared" si="9"/>
        <v>Db_630</v>
      </c>
      <c r="E635" s="10" t="s">
        <v>2878</v>
      </c>
      <c r="F635" s="10" t="str">
        <f>MID(Table1[[#This Row],[Reference_Name]], 4, LEN(Table1[[#This Row],[Reference_Name]])-3)</f>
        <v>Sen2</v>
      </c>
      <c r="G635" s="10" t="s">
        <v>3787</v>
      </c>
      <c r="H635" s="10" t="s">
        <v>3788</v>
      </c>
      <c r="I635" s="10" t="str">
        <f>HL_TOP_ACTV_10_Name</f>
        <v xml:space="preserve"> Sensitisation Activity # 2 (Not in Use)</v>
      </c>
      <c r="J635" s="10"/>
    </row>
    <row r="636" spans="4:10" ht="12" customHeight="1" x14ac:dyDescent="0.2">
      <c r="D636" s="10" t="str">
        <f t="shared" si="9"/>
        <v>Db_631</v>
      </c>
      <c r="E636" s="10" t="s">
        <v>2879</v>
      </c>
      <c r="F636" s="10" t="str">
        <f>MID(Table1[[#This Row],[Reference_Name]], 4, LEN(Table1[[#This Row],[Reference_Name]])-3)</f>
        <v>Sen3</v>
      </c>
      <c r="G636" s="10" t="s">
        <v>3789</v>
      </c>
      <c r="H636" s="10" t="s">
        <v>3790</v>
      </c>
      <c r="I636" s="10" t="str">
        <f>HL_TOP_ACTV_11_Name</f>
        <v xml:space="preserve"> Sensitisation Activity # 3 (Not in Use)</v>
      </c>
      <c r="J636" s="10"/>
    </row>
    <row r="637" spans="4:10" ht="12" customHeight="1" x14ac:dyDescent="0.2">
      <c r="D637" s="10" t="str">
        <f t="shared" si="9"/>
        <v>Db_632</v>
      </c>
      <c r="E637" s="10" t="s">
        <v>2880</v>
      </c>
      <c r="F637" s="10" t="str">
        <f>MID(Table1[[#This Row],[Reference_Name]], 4, LEN(Table1[[#This Row],[Reference_Name]])-3)</f>
        <v>Sen4</v>
      </c>
      <c r="G637" s="10" t="s">
        <v>3791</v>
      </c>
      <c r="H637" s="10" t="s">
        <v>3792</v>
      </c>
      <c r="I637" s="10" t="str">
        <f>HL_LVL2_ACTV_3_Name</f>
        <v xml:space="preserve"> Sensitisation Activity # 4 (Not in Use)</v>
      </c>
      <c r="J637" s="10"/>
    </row>
    <row r="638" spans="4:10" ht="12" customHeight="1" x14ac:dyDescent="0.2">
      <c r="D638" s="10" t="str">
        <f t="shared" si="9"/>
        <v>Db_633</v>
      </c>
      <c r="E638" s="10" t="s">
        <v>2881</v>
      </c>
      <c r="F638" s="10" t="str">
        <f>MID(Table1[[#This Row],[Reference_Name]], 4, LEN(Table1[[#This Row],[Reference_Name]])-3)</f>
        <v>Sen5</v>
      </c>
      <c r="G638" s="10" t="s">
        <v>3793</v>
      </c>
      <c r="H638" s="10" t="s">
        <v>3794</v>
      </c>
      <c r="I638" s="10" t="str">
        <f>HL_LVL2_ACTV_18_Name</f>
        <v xml:space="preserve"> Sensitisation Activity # 5 (Not in Use)</v>
      </c>
      <c r="J638" s="10"/>
    </row>
    <row r="639" spans="4:10" ht="12" customHeight="1" x14ac:dyDescent="0.2">
      <c r="D639" s="10" t="str">
        <f t="shared" si="9"/>
        <v>Db_634</v>
      </c>
      <c r="E639" s="10" t="s">
        <v>2882</v>
      </c>
      <c r="F639" s="10" t="str">
        <f>MID(Table1[[#This Row],[Reference_Name]], 4, LEN(Table1[[#This Row],[Reference_Name]])-3)</f>
        <v>Sen6</v>
      </c>
      <c r="G639" s="10" t="s">
        <v>3795</v>
      </c>
      <c r="H639" s="10" t="s">
        <v>3796</v>
      </c>
      <c r="I639" s="10" t="str">
        <f>HL_LVL2_ACTV_19_Name</f>
        <v xml:space="preserve"> Sensitisation Activity # 6 (Not in Use)</v>
      </c>
      <c r="J639" s="10"/>
    </row>
    <row r="640" spans="4:10" ht="12" customHeight="1" x14ac:dyDescent="0.2">
      <c r="D640" s="10" t="str">
        <f t="shared" si="9"/>
        <v>Db_635</v>
      </c>
      <c r="E640" s="10" t="s">
        <v>2883</v>
      </c>
      <c r="F640" s="10" t="str">
        <f>MID(Table1[[#This Row],[Reference_Name]], 4, LEN(Table1[[#This Row],[Reference_Name]])-3)</f>
        <v>Soc1</v>
      </c>
      <c r="G640" s="10" t="s">
        <v>3797</v>
      </c>
      <c r="H640" s="10" t="s">
        <v>3798</v>
      </c>
      <c r="I640" s="10" t="str">
        <f>HL_TOP_ACTV_4_Name</f>
        <v>IEC Soc Mob  Activity # 1 (Not in Use)</v>
      </c>
      <c r="J640" s="10"/>
    </row>
    <row r="641" spans="4:10" ht="12" customHeight="1" x14ac:dyDescent="0.2">
      <c r="D641" s="10" t="str">
        <f t="shared" si="9"/>
        <v>Db_636</v>
      </c>
      <c r="E641" s="10" t="s">
        <v>2884</v>
      </c>
      <c r="F641" s="10" t="str">
        <f>MID(Table1[[#This Row],[Reference_Name]], 4, LEN(Table1[[#This Row],[Reference_Name]])-3)</f>
        <v>Soc2</v>
      </c>
      <c r="G641" s="10" t="s">
        <v>3799</v>
      </c>
      <c r="H641" s="10" t="s">
        <v>3800</v>
      </c>
      <c r="I641" s="10" t="str">
        <f>HL_TOP_ACTV_15_Name</f>
        <v>IEC Soc Mob  Activity # 2 (Not in Use)</v>
      </c>
      <c r="J641" s="10"/>
    </row>
    <row r="642" spans="4:10" ht="12" customHeight="1" x14ac:dyDescent="0.2">
      <c r="D642" s="10" t="str">
        <f t="shared" si="9"/>
        <v>Db_637</v>
      </c>
      <c r="E642" s="10" t="s">
        <v>2885</v>
      </c>
      <c r="F642" s="10" t="str">
        <f>MID(Table1[[#This Row],[Reference_Name]], 4, LEN(Table1[[#This Row],[Reference_Name]])-3)</f>
        <v>Soc3</v>
      </c>
      <c r="G642" s="10" t="s">
        <v>3801</v>
      </c>
      <c r="H642" s="10" t="s">
        <v>3802</v>
      </c>
      <c r="I642" s="10" t="str">
        <f>HL_TOP_ACTV_16_Name</f>
        <v>IEC Soc Mob  Activity # 3 (Not in Use)</v>
      </c>
      <c r="J642" s="10"/>
    </row>
    <row r="643" spans="4:10" ht="12" customHeight="1" x14ac:dyDescent="0.2">
      <c r="D643" s="10" t="str">
        <f t="shared" si="9"/>
        <v>Db_638</v>
      </c>
      <c r="E643" s="10" t="s">
        <v>2886</v>
      </c>
      <c r="F643" s="10" t="str">
        <f>MID(Table1[[#This Row],[Reference_Name]], 4, LEN(Table1[[#This Row],[Reference_Name]])-3)</f>
        <v>Soc4</v>
      </c>
      <c r="G643" s="10" t="s">
        <v>3803</v>
      </c>
      <c r="H643" s="10" t="s">
        <v>3804</v>
      </c>
      <c r="I643" s="10" t="str">
        <f>HL_LVL2_ACTV_4_Name</f>
        <v>IEC Soc Mob  Activity # 4  (Not in Use)</v>
      </c>
      <c r="J643" s="10"/>
    </row>
    <row r="644" spans="4:10" ht="12" customHeight="1" x14ac:dyDescent="0.2">
      <c r="D644" s="10" t="str">
        <f t="shared" si="9"/>
        <v>Db_639</v>
      </c>
      <c r="E644" s="10" t="s">
        <v>2887</v>
      </c>
      <c r="F644" s="10" t="str">
        <f>MID(Table1[[#This Row],[Reference_Name]], 4, LEN(Table1[[#This Row],[Reference_Name]])-3)</f>
        <v>Soc5</v>
      </c>
      <c r="G644" s="10" t="s">
        <v>3805</v>
      </c>
      <c r="H644" s="10" t="s">
        <v>3806</v>
      </c>
      <c r="I644" s="10" t="str">
        <f>HL_LVL2_ACTV_10_Name</f>
        <v>IEC Soc Mob  Activity # 5  (Not in Use)</v>
      </c>
      <c r="J644" s="10"/>
    </row>
    <row r="645" spans="4:10" ht="12" customHeight="1" x14ac:dyDescent="0.2">
      <c r="D645" s="10" t="str">
        <f t="shared" si="9"/>
        <v>Db_640</v>
      </c>
      <c r="E645" s="10" t="s">
        <v>2888</v>
      </c>
      <c r="F645" s="10" t="str">
        <f>MID(Table1[[#This Row],[Reference_Name]], 4, LEN(Table1[[#This Row],[Reference_Name]])-3)</f>
        <v>Soc6</v>
      </c>
      <c r="G645" s="10" t="s">
        <v>3807</v>
      </c>
      <c r="H645" s="10" t="s">
        <v>3808</v>
      </c>
      <c r="I645" s="10" t="str">
        <f>HL_LVL2_ACTV_11_Name</f>
        <v>IEC Soc Mob  Activity # 6 (Not in Use)</v>
      </c>
      <c r="J645" s="10"/>
    </row>
    <row r="646" spans="4:10" ht="12" customHeight="1" x14ac:dyDescent="0.2">
      <c r="D646" s="10" t="str">
        <f t="shared" ref="D646:D709" si="10">"Db_"&amp;ROW()-5</f>
        <v>Db_641</v>
      </c>
      <c r="E646" s="10" t="s">
        <v>2889</v>
      </c>
      <c r="F646" s="10" t="str">
        <f>MID(Table1[[#This Row],[Reference_Name]], 4, LEN(Table1[[#This Row],[Reference_Name]])-3)</f>
        <v>Soc7</v>
      </c>
      <c r="G646" s="10" t="s">
        <v>3809</v>
      </c>
      <c r="H646" s="10" t="s">
        <v>3810</v>
      </c>
      <c r="I646" s="10" t="str">
        <f>HL_LVL2_ACTV_8_Name</f>
        <v>IEC Soc Mob  Activity # 7 (Not in Use)</v>
      </c>
      <c r="J646" s="10"/>
    </row>
    <row r="647" spans="4:10" ht="12" customHeight="1" x14ac:dyDescent="0.2">
      <c r="D647" s="10" t="str">
        <f t="shared" si="10"/>
        <v>Db_642</v>
      </c>
      <c r="E647" s="10" t="s">
        <v>2890</v>
      </c>
      <c r="F647" s="10" t="str">
        <f>MID(Table1[[#This Row],[Reference_Name]], 4, LEN(Table1[[#This Row],[Reference_Name]])-3)</f>
        <v>Soc8</v>
      </c>
      <c r="G647" s="10" t="s">
        <v>3811</v>
      </c>
      <c r="H647" s="10" t="s">
        <v>3812</v>
      </c>
      <c r="I647" s="10" t="str">
        <f>HL_LVL2_ACTV_21_Name</f>
        <v>IEC Soc Mob  Activity # 8 (Not in Use)</v>
      </c>
      <c r="J647" s="10"/>
    </row>
    <row r="648" spans="4:10" ht="12" customHeight="1" x14ac:dyDescent="0.2">
      <c r="D648" s="10" t="str">
        <f t="shared" si="10"/>
        <v>Db_643</v>
      </c>
      <c r="E648" s="10" t="s">
        <v>2891</v>
      </c>
      <c r="F648" s="10" t="str">
        <f>MID(Table1[[#This Row],[Reference_Name]], 4, LEN(Table1[[#This Row],[Reference_Name]])-3)</f>
        <v>Sup1</v>
      </c>
      <c r="G648" s="10" t="s">
        <v>3813</v>
      </c>
      <c r="H648" s="10" t="s">
        <v>3814</v>
      </c>
      <c r="I648" s="10" t="str">
        <f>HL_TOP_ACTV_5_Name</f>
        <v>SME Activity #1 (Not in Use)</v>
      </c>
      <c r="J648" s="10"/>
    </row>
    <row r="649" spans="4:10" ht="12" customHeight="1" x14ac:dyDescent="0.2">
      <c r="D649" s="10" t="str">
        <f t="shared" si="10"/>
        <v>Db_644</v>
      </c>
      <c r="E649" s="10" t="s">
        <v>2892</v>
      </c>
      <c r="F649" s="10" t="str">
        <f>MID(Table1[[#This Row],[Reference_Name]], 4, LEN(Table1[[#This Row],[Reference_Name]])-3)</f>
        <v>Sup2</v>
      </c>
      <c r="G649" s="10" t="s">
        <v>3815</v>
      </c>
      <c r="H649" s="10" t="s">
        <v>3816</v>
      </c>
      <c r="I649" s="10" t="str">
        <f>HL_TOP_ACTV_17_Name</f>
        <v>SME Activity #2 (Not in Use)</v>
      </c>
      <c r="J649" s="10"/>
    </row>
    <row r="650" spans="4:10" ht="12" customHeight="1" x14ac:dyDescent="0.2">
      <c r="D650" s="10" t="str">
        <f t="shared" si="10"/>
        <v>Db_645</v>
      </c>
      <c r="E650" s="10" t="s">
        <v>2893</v>
      </c>
      <c r="F650" s="10" t="str">
        <f>MID(Table1[[#This Row],[Reference_Name]], 4, LEN(Table1[[#This Row],[Reference_Name]])-3)</f>
        <v>Sup3</v>
      </c>
      <c r="G650" s="10" t="s">
        <v>3817</v>
      </c>
      <c r="H650" s="10" t="s">
        <v>3818</v>
      </c>
      <c r="I650" s="10" t="str">
        <f>HL_TOP_ACTV_18_Name</f>
        <v>SME Activity #3 (Not in Use)</v>
      </c>
      <c r="J650" s="10"/>
    </row>
    <row r="651" spans="4:10" ht="12" customHeight="1" x14ac:dyDescent="0.2">
      <c r="D651" s="10" t="str">
        <f t="shared" si="10"/>
        <v>Db_646</v>
      </c>
      <c r="E651" s="10" t="s">
        <v>2894</v>
      </c>
      <c r="F651" s="10" t="str">
        <f>MID(Table1[[#This Row],[Reference_Name]], 4, LEN(Table1[[#This Row],[Reference_Name]])-3)</f>
        <v>Sup4</v>
      </c>
      <c r="G651" s="10" t="s">
        <v>3819</v>
      </c>
      <c r="H651" s="10" t="s">
        <v>3820</v>
      </c>
      <c r="I651" s="10" t="str">
        <f>HL_TOP_ACTV_8_Name</f>
        <v>SME Activity #4 (Not in Use)</v>
      </c>
      <c r="J651" s="10"/>
    </row>
    <row r="652" spans="4:10" ht="12" customHeight="1" x14ac:dyDescent="0.2">
      <c r="D652" s="10" t="str">
        <f t="shared" si="10"/>
        <v>Db_647</v>
      </c>
      <c r="E652" s="10" t="s">
        <v>2895</v>
      </c>
      <c r="F652" s="10" t="str">
        <f>MID(Table1[[#This Row],[Reference_Name]], 4, LEN(Table1[[#This Row],[Reference_Name]])-3)</f>
        <v>Sup5</v>
      </c>
      <c r="G652" s="10" t="s">
        <v>3821</v>
      </c>
      <c r="H652" s="10" t="s">
        <v>3822</v>
      </c>
      <c r="I652" s="10" t="str">
        <f>HL_LVL2_ACTV_5_Name</f>
        <v>SME Activity #5 (Not in Use)</v>
      </c>
      <c r="J652" s="10"/>
    </row>
    <row r="653" spans="4:10" ht="12" customHeight="1" x14ac:dyDescent="0.2">
      <c r="D653" s="10" t="str">
        <f t="shared" si="10"/>
        <v>Db_648</v>
      </c>
      <c r="E653" s="10" t="s">
        <v>2896</v>
      </c>
      <c r="F653" s="10" t="str">
        <f>MID(Table1[[#This Row],[Reference_Name]], 4, LEN(Table1[[#This Row],[Reference_Name]])-3)</f>
        <v>Sup6</v>
      </c>
      <c r="G653" s="10" t="s">
        <v>3823</v>
      </c>
      <c r="H653" s="10" t="s">
        <v>3824</v>
      </c>
      <c r="I653" s="10" t="str">
        <f>HL_LVL2_ACTV_14_Name</f>
        <v>SME Activity #6 (Not in Use)</v>
      </c>
      <c r="J653" s="10"/>
    </row>
    <row r="654" spans="4:10" ht="12" customHeight="1" x14ac:dyDescent="0.2">
      <c r="D654" s="10" t="str">
        <f t="shared" si="10"/>
        <v>Db_649</v>
      </c>
      <c r="E654" s="10" t="s">
        <v>2897</v>
      </c>
      <c r="F654" s="10" t="str">
        <f>MID(Table1[[#This Row],[Reference_Name]], 4, LEN(Table1[[#This Row],[Reference_Name]])-3)</f>
        <v>Sup7</v>
      </c>
      <c r="G654" s="10" t="s">
        <v>3825</v>
      </c>
      <c r="H654" s="10" t="s">
        <v>3826</v>
      </c>
      <c r="I654" s="10" t="str">
        <f>HL_LVL2_ACTV_15_Name</f>
        <v>SME Activity #7 (Not in Use)</v>
      </c>
      <c r="J654" s="10"/>
    </row>
    <row r="655" spans="4:10" ht="12" customHeight="1" x14ac:dyDescent="0.2">
      <c r="D655" s="10" t="str">
        <f t="shared" si="10"/>
        <v>Db_650</v>
      </c>
      <c r="E655" s="10" t="s">
        <v>2898</v>
      </c>
      <c r="F655" s="10" t="str">
        <f>MID(Table1[[#This Row],[Reference_Name]], 4, LEN(Table1[[#This Row],[Reference_Name]])-3)</f>
        <v>OthRecur1</v>
      </c>
      <c r="G655" s="10" t="s">
        <v>3827</v>
      </c>
      <c r="H655" s="10" t="s">
        <v>3828</v>
      </c>
      <c r="I655" s="10" t="str">
        <f>HL_TOP_ACTV_6_Name</f>
        <v>Other Activity #1 - (Recurrent Costs Only) (Not in Use)</v>
      </c>
      <c r="J655" s="10"/>
    </row>
    <row r="656" spans="4:10" ht="12" customHeight="1" x14ac:dyDescent="0.2">
      <c r="D656" s="10" t="str">
        <f t="shared" si="10"/>
        <v>Db_651</v>
      </c>
      <c r="E656" s="10" t="s">
        <v>2899</v>
      </c>
      <c r="F656" s="10" t="str">
        <f>MID(Table1[[#This Row],[Reference_Name]], 4, LEN(Table1[[#This Row],[Reference_Name]])-3)</f>
        <v>OthRecur2</v>
      </c>
      <c r="G656" s="10" t="s">
        <v>3829</v>
      </c>
      <c r="H656" s="10" t="s">
        <v>3830</v>
      </c>
      <c r="I656" s="10" t="str">
        <f>HL_TOP_ACTV_20_Name</f>
        <v>Other Activity #2 - (Recurrent Costs Only) (Not in Use)</v>
      </c>
      <c r="J656" s="10"/>
    </row>
    <row r="657" spans="4:10" ht="12" customHeight="1" x14ac:dyDescent="0.2">
      <c r="D657" s="10" t="str">
        <f t="shared" si="10"/>
        <v>Db_652</v>
      </c>
      <c r="E657" s="10" t="s">
        <v>2900</v>
      </c>
      <c r="F657" s="10" t="str">
        <f>MID(Table1[[#This Row],[Reference_Name]], 4, LEN(Table1[[#This Row],[Reference_Name]])-3)</f>
        <v>OthRecur3</v>
      </c>
      <c r="G657" s="10" t="s">
        <v>3831</v>
      </c>
      <c r="H657" s="10" t="s">
        <v>3832</v>
      </c>
      <c r="I657" s="10" t="str">
        <f>HL_TOP_ACTV_19_Name</f>
        <v>Other Activity #3 - (Recurrent Costs Only) (Not in Use)</v>
      </c>
      <c r="J657" s="10"/>
    </row>
    <row r="658" spans="4:10" ht="12" customHeight="1" x14ac:dyDescent="0.2">
      <c r="D658" s="10" t="str">
        <f t="shared" si="10"/>
        <v>Db_653</v>
      </c>
      <c r="E658" s="10" t="s">
        <v>2901</v>
      </c>
      <c r="F658" s="10" t="str">
        <f>MID(Table1[[#This Row],[Reference_Name]], 4, LEN(Table1[[#This Row],[Reference_Name]])-3)</f>
        <v>OthRecur4</v>
      </c>
      <c r="G658" s="10" t="s">
        <v>3833</v>
      </c>
      <c r="H658" s="10" t="s">
        <v>3834</v>
      </c>
      <c r="I658" s="10" t="str">
        <f>HL_LVL2_ACTV_7_Name</f>
        <v>Other Activity #4 - (Recurrent Costs Only) (Not in Use)</v>
      </c>
      <c r="J658" s="10"/>
    </row>
    <row r="659" spans="4:10" ht="12" customHeight="1" x14ac:dyDescent="0.2">
      <c r="D659" s="10" t="str">
        <f t="shared" si="10"/>
        <v>Db_654</v>
      </c>
      <c r="E659" s="10" t="s">
        <v>2902</v>
      </c>
      <c r="F659" s="10" t="str">
        <f>MID(Table1[[#This Row],[Reference_Name]], 4, LEN(Table1[[#This Row],[Reference_Name]])-3)</f>
        <v>OthRecur5</v>
      </c>
      <c r="G659" s="10" t="s">
        <v>3835</v>
      </c>
      <c r="H659" s="10" t="s">
        <v>3836</v>
      </c>
      <c r="I659" s="10" t="str">
        <f>HL_LVL2_ACTV_16_Name</f>
        <v>Other Activity #5 - (Recurrent Costs Only) (Not in Use)</v>
      </c>
      <c r="J659" s="10"/>
    </row>
    <row r="660" spans="4:10" ht="12" customHeight="1" x14ac:dyDescent="0.2">
      <c r="D660" s="10" t="str">
        <f t="shared" si="10"/>
        <v>Db_655</v>
      </c>
      <c r="E660" s="10" t="s">
        <v>2903</v>
      </c>
      <c r="F660" s="10" t="str">
        <f>MID(Table1[[#This Row],[Reference_Name]], 4, LEN(Table1[[#This Row],[Reference_Name]])-3)</f>
        <v>OthCap1</v>
      </c>
      <c r="G660" s="10" t="s">
        <v>3837</v>
      </c>
      <c r="H660" s="10" t="s">
        <v>3838</v>
      </c>
      <c r="I660" s="10" t="str">
        <f>CAPITAL_INVESTS_OTH!B21</f>
        <v>Other Capital Investment 1</v>
      </c>
      <c r="J660" s="10"/>
    </row>
    <row r="661" spans="4:10" x14ac:dyDescent="0.2">
      <c r="D661" s="10" t="str">
        <f t="shared" si="10"/>
        <v>Db_656</v>
      </c>
      <c r="E661" s="10" t="s">
        <v>2904</v>
      </c>
      <c r="F661" s="10" t="str">
        <f>MID(Table1[[#This Row],[Reference_Name]], 4, LEN(Table1[[#This Row],[Reference_Name]])-3)</f>
        <v>OthCap2</v>
      </c>
      <c r="G661" s="10" t="s">
        <v>3839</v>
      </c>
      <c r="H661" s="10" t="s">
        <v>3840</v>
      </c>
      <c r="I661" s="10" t="str">
        <f>CAPITAL_INVESTS_OTH!B22</f>
        <v>Other Capital Investment 2</v>
      </c>
      <c r="J661" s="10"/>
    </row>
    <row r="662" spans="4:10" x14ac:dyDescent="0.2">
      <c r="D662" s="10" t="str">
        <f t="shared" si="10"/>
        <v>Db_657</v>
      </c>
      <c r="E662" s="10" t="s">
        <v>2905</v>
      </c>
      <c r="F662" s="10" t="str">
        <f>MID(Table1[[#This Row],[Reference_Name]], 4, LEN(Table1[[#This Row],[Reference_Name]])-3)</f>
        <v>OthCap3</v>
      </c>
      <c r="G662" s="10" t="s">
        <v>3841</v>
      </c>
      <c r="H662" s="10" t="s">
        <v>3842</v>
      </c>
      <c r="I662" s="10" t="str">
        <f>CAPITAL_INVESTS_OTH!B23</f>
        <v>Other Capital Investment 3</v>
      </c>
      <c r="J662" s="10"/>
    </row>
    <row r="663" spans="4:10" x14ac:dyDescent="0.2">
      <c r="D663" s="10" t="str">
        <f t="shared" si="10"/>
        <v>Db_658</v>
      </c>
      <c r="E663" s="10" t="s">
        <v>2906</v>
      </c>
      <c r="F663" s="10" t="str">
        <f>MID(Table1[[#This Row],[Reference_Name]], 4, LEN(Table1[[#This Row],[Reference_Name]])-3)</f>
        <v>OthCap4</v>
      </c>
      <c r="G663" s="10" t="s">
        <v>3843</v>
      </c>
      <c r="H663" s="10" t="s">
        <v>3844</v>
      </c>
      <c r="I663" s="10" t="str">
        <f>CAPITAL_INVESTS_OTH!B24</f>
        <v>Other Capital Investment 4</v>
      </c>
      <c r="J663" s="10"/>
    </row>
    <row r="664" spans="4:10" x14ac:dyDescent="0.2">
      <c r="D664" s="10" t="str">
        <f t="shared" si="10"/>
        <v>Db_659</v>
      </c>
      <c r="E664" s="10" t="s">
        <v>2907</v>
      </c>
      <c r="F664" s="10" t="str">
        <f>MID(Table1[[#This Row],[Reference_Name]], 4, LEN(Table1[[#This Row],[Reference_Name]])-3)</f>
        <v>OthCap5</v>
      </c>
      <c r="G664" s="10" t="s">
        <v>3845</v>
      </c>
      <c r="H664" s="10" t="s">
        <v>3846</v>
      </c>
      <c r="I664" s="10" t="str">
        <f>CAPITAL_INVESTS_OTH!B25</f>
        <v>Other Capital Investment 5</v>
      </c>
      <c r="J664" s="10"/>
    </row>
    <row r="665" spans="4:10" x14ac:dyDescent="0.2">
      <c r="D665" s="10" t="str">
        <f t="shared" si="10"/>
        <v>Db_660</v>
      </c>
      <c r="E665" s="10" t="s">
        <v>2908</v>
      </c>
      <c r="F665" s="10" t="str">
        <f>MID(Table1[[#This Row],[Reference_Name]], 4, LEN(Table1[[#This Row],[Reference_Name]])-3)</f>
        <v>OthCap6</v>
      </c>
      <c r="G665" s="10" t="s">
        <v>3847</v>
      </c>
      <c r="H665" s="10" t="s">
        <v>3848</v>
      </c>
      <c r="I665" s="10" t="str">
        <f>CAPITAL_INVESTS_OTH!B26</f>
        <v>Other Capital Investment 6</v>
      </c>
      <c r="J665" s="10"/>
    </row>
    <row r="666" spans="4:10" x14ac:dyDescent="0.2">
      <c r="D666" s="10" t="str">
        <f t="shared" si="10"/>
        <v>Db_661</v>
      </c>
      <c r="E666" s="10" t="s">
        <v>2909</v>
      </c>
      <c r="F666" s="10" t="str">
        <f>MID(Table1[[#This Row],[Reference_Name]], 4, LEN(Table1[[#This Row],[Reference_Name]])-3)</f>
        <v>OthCap7</v>
      </c>
      <c r="G666" s="10" t="s">
        <v>3849</v>
      </c>
      <c r="H666" s="10" t="s">
        <v>3850</v>
      </c>
      <c r="I666" s="10" t="str">
        <f>CAPITAL_INVESTS_OTH!B27</f>
        <v>Other Capital Investment 7</v>
      </c>
      <c r="J666" s="10"/>
    </row>
    <row r="667" spans="4:10" x14ac:dyDescent="0.2">
      <c r="D667" s="10" t="str">
        <f t="shared" si="10"/>
        <v>Db_662</v>
      </c>
      <c r="E667" s="10" t="s">
        <v>2910</v>
      </c>
      <c r="F667" s="10" t="str">
        <f>MID(Table1[[#This Row],[Reference_Name]], 4, LEN(Table1[[#This Row],[Reference_Name]])-3)</f>
        <v>OthCap8</v>
      </c>
      <c r="G667" s="10" t="s">
        <v>3851</v>
      </c>
      <c r="H667" s="10" t="s">
        <v>3852</v>
      </c>
      <c r="I667" s="10" t="str">
        <f>CAPITAL_INVESTS_OTH!B28</f>
        <v>Other Capital Investment 8</v>
      </c>
      <c r="J667" s="10"/>
    </row>
    <row r="668" spans="4:10" x14ac:dyDescent="0.2">
      <c r="D668" s="10" t="str">
        <f t="shared" si="10"/>
        <v>Db_663</v>
      </c>
      <c r="E668" s="10" t="s">
        <v>2911</v>
      </c>
      <c r="F668" s="10" t="str">
        <f>MID(Table1[[#This Row],[Reference_Name]], 4, LEN(Table1[[#This Row],[Reference_Name]])-3)</f>
        <v>OthCap9</v>
      </c>
      <c r="G668" s="10" t="s">
        <v>3853</v>
      </c>
      <c r="H668" s="10" t="s">
        <v>3854</v>
      </c>
      <c r="I668" s="10" t="str">
        <f>CAPITAL_INVESTS_OTH!B29</f>
        <v>Other Capital Investment 9</v>
      </c>
      <c r="J668" s="10"/>
    </row>
    <row r="669" spans="4:10" x14ac:dyDescent="0.2">
      <c r="D669" s="10" t="str">
        <f t="shared" si="10"/>
        <v>Db_664</v>
      </c>
      <c r="E669" s="10" t="s">
        <v>2912</v>
      </c>
      <c r="F669" s="10" t="str">
        <f>MID(Table1[[#This Row],[Reference_Name]], 4, LEN(Table1[[#This Row],[Reference_Name]])-3)</f>
        <v>OthCap10</v>
      </c>
      <c r="G669" s="10" t="s">
        <v>3855</v>
      </c>
      <c r="H669" s="10" t="s">
        <v>3856</v>
      </c>
      <c r="I669" s="10" t="str">
        <f>CAPITAL_INVESTS_OTH!B30</f>
        <v>Other Capital Investment 10</v>
      </c>
      <c r="J669" s="10"/>
    </row>
    <row r="670" spans="4:10" ht="12" customHeight="1" x14ac:dyDescent="0.2">
      <c r="D670" s="10" t="str">
        <f t="shared" si="10"/>
        <v>Db_665</v>
      </c>
      <c r="E670" s="10" t="s">
        <v>2913</v>
      </c>
      <c r="F670" s="10" t="str">
        <f>MID(Table1[[#This Row],[Reference_Name]], 4, LEN(Table1[[#This Row],[Reference_Name]])-3)</f>
        <v>Cold1</v>
      </c>
      <c r="G670" s="10" t="s">
        <v>3857</v>
      </c>
      <c r="H670" s="10" t="s">
        <v>3858</v>
      </c>
      <c r="I670" s="10" t="str">
        <f>COLD_CHAIN_EXPANS!B20</f>
        <v>Cold Storage Equipment Type 1</v>
      </c>
      <c r="J670" s="10"/>
    </row>
    <row r="671" spans="4:10" x14ac:dyDescent="0.2">
      <c r="D671" s="10" t="str">
        <f t="shared" si="10"/>
        <v>Db_666</v>
      </c>
      <c r="E671" s="10" t="s">
        <v>2914</v>
      </c>
      <c r="F671" s="10" t="str">
        <f>MID(Table1[[#This Row],[Reference_Name]], 4, LEN(Table1[[#This Row],[Reference_Name]])-3)</f>
        <v>Cold2</v>
      </c>
      <c r="G671" s="10" t="s">
        <v>3859</v>
      </c>
      <c r="H671" s="10" t="s">
        <v>3860</v>
      </c>
      <c r="I671" s="10" t="str">
        <f>COLD_CHAIN_EXPANS!B21</f>
        <v>Cold Storage Equipment Type 2</v>
      </c>
      <c r="J671" s="10"/>
    </row>
    <row r="672" spans="4:10" x14ac:dyDescent="0.2">
      <c r="D672" s="10" t="str">
        <f t="shared" si="10"/>
        <v>Db_667</v>
      </c>
      <c r="E672" s="10" t="s">
        <v>2915</v>
      </c>
      <c r="F672" s="10" t="str">
        <f>MID(Table1[[#This Row],[Reference_Name]], 4, LEN(Table1[[#This Row],[Reference_Name]])-3)</f>
        <v>Cold3</v>
      </c>
      <c r="G672" s="10" t="s">
        <v>3861</v>
      </c>
      <c r="H672" s="10" t="s">
        <v>3862</v>
      </c>
      <c r="I672" s="10" t="str">
        <f>COLD_CHAIN_EXPANS!B22</f>
        <v>Cold Storage Equipment Type 3</v>
      </c>
      <c r="J672" s="10"/>
    </row>
    <row r="673" spans="4:10" x14ac:dyDescent="0.2">
      <c r="D673" s="10" t="str">
        <f t="shared" si="10"/>
        <v>Db_668</v>
      </c>
      <c r="E673" s="10" t="s">
        <v>2916</v>
      </c>
      <c r="F673" s="10" t="str">
        <f>MID(Table1[[#This Row],[Reference_Name]], 4, LEN(Table1[[#This Row],[Reference_Name]])-3)</f>
        <v>Cold4</v>
      </c>
      <c r="G673" s="10" t="s">
        <v>3863</v>
      </c>
      <c r="H673" s="10" t="s">
        <v>3864</v>
      </c>
      <c r="I673" s="10" t="str">
        <f>COLD_CHAIN_EXPANS!B23</f>
        <v>Cold Storage Equipment Type 4</v>
      </c>
      <c r="J673" s="10"/>
    </row>
    <row r="674" spans="4:10" x14ac:dyDescent="0.2">
      <c r="D674" s="10" t="str">
        <f t="shared" si="10"/>
        <v>Db_669</v>
      </c>
      <c r="E674" s="10" t="s">
        <v>2917</v>
      </c>
      <c r="F674" s="10" t="str">
        <f>MID(Table1[[#This Row],[Reference_Name]], 4, LEN(Table1[[#This Row],[Reference_Name]])-3)</f>
        <v>Cold5</v>
      </c>
      <c r="G674" s="10" t="s">
        <v>3865</v>
      </c>
      <c r="H674" s="10" t="s">
        <v>3866</v>
      </c>
      <c r="I674" s="10" t="str">
        <f>COLD_CHAIN_EXPANS!B24</f>
        <v>Cold Storage Equipment Type 5</v>
      </c>
      <c r="J674" s="10"/>
    </row>
    <row r="675" spans="4:10" x14ac:dyDescent="0.2">
      <c r="D675" s="10" t="str">
        <f t="shared" si="10"/>
        <v>Db_670</v>
      </c>
      <c r="E675" s="10" t="s">
        <v>2918</v>
      </c>
      <c r="F675" s="10" t="str">
        <f>MID(Table1[[#This Row],[Reference_Name]], 4, LEN(Table1[[#This Row],[Reference_Name]])-3)</f>
        <v>Cold6</v>
      </c>
      <c r="G675" s="10" t="s">
        <v>3867</v>
      </c>
      <c r="H675" s="10" t="s">
        <v>3868</v>
      </c>
      <c r="I675" s="10" t="str">
        <f>COLD_CHAIN_EXPANS!B25</f>
        <v>Cold Storage Equipment Type 6</v>
      </c>
      <c r="J675" s="10"/>
    </row>
    <row r="676" spans="4:10" x14ac:dyDescent="0.2">
      <c r="D676" s="10" t="str">
        <f t="shared" si="10"/>
        <v>Db_671</v>
      </c>
      <c r="E676" s="10" t="s">
        <v>2919</v>
      </c>
      <c r="F676" s="10" t="str">
        <f>MID(Table1[[#This Row],[Reference_Name]], 4, LEN(Table1[[#This Row],[Reference_Name]])-3)</f>
        <v>Cold7</v>
      </c>
      <c r="G676" s="10" t="s">
        <v>3869</v>
      </c>
      <c r="H676" s="10" t="s">
        <v>3870</v>
      </c>
      <c r="I676" s="10" t="str">
        <f>COLD_CHAIN_EXPANS!B26</f>
        <v>Cold Storage Equipment Type 7</v>
      </c>
      <c r="J676" s="10"/>
    </row>
    <row r="677" spans="4:10" x14ac:dyDescent="0.2">
      <c r="D677" s="10" t="str">
        <f t="shared" si="10"/>
        <v>Db_672</v>
      </c>
      <c r="E677" s="10" t="s">
        <v>2920</v>
      </c>
      <c r="F677" s="10" t="str">
        <f>MID(Table1[[#This Row],[Reference_Name]], 4, LEN(Table1[[#This Row],[Reference_Name]])-3)</f>
        <v>Cold8</v>
      </c>
      <c r="G677" s="10" t="s">
        <v>3871</v>
      </c>
      <c r="H677" s="10" t="s">
        <v>3872</v>
      </c>
      <c r="I677" s="10" t="str">
        <f>COLD_CHAIN_EXPANS!B27</f>
        <v>Cold Storage Equipment Type 8</v>
      </c>
      <c r="J677" s="10"/>
    </row>
    <row r="678" spans="4:10" x14ac:dyDescent="0.2">
      <c r="D678" s="10" t="str">
        <f t="shared" si="10"/>
        <v>Db_673</v>
      </c>
      <c r="E678" s="10" t="s">
        <v>2921</v>
      </c>
      <c r="F678" s="10" t="str">
        <f>MID(Table1[[#This Row],[Reference_Name]], 4, LEN(Table1[[#This Row],[Reference_Name]])-3)</f>
        <v>Cold9</v>
      </c>
      <c r="G678" s="10" t="s">
        <v>3873</v>
      </c>
      <c r="H678" s="10" t="s">
        <v>3874</v>
      </c>
      <c r="I678" s="10" t="str">
        <f>COLD_CHAIN_EXPANS!B28</f>
        <v>Cold Storage Equipment Type 9</v>
      </c>
      <c r="J678" s="10"/>
    </row>
    <row r="679" spans="4:10" x14ac:dyDescent="0.2">
      <c r="D679" s="10" t="str">
        <f t="shared" si="10"/>
        <v>Db_674</v>
      </c>
      <c r="E679" s="10" t="s">
        <v>2922</v>
      </c>
      <c r="F679" s="10" t="str">
        <f>MID(Table1[[#This Row],[Reference_Name]], 4, LEN(Table1[[#This Row],[Reference_Name]])-3)</f>
        <v>Cold10</v>
      </c>
      <c r="G679" s="10" t="s">
        <v>3875</v>
      </c>
      <c r="H679" s="10" t="s">
        <v>3876</v>
      </c>
      <c r="I679" s="10" t="str">
        <f>COLD_CHAIN_EXPANS!B29</f>
        <v>Cold Storage Equipment Type 10</v>
      </c>
      <c r="J679" s="10"/>
    </row>
    <row r="680" spans="4:10" ht="12" customHeight="1" x14ac:dyDescent="0.2">
      <c r="D680" s="10" t="str">
        <f t="shared" si="10"/>
        <v>Db_675</v>
      </c>
      <c r="E680" s="10" t="s">
        <v>1909</v>
      </c>
      <c r="F680" s="10" t="str">
        <f>MID(Table1[[#This Row],[Reference_Name]], 4, LEN(Table1[[#This Row],[Reference_Name]])-3)</f>
        <v>Micro1Num</v>
      </c>
      <c r="G680" s="10" t="s">
        <v>1869</v>
      </c>
      <c r="H680" s="10" t="s">
        <v>3877</v>
      </c>
      <c r="I680" s="10">
        <f>Db_Micro1Num</f>
        <v>0</v>
      </c>
      <c r="J680" s="10"/>
    </row>
    <row r="681" spans="4:10" ht="12" customHeight="1" x14ac:dyDescent="0.2">
      <c r="D681" s="10" t="str">
        <f t="shared" si="10"/>
        <v>Db_676</v>
      </c>
      <c r="E681" s="10" t="s">
        <v>1910</v>
      </c>
      <c r="F681" s="10" t="str">
        <f>MID(Table1[[#This Row],[Reference_Name]], 4, LEN(Table1[[#This Row],[Reference_Name]])-3)</f>
        <v>Micro2Num</v>
      </c>
      <c r="G681" s="10" t="s">
        <v>1870</v>
      </c>
      <c r="H681" s="10" t="s">
        <v>3878</v>
      </c>
      <c r="I681" s="10">
        <f>Db_Micro2Num</f>
        <v>0</v>
      </c>
      <c r="J681" s="10"/>
    </row>
    <row r="682" spans="4:10" ht="12" customHeight="1" x14ac:dyDescent="0.2">
      <c r="D682" s="10" t="str">
        <f t="shared" si="10"/>
        <v>Db_677</v>
      </c>
      <c r="E682" s="10" t="s">
        <v>1911</v>
      </c>
      <c r="F682" s="10" t="str">
        <f>MID(Table1[[#This Row],[Reference_Name]], 4, LEN(Table1[[#This Row],[Reference_Name]])-3)</f>
        <v>Micro3Num</v>
      </c>
      <c r="G682" s="10" t="s">
        <v>1871</v>
      </c>
      <c r="H682" s="10" t="s">
        <v>3879</v>
      </c>
      <c r="I682" s="10">
        <f>Db_Micro3Num</f>
        <v>0</v>
      </c>
      <c r="J682" s="10"/>
    </row>
    <row r="683" spans="4:10" ht="12" customHeight="1" x14ac:dyDescent="0.2">
      <c r="D683" s="10" t="str">
        <f t="shared" si="10"/>
        <v>Db_678</v>
      </c>
      <c r="E683" s="10" t="s">
        <v>1912</v>
      </c>
      <c r="F683" s="10" t="str">
        <f>MID(Table1[[#This Row],[Reference_Name]], 4, LEN(Table1[[#This Row],[Reference_Name]])-3)</f>
        <v>Micro4Num</v>
      </c>
      <c r="G683" s="10" t="s">
        <v>1872</v>
      </c>
      <c r="H683" s="10" t="s">
        <v>3880</v>
      </c>
      <c r="I683" s="10">
        <f>Db_Micro4Num</f>
        <v>0</v>
      </c>
      <c r="J683" s="10"/>
    </row>
    <row r="684" spans="4:10" ht="12" customHeight="1" x14ac:dyDescent="0.2">
      <c r="D684" s="10" t="str">
        <f t="shared" si="10"/>
        <v>Db_679</v>
      </c>
      <c r="E684" s="10" t="s">
        <v>1913</v>
      </c>
      <c r="F684" s="10" t="str">
        <f>MID(Table1[[#This Row],[Reference_Name]], 4, LEN(Table1[[#This Row],[Reference_Name]])-3)</f>
        <v>Train1Num</v>
      </c>
      <c r="G684" s="10" t="s">
        <v>1873</v>
      </c>
      <c r="H684" s="10" t="s">
        <v>3881</v>
      </c>
      <c r="I684" s="10">
        <f>Db_Train1Num</f>
        <v>0</v>
      </c>
      <c r="J684" s="10"/>
    </row>
    <row r="685" spans="4:10" ht="12" customHeight="1" x14ac:dyDescent="0.2">
      <c r="D685" s="10" t="str">
        <f t="shared" si="10"/>
        <v>Db_680</v>
      </c>
      <c r="E685" s="10" t="s">
        <v>1914</v>
      </c>
      <c r="F685" s="10" t="str">
        <f>MID(Table1[[#This Row],[Reference_Name]], 4, LEN(Table1[[#This Row],[Reference_Name]])-3)</f>
        <v>Train2Num</v>
      </c>
      <c r="G685" s="10" t="s">
        <v>1875</v>
      </c>
      <c r="H685" s="10" t="s">
        <v>3882</v>
      </c>
      <c r="I685" s="10">
        <f>Db_Train2Num</f>
        <v>0</v>
      </c>
      <c r="J685" s="10"/>
    </row>
    <row r="686" spans="4:10" ht="12" customHeight="1" x14ac:dyDescent="0.2">
      <c r="D686" s="10" t="str">
        <f t="shared" si="10"/>
        <v>Db_681</v>
      </c>
      <c r="E686" s="10" t="s">
        <v>1915</v>
      </c>
      <c r="F686" s="10" t="str">
        <f>MID(Table1[[#This Row],[Reference_Name]], 4, LEN(Table1[[#This Row],[Reference_Name]])-3)</f>
        <v>Train3Num</v>
      </c>
      <c r="G686" s="10" t="s">
        <v>1874</v>
      </c>
      <c r="H686" s="10" t="s">
        <v>3883</v>
      </c>
      <c r="I686" s="10">
        <f>Db_Train3Num</f>
        <v>0</v>
      </c>
      <c r="J686" s="10"/>
    </row>
    <row r="687" spans="4:10" ht="12" customHeight="1" x14ac:dyDescent="0.2">
      <c r="D687" s="10" t="str">
        <f t="shared" si="10"/>
        <v>Db_682</v>
      </c>
      <c r="E687" s="10" t="s">
        <v>1916</v>
      </c>
      <c r="F687" s="10" t="str">
        <f>MID(Table1[[#This Row],[Reference_Name]], 4, LEN(Table1[[#This Row],[Reference_Name]])-3)</f>
        <v>Train4Num</v>
      </c>
      <c r="G687" s="10" t="s">
        <v>1876</v>
      </c>
      <c r="H687" s="10" t="s">
        <v>3884</v>
      </c>
      <c r="I687" s="10">
        <f>Db_Train4Num</f>
        <v>0</v>
      </c>
      <c r="J687" s="10"/>
    </row>
    <row r="688" spans="4:10" ht="12" customHeight="1" x14ac:dyDescent="0.2">
      <c r="D688" s="10" t="str">
        <f t="shared" si="10"/>
        <v>Db_683</v>
      </c>
      <c r="E688" s="10" t="s">
        <v>1942</v>
      </c>
      <c r="F688" s="10" t="str">
        <f>MID(Table1[[#This Row],[Reference_Name]], 4, LEN(Table1[[#This Row],[Reference_Name]])-3)</f>
        <v>Sen1Num</v>
      </c>
      <c r="G688" s="10" t="s">
        <v>1877</v>
      </c>
      <c r="H688" s="10" t="s">
        <v>3885</v>
      </c>
      <c r="I688" s="10">
        <f>Db_Sen1Num</f>
        <v>0</v>
      </c>
      <c r="J688" s="10"/>
    </row>
    <row r="689" spans="4:10" ht="12" customHeight="1" x14ac:dyDescent="0.2">
      <c r="D689" s="10" t="str">
        <f t="shared" si="10"/>
        <v>Db_684</v>
      </c>
      <c r="E689" s="10" t="s">
        <v>1917</v>
      </c>
      <c r="F689" s="10" t="str">
        <f>MID(Table1[[#This Row],[Reference_Name]], 4, LEN(Table1[[#This Row],[Reference_Name]])-3)</f>
        <v>Sen2Num</v>
      </c>
      <c r="G689" s="10" t="s">
        <v>1878</v>
      </c>
      <c r="H689" s="10" t="s">
        <v>3886</v>
      </c>
      <c r="I689" s="10">
        <f>Db_Sen2Num</f>
        <v>0</v>
      </c>
      <c r="J689" s="10"/>
    </row>
    <row r="690" spans="4:10" ht="12" customHeight="1" x14ac:dyDescent="0.2">
      <c r="D690" s="10" t="str">
        <f t="shared" si="10"/>
        <v>Db_685</v>
      </c>
      <c r="E690" s="10" t="s">
        <v>1918</v>
      </c>
      <c r="F690" s="10" t="str">
        <f>MID(Table1[[#This Row],[Reference_Name]], 4, LEN(Table1[[#This Row],[Reference_Name]])-3)</f>
        <v>Sen3Num</v>
      </c>
      <c r="G690" s="10" t="s">
        <v>1879</v>
      </c>
      <c r="H690" s="10" t="s">
        <v>3887</v>
      </c>
      <c r="I690" s="10">
        <f>Db_Sen3Num</f>
        <v>0</v>
      </c>
      <c r="J690" s="10"/>
    </row>
    <row r="691" spans="4:10" ht="12" customHeight="1" x14ac:dyDescent="0.2">
      <c r="D691" s="10" t="str">
        <f t="shared" si="10"/>
        <v>Db_686</v>
      </c>
      <c r="E691" s="10" t="s">
        <v>1919</v>
      </c>
      <c r="F691" s="10" t="str">
        <f>MID(Table1[[#This Row],[Reference_Name]], 4, LEN(Table1[[#This Row],[Reference_Name]])-3)</f>
        <v>Sen4Num</v>
      </c>
      <c r="G691" s="10" t="s">
        <v>1880</v>
      </c>
      <c r="H691" s="10" t="s">
        <v>3888</v>
      </c>
      <c r="I691" s="10">
        <f>Db_Sen4Num</f>
        <v>0</v>
      </c>
      <c r="J691" s="10"/>
    </row>
    <row r="692" spans="4:10" ht="12" customHeight="1" x14ac:dyDescent="0.2">
      <c r="D692" s="10" t="str">
        <f t="shared" si="10"/>
        <v>Db_687</v>
      </c>
      <c r="E692" s="10" t="s">
        <v>1920</v>
      </c>
      <c r="F692" s="10" t="str">
        <f>MID(Table1[[#This Row],[Reference_Name]], 4, LEN(Table1[[#This Row],[Reference_Name]])-3)</f>
        <v>Sen5Num</v>
      </c>
      <c r="G692" s="10" t="s">
        <v>1881</v>
      </c>
      <c r="H692" s="10" t="s">
        <v>3889</v>
      </c>
      <c r="I692" s="10">
        <f>Db_Sen5Num</f>
        <v>0</v>
      </c>
      <c r="J692" s="10"/>
    </row>
    <row r="693" spans="4:10" ht="12" customHeight="1" x14ac:dyDescent="0.2">
      <c r="D693" s="10" t="str">
        <f t="shared" si="10"/>
        <v>Db_688</v>
      </c>
      <c r="E693" s="10" t="s">
        <v>1921</v>
      </c>
      <c r="F693" s="10" t="str">
        <f>MID(Table1[[#This Row],[Reference_Name]], 4, LEN(Table1[[#This Row],[Reference_Name]])-3)</f>
        <v>Sen6Num</v>
      </c>
      <c r="G693" s="10" t="s">
        <v>1882</v>
      </c>
      <c r="H693" s="10" t="s">
        <v>3890</v>
      </c>
      <c r="I693" s="10">
        <f>Db_Sen6Num</f>
        <v>0</v>
      </c>
      <c r="J693" s="10"/>
    </row>
    <row r="694" spans="4:10" ht="12" customHeight="1" x14ac:dyDescent="0.2">
      <c r="D694" s="10" t="str">
        <f t="shared" si="10"/>
        <v>Db_689</v>
      </c>
      <c r="E694" s="10" t="s">
        <v>1922</v>
      </c>
      <c r="F694" s="10" t="str">
        <f>MID(Table1[[#This Row],[Reference_Name]], 4, LEN(Table1[[#This Row],[Reference_Name]])-3)</f>
        <v>Soc1Num</v>
      </c>
      <c r="G694" s="10" t="s">
        <v>1883</v>
      </c>
      <c r="H694" s="10" t="s">
        <v>3891</v>
      </c>
      <c r="I694" s="10">
        <f>Db_Soc1Num</f>
        <v>0</v>
      </c>
      <c r="J694" s="10"/>
    </row>
    <row r="695" spans="4:10" ht="12" customHeight="1" x14ac:dyDescent="0.2">
      <c r="D695" s="10" t="str">
        <f t="shared" si="10"/>
        <v>Db_690</v>
      </c>
      <c r="E695" s="10" t="s">
        <v>1923</v>
      </c>
      <c r="F695" s="10" t="str">
        <f>MID(Table1[[#This Row],[Reference_Name]], 4, LEN(Table1[[#This Row],[Reference_Name]])-3)</f>
        <v>Soc2Num</v>
      </c>
      <c r="G695" s="10" t="s">
        <v>1884</v>
      </c>
      <c r="H695" s="10" t="s">
        <v>3892</v>
      </c>
      <c r="I695" s="10">
        <f>Db_Soc2Num</f>
        <v>0</v>
      </c>
      <c r="J695" s="10"/>
    </row>
    <row r="696" spans="4:10" ht="12" customHeight="1" x14ac:dyDescent="0.2">
      <c r="D696" s="10" t="str">
        <f t="shared" si="10"/>
        <v>Db_691</v>
      </c>
      <c r="E696" s="10" t="s">
        <v>1924</v>
      </c>
      <c r="F696" s="10" t="str">
        <f>MID(Table1[[#This Row],[Reference_Name]], 4, LEN(Table1[[#This Row],[Reference_Name]])-3)</f>
        <v>Soc3Num</v>
      </c>
      <c r="G696" s="10" t="s">
        <v>1885</v>
      </c>
      <c r="H696" s="10" t="s">
        <v>3893</v>
      </c>
      <c r="I696" s="10">
        <f>Db_Soc3Num</f>
        <v>0</v>
      </c>
      <c r="J696" s="10"/>
    </row>
    <row r="697" spans="4:10" ht="12" customHeight="1" x14ac:dyDescent="0.2">
      <c r="D697" s="10" t="str">
        <f t="shared" si="10"/>
        <v>Db_692</v>
      </c>
      <c r="E697" s="10" t="s">
        <v>1925</v>
      </c>
      <c r="F697" s="10" t="str">
        <f>MID(Table1[[#This Row],[Reference_Name]], 4, LEN(Table1[[#This Row],[Reference_Name]])-3)</f>
        <v>Soc4Num</v>
      </c>
      <c r="G697" s="10" t="s">
        <v>1886</v>
      </c>
      <c r="H697" s="10" t="s">
        <v>3894</v>
      </c>
      <c r="I697" s="10">
        <f>Db_Soc4Num</f>
        <v>0</v>
      </c>
      <c r="J697" s="10"/>
    </row>
    <row r="698" spans="4:10" ht="12" customHeight="1" x14ac:dyDescent="0.2">
      <c r="D698" s="10" t="str">
        <f t="shared" si="10"/>
        <v>Db_693</v>
      </c>
      <c r="E698" s="10" t="s">
        <v>1926</v>
      </c>
      <c r="F698" s="10" t="str">
        <f>MID(Table1[[#This Row],[Reference_Name]], 4, LEN(Table1[[#This Row],[Reference_Name]])-3)</f>
        <v>Soc5Num</v>
      </c>
      <c r="G698" s="10" t="s">
        <v>1887</v>
      </c>
      <c r="H698" s="10" t="s">
        <v>3895</v>
      </c>
      <c r="I698" s="10">
        <f>Db_Soc5Num</f>
        <v>0</v>
      </c>
      <c r="J698" s="10"/>
    </row>
    <row r="699" spans="4:10" ht="12" customHeight="1" x14ac:dyDescent="0.2">
      <c r="D699" s="10" t="str">
        <f t="shared" si="10"/>
        <v>Db_694</v>
      </c>
      <c r="E699" s="10" t="s">
        <v>1927</v>
      </c>
      <c r="F699" s="10" t="str">
        <f>MID(Table1[[#This Row],[Reference_Name]], 4, LEN(Table1[[#This Row],[Reference_Name]])-3)</f>
        <v>Soc6Num</v>
      </c>
      <c r="G699" s="10" t="s">
        <v>1888</v>
      </c>
      <c r="H699" s="10" t="s">
        <v>3896</v>
      </c>
      <c r="I699" s="10">
        <f>Db_Soc6Num</f>
        <v>0</v>
      </c>
      <c r="J699" s="10"/>
    </row>
    <row r="700" spans="4:10" ht="12" customHeight="1" x14ac:dyDescent="0.2">
      <c r="D700" s="10" t="str">
        <f t="shared" si="10"/>
        <v>Db_695</v>
      </c>
      <c r="E700" s="10" t="s">
        <v>1928</v>
      </c>
      <c r="F700" s="10" t="str">
        <f>MID(Table1[[#This Row],[Reference_Name]], 4, LEN(Table1[[#This Row],[Reference_Name]])-3)</f>
        <v>Soc7Num</v>
      </c>
      <c r="G700" s="10" t="s">
        <v>1889</v>
      </c>
      <c r="H700" s="10" t="s">
        <v>3897</v>
      </c>
      <c r="I700" s="10">
        <f>Db_Soc7Num</f>
        <v>0</v>
      </c>
      <c r="J700" s="10"/>
    </row>
    <row r="701" spans="4:10" ht="12" customHeight="1" x14ac:dyDescent="0.2">
      <c r="D701" s="10" t="str">
        <f t="shared" si="10"/>
        <v>Db_696</v>
      </c>
      <c r="E701" s="10" t="s">
        <v>1929</v>
      </c>
      <c r="F701" s="10" t="str">
        <f>MID(Table1[[#This Row],[Reference_Name]], 4, LEN(Table1[[#This Row],[Reference_Name]])-3)</f>
        <v>Soc8Num</v>
      </c>
      <c r="G701" s="10" t="s">
        <v>1890</v>
      </c>
      <c r="H701" s="10" t="s">
        <v>3898</v>
      </c>
      <c r="I701" s="10">
        <f>Db_Soc8Num</f>
        <v>0</v>
      </c>
      <c r="J701" s="10"/>
    </row>
    <row r="702" spans="4:10" ht="12" customHeight="1" x14ac:dyDescent="0.2">
      <c r="D702" s="10" t="str">
        <f t="shared" si="10"/>
        <v>Db_697</v>
      </c>
      <c r="E702" s="10" t="s">
        <v>1963</v>
      </c>
      <c r="F702" s="10" t="str">
        <f>MID(Table1[[#This Row],[Reference_Name]], 4, LEN(Table1[[#This Row],[Reference_Name]])-3)</f>
        <v>VacSV1Num</v>
      </c>
      <c r="G702" s="10" t="s">
        <v>1891</v>
      </c>
      <c r="H702" s="10" t="s">
        <v>3899</v>
      </c>
      <c r="I702" s="10">
        <f>Db_VacSV1Num</f>
        <v>391744.28</v>
      </c>
      <c r="J702" s="10"/>
    </row>
    <row r="703" spans="4:10" ht="12" customHeight="1" x14ac:dyDescent="0.2">
      <c r="D703" s="10" t="str">
        <f t="shared" si="10"/>
        <v>Db_698</v>
      </c>
      <c r="E703" s="10" t="s">
        <v>1964</v>
      </c>
      <c r="F703" s="10" t="str">
        <f>MID(Table1[[#This Row],[Reference_Name]], 4, LEN(Table1[[#This Row],[Reference_Name]])-3)</f>
        <v>VacSV2Num</v>
      </c>
      <c r="G703" s="10" t="s">
        <v>1892</v>
      </c>
      <c r="H703" s="10" t="s">
        <v>3900</v>
      </c>
      <c r="I703" s="10">
        <f>Db_VacSV2Num</f>
        <v>391744.28</v>
      </c>
      <c r="J703" s="10"/>
    </row>
    <row r="704" spans="4:10" ht="12" customHeight="1" x14ac:dyDescent="0.2">
      <c r="D704" s="10" t="str">
        <f t="shared" si="10"/>
        <v>Db_699</v>
      </c>
      <c r="E704" s="10" t="s">
        <v>1965</v>
      </c>
      <c r="F704" s="10" t="str">
        <f>MID(Table1[[#This Row],[Reference_Name]], 4, LEN(Table1[[#This Row],[Reference_Name]])-3)</f>
        <v>VacGV1Num</v>
      </c>
      <c r="G704" s="10" t="s">
        <v>1893</v>
      </c>
      <c r="H704" s="10" t="s">
        <v>3901</v>
      </c>
      <c r="I704" s="10">
        <f>Db_VacGV1Num</f>
        <v>3264.5356666666667</v>
      </c>
      <c r="J704" s="10"/>
    </row>
    <row r="705" spans="4:10" ht="12" customHeight="1" x14ac:dyDescent="0.2">
      <c r="D705" s="10" t="str">
        <f t="shared" si="10"/>
        <v>Db_700</v>
      </c>
      <c r="E705" s="10" t="s">
        <v>1966</v>
      </c>
      <c r="F705" s="10" t="str">
        <f>MID(Table1[[#This Row],[Reference_Name]], 4, LEN(Table1[[#This Row],[Reference_Name]])-3)</f>
        <v>VacGV2Num</v>
      </c>
      <c r="G705" s="10" t="s">
        <v>1894</v>
      </c>
      <c r="H705" s="10" t="s">
        <v>3902</v>
      </c>
      <c r="I705" s="10">
        <f>Db_VacGV2Num</f>
        <v>979.36070000000007</v>
      </c>
      <c r="J705" s="10"/>
    </row>
    <row r="706" spans="4:10" ht="12" customHeight="1" x14ac:dyDescent="0.2">
      <c r="D706" s="10" t="str">
        <f t="shared" si="10"/>
        <v>Db_701</v>
      </c>
      <c r="E706" s="10" t="s">
        <v>1930</v>
      </c>
      <c r="F706" s="10" t="str">
        <f>MID(Table1[[#This Row],[Reference_Name]], 4, LEN(Table1[[#This Row],[Reference_Name]])-3)</f>
        <v>Sup1Num</v>
      </c>
      <c r="G706" s="10" t="s">
        <v>1895</v>
      </c>
      <c r="H706" s="10" t="s">
        <v>3903</v>
      </c>
      <c r="I706" s="10">
        <f>Db_Sup1Num</f>
        <v>0</v>
      </c>
      <c r="J706" s="10"/>
    </row>
    <row r="707" spans="4:10" ht="12" customHeight="1" x14ac:dyDescent="0.2">
      <c r="D707" s="10" t="str">
        <f t="shared" si="10"/>
        <v>Db_702</v>
      </c>
      <c r="E707" s="10" t="s">
        <v>1931</v>
      </c>
      <c r="F707" s="10" t="str">
        <f>MID(Table1[[#This Row],[Reference_Name]], 4, LEN(Table1[[#This Row],[Reference_Name]])-3)</f>
        <v>Sup2Num</v>
      </c>
      <c r="G707" s="10" t="s">
        <v>1896</v>
      </c>
      <c r="H707" s="10" t="s">
        <v>3904</v>
      </c>
      <c r="I707" s="10">
        <f>Db_Sup2Num</f>
        <v>0</v>
      </c>
      <c r="J707" s="10"/>
    </row>
    <row r="708" spans="4:10" ht="12" customHeight="1" x14ac:dyDescent="0.2">
      <c r="D708" s="10" t="str">
        <f t="shared" si="10"/>
        <v>Db_703</v>
      </c>
      <c r="E708" s="10" t="s">
        <v>1932</v>
      </c>
      <c r="F708" s="10" t="str">
        <f>MID(Table1[[#This Row],[Reference_Name]], 4, LEN(Table1[[#This Row],[Reference_Name]])-3)</f>
        <v>Sup3Num</v>
      </c>
      <c r="G708" s="10" t="s">
        <v>1897</v>
      </c>
      <c r="H708" s="10" t="s">
        <v>3905</v>
      </c>
      <c r="I708" s="10">
        <f>Db_Sup3Num</f>
        <v>0</v>
      </c>
      <c r="J708" s="10"/>
    </row>
    <row r="709" spans="4:10" ht="12" customHeight="1" x14ac:dyDescent="0.2">
      <c r="D709" s="10" t="str">
        <f t="shared" si="10"/>
        <v>Db_704</v>
      </c>
      <c r="E709" s="10" t="s">
        <v>1933</v>
      </c>
      <c r="F709" s="10" t="str">
        <f>MID(Table1[[#This Row],[Reference_Name]], 4, LEN(Table1[[#This Row],[Reference_Name]])-3)</f>
        <v>Sup4Num</v>
      </c>
      <c r="G709" s="10" t="s">
        <v>1898</v>
      </c>
      <c r="H709" s="10" t="s">
        <v>3906</v>
      </c>
      <c r="I709" s="10">
        <f>Db_Sup4Num</f>
        <v>0</v>
      </c>
      <c r="J709" s="10"/>
    </row>
    <row r="710" spans="4:10" ht="12" customHeight="1" x14ac:dyDescent="0.2">
      <c r="D710" s="10" t="str">
        <f t="shared" ref="D710:D747" si="11">"Db_"&amp;ROW()-5</f>
        <v>Db_705</v>
      </c>
      <c r="E710" s="10" t="s">
        <v>1934</v>
      </c>
      <c r="F710" s="10" t="str">
        <f>MID(Table1[[#This Row],[Reference_Name]], 4, LEN(Table1[[#This Row],[Reference_Name]])-3)</f>
        <v>Sup5Num</v>
      </c>
      <c r="G710" s="10" t="s">
        <v>1899</v>
      </c>
      <c r="H710" s="10" t="s">
        <v>3907</v>
      </c>
      <c r="I710" s="10">
        <f>Db_Sup5Num</f>
        <v>0</v>
      </c>
      <c r="J710" s="10"/>
    </row>
    <row r="711" spans="4:10" ht="12" customHeight="1" x14ac:dyDescent="0.2">
      <c r="D711" s="10" t="str">
        <f t="shared" si="11"/>
        <v>Db_706</v>
      </c>
      <c r="E711" s="10" t="s">
        <v>1935</v>
      </c>
      <c r="F711" s="10" t="str">
        <f>MID(Table1[[#This Row],[Reference_Name]], 4, LEN(Table1[[#This Row],[Reference_Name]])-3)</f>
        <v>Sup6Num</v>
      </c>
      <c r="G711" s="10" t="s">
        <v>1900</v>
      </c>
      <c r="H711" s="10" t="s">
        <v>3908</v>
      </c>
      <c r="I711" s="10">
        <f>Db_Sup6Num</f>
        <v>0</v>
      </c>
      <c r="J711" s="10"/>
    </row>
    <row r="712" spans="4:10" ht="12" customHeight="1" x14ac:dyDescent="0.2">
      <c r="D712" s="10" t="str">
        <f t="shared" si="11"/>
        <v>Db_707</v>
      </c>
      <c r="E712" s="10" t="s">
        <v>1936</v>
      </c>
      <c r="F712" s="10" t="str">
        <f>MID(Table1[[#This Row],[Reference_Name]], 4, LEN(Table1[[#This Row],[Reference_Name]])-3)</f>
        <v>Sup7Num</v>
      </c>
      <c r="G712" s="10" t="s">
        <v>1901</v>
      </c>
      <c r="H712" s="10" t="s">
        <v>3909</v>
      </c>
      <c r="I712" s="10">
        <f>Db_Sup7Num</f>
        <v>0</v>
      </c>
      <c r="J712" s="10"/>
    </row>
    <row r="713" spans="4:10" ht="12" customHeight="1" x14ac:dyDescent="0.2">
      <c r="D713" s="10" t="str">
        <f t="shared" si="11"/>
        <v>Db_708</v>
      </c>
      <c r="E713" s="10" t="s">
        <v>1937</v>
      </c>
      <c r="F713" s="10" t="str">
        <f>MID(Table1[[#This Row],[Reference_Name]], 4, LEN(Table1[[#This Row],[Reference_Name]])-3)</f>
        <v>OthRecur1Num</v>
      </c>
      <c r="G713" s="10" t="s">
        <v>1902</v>
      </c>
      <c r="H713" s="10" t="s">
        <v>3910</v>
      </c>
      <c r="I713" s="10">
        <f>Db_OthRecur1Num</f>
        <v>0</v>
      </c>
      <c r="J713" s="10"/>
    </row>
    <row r="714" spans="4:10" ht="12" customHeight="1" x14ac:dyDescent="0.2">
      <c r="D714" s="10" t="str">
        <f t="shared" si="11"/>
        <v>Db_709</v>
      </c>
      <c r="E714" s="10" t="s">
        <v>1938</v>
      </c>
      <c r="F714" s="10" t="str">
        <f>MID(Table1[[#This Row],[Reference_Name]], 4, LEN(Table1[[#This Row],[Reference_Name]])-3)</f>
        <v>OthRecur2Num</v>
      </c>
      <c r="G714" s="10" t="s">
        <v>1903</v>
      </c>
      <c r="H714" s="10" t="s">
        <v>3911</v>
      </c>
      <c r="I714" s="10">
        <f>Db_OthRecur2Num</f>
        <v>0</v>
      </c>
      <c r="J714" s="10"/>
    </row>
    <row r="715" spans="4:10" ht="12" customHeight="1" x14ac:dyDescent="0.2">
      <c r="D715" s="10" t="str">
        <f t="shared" si="11"/>
        <v>Db_710</v>
      </c>
      <c r="E715" s="10" t="s">
        <v>1939</v>
      </c>
      <c r="F715" s="10" t="str">
        <f>MID(Table1[[#This Row],[Reference_Name]], 4, LEN(Table1[[#This Row],[Reference_Name]])-3)</f>
        <v>OthRecur3Num</v>
      </c>
      <c r="G715" s="10" t="s">
        <v>1904</v>
      </c>
      <c r="H715" s="10" t="s">
        <v>3912</v>
      </c>
      <c r="I715" s="10">
        <f>Db_OthRecur3Num</f>
        <v>0</v>
      </c>
      <c r="J715" s="10"/>
    </row>
    <row r="716" spans="4:10" ht="12" customHeight="1" x14ac:dyDescent="0.2">
      <c r="D716" s="10" t="str">
        <f t="shared" si="11"/>
        <v>Db_711</v>
      </c>
      <c r="E716" s="10" t="s">
        <v>1940</v>
      </c>
      <c r="F716" s="10" t="str">
        <f>MID(Table1[[#This Row],[Reference_Name]], 4, LEN(Table1[[#This Row],[Reference_Name]])-3)</f>
        <v>OthRecur4Num</v>
      </c>
      <c r="G716" s="10" t="s">
        <v>1905</v>
      </c>
      <c r="H716" s="10" t="s">
        <v>3913</v>
      </c>
      <c r="I716" s="10">
        <f>Db_OthRecur4Num</f>
        <v>0</v>
      </c>
      <c r="J716" s="10"/>
    </row>
    <row r="717" spans="4:10" ht="12" customHeight="1" x14ac:dyDescent="0.2">
      <c r="D717" s="10" t="str">
        <f t="shared" si="11"/>
        <v>Db_712</v>
      </c>
      <c r="E717" s="10" t="s">
        <v>1941</v>
      </c>
      <c r="F717" s="10" t="str">
        <f>MID(Table1[[#This Row],[Reference_Name]], 4, LEN(Table1[[#This Row],[Reference_Name]])-3)</f>
        <v>OthRecur5Num</v>
      </c>
      <c r="G717" s="10" t="s">
        <v>1906</v>
      </c>
      <c r="H717" s="10" t="s">
        <v>3914</v>
      </c>
      <c r="I717" s="10">
        <f>Db_OthRecur5Num</f>
        <v>0</v>
      </c>
      <c r="J717" s="10"/>
    </row>
    <row r="718" spans="4:10" ht="12" customHeight="1" x14ac:dyDescent="0.2">
      <c r="D718" s="10" t="str">
        <f t="shared" si="11"/>
        <v>Db_713</v>
      </c>
      <c r="E718" s="10" t="s">
        <v>1908</v>
      </c>
      <c r="F718" s="10" t="str">
        <f>MID(Table1[[#This Row],[Reference_Name]], 4, LEN(Table1[[#This Row],[Reference_Name]])-3)</f>
        <v>OthCap1Num</v>
      </c>
      <c r="G718" s="10" t="s">
        <v>1907</v>
      </c>
      <c r="H718" s="10" t="s">
        <v>3915</v>
      </c>
      <c r="I718" s="10">
        <f>Db_OthCap1Num</f>
        <v>0</v>
      </c>
      <c r="J718" s="10"/>
    </row>
    <row r="719" spans="4:10" ht="12" customHeight="1" x14ac:dyDescent="0.2">
      <c r="D719" s="10" t="str">
        <f t="shared" si="11"/>
        <v>Db_714</v>
      </c>
      <c r="E719" s="10" t="s">
        <v>1948</v>
      </c>
      <c r="F719" s="10" t="str">
        <f>MID(Table1[[#This Row],[Reference_Name]], 4, LEN(Table1[[#This Row],[Reference_Name]])-3)</f>
        <v>OthCap2Num</v>
      </c>
      <c r="G719" s="10" t="s">
        <v>1943</v>
      </c>
      <c r="H719" s="10" t="s">
        <v>3916</v>
      </c>
      <c r="I719" s="10">
        <f>Db_OthCap2Num</f>
        <v>0</v>
      </c>
      <c r="J719" s="10"/>
    </row>
    <row r="720" spans="4:10" ht="12" customHeight="1" x14ac:dyDescent="0.2">
      <c r="D720" s="10" t="str">
        <f t="shared" si="11"/>
        <v>Db_715</v>
      </c>
      <c r="E720" s="10" t="s">
        <v>1949</v>
      </c>
      <c r="F720" s="10" t="str">
        <f>MID(Table1[[#This Row],[Reference_Name]], 4, LEN(Table1[[#This Row],[Reference_Name]])-3)</f>
        <v>OthCap3Num</v>
      </c>
      <c r="G720" s="10" t="s">
        <v>1944</v>
      </c>
      <c r="H720" s="10" t="s">
        <v>3917</v>
      </c>
      <c r="I720" s="10">
        <f>Db_OthCap3Num</f>
        <v>0</v>
      </c>
      <c r="J720" s="10"/>
    </row>
    <row r="721" spans="4:10" ht="12" customHeight="1" x14ac:dyDescent="0.2">
      <c r="D721" s="10" t="str">
        <f t="shared" si="11"/>
        <v>Db_716</v>
      </c>
      <c r="E721" s="10" t="s">
        <v>1950</v>
      </c>
      <c r="F721" s="10" t="str">
        <f>MID(Table1[[#This Row],[Reference_Name]], 4, LEN(Table1[[#This Row],[Reference_Name]])-3)</f>
        <v>OthCap4Num</v>
      </c>
      <c r="G721" s="10" t="s">
        <v>1945</v>
      </c>
      <c r="H721" s="10" t="s">
        <v>3918</v>
      </c>
      <c r="I721" s="10">
        <f>Db_OthCap4Num</f>
        <v>0</v>
      </c>
      <c r="J721" s="10"/>
    </row>
    <row r="722" spans="4:10" ht="12" customHeight="1" x14ac:dyDescent="0.2">
      <c r="D722" s="10" t="str">
        <f t="shared" si="11"/>
        <v>Db_717</v>
      </c>
      <c r="E722" s="10" t="s">
        <v>1951</v>
      </c>
      <c r="F722" s="10" t="str">
        <f>MID(Table1[[#This Row],[Reference_Name]], 4, LEN(Table1[[#This Row],[Reference_Name]])-3)</f>
        <v>OthCap5Num</v>
      </c>
      <c r="G722" s="10" t="s">
        <v>1946</v>
      </c>
      <c r="H722" s="10" t="s">
        <v>3919</v>
      </c>
      <c r="I722" s="10">
        <f>Db_OthCap5Num</f>
        <v>0</v>
      </c>
      <c r="J722" s="10"/>
    </row>
    <row r="723" spans="4:10" ht="12" customHeight="1" x14ac:dyDescent="0.2">
      <c r="D723" s="10" t="str">
        <f t="shared" si="11"/>
        <v>Db_718</v>
      </c>
      <c r="E723" s="10" t="s">
        <v>1952</v>
      </c>
      <c r="F723" s="10" t="str">
        <f>MID(Table1[[#This Row],[Reference_Name]], 4, LEN(Table1[[#This Row],[Reference_Name]])-3)</f>
        <v>OthCap6Num</v>
      </c>
      <c r="G723" s="10" t="s">
        <v>1947</v>
      </c>
      <c r="H723" s="10" t="s">
        <v>3920</v>
      </c>
      <c r="I723" s="10">
        <f>Db_OthCap6Num</f>
        <v>0</v>
      </c>
      <c r="J723" s="10"/>
    </row>
    <row r="724" spans="4:10" ht="12" customHeight="1" x14ac:dyDescent="0.2">
      <c r="D724" s="10" t="str">
        <f t="shared" si="11"/>
        <v>Db_719</v>
      </c>
      <c r="E724" s="10" t="s">
        <v>1957</v>
      </c>
      <c r="F724" s="10" t="str">
        <f>MID(Table1[[#This Row],[Reference_Name]], 4, LEN(Table1[[#This Row],[Reference_Name]])-3)</f>
        <v>OthCap7Num</v>
      </c>
      <c r="G724" s="10" t="s">
        <v>1953</v>
      </c>
      <c r="H724" s="10" t="s">
        <v>3921</v>
      </c>
      <c r="I724" s="10">
        <f>Db_OthCap7Num</f>
        <v>0</v>
      </c>
      <c r="J724" s="10"/>
    </row>
    <row r="725" spans="4:10" ht="12" customHeight="1" x14ac:dyDescent="0.2">
      <c r="D725" s="10" t="str">
        <f t="shared" si="11"/>
        <v>Db_720</v>
      </c>
      <c r="E725" s="10" t="s">
        <v>1958</v>
      </c>
      <c r="F725" s="10" t="str">
        <f>MID(Table1[[#This Row],[Reference_Name]], 4, LEN(Table1[[#This Row],[Reference_Name]])-3)</f>
        <v>OthCap8Num</v>
      </c>
      <c r="G725" s="10" t="s">
        <v>1954</v>
      </c>
      <c r="H725" s="10" t="s">
        <v>3922</v>
      </c>
      <c r="I725" s="10">
        <f>Db_OthCap8Num</f>
        <v>0</v>
      </c>
      <c r="J725" s="10"/>
    </row>
    <row r="726" spans="4:10" ht="12" customHeight="1" x14ac:dyDescent="0.2">
      <c r="D726" s="10" t="str">
        <f t="shared" si="11"/>
        <v>Db_721</v>
      </c>
      <c r="E726" s="10" t="s">
        <v>1959</v>
      </c>
      <c r="F726" s="10" t="str">
        <f>MID(Table1[[#This Row],[Reference_Name]], 4, LEN(Table1[[#This Row],[Reference_Name]])-3)</f>
        <v>OthCap9Num</v>
      </c>
      <c r="G726" s="10" t="s">
        <v>1955</v>
      </c>
      <c r="H726" s="10" t="s">
        <v>3923</v>
      </c>
      <c r="I726" s="10">
        <f>Db_OthCap9Num</f>
        <v>0</v>
      </c>
      <c r="J726" s="10"/>
    </row>
    <row r="727" spans="4:10" ht="12" customHeight="1" x14ac:dyDescent="0.2">
      <c r="D727" s="10" t="str">
        <f t="shared" si="11"/>
        <v>Db_722</v>
      </c>
      <c r="E727" s="10" t="s">
        <v>1960</v>
      </c>
      <c r="F727" s="10" t="str">
        <f>MID(Table1[[#This Row],[Reference_Name]], 4, LEN(Table1[[#This Row],[Reference_Name]])-3)</f>
        <v>OthCap10Num</v>
      </c>
      <c r="G727" s="10" t="s">
        <v>1956</v>
      </c>
      <c r="H727" s="10" t="s">
        <v>3924</v>
      </c>
      <c r="I727" s="10">
        <f>Db_OthCap10Num</f>
        <v>0</v>
      </c>
      <c r="J727" s="10"/>
    </row>
    <row r="728" spans="4:10" x14ac:dyDescent="0.2">
      <c r="D728" s="10" t="str">
        <f t="shared" si="11"/>
        <v>Db_723</v>
      </c>
      <c r="E728" s="10" t="s">
        <v>664</v>
      </c>
      <c r="F728" s="10" t="str">
        <f>MID(Table1[[#This Row],[Reference_Name]], 4, LEN(Table1[[#This Row],[Reference_Name]])-3)</f>
        <v>VacType</v>
      </c>
      <c r="G728" s="10" t="s">
        <v>625</v>
      </c>
      <c r="H728" s="400" t="s">
        <v>2210</v>
      </c>
      <c r="I728" s="10"/>
      <c r="J728" s="10"/>
    </row>
    <row r="729" spans="4:10" x14ac:dyDescent="0.2">
      <c r="D729" s="10" t="str">
        <f t="shared" si="11"/>
        <v>Db_724</v>
      </c>
      <c r="E729" s="10" t="s">
        <v>665</v>
      </c>
      <c r="F729" s="10" t="str">
        <f>MID(Table1[[#This Row],[Reference_Name]], 4, LEN(Table1[[#This Row],[Reference_Name]])-3)</f>
        <v>DoseSched</v>
      </c>
      <c r="G729" s="10" t="s">
        <v>626</v>
      </c>
      <c r="H729" s="400" t="s">
        <v>2210</v>
      </c>
      <c r="I729" s="10"/>
      <c r="J729" s="10"/>
    </row>
    <row r="730" spans="4:10" x14ac:dyDescent="0.2">
      <c r="D730" s="10" t="str">
        <f t="shared" si="11"/>
        <v>Db_725</v>
      </c>
      <c r="E730" s="10" t="s">
        <v>666</v>
      </c>
      <c r="F730" s="10" t="str">
        <f>MID(Table1[[#This Row],[Reference_Name]], 4, LEN(Table1[[#This Row],[Reference_Name]])-3)</f>
        <v>District</v>
      </c>
      <c r="G730" s="10" t="s">
        <v>627</v>
      </c>
      <c r="H730" s="400" t="s">
        <v>2210</v>
      </c>
      <c r="I730" s="10"/>
      <c r="J730" s="10"/>
    </row>
    <row r="731" spans="4:10" x14ac:dyDescent="0.2">
      <c r="D731" s="10" t="str">
        <f t="shared" si="11"/>
        <v>Db_726</v>
      </c>
      <c r="E731" s="10" t="s">
        <v>667</v>
      </c>
      <c r="F731" s="10" t="str">
        <f>MID(Table1[[#This Row],[Reference_Name]], 4, LEN(Table1[[#This Row],[Reference_Name]])-3)</f>
        <v>VacF</v>
      </c>
      <c r="G731" s="10" t="s">
        <v>628</v>
      </c>
      <c r="H731" s="400" t="s">
        <v>2210</v>
      </c>
      <c r="I731" s="10"/>
      <c r="J731" s="10"/>
    </row>
    <row r="732" spans="4:10" x14ac:dyDescent="0.2">
      <c r="D732" s="10" t="str">
        <f t="shared" si="11"/>
        <v>Db_727</v>
      </c>
      <c r="E732" s="10" t="s">
        <v>676</v>
      </c>
      <c r="F732" s="10" t="str">
        <f>MID(Table1[[#This Row],[Reference_Name]], 4, LEN(Table1[[#This Row],[Reference_Name]])-3)</f>
        <v>VaccPerTP</v>
      </c>
      <c r="G732" s="10" t="s">
        <v>637</v>
      </c>
      <c r="H732" s="400" t="s">
        <v>2210</v>
      </c>
      <c r="I732" s="10"/>
      <c r="J732" s="10"/>
    </row>
    <row r="733" spans="4:10" x14ac:dyDescent="0.2">
      <c r="D733" s="10" t="str">
        <f t="shared" si="11"/>
        <v>Db_728</v>
      </c>
      <c r="E733" s="10" t="s">
        <v>668</v>
      </c>
      <c r="F733" s="10" t="str">
        <f>MID(Table1[[#This Row],[Reference_Name]], 4, LEN(Table1[[#This Row],[Reference_Name]])-3)</f>
        <v>SupTrain</v>
      </c>
      <c r="G733" s="10" t="s">
        <v>629</v>
      </c>
      <c r="H733" s="400" t="s">
        <v>2210</v>
      </c>
      <c r="I733" s="10"/>
      <c r="J733" s="10"/>
    </row>
    <row r="734" spans="4:10" x14ac:dyDescent="0.2">
      <c r="D734" s="10" t="str">
        <f t="shared" si="11"/>
        <v>Db_729</v>
      </c>
      <c r="E734" s="10" t="s">
        <v>669</v>
      </c>
      <c r="F734" s="10" t="str">
        <f>MID(Table1[[#This Row],[Reference_Name]], 4, LEN(Table1[[#This Row],[Reference_Name]])-3)</f>
        <v>VaccTrain</v>
      </c>
      <c r="G734" s="10" t="s">
        <v>630</v>
      </c>
      <c r="H734" s="400" t="s">
        <v>2210</v>
      </c>
      <c r="I734" s="10"/>
      <c r="J734" s="10"/>
    </row>
    <row r="735" spans="4:10" x14ac:dyDescent="0.2">
      <c r="D735" s="10" t="str">
        <f t="shared" si="11"/>
        <v>Db_730</v>
      </c>
      <c r="E735" s="10" t="s">
        <v>670</v>
      </c>
      <c r="F735" s="10" t="str">
        <f>MID(Table1[[#This Row],[Reference_Name]], 4, LEN(Table1[[#This Row],[Reference_Name]])-3)</f>
        <v>SupHPVP</v>
      </c>
      <c r="G735" s="10" t="s">
        <v>631</v>
      </c>
      <c r="H735" s="400" t="s">
        <v>2210</v>
      </c>
      <c r="I735" s="10"/>
      <c r="J735" s="10"/>
    </row>
    <row r="736" spans="4:10" x14ac:dyDescent="0.2">
      <c r="D736" s="10" t="str">
        <f t="shared" si="11"/>
        <v>Db_731</v>
      </c>
      <c r="E736" s="10" t="s">
        <v>671</v>
      </c>
      <c r="F736" s="10" t="str">
        <f>MID(Table1[[#This Row],[Reference_Name]], 4, LEN(Table1[[#This Row],[Reference_Name]])-3)</f>
        <v>VacSmin</v>
      </c>
      <c r="G736" s="10" t="s">
        <v>632</v>
      </c>
      <c r="H736" s="400" t="s">
        <v>2210</v>
      </c>
      <c r="I736" s="10"/>
      <c r="J736" s="10"/>
    </row>
    <row r="737" spans="4:10" x14ac:dyDescent="0.2">
      <c r="D737" s="10" t="str">
        <f t="shared" si="11"/>
        <v>Db_732</v>
      </c>
      <c r="E737" s="10" t="s">
        <v>672</v>
      </c>
      <c r="F737" s="10" t="str">
        <f>MID(Table1[[#This Row],[Reference_Name]], 4, LEN(Table1[[#This Row],[Reference_Name]])-3)</f>
        <v>VacFmin</v>
      </c>
      <c r="G737" s="10" t="s">
        <v>633</v>
      </c>
      <c r="H737" s="400" t="s">
        <v>2210</v>
      </c>
      <c r="I737" s="10"/>
      <c r="J737" s="10"/>
    </row>
    <row r="738" spans="4:10" x14ac:dyDescent="0.2">
      <c r="D738" s="10" t="str">
        <f t="shared" si="11"/>
        <v>Db_733</v>
      </c>
      <c r="E738" s="10" t="s">
        <v>673</v>
      </c>
      <c r="F738" s="10" t="str">
        <f>MID(Table1[[#This Row],[Reference_Name]], 4, LEN(Table1[[#This Row],[Reference_Name]])-3)</f>
        <v>VacOmin</v>
      </c>
      <c r="G738" s="10" t="s">
        <v>634</v>
      </c>
      <c r="H738" s="400" t="s">
        <v>2210</v>
      </c>
      <c r="I738" s="10"/>
      <c r="J738" s="10"/>
    </row>
    <row r="739" spans="4:10" x14ac:dyDescent="0.2">
      <c r="D739" s="10" t="str">
        <f t="shared" si="11"/>
        <v>Db_734</v>
      </c>
      <c r="E739" s="10" t="s">
        <v>674</v>
      </c>
      <c r="F739" s="10" t="str">
        <f>MID(Table1[[#This Row],[Reference_Name]], 4, LEN(Table1[[#This Row],[Reference_Name]])-3)</f>
        <v>VisitSday</v>
      </c>
      <c r="G739" s="10" t="s">
        <v>635</v>
      </c>
      <c r="H739" s="400" t="s">
        <v>2210</v>
      </c>
      <c r="I739" s="10"/>
      <c r="J739" s="10"/>
    </row>
    <row r="740" spans="4:10" x14ac:dyDescent="0.2">
      <c r="D740" s="10" t="str">
        <f t="shared" si="11"/>
        <v>Db_735</v>
      </c>
      <c r="E740" s="10" t="s">
        <v>675</v>
      </c>
      <c r="F740" s="10" t="str">
        <f>MID(Table1[[#This Row],[Reference_Name]], 4, LEN(Table1[[#This Row],[Reference_Name]])-3)</f>
        <v>VisitOday</v>
      </c>
      <c r="G740" s="10" t="s">
        <v>636</v>
      </c>
      <c r="H740" s="400" t="s">
        <v>2210</v>
      </c>
      <c r="I740" s="10"/>
      <c r="J740" s="10"/>
    </row>
    <row r="741" spans="4:10" x14ac:dyDescent="0.2">
      <c r="D741" s="10" t="str">
        <f t="shared" si="11"/>
        <v>Db_736</v>
      </c>
      <c r="E741" s="10" t="s">
        <v>677</v>
      </c>
      <c r="F741" s="10" t="str">
        <f>MID(Table1[[#This Row],[Reference_Name]], 4, LEN(Table1[[#This Row],[Reference_Name]])-3)</f>
        <v>VisitSPerDose</v>
      </c>
      <c r="G741" s="10" t="s">
        <v>638</v>
      </c>
      <c r="H741" s="400" t="s">
        <v>2210</v>
      </c>
      <c r="I741" s="10"/>
      <c r="J741" s="10"/>
    </row>
    <row r="742" spans="4:10" x14ac:dyDescent="0.2">
      <c r="D742" s="10" t="str">
        <f t="shared" si="11"/>
        <v>Db_737</v>
      </c>
      <c r="E742" s="10" t="s">
        <v>678</v>
      </c>
      <c r="F742" s="10" t="str">
        <f>MID(Table1[[#This Row],[Reference_Name]], 4, LEN(Table1[[#This Row],[Reference_Name]])-3)</f>
        <v>VisitOPerDose</v>
      </c>
      <c r="G742" s="10" t="s">
        <v>639</v>
      </c>
      <c r="H742" s="400" t="s">
        <v>2210</v>
      </c>
      <c r="I742" s="10"/>
      <c r="J742" s="10"/>
    </row>
    <row r="743" spans="4:10" x14ac:dyDescent="0.2">
      <c r="D743" s="10" t="str">
        <f t="shared" si="11"/>
        <v>Db_738</v>
      </c>
      <c r="E743" s="10" t="s">
        <v>679</v>
      </c>
      <c r="F743" s="10" t="str">
        <f>MID(Table1[[#This Row],[Reference_Name]], 4, LEN(Table1[[#This Row],[Reference_Name]])-3)</f>
        <v>Salary</v>
      </c>
      <c r="G743" s="10" t="s">
        <v>640</v>
      </c>
      <c r="H743" s="400" t="s">
        <v>2210</v>
      </c>
      <c r="I743" s="10"/>
      <c r="J743" s="10"/>
    </row>
    <row r="744" spans="4:10" x14ac:dyDescent="0.2">
      <c r="D744" s="10" t="str">
        <f t="shared" si="11"/>
        <v>Db_739</v>
      </c>
      <c r="E744" s="10" t="s">
        <v>680</v>
      </c>
      <c r="F744" s="10" t="str">
        <f>MID(Table1[[#This Row],[Reference_Name]], 4, LEN(Table1[[#This Row],[Reference_Name]])-3)</f>
        <v>TransportCS</v>
      </c>
      <c r="G744" s="10" t="s">
        <v>641</v>
      </c>
      <c r="H744" s="400" t="s">
        <v>2210</v>
      </c>
      <c r="I744" s="10"/>
      <c r="J744" s="10"/>
    </row>
    <row r="745" spans="4:10" x14ac:dyDescent="0.2">
      <c r="D745" s="10" t="str">
        <f t="shared" si="11"/>
        <v>Db_740</v>
      </c>
      <c r="E745" s="10" t="s">
        <v>681</v>
      </c>
      <c r="F745" s="10" t="str">
        <f>MID(Table1[[#This Row],[Reference_Name]], 4, LEN(Table1[[#This Row],[Reference_Name]])-3)</f>
        <v>TransportCO</v>
      </c>
      <c r="G745" s="10" t="s">
        <v>642</v>
      </c>
      <c r="H745" s="400" t="s">
        <v>2210</v>
      </c>
      <c r="I745" s="10"/>
      <c r="J745" s="10"/>
    </row>
    <row r="746" spans="4:10" x14ac:dyDescent="0.2">
      <c r="D746" s="10" t="str">
        <f t="shared" si="11"/>
        <v>Db_741</v>
      </c>
      <c r="E746" s="10" t="s">
        <v>682</v>
      </c>
      <c r="F746" s="10" t="str">
        <f>MID(Table1[[#This Row],[Reference_Name]], 4, LEN(Table1[[#This Row],[Reference_Name]])-3)</f>
        <v>PerDiem</v>
      </c>
      <c r="G746" s="10" t="s">
        <v>643</v>
      </c>
      <c r="H746" s="400" t="s">
        <v>2210</v>
      </c>
      <c r="I746" s="10"/>
      <c r="J746" s="10"/>
    </row>
    <row r="747" spans="4:10" x14ac:dyDescent="0.2">
      <c r="D747" s="10" t="str">
        <f t="shared" si="11"/>
        <v>Db_742</v>
      </c>
      <c r="E747" s="10" t="s">
        <v>683</v>
      </c>
      <c r="F747" s="10" t="str">
        <f>MID(Table1[[#This Row],[Reference_Name]], 4, LEN(Table1[[#This Row],[Reference_Name]])-3)</f>
        <v>PerDiemTeacher</v>
      </c>
      <c r="G747" s="10" t="s">
        <v>644</v>
      </c>
      <c r="H747" s="400" t="s">
        <v>2210</v>
      </c>
      <c r="I747" s="10"/>
      <c r="J747" s="10"/>
    </row>
  </sheetData>
  <hyperlinks>
    <hyperlink ref="A1" location="Contents!A1" tooltip="Go to Table of Contents" display="±" xr:uid="{00000000-0004-0000-0000-000000000000}"/>
  </hyperlinks>
  <pageMargins left="0.7" right="0.7" top="0.75" bottom="0.75" header="0.3" footer="0.3"/>
  <pageSetup orientation="portrait" horizontalDpi="0" verticalDpi="0" r:id="rId1"/>
  <drawing r:id="rId2"/>
  <legacyDrawing r:id="rId3"/>
  <tableParts count="1"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1">
    <tabColor rgb="FFFFC000"/>
    <pageSetUpPr autoPageBreaks="0" fitToPage="1"/>
  </sheetPr>
  <dimension ref="A1:R64"/>
  <sheetViews>
    <sheetView showGridLines="0" zoomScaleNormal="100" workbookViewId="0">
      <pane ySplit="2" topLeftCell="A3" activePane="bottomLeft" state="frozen"/>
      <selection activeCell="I511" sqref="I511"/>
      <selection pane="bottomLeft" activeCell="E57" sqref="E57:G57"/>
    </sheetView>
  </sheetViews>
  <sheetFormatPr defaultColWidth="0" defaultRowHeight="12" zeroHeight="1" x14ac:dyDescent="0.2"/>
  <cols>
    <col min="1" max="3" width="3.7109375" style="10" customWidth="1"/>
    <col min="4" max="5" width="30.7109375" style="10" customWidth="1"/>
    <col min="6" max="6" width="11.7109375" style="10" customWidth="1"/>
    <col min="7" max="7" width="35.7109375" style="10" customWidth="1"/>
    <col min="8" max="8" width="11.7109375" style="10" hidden="1" customWidth="1"/>
    <col min="9" max="9" width="40.7109375" style="10" hidden="1" customWidth="1"/>
    <col min="10" max="16384" width="11.7109375" style="10" hidden="1"/>
  </cols>
  <sheetData>
    <row r="1" spans="1:5" ht="15" x14ac:dyDescent="0.2">
      <c r="A1" s="35" t="s">
        <v>128</v>
      </c>
      <c r="B1" s="33" t="str">
        <f>Lang_Labels_For_Important_Data_Points</f>
        <v>Labels for Important Data Points</v>
      </c>
    </row>
    <row r="2" spans="1:5" ht="12.75" x14ac:dyDescent="0.2">
      <c r="A2" s="421" t="s">
        <v>5</v>
      </c>
      <c r="B2" s="46" t="str">
        <f ca="1">Model_Name</f>
        <v>Cervical Cancer Prevention and Control Costing (C4P) Tool (Cost Projection)</v>
      </c>
    </row>
    <row r="3" spans="1:5" x14ac:dyDescent="0.2"/>
    <row r="4" spans="1:5" s="13" customFormat="1" x14ac:dyDescent="0.2">
      <c r="A4" s="12" t="s">
        <v>125</v>
      </c>
      <c r="B4" s="13" t="str">
        <f>Lang_Primary_Level_Name</f>
        <v>Primary Level Name</v>
      </c>
    </row>
    <row r="5" spans="1:5" x14ac:dyDescent="0.2"/>
    <row r="6" spans="1:5" x14ac:dyDescent="0.2">
      <c r="C6" s="74" t="str">
        <f>Lang_Primary_Level_Name</f>
        <v>Primary Level Name</v>
      </c>
    </row>
    <row r="7" spans="1:5" x14ac:dyDescent="0.2"/>
    <row r="8" spans="1:5" x14ac:dyDescent="0.2">
      <c r="D8" s="50" t="str">
        <f>Lang_Primary_Level_Name</f>
        <v>Primary Level Name</v>
      </c>
      <c r="E8" s="75" t="s">
        <v>1839</v>
      </c>
    </row>
    <row r="9" spans="1:5" x14ac:dyDescent="0.2"/>
    <row r="10" spans="1:5" x14ac:dyDescent="0.2"/>
    <row r="11" spans="1:5" x14ac:dyDescent="0.2">
      <c r="D11" s="55" t="str">
        <f>Lang_Source_Of_Information_Notes</f>
        <v>Notes and Sources of Information</v>
      </c>
    </row>
    <row r="12" spans="1:5" x14ac:dyDescent="0.2">
      <c r="D12" s="482" t="s">
        <v>596</v>
      </c>
      <c r="E12" s="482"/>
    </row>
    <row r="13" spans="1:5" x14ac:dyDescent="0.2">
      <c r="D13" s="482" t="s">
        <v>596</v>
      </c>
      <c r="E13" s="482"/>
    </row>
    <row r="14" spans="1:5" x14ac:dyDescent="0.2">
      <c r="D14" s="482" t="s">
        <v>596</v>
      </c>
      <c r="E14" s="482"/>
    </row>
    <row r="15" spans="1:5" x14ac:dyDescent="0.2"/>
    <row r="16" spans="1:5" x14ac:dyDescent="0.2"/>
    <row r="17" spans="1:5" s="13" customFormat="1" x14ac:dyDescent="0.2">
      <c r="A17" s="12" t="s">
        <v>127</v>
      </c>
      <c r="B17" s="13" t="str">
        <f>Lang_Target_Pop_Labels</f>
        <v>Target Populaton Labels</v>
      </c>
    </row>
    <row r="18" spans="1:5" x14ac:dyDescent="0.2"/>
    <row r="19" spans="1:5" x14ac:dyDescent="0.2">
      <c r="C19" s="74" t="str">
        <f>Lang_Target_Pop_Labels</f>
        <v>Target Populaton Labels</v>
      </c>
    </row>
    <row r="20" spans="1:5" x14ac:dyDescent="0.2"/>
    <row r="21" spans="1:5" x14ac:dyDescent="0.2">
      <c r="D21" s="50" t="str">
        <f>Lang_Target_Groups_Category_1</f>
        <v>Target Groups Category 1</v>
      </c>
      <c r="E21" s="75" t="s">
        <v>597</v>
      </c>
    </row>
    <row r="22" spans="1:5" x14ac:dyDescent="0.2">
      <c r="D22" s="50" t="str">
        <f>Lang_Target_Groups_Category_2</f>
        <v>Target Groups Category 2</v>
      </c>
      <c r="E22" s="75" t="s">
        <v>598</v>
      </c>
    </row>
    <row r="23" spans="1:5" x14ac:dyDescent="0.2"/>
    <row r="24" spans="1:5" x14ac:dyDescent="0.2">
      <c r="C24" s="74" t="str">
        <f>Lang_Target_Subgroup_Labels</f>
        <v>Target Subgroup Labels</v>
      </c>
    </row>
    <row r="25" spans="1:5" x14ac:dyDescent="0.2">
      <c r="D25" s="50" t="str">
        <f>Lang_Target_Subgoups_Category_1</f>
        <v>Target Subgoups Category 1</v>
      </c>
      <c r="E25" s="75" t="s">
        <v>4003</v>
      </c>
    </row>
    <row r="26" spans="1:5" x14ac:dyDescent="0.2">
      <c r="D26" s="50" t="str">
        <f>Lang_Target_Subgoups_Category_2</f>
        <v>Target Subgoups Category 2</v>
      </c>
      <c r="E26" s="75" t="s">
        <v>4004</v>
      </c>
    </row>
    <row r="27" spans="1:5" x14ac:dyDescent="0.2"/>
    <row r="28" spans="1:5" x14ac:dyDescent="0.2"/>
    <row r="29" spans="1:5" x14ac:dyDescent="0.2">
      <c r="D29" s="55" t="str">
        <f>Lang_Source_Of_Information_Notes</f>
        <v>Notes and Sources of Information</v>
      </c>
    </row>
    <row r="30" spans="1:5" x14ac:dyDescent="0.2">
      <c r="D30" s="482" t="s">
        <v>596</v>
      </c>
      <c r="E30" s="482"/>
    </row>
    <row r="31" spans="1:5" x14ac:dyDescent="0.2">
      <c r="D31" s="482" t="s">
        <v>596</v>
      </c>
      <c r="E31" s="482"/>
    </row>
    <row r="32" spans="1:5" x14ac:dyDescent="0.2">
      <c r="D32" s="482" t="s">
        <v>596</v>
      </c>
      <c r="E32" s="482"/>
    </row>
    <row r="33" spans="1:18" x14ac:dyDescent="0.2">
      <c r="R33" s="10" t="s">
        <v>39</v>
      </c>
    </row>
    <row r="34" spans="1:18" s="13" customFormat="1" x14ac:dyDescent="0.2">
      <c r="A34" s="12" t="s">
        <v>127</v>
      </c>
      <c r="B34" s="13" t="str">
        <f>Lang_Vaccine_And_Dose_Labels</f>
        <v>Vaccine and Dose Labels</v>
      </c>
    </row>
    <row r="35" spans="1:18" x14ac:dyDescent="0.2"/>
    <row r="36" spans="1:18" x14ac:dyDescent="0.2">
      <c r="C36" s="74" t="str">
        <f>Lang_Vaccine_Label</f>
        <v>Vaccine Label</v>
      </c>
    </row>
    <row r="37" spans="1:18" x14ac:dyDescent="0.2">
      <c r="D37" s="50" t="str">
        <f>Lang_Vaccine_Name</f>
        <v>Vaccine Name</v>
      </c>
      <c r="E37" s="75" t="s">
        <v>600</v>
      </c>
    </row>
    <row r="38" spans="1:18" x14ac:dyDescent="0.2"/>
    <row r="39" spans="1:18" x14ac:dyDescent="0.2">
      <c r="C39" s="74" t="str">
        <f>Lang_Vaccine_Dose_Labels</f>
        <v>Vaccine Dose Labels</v>
      </c>
    </row>
    <row r="40" spans="1:18" x14ac:dyDescent="0.2">
      <c r="D40" s="50" t="str">
        <f>Lang_Vaccine_Dose_Number_Label_Category_1</f>
        <v>Vaccine Dose Number Label Category 1</v>
      </c>
      <c r="E40" s="75" t="s">
        <v>399</v>
      </c>
    </row>
    <row r="41" spans="1:18" x14ac:dyDescent="0.2">
      <c r="D41" s="50" t="str">
        <f>Lang_Vaccine_Dose_Number_Label_Category_2</f>
        <v>Vaccine Dose Number Label Category 2</v>
      </c>
      <c r="E41" s="75" t="s">
        <v>400</v>
      </c>
    </row>
    <row r="42" spans="1:18" x14ac:dyDescent="0.2"/>
    <row r="43" spans="1:18" x14ac:dyDescent="0.2">
      <c r="D43" s="55" t="str">
        <f>Lang_Source_Of_Information_Notes</f>
        <v>Notes and Sources of Information</v>
      </c>
    </row>
    <row r="44" spans="1:18" x14ac:dyDescent="0.2">
      <c r="D44" s="482" t="s">
        <v>4026</v>
      </c>
      <c r="E44" s="482"/>
    </row>
    <row r="45" spans="1:18" x14ac:dyDescent="0.2">
      <c r="D45" s="482" t="s">
        <v>596</v>
      </c>
      <c r="E45" s="482"/>
    </row>
    <row r="46" spans="1:18" x14ac:dyDescent="0.2">
      <c r="D46" s="482" t="s">
        <v>596</v>
      </c>
      <c r="E46" s="482"/>
    </row>
    <row r="47" spans="1:18" x14ac:dyDescent="0.2"/>
    <row r="48" spans="1:18" s="13" customFormat="1" x14ac:dyDescent="0.2">
      <c r="A48" s="12" t="s">
        <v>127</v>
      </c>
      <c r="B48" s="13" t="str">
        <f>Lang_Service_Delivery_Types</f>
        <v>Service Delivery Types</v>
      </c>
    </row>
    <row r="49" spans="3:7" x14ac:dyDescent="0.2"/>
    <row r="50" spans="3:7" x14ac:dyDescent="0.2">
      <c r="C50" s="55" t="str">
        <f>Lang_Service_Delivery_Activity_Types</f>
        <v>Service Delivery Activity Types</v>
      </c>
    </row>
    <row r="51" spans="3:7" x14ac:dyDescent="0.2"/>
    <row r="52" spans="3:7" x14ac:dyDescent="0.2">
      <c r="C52" s="55" t="str">
        <f>Lang_Single_Vaccination_Type</f>
        <v>Single Vaccination Type</v>
      </c>
    </row>
    <row r="53" spans="3:7" x14ac:dyDescent="0.2">
      <c r="D53" s="50" t="str">
        <f>Lang_Service_Delivery_Single_Vacc_1</f>
        <v>Service Delivery Single Vacc 1</v>
      </c>
      <c r="E53" s="481" t="s">
        <v>601</v>
      </c>
      <c r="F53" s="481"/>
      <c r="G53" s="481"/>
    </row>
    <row r="54" spans="3:7" x14ac:dyDescent="0.2">
      <c r="D54" s="50" t="str">
        <f>Lang_Service_Delivery_Single_Vacc_2</f>
        <v>Service Delivery Single Vacc 2</v>
      </c>
      <c r="E54" s="481" t="s">
        <v>602</v>
      </c>
      <c r="F54" s="481"/>
      <c r="G54" s="481"/>
    </row>
    <row r="55" spans="3:7" x14ac:dyDescent="0.2"/>
    <row r="56" spans="3:7" x14ac:dyDescent="0.2">
      <c r="C56" s="55" t="str">
        <f>Lang_Group_Vaccination_Type</f>
        <v>Group Vaccination Type</v>
      </c>
    </row>
    <row r="57" spans="3:7" x14ac:dyDescent="0.2">
      <c r="D57" s="50" t="str">
        <f>Lang_Service_Delivery_Group_Vacc_Types_1</f>
        <v>Service Delivery Group Vacc Types 1</v>
      </c>
      <c r="E57" s="481" t="s">
        <v>4033</v>
      </c>
      <c r="F57" s="481"/>
      <c r="G57" s="481"/>
    </row>
    <row r="58" spans="3:7" x14ac:dyDescent="0.2">
      <c r="D58" s="50" t="str">
        <f>Lang_Service_Delivery_Group_Vacc_Types_2</f>
        <v>Service Delivery Group Vacc Types 2</v>
      </c>
      <c r="E58" s="481" t="s">
        <v>4034</v>
      </c>
      <c r="F58" s="481"/>
      <c r="G58" s="481"/>
    </row>
    <row r="59" spans="3:7" x14ac:dyDescent="0.2"/>
    <row r="60" spans="3:7" x14ac:dyDescent="0.2">
      <c r="D60" s="54" t="str">
        <f>Lang_Source_Of_Information_Notes</f>
        <v>Notes and Sources of Information</v>
      </c>
    </row>
    <row r="61" spans="3:7" x14ac:dyDescent="0.2">
      <c r="D61" s="482" t="s">
        <v>596</v>
      </c>
      <c r="E61" s="482"/>
    </row>
    <row r="62" spans="3:7" x14ac:dyDescent="0.2">
      <c r="D62" s="482" t="s">
        <v>596</v>
      </c>
      <c r="E62" s="482"/>
    </row>
    <row r="63" spans="3:7" x14ac:dyDescent="0.2">
      <c r="D63" s="482" t="s">
        <v>596</v>
      </c>
      <c r="E63" s="482"/>
    </row>
    <row r="64" spans="3:7" x14ac:dyDescent="0.2"/>
  </sheetData>
  <mergeCells count="16">
    <mergeCell ref="D61:E61"/>
    <mergeCell ref="D62:E62"/>
    <mergeCell ref="D63:E63"/>
    <mergeCell ref="E54:G54"/>
    <mergeCell ref="E57:G57"/>
    <mergeCell ref="E58:G58"/>
    <mergeCell ref="E53:G53"/>
    <mergeCell ref="D12:E12"/>
    <mergeCell ref="D13:E13"/>
    <mergeCell ref="D14:E14"/>
    <mergeCell ref="D30:E30"/>
    <mergeCell ref="D31:E31"/>
    <mergeCell ref="D32:E32"/>
    <mergeCell ref="D44:E44"/>
    <mergeCell ref="D45:E45"/>
    <mergeCell ref="D46:E46"/>
  </mergeCells>
  <hyperlinks>
    <hyperlink ref="A17" location="HL_Lbl_Ass" tooltip="Click to follow hyperlink." display="HL_Lbl_Ass" xr:uid="{00000000-0004-0000-0A00-000000000000}"/>
    <hyperlink ref="A34" location="HL_Lbl_Ass" tooltip="Click to follow hyperlink." display="HL_Lbl_Ass" xr:uid="{00000000-0004-0000-0A00-000001000000}"/>
    <hyperlink ref="A48" location="HL_Lbl_Ass" tooltip="Click to follow hyperlink." display="HL_Lbl_Ass" xr:uid="{00000000-0004-0000-0A00-000002000000}"/>
    <hyperlink ref="A1" location="Contents!A1" tooltip="Go to Table of Contents" display="±" xr:uid="{00000000-0004-0000-0A00-000003000000}"/>
    <hyperlink ref="A2" location="$A$3" tooltip="Go to Top of Sheet" display="$A$3" xr:uid="{C5251482-D2AC-4AF4-995A-1124AB53CB24}"/>
  </hyperlinks>
  <pageMargins left="0.7" right="0.7" top="0.75" bottom="0.75" header="0.3" footer="0.3"/>
  <pageSetup fitToHeight="0" orientation="landscape" r:id="rId1"/>
  <headerFooter>
    <oddFooter>&amp;L&amp;B Confidential&amp;B&amp;C&amp;D&amp;RPage &amp;P</oddFooter>
  </headerFooter>
  <customProperties>
    <customPr name="LastActive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tabColor rgb="FFFFC000"/>
    <pageSetUpPr autoPageBreaks="0" fitToPage="1"/>
  </sheetPr>
  <dimension ref="A1:R33"/>
  <sheetViews>
    <sheetView showGridLines="0" showRowColHeaders="0" zoomScaleNormal="100" workbookViewId="0">
      <pane xSplit="1" ySplit="2" topLeftCell="B3" activePane="bottomRight" state="frozen"/>
      <selection activeCell="I511" sqref="I511"/>
      <selection pane="topRight" activeCell="I511" sqref="I511"/>
      <selection pane="bottomLeft" activeCell="I511" sqref="I511"/>
      <selection pane="bottomRight" activeCell="H6" sqref="H6:I6"/>
    </sheetView>
  </sheetViews>
  <sheetFormatPr defaultColWidth="13.85546875" defaultRowHeight="12" zeroHeight="1" x14ac:dyDescent="0.2"/>
  <cols>
    <col min="1" max="16384" width="13.85546875" style="10"/>
  </cols>
  <sheetData>
    <row r="1" spans="1:15" ht="15" x14ac:dyDescent="0.2">
      <c r="A1" s="35" t="s">
        <v>128</v>
      </c>
      <c r="B1" s="33" t="str">
        <f>Lang_Time_Series</f>
        <v>Time Series</v>
      </c>
    </row>
    <row r="2" spans="1:15" ht="12.75" x14ac:dyDescent="0.2">
      <c r="A2" s="35"/>
      <c r="B2" s="46" t="str">
        <f ca="1">Model_Name</f>
        <v>Cervical Cancer Prevention and Control Costing (C4P) Tool (Cost Projection)</v>
      </c>
    </row>
    <row r="3" spans="1:15" x14ac:dyDescent="0.2"/>
    <row r="4" spans="1:15" x14ac:dyDescent="0.2">
      <c r="B4" s="13" t="str">
        <f>Lang_Time_Series_Assumptions</f>
        <v>Time Series - Assumptions</v>
      </c>
      <c r="C4" s="13"/>
      <c r="D4" s="13"/>
      <c r="E4" s="13"/>
      <c r="F4" s="13"/>
      <c r="G4" s="13"/>
      <c r="H4" s="13"/>
      <c r="I4" s="13"/>
    </row>
    <row r="5" spans="1:15" x14ac:dyDescent="0.2">
      <c r="B5" s="486" t="str">
        <f>Lang_Costing_Start_Year_And_Term</f>
        <v>Costing Start Year and Term</v>
      </c>
      <c r="C5" s="486"/>
      <c r="D5" s="486"/>
      <c r="E5" s="486"/>
      <c r="F5" s="486"/>
      <c r="G5" s="486"/>
      <c r="H5" s="486"/>
      <c r="I5" s="486"/>
      <c r="J5" s="13"/>
      <c r="K5" s="13"/>
      <c r="L5" s="13"/>
      <c r="M5" s="13"/>
      <c r="N5" s="13"/>
      <c r="O5" s="13"/>
    </row>
    <row r="6" spans="1:15" x14ac:dyDescent="0.2">
      <c r="C6" s="50" t="str">
        <f>Lang_Cost_Projection_Or_Retrospective</f>
        <v>Cost Projection or Retrospective?</v>
      </c>
      <c r="H6" s="487">
        <v>1</v>
      </c>
      <c r="I6" s="487"/>
    </row>
    <row r="7" spans="1:15" x14ac:dyDescent="0.2"/>
    <row r="8" spans="1:15" ht="19.5" hidden="1" customHeight="1" x14ac:dyDescent="0.2">
      <c r="C8" s="50" t="s">
        <v>23</v>
      </c>
      <c r="H8" s="484" t="s">
        <v>24</v>
      </c>
      <c r="I8" s="484"/>
    </row>
    <row r="9" spans="1:15" ht="15.75" hidden="1" customHeight="1" x14ac:dyDescent="0.2">
      <c r="C9" s="50" t="s">
        <v>86</v>
      </c>
      <c r="H9" s="72">
        <v>12</v>
      </c>
    </row>
    <row r="10" spans="1:15" ht="19.5" customHeight="1" x14ac:dyDescent="0.2">
      <c r="C10" s="50" t="str">
        <f>Lang_First_Costing_Year</f>
        <v>First Costing Year</v>
      </c>
      <c r="H10" s="485">
        <v>2019</v>
      </c>
      <c r="I10" s="485"/>
    </row>
    <row r="11" spans="1:15" ht="19.5" hidden="1" customHeight="1" x14ac:dyDescent="0.2">
      <c r="C11" s="50" t="s">
        <v>87</v>
      </c>
      <c r="H11" s="488">
        <v>5</v>
      </c>
      <c r="I11" s="488"/>
    </row>
    <row r="12" spans="1:15" ht="19.5" hidden="1" customHeight="1" x14ac:dyDescent="0.2">
      <c r="C12" s="50" t="s">
        <v>25</v>
      </c>
      <c r="H12" s="489">
        <f>EDATE(DATE(TS_First_Fin_Yr,DD_TS_Fin_Yr_End_Mth,1),-TS_Mths_In_Yr+1)</f>
        <v>43466</v>
      </c>
      <c r="I12" s="489"/>
    </row>
    <row r="13" spans="1:15" ht="19.5" hidden="1" customHeight="1" x14ac:dyDescent="0.2">
      <c r="C13" s="50" t="s">
        <v>26</v>
      </c>
      <c r="H13" s="490">
        <f>EDATE(TS_Start_Date,TS_Term*TS_Mths_In_Yr)-1</f>
        <v>45291</v>
      </c>
      <c r="I13" s="490"/>
    </row>
    <row r="14" spans="1:15" ht="15.75" hidden="1" customHeight="1" collapsed="1" x14ac:dyDescent="0.2">
      <c r="C14" s="50" t="s">
        <v>27</v>
      </c>
      <c r="H14" s="73" t="s">
        <v>28</v>
      </c>
      <c r="I14" s="72">
        <v>1</v>
      </c>
      <c r="J14" s="50" t="s">
        <v>77</v>
      </c>
    </row>
    <row r="15" spans="1:15" ht="19.5" hidden="1" customHeight="1" x14ac:dyDescent="0.2">
      <c r="C15" s="50" t="s">
        <v>29</v>
      </c>
      <c r="H15" s="483">
        <f>INDEX(LU_TS_Denom_Conv,DD_TS_Denom)</f>
        <v>1</v>
      </c>
      <c r="I15" s="483"/>
    </row>
    <row r="16" spans="1:15" x14ac:dyDescent="0.2"/>
    <row r="17" x14ac:dyDescent="0.2"/>
    <row r="18" x14ac:dyDescent="0.2"/>
    <row r="19" x14ac:dyDescent="0.2"/>
    <row r="20" x14ac:dyDescent="0.2"/>
    <row r="21" ht="18.75" customHeight="1" x14ac:dyDescent="0.2"/>
    <row r="33" spans="18:18" hidden="1" x14ac:dyDescent="0.2">
      <c r="R33" s="10" t="s">
        <v>39</v>
      </c>
    </row>
  </sheetData>
  <mergeCells count="8">
    <mergeCell ref="H15:I15"/>
    <mergeCell ref="H8:I8"/>
    <mergeCell ref="H10:I10"/>
    <mergeCell ref="B5:I5"/>
    <mergeCell ref="H6:I6"/>
    <mergeCell ref="H11:I11"/>
    <mergeCell ref="H12:I12"/>
    <mergeCell ref="H13:I13"/>
  </mergeCells>
  <dataValidations count="5">
    <dataValidation type="whole" showDropDown="1" showErrorMessage="1" errorTitle="Drop Down Box Cell Link" error="The value in a drop down box cell link must be a whole number within the control's lookup range rows." sqref="H9" xr:uid="{00000000-0002-0000-0900-000000000000}">
      <formula1>1</formula1>
      <formula2>ROWS(LU_TS_Mth_Names)</formula2>
    </dataValidation>
    <dataValidation type="whole" operator="greaterThanOrEqual" showDropDown="1" showErrorMessage="1" errorTitle="First Financial Year" error="The first financial year must be a whole number greater than or equal to 1904." sqref="H10" xr:uid="{00000000-0002-0000-0900-000001000000}">
      <formula1>1904</formula1>
    </dataValidation>
    <dataValidation type="whole" operator="greaterThan" showDropDown="1" showErrorMessage="1" errorTitle="Term (Years)" error="The term must be a whole number of years greater than zero." sqref="H11" xr:uid="{00000000-0002-0000-0900-000002000000}">
      <formula1>0</formula1>
    </dataValidation>
    <dataValidation type="whole" showDropDown="1" showErrorMessage="1" errorTitle="Drop Down Box Cell Link" error="The value in a drop down box cell link must be a whole number within the control's lookup range rows." sqref="I14" xr:uid="{00000000-0002-0000-0900-000003000000}">
      <formula1>1</formula1>
      <formula2>ROWS(LU_TS_Denom)</formula2>
    </dataValidation>
    <dataValidation type="whole" showDropDown="1" showErrorMessage="1" errorTitle="Drop Down Box Cell Link" error="The value in a drop down box cell link must be a whole number within the control's lookup range rows." sqref="H6" xr:uid="{00000000-0002-0000-0900-000004000000}">
      <formula1>1</formula1>
      <formula2>ROWS(LU_TS_PROSPECTIVE_OR_RETROSPECTIVE)</formula2>
    </dataValidation>
  </dataValidations>
  <hyperlinks>
    <hyperlink ref="A1" location="Contents!A1" tooltip="Go to Table of Contents" display="±" xr:uid="{00000000-0004-0000-0900-000000000000}"/>
  </hyperlinks>
  <pageMargins left="0.7" right="0.7" top="0.75" bottom="0.75" header="0.3" footer="0.3"/>
  <pageSetup fitToHeight="0" orientation="landscape" horizontalDpi="4294967292" r:id="rId1"/>
  <headerFooter>
    <oddFooter>&amp;L&amp;B Confidential&amp;B&amp;C&amp;D&amp;RPage &amp;P</oddFooter>
  </headerFooter>
  <customProperties>
    <customPr name="LastActive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3541" r:id="rId5" name="bpmDropDownTS1">
              <controlPr defaultSize="0" autoFill="0" autoPict="0">
                <anchor moveWithCells="1" sizeWithCells="1">
                  <from>
                    <xdr:col>7</xdr:col>
                    <xdr:colOff>0</xdr:colOff>
                    <xdr:row>8</xdr:row>
                    <xdr:rowOff>0</xdr:rowOff>
                  </from>
                  <to>
                    <xdr:col>9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42" r:id="rId6" name="bpmDropDownTS2">
              <controlPr defaultSize="0" autoFill="0" autoPict="0">
                <anchor moveWithCells="1" sizeWithCells="1">
                  <from>
                    <xdr:col>8</xdr:col>
                    <xdr:colOff>0</xdr:colOff>
                    <xdr:row>13</xdr:row>
                    <xdr:rowOff>0</xdr:rowOff>
                  </from>
                  <to>
                    <xdr:col>9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43" r:id="rId7" name="bpmDropDownTS3">
              <controlPr defaultSize="0" autoFill="0" autoPict="0">
                <anchor moveWithCells="1" sizeWithCells="1">
                  <from>
                    <xdr:col>7</xdr:col>
                    <xdr:colOff>0</xdr:colOff>
                    <xdr:row>5</xdr:row>
                    <xdr:rowOff>0</xdr:rowOff>
                  </from>
                  <to>
                    <xdr:col>9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44" r:id="rId8" name="bpmDropDownTS4">
              <controlPr defaultSize="0" autoFill="0" autoPict="0">
                <anchor moveWithCells="1" sizeWithCells="1">
                  <from>
                    <xdr:col>7</xdr:col>
                    <xdr:colOff>0</xdr:colOff>
                    <xdr:row>8</xdr:row>
                    <xdr:rowOff>0</xdr:rowOff>
                  </from>
                  <to>
                    <xdr:col>8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tabColor rgb="FFFFC000"/>
    <pageSetUpPr autoPageBreaks="0" fitToPage="1"/>
  </sheetPr>
  <dimension ref="A1:M33"/>
  <sheetViews>
    <sheetView showGridLines="0" zoomScaleNormal="100" workbookViewId="0">
      <pane xSplit="1" ySplit="2" topLeftCell="B3" activePane="bottomRight" state="frozen"/>
      <selection activeCell="I511" sqref="I511"/>
      <selection pane="topRight" activeCell="I511" sqref="I511"/>
      <selection pane="bottomLeft" activeCell="I511" sqref="I511"/>
      <selection pane="bottomRight" activeCell="F8" sqref="F8"/>
    </sheetView>
  </sheetViews>
  <sheetFormatPr defaultColWidth="8.85546875" defaultRowHeight="12" zeroHeight="1" x14ac:dyDescent="0.2"/>
  <cols>
    <col min="1" max="2" width="3.7109375" customWidth="1"/>
    <col min="3" max="3" width="5.7109375" customWidth="1"/>
    <col min="4" max="4" width="35.7109375" customWidth="1"/>
    <col min="5" max="5" width="30.7109375" customWidth="1"/>
    <col min="6" max="6" width="15.7109375" customWidth="1"/>
    <col min="7" max="7" width="10.7109375" customWidth="1"/>
    <col min="8" max="8" width="11.7109375" customWidth="1"/>
  </cols>
  <sheetData>
    <row r="1" spans="1:9" ht="15" x14ac:dyDescent="0.2">
      <c r="A1" s="35" t="s">
        <v>128</v>
      </c>
      <c r="B1" s="31" t="str">
        <f>Lang_Econ</f>
        <v>Economic</v>
      </c>
    </row>
    <row r="2" spans="1:9" ht="12.75" x14ac:dyDescent="0.2">
      <c r="A2" s="2" t="s">
        <v>5</v>
      </c>
      <c r="B2" s="45" t="str">
        <f ca="1">Model_Name</f>
        <v>Cervical Cancer Prevention and Control Costing (C4P) Tool (Cost Projection)</v>
      </c>
    </row>
    <row r="3" spans="1:9" s="10" customFormat="1" ht="15" customHeight="1" x14ac:dyDescent="0.2"/>
    <row r="4" spans="1:9" s="10" customFormat="1" ht="15" customHeight="1" x14ac:dyDescent="0.2">
      <c r="A4" s="12" t="s">
        <v>127</v>
      </c>
      <c r="B4" s="13" t="str">
        <f>Lang_Econ_Currencies</f>
        <v>Economic - Currencies</v>
      </c>
      <c r="C4" s="13"/>
      <c r="D4" s="13"/>
      <c r="E4" s="13"/>
      <c r="F4" s="13"/>
      <c r="G4" s="13"/>
      <c r="H4" s="13"/>
      <c r="I4" s="13"/>
    </row>
    <row r="5" spans="1:9" s="10" customFormat="1" ht="15" customHeight="1" x14ac:dyDescent="0.2"/>
    <row r="6" spans="1:9" s="10" customFormat="1" x14ac:dyDescent="0.2">
      <c r="D6" s="50" t="str">
        <f>Lang_Currencies</f>
        <v>Currencies</v>
      </c>
      <c r="E6" s="50" t="str">
        <f>Lang_Currency_Name</f>
        <v>Currency Name</v>
      </c>
      <c r="F6" s="50" t="str">
        <f>Lang_Currency_Code</f>
        <v>Currency Code</v>
      </c>
    </row>
    <row r="7" spans="1:9" s="10" customFormat="1" x14ac:dyDescent="0.2">
      <c r="D7" s="50" t="str">
        <f>Lang_Currencies_Category_1</f>
        <v>Foreign Currency</v>
      </c>
      <c r="E7" s="75" t="s">
        <v>1831</v>
      </c>
      <c r="F7" s="75" t="s">
        <v>129</v>
      </c>
    </row>
    <row r="8" spans="1:9" s="10" customFormat="1" x14ac:dyDescent="0.2">
      <c r="D8" s="50" t="str">
        <f>Lang_Currencies_Category_2</f>
        <v>Local Currency</v>
      </c>
      <c r="E8" s="75" t="s">
        <v>4027</v>
      </c>
      <c r="F8" s="75" t="s">
        <v>4028</v>
      </c>
    </row>
    <row r="9" spans="1:9" s="10" customFormat="1" x14ac:dyDescent="0.2"/>
    <row r="10" spans="1:9" s="10" customFormat="1" x14ac:dyDescent="0.2">
      <c r="A10" s="12" t="s">
        <v>127</v>
      </c>
      <c r="B10" s="13" t="str">
        <f>Lang_Econ_Rates</f>
        <v>Economic - Rates</v>
      </c>
      <c r="C10" s="13"/>
      <c r="D10" s="13"/>
      <c r="E10" s="13"/>
      <c r="F10" s="13"/>
      <c r="G10" s="13"/>
      <c r="H10" s="13"/>
      <c r="I10" s="13"/>
    </row>
    <row r="11" spans="1:9" s="10" customFormat="1" x14ac:dyDescent="0.2"/>
    <row r="12" spans="1:9" s="10" customFormat="1" x14ac:dyDescent="0.2">
      <c r="E12" s="50" t="str">
        <f>Lang_Baseline</f>
        <v>Baseline</v>
      </c>
    </row>
    <row r="13" spans="1:9" s="10" customFormat="1" x14ac:dyDescent="0.2">
      <c r="D13" s="50" t="str">
        <f>Lang_Exchange_Rate&amp;" : 1  "&amp;$F$7&amp;" = ( # "&amp;$F$8&amp;")"</f>
        <v>Exchange Rate : 1  USD = ( # LCU)</v>
      </c>
      <c r="E13" s="107">
        <v>1234.5</v>
      </c>
    </row>
    <row r="14" spans="1:9" s="10" customFormat="1" x14ac:dyDescent="0.2"/>
    <row r="15" spans="1:9" s="10" customFormat="1" x14ac:dyDescent="0.2">
      <c r="D15" s="50" t="str">
        <f>Lang_Annual_Discount_Rate_Category_1</f>
        <v>Annual Discount Rate Category 1</v>
      </c>
      <c r="E15" s="96">
        <v>0.03</v>
      </c>
      <c r="F15" s="50" t="str">
        <f>Lang_3percent_Is_Standard_For_Health_Costing_Analyses</f>
        <v>&lt;&lt; 3.0% is standard for health costing analyses.</v>
      </c>
    </row>
    <row r="16" spans="1:9" s="10" customFormat="1" x14ac:dyDescent="0.2"/>
    <row r="17" spans="4:13" s="10" customFormat="1" x14ac:dyDescent="0.2">
      <c r="D17" s="55" t="str">
        <f>Lang_Source_Of_Information_Notes</f>
        <v>Notes and Sources of Information</v>
      </c>
    </row>
    <row r="18" spans="4:13" s="10" customFormat="1" x14ac:dyDescent="0.2">
      <c r="D18" s="482" t="s">
        <v>596</v>
      </c>
      <c r="E18" s="482"/>
    </row>
    <row r="19" spans="4:13" s="10" customFormat="1" x14ac:dyDescent="0.2">
      <c r="D19" s="482" t="s">
        <v>596</v>
      </c>
      <c r="E19" s="482"/>
    </row>
    <row r="20" spans="4:13" s="10" customFormat="1" x14ac:dyDescent="0.2">
      <c r="D20" s="482" t="s">
        <v>596</v>
      </c>
      <c r="E20" s="482"/>
    </row>
    <row r="21" spans="4:13" x14ac:dyDescent="0.2"/>
    <row r="22" spans="4:13" x14ac:dyDescent="0.2"/>
    <row r="23" spans="4:13" x14ac:dyDescent="0.2"/>
    <row r="24" spans="4:13" x14ac:dyDescent="0.2"/>
    <row r="25" spans="4:13" x14ac:dyDescent="0.2"/>
    <row r="26" spans="4:13" x14ac:dyDescent="0.2">
      <c r="M26" s="10" t="s">
        <v>39</v>
      </c>
    </row>
    <row r="27" spans="4:13" x14ac:dyDescent="0.2"/>
    <row r="28" spans="4:13" x14ac:dyDescent="0.2"/>
    <row r="29" spans="4:13" x14ac:dyDescent="0.2"/>
    <row r="30" spans="4:13" x14ac:dyDescent="0.2"/>
    <row r="31" spans="4:13" x14ac:dyDescent="0.2"/>
    <row r="32" spans="4:13" x14ac:dyDescent="0.2"/>
    <row r="33" x14ac:dyDescent="0.2"/>
  </sheetData>
  <mergeCells count="3">
    <mergeCell ref="D18:E18"/>
    <mergeCell ref="D19:E19"/>
    <mergeCell ref="D20:E20"/>
  </mergeCells>
  <dataValidations count="1">
    <dataValidation type="custom" showErrorMessage="1" errorTitle="Invalid Assumption" error="Assumption must be a number." sqref="E13 E15" xr:uid="{00000000-0002-0000-0B00-000000000000}">
      <formula1>NOT(ISERROR(E13/1))</formula1>
    </dataValidation>
  </dataValidations>
  <hyperlinks>
    <hyperlink ref="A4" location="HL_Econ_Ass" tooltip="Click to follow hyperlink." display="HL_Econ_Ass" xr:uid="{00000000-0004-0000-0B00-000000000000}"/>
    <hyperlink ref="A10" location="HL_Econ_Ass" tooltip="Click to follow hyperlink." display="HL_Econ_Ass" xr:uid="{00000000-0004-0000-0B00-000001000000}"/>
    <hyperlink ref="A1" location="Contents!A1" tooltip="Go to Table of Contents" display="±" xr:uid="{00000000-0004-0000-0B00-000002000000}"/>
    <hyperlink ref="A2" location="$B$8" tooltip="Go to Top of Sheet" display="$B$8" xr:uid="{DF61D289-D06A-4532-9BEA-73AAC1A80800}"/>
  </hyperlinks>
  <pageMargins left="0.7" right="0.7" top="0.75" bottom="0.75" header="0.3" footer="0.3"/>
  <pageSetup fitToHeight="0" orientation="landscape" r:id="rId1"/>
  <headerFooter>
    <oddFooter>&amp;L&amp;B Confidential&amp;B&amp;C&amp;D&amp;RPage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FFC000"/>
    <pageSetUpPr autoPageBreaks="0" fitToPage="1"/>
  </sheetPr>
  <dimension ref="A1:R162"/>
  <sheetViews>
    <sheetView showGridLines="0" zoomScaleNormal="100" workbookViewId="0">
      <pane xSplit="1" ySplit="7" topLeftCell="B38" activePane="bottomRight" state="frozen"/>
      <selection activeCell="I511" sqref="I511"/>
      <selection pane="topRight" activeCell="I511" sqref="I511"/>
      <selection pane="bottomLeft" activeCell="I511" sqref="I511"/>
      <selection pane="bottomRight" activeCell="I62" sqref="I62"/>
    </sheetView>
  </sheetViews>
  <sheetFormatPr defaultColWidth="0" defaultRowHeight="12" zeroHeight="1" x14ac:dyDescent="0.2"/>
  <cols>
    <col min="1" max="2" width="3.7109375" customWidth="1"/>
    <col min="3" max="3" width="5.7109375" customWidth="1"/>
    <col min="4" max="4" width="35.7109375" customWidth="1"/>
    <col min="5" max="5" width="30.7109375" customWidth="1"/>
    <col min="6" max="6" width="15.7109375" customWidth="1"/>
    <col min="7" max="7" width="10.7109375" customWidth="1"/>
    <col min="8" max="8" width="11.7109375" customWidth="1"/>
    <col min="9" max="9" width="15.7109375" customWidth="1"/>
    <col min="10" max="14" width="20.7109375" customWidth="1"/>
    <col min="15" max="15" width="0" hidden="1" customWidth="1"/>
    <col min="16" max="16384" width="11.7109375" hidden="1"/>
  </cols>
  <sheetData>
    <row r="1" spans="1:18" ht="15" x14ac:dyDescent="0.2">
      <c r="A1" s="35" t="s">
        <v>128</v>
      </c>
      <c r="B1" s="31" t="str">
        <f>Lang_Counts</f>
        <v>Counts</v>
      </c>
    </row>
    <row r="2" spans="1:18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3" spans="1:18" s="10" customFormat="1" x14ac:dyDescent="0.2">
      <c r="A3" s="421" t="s">
        <v>5</v>
      </c>
      <c r="B3" s="90" t="str">
        <f>Lang_Year_Ending</f>
        <v>Year Ending</v>
      </c>
      <c r="C3" s="90"/>
      <c r="D3" s="90"/>
      <c r="E3" s="90"/>
      <c r="F3" s="90"/>
      <c r="G3" s="90"/>
      <c r="H3" s="90"/>
      <c r="I3" s="90"/>
      <c r="J3" s="106">
        <f t="shared" ref="J3:N3" si="0">J7</f>
        <v>2019</v>
      </c>
      <c r="K3" s="106">
        <f t="shared" si="0"/>
        <v>2020</v>
      </c>
      <c r="L3" s="106">
        <f t="shared" si="0"/>
        <v>2021</v>
      </c>
      <c r="M3" s="106">
        <f t="shared" si="0"/>
        <v>2022</v>
      </c>
      <c r="N3" s="106">
        <f t="shared" si="0"/>
        <v>2023</v>
      </c>
    </row>
    <row r="4" spans="1:18" s="10" customFormat="1" hidden="1" x14ac:dyDescent="0.2">
      <c r="B4" s="50" t="str">
        <f>Lang_Period_Start_Date</f>
        <v>Period Start Date</v>
      </c>
      <c r="J4" s="340">
        <f>EDATE(TS_Start_Date,(J6-1)*TS_Mths_In_Yr)</f>
        <v>43466</v>
      </c>
      <c r="K4" s="340">
        <f>EDATE(TS_Start_Date,(K6-1)*TS_Mths_In_Yr)</f>
        <v>43831</v>
      </c>
      <c r="L4" s="340">
        <f>EDATE(TS_Start_Date,(L6-1)*TS_Mths_In_Yr)</f>
        <v>44197</v>
      </c>
      <c r="M4" s="340">
        <f>EDATE(TS_Start_Date,(M6-1)*TS_Mths_In_Yr)</f>
        <v>44562</v>
      </c>
      <c r="N4" s="340">
        <f>EDATE(TS_Start_Date,(N6-1)*TS_Mths_In_Yr)</f>
        <v>44927</v>
      </c>
    </row>
    <row r="5" spans="1:18" s="10" customFormat="1" hidden="1" x14ac:dyDescent="0.2">
      <c r="B5" s="50" t="str">
        <f>Lang_Period_End_Date</f>
        <v>Period End Date</v>
      </c>
      <c r="J5" s="340">
        <f>EDATE(J4,TS_Mths_In_Yr)-1</f>
        <v>43830</v>
      </c>
      <c r="K5" s="340">
        <f>EDATE(K4,TS_Mths_In_Yr)-1</f>
        <v>44196</v>
      </c>
      <c r="L5" s="340">
        <f>EDATE(L4,TS_Mths_In_Yr)-1</f>
        <v>44561</v>
      </c>
      <c r="M5" s="340">
        <f>EDATE(M4,TS_Mths_In_Yr)-1</f>
        <v>44926</v>
      </c>
      <c r="N5" s="340">
        <f>EDATE(N4,TS_Mths_In_Yr)-1</f>
        <v>45291</v>
      </c>
    </row>
    <row r="6" spans="1:18" s="10" customFormat="1" hidden="1" x14ac:dyDescent="0.2">
      <c r="B6" s="50" t="str">
        <f>Lang_Counter</f>
        <v>Counter</v>
      </c>
      <c r="J6" s="42">
        <f>COLUMNS($J6:J6)</f>
        <v>1</v>
      </c>
      <c r="K6" s="42">
        <f>COLUMNS($J6:K6)</f>
        <v>2</v>
      </c>
      <c r="L6" s="42">
        <f>COLUMNS($J6:L6)</f>
        <v>3</v>
      </c>
      <c r="M6" s="42">
        <f>COLUMNS($J6:M6)</f>
        <v>4</v>
      </c>
      <c r="N6" s="42">
        <f>COLUMNS($J6:N6)</f>
        <v>5</v>
      </c>
    </row>
    <row r="7" spans="1:18" s="10" customFormat="1" hidden="1" x14ac:dyDescent="0.2">
      <c r="B7" s="91" t="str">
        <f>Lang_Financial_Year</f>
        <v>Financial Year</v>
      </c>
      <c r="C7" s="69"/>
      <c r="D7" s="69"/>
      <c r="E7" s="69"/>
      <c r="F7" s="69"/>
      <c r="G7" s="69"/>
      <c r="H7" s="69"/>
      <c r="I7" s="69"/>
      <c r="J7" s="341">
        <f t="shared" ref="J7:N7" si="1">YEAR(J5)</f>
        <v>2019</v>
      </c>
      <c r="K7" s="341">
        <f t="shared" si="1"/>
        <v>2020</v>
      </c>
      <c r="L7" s="341">
        <f t="shared" si="1"/>
        <v>2021</v>
      </c>
      <c r="M7" s="341">
        <f t="shared" si="1"/>
        <v>2022</v>
      </c>
      <c r="N7" s="341">
        <f t="shared" si="1"/>
        <v>2023</v>
      </c>
    </row>
    <row r="8" spans="1:18" s="10" customFormat="1" x14ac:dyDescent="0.2"/>
    <row r="9" spans="1:18" s="10" customFormat="1" x14ac:dyDescent="0.2">
      <c r="A9" s="12" t="s">
        <v>125</v>
      </c>
      <c r="B9" s="405" t="str">
        <f>Lang_Counts_Assumptions_Cost_Projection_Or_Retrospective</f>
        <v>Counts - Assumptions (Cost Projection or Retrospective)</v>
      </c>
      <c r="C9" s="406"/>
      <c r="D9" s="406"/>
      <c r="E9" s="406"/>
      <c r="F9" s="406"/>
      <c r="G9" s="406"/>
      <c r="H9" s="406"/>
      <c r="I9" s="406"/>
      <c r="J9" s="406"/>
      <c r="K9" s="406"/>
      <c r="L9" s="406"/>
      <c r="M9" s="406"/>
      <c r="N9" s="406"/>
    </row>
    <row r="10" spans="1:18" s="10" customFormat="1" x14ac:dyDescent="0.2"/>
    <row r="11" spans="1:18" x14ac:dyDescent="0.2">
      <c r="A11" s="10"/>
      <c r="B11" s="10"/>
      <c r="C11" s="55" t="str">
        <f>Lang_Schools_Counts_Cost_Projection_Or_Retrospective</f>
        <v>Schools Counts (Cost Projection or Retrospective)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</row>
    <row r="12" spans="1:18" s="10" customFormat="1" x14ac:dyDescent="0.2">
      <c r="D12" s="50" t="str">
        <f>Lang_Number_Of_Schools_To_Received_Group_Vacc_Visits</f>
        <v>Number of schools to received group vaccination visits</v>
      </c>
      <c r="J12" s="19">
        <v>999</v>
      </c>
      <c r="K12" s="19">
        <v>999</v>
      </c>
      <c r="L12" s="19">
        <v>999</v>
      </c>
      <c r="M12" s="19">
        <v>999</v>
      </c>
      <c r="N12" s="19">
        <v>999</v>
      </c>
    </row>
    <row r="13" spans="1:18" x14ac:dyDescent="0.2">
      <c r="A13" s="10"/>
      <c r="B13" s="10"/>
      <c r="C13" s="10"/>
      <c r="D13" s="53" t="str">
        <f>Lang_Avg_Number_Of&amp;" "&amp;LABELS!E$21&amp;" "&amp;Lang_Per_School</f>
        <v>Average number of Target Group Name1 per school</v>
      </c>
      <c r="E13" s="10"/>
      <c r="F13" s="10"/>
      <c r="G13" s="10"/>
      <c r="H13" s="10"/>
      <c r="I13" s="10"/>
      <c r="J13" s="19">
        <v>999</v>
      </c>
      <c r="K13" s="19">
        <v>999</v>
      </c>
      <c r="L13" s="19">
        <v>999</v>
      </c>
      <c r="M13" s="19">
        <v>999</v>
      </c>
      <c r="N13" s="19">
        <v>999</v>
      </c>
    </row>
    <row r="14" spans="1:18" x14ac:dyDescent="0.2">
      <c r="A14" s="10"/>
      <c r="B14" s="10"/>
      <c r="C14" s="10"/>
      <c r="D14" s="53" t="str">
        <f>Lang_Avg_Number_Of&amp;" "&amp;LABELS!E$22&amp;" "&amp;Lang_Per_School</f>
        <v>Average number of Target Group Name2 per school</v>
      </c>
      <c r="E14" s="10"/>
      <c r="F14" s="10"/>
      <c r="G14" s="10"/>
      <c r="H14" s="10"/>
      <c r="I14" s="10"/>
      <c r="J14" s="19">
        <v>999</v>
      </c>
      <c r="K14" s="19">
        <v>999</v>
      </c>
      <c r="L14" s="19">
        <v>999</v>
      </c>
      <c r="M14" s="19">
        <v>999</v>
      </c>
      <c r="N14" s="19">
        <v>999</v>
      </c>
    </row>
    <row r="15" spans="1:18" x14ac:dyDescent="0.2">
      <c r="A15" s="10"/>
      <c r="B15" s="10"/>
      <c r="C15" s="10"/>
      <c r="D15" s="10"/>
      <c r="E15" s="10"/>
      <c r="F15" s="10"/>
      <c r="G15" s="10"/>
      <c r="H15" s="10"/>
      <c r="I15" s="10"/>
    </row>
    <row r="16" spans="1:18" x14ac:dyDescent="0.2">
      <c r="A16" s="10"/>
      <c r="B16" s="10"/>
      <c r="C16" s="10"/>
      <c r="D16" s="55" t="str">
        <f>Lang_Source_Of_Information_Notes</f>
        <v>Notes and Sources of Information</v>
      </c>
      <c r="E16" s="10"/>
      <c r="F16" s="10"/>
      <c r="G16" s="10"/>
      <c r="H16" s="10"/>
      <c r="I16" s="10"/>
    </row>
    <row r="17" spans="1:14" x14ac:dyDescent="0.2">
      <c r="A17" s="10"/>
      <c r="D17" s="482" t="s">
        <v>596</v>
      </c>
      <c r="E17" s="482"/>
    </row>
    <row r="18" spans="1:14" x14ac:dyDescent="0.2">
      <c r="A18" s="10"/>
      <c r="D18" s="482" t="s">
        <v>596</v>
      </c>
      <c r="E18" s="482"/>
    </row>
    <row r="19" spans="1:14" x14ac:dyDescent="0.2">
      <c r="A19" s="10"/>
      <c r="D19" s="482" t="s">
        <v>596</v>
      </c>
      <c r="E19" s="482"/>
    </row>
    <row r="20" spans="1:14" x14ac:dyDescent="0.2">
      <c r="A20" s="10"/>
    </row>
    <row r="21" spans="1:14" s="10" customFormat="1" x14ac:dyDescent="0.2">
      <c r="C21" s="55" t="str">
        <f>Lang_Health_Facilities_Counts_Cost_Projection_Or_Retrospective</f>
        <v>Health Facilities Counts (Cost Projection or Retrospective)</v>
      </c>
    </row>
    <row r="22" spans="1:14" s="10" customFormat="1" x14ac:dyDescent="0.2">
      <c r="D22" s="50" t="str">
        <f>Lang_Number_Of_Health_Facilities_Providing_HPV_Vacc</f>
        <v>Number of health facilities providing HPV vaccination</v>
      </c>
      <c r="J22" s="80">
        <v>999</v>
      </c>
      <c r="K22" s="80">
        <v>999</v>
      </c>
      <c r="L22" s="80">
        <v>999</v>
      </c>
      <c r="M22" s="80">
        <v>999</v>
      </c>
      <c r="N22" s="80">
        <v>999</v>
      </c>
    </row>
    <row r="23" spans="1:14" x14ac:dyDescent="0.2">
      <c r="A23" s="10"/>
      <c r="B23" s="10"/>
      <c r="C23" s="10"/>
      <c r="D23" s="50" t="str">
        <f>Lang_Number_Of_Health_Facilities_Conducting_Routine_HPV_Vacc_Outreach_Services</f>
        <v>Number of health facilities conducting routine HPV vaccination outreach services</v>
      </c>
      <c r="E23" s="10"/>
      <c r="F23" s="10"/>
      <c r="G23" s="10"/>
      <c r="H23" s="10"/>
      <c r="I23" s="10"/>
      <c r="J23" s="19">
        <v>999</v>
      </c>
      <c r="K23" s="19">
        <v>999</v>
      </c>
      <c r="L23" s="19">
        <v>999</v>
      </c>
      <c r="M23" s="19">
        <v>999</v>
      </c>
      <c r="N23" s="19">
        <v>999</v>
      </c>
    </row>
    <row r="24" spans="1:14" s="10" customFormat="1" x14ac:dyDescent="0.2">
      <c r="D24" s="50" t="str">
        <f>Lang_Average_Number_Of_Routine_Outreach_Vacc_Activities_Per_Facility</f>
        <v>Average number of routine outreach vaccination activities per facility (per year)</v>
      </c>
      <c r="J24" s="80">
        <v>9</v>
      </c>
      <c r="K24" s="80">
        <v>9</v>
      </c>
      <c r="L24" s="80">
        <v>9</v>
      </c>
      <c r="M24" s="80">
        <v>9</v>
      </c>
      <c r="N24" s="80">
        <v>9</v>
      </c>
    </row>
    <row r="25" spans="1:14" s="10" customFormat="1" x14ac:dyDescent="0.2">
      <c r="D25" s="50" t="str">
        <f>Lang_Average_Number_Of_Persons_Vaccinated_During_A_outine_Outreach_Service_Activity</f>
        <v>Average number of persons vaccinated during a routine outreach service activity</v>
      </c>
      <c r="J25" s="19">
        <v>99</v>
      </c>
      <c r="K25" s="19">
        <v>99</v>
      </c>
      <c r="L25" s="19">
        <v>99</v>
      </c>
      <c r="M25" s="19">
        <v>99</v>
      </c>
      <c r="N25" s="19">
        <v>99</v>
      </c>
    </row>
    <row r="26" spans="1:14" x14ac:dyDescent="0.2">
      <c r="A26" s="10"/>
      <c r="B26" s="10"/>
      <c r="C26" s="10"/>
      <c r="D26" s="10"/>
      <c r="E26" s="10"/>
      <c r="F26" s="10"/>
      <c r="G26" s="10"/>
      <c r="H26" s="10"/>
      <c r="I26" s="10"/>
    </row>
    <row r="27" spans="1:14" x14ac:dyDescent="0.2">
      <c r="A27" s="10"/>
      <c r="B27" s="10"/>
      <c r="C27" s="10"/>
      <c r="D27" s="55" t="str">
        <f>Lang_Source_Of_Information_Notes</f>
        <v>Notes and Sources of Information</v>
      </c>
      <c r="E27" s="10"/>
      <c r="F27" s="10"/>
      <c r="G27" s="10"/>
      <c r="H27" s="10"/>
      <c r="I27" s="10"/>
    </row>
    <row r="28" spans="1:14" x14ac:dyDescent="0.2">
      <c r="A28" s="10"/>
      <c r="D28" s="482" t="s">
        <v>596</v>
      </c>
      <c r="E28" s="482"/>
    </row>
    <row r="29" spans="1:14" x14ac:dyDescent="0.2">
      <c r="A29" s="10"/>
      <c r="D29" s="482" t="s">
        <v>596</v>
      </c>
      <c r="E29" s="482"/>
    </row>
    <row r="30" spans="1:14" x14ac:dyDescent="0.2">
      <c r="A30" s="10"/>
      <c r="D30" s="482" t="s">
        <v>596</v>
      </c>
      <c r="E30" s="482"/>
    </row>
    <row r="31" spans="1:14" x14ac:dyDescent="0.2">
      <c r="A31" s="10"/>
    </row>
    <row r="32" spans="1:14" s="10" customFormat="1" x14ac:dyDescent="0.2"/>
    <row r="33" spans="1:18" s="10" customFormat="1" x14ac:dyDescent="0.2">
      <c r="A33" s="12" t="s">
        <v>125</v>
      </c>
      <c r="B33" s="13" t="str">
        <f>Lang_Instructions</f>
        <v>Instructions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R33" s="10" t="s">
        <v>39</v>
      </c>
    </row>
    <row r="34" spans="1:18" s="10" customFormat="1" x14ac:dyDescent="0.2"/>
    <row r="35" spans="1:18" s="10" customFormat="1" x14ac:dyDescent="0.2">
      <c r="C35" s="65" t="str">
        <f ca="1">IF(TIME_SERIES!$H$6=1,Lang_This_Is_A&amp;" "&amp;OFFSET(Time_Lu!$D$7,TIME_SERIES!H6,0)&amp;" "&amp;Lang_Complete_Only&amp;" "&amp;HL_Count_Ass_A,Lang_This_Is_A&amp;" "&amp;OFFSET(Time_Lu!$D$7,TIME_SERIES!H6,0)&amp;" "&amp;Lang_Complete_Only&amp;" "&amp;HL_Count_Ass_B)</f>
        <v>This is a Cost Projection Complete ONLY COST PROJECTION COUNTS - Assumptions</v>
      </c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</row>
    <row r="36" spans="1:18" s="10" customFormat="1" x14ac:dyDescent="0.2"/>
    <row r="37" spans="1:18" s="10" customFormat="1" ht="12" customHeight="1" x14ac:dyDescent="0.2">
      <c r="C37" s="491" t="str">
        <f>IF(TIME_SERIES!$H$6=2,Lang_This_Link_Not_For_Retrospective_Costing_Use&amp;" ",Lang_GoTo&amp;" "&amp;HL_Count_Ass_A)</f>
        <v>Go to COST PROJECTION COUNTS - Assumptions</v>
      </c>
      <c r="D37" s="491"/>
      <c r="E37" s="491"/>
      <c r="F37" s="491"/>
      <c r="G37" s="491"/>
      <c r="H37" s="491"/>
      <c r="I37" s="491"/>
    </row>
    <row r="38" spans="1:18" s="10" customFormat="1" ht="12" customHeight="1" x14ac:dyDescent="0.2">
      <c r="C38" s="491" t="str">
        <f>IF(TIME_SERIES!$H$6=1,Lang_This_Link_Not_For_Cost_Projection_Use,Lang_GoTo&amp;" "&amp;HL_Count_Ass_B)</f>
        <v>THIS LINK NOT FOR COST PROJECTION USE</v>
      </c>
      <c r="D38" s="491"/>
      <c r="E38" s="491"/>
      <c r="F38" s="491"/>
      <c r="G38" s="491"/>
      <c r="H38" s="491"/>
      <c r="I38" s="491"/>
    </row>
    <row r="39" spans="1:18" s="10" customFormat="1" x14ac:dyDescent="0.2"/>
    <row r="40" spans="1:18" s="10" customFormat="1" x14ac:dyDescent="0.2">
      <c r="A40" s="12" t="s">
        <v>125</v>
      </c>
      <c r="B40" s="13" t="str">
        <f>IF(TIME_SERIES!$H$6=1,Lang_Cost_Projection_Counts_Assumptions,Lang_Not_A_Cost_Projection_Skip_This_Section_Use_The_Retrospective_Target_Pop_Counts_Data_Section)</f>
        <v>COST PROJECTION COUNTS - Assumptions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</row>
    <row r="41" spans="1:18" s="10" customFormat="1" x14ac:dyDescent="0.2">
      <c r="F41" s="76" t="str">
        <f>IF(TIME_SERIES!$H$6=2,Lang_GoTo_Retrospective_Costing_Pop_Counts," ")</f>
        <v xml:space="preserve"> </v>
      </c>
    </row>
    <row r="42" spans="1:18" s="10" customFormat="1" x14ac:dyDescent="0.2">
      <c r="C42" s="65" t="str">
        <f>Count_Lu!$D$11</f>
        <v>Target Group Name1</v>
      </c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</row>
    <row r="43" spans="1:18" s="10" customFormat="1" x14ac:dyDescent="0.2"/>
    <row r="44" spans="1:18" s="10" customFormat="1" ht="48" x14ac:dyDescent="0.2">
      <c r="E44" s="74" t="str">
        <f>Lang_Pop_Count</f>
        <v>Population Count</v>
      </c>
      <c r="F44" s="74" t="str">
        <f>Lang_Year</f>
        <v>Year</v>
      </c>
      <c r="G44" s="87" t="str">
        <f>Lang_Annual_Pop_Growth_Rate</f>
        <v>Annual Population Growth Rate (%)</v>
      </c>
      <c r="I44" s="425" t="s">
        <v>4032</v>
      </c>
    </row>
    <row r="45" spans="1:18" s="10" customFormat="1" x14ac:dyDescent="0.2">
      <c r="D45" s="105" t="str">
        <f>Count_Lu!$D$11&amp;" - "&amp;Lang_Projected</f>
        <v>Target Group Name1 - Projected</v>
      </c>
      <c r="E45" s="77">
        <v>99999</v>
      </c>
      <c r="F45" s="104">
        <v>2019</v>
      </c>
      <c r="G45" s="96">
        <v>0.03</v>
      </c>
      <c r="J45" s="42">
        <f t="shared" ref="J45:N45" si="2">ROUND($E45*(1+$G45)^(J$3-$F45),0)</f>
        <v>99999</v>
      </c>
      <c r="K45" s="42">
        <f t="shared" si="2"/>
        <v>102999</v>
      </c>
      <c r="L45" s="42">
        <f t="shared" si="2"/>
        <v>106089</v>
      </c>
      <c r="M45" s="42">
        <f t="shared" si="2"/>
        <v>109272</v>
      </c>
      <c r="N45" s="42">
        <f t="shared" si="2"/>
        <v>112550</v>
      </c>
    </row>
    <row r="46" spans="1:18" s="10" customFormat="1" x14ac:dyDescent="0.2"/>
    <row r="47" spans="1:18" s="10" customFormat="1" x14ac:dyDescent="0.2">
      <c r="F47" s="71"/>
    </row>
    <row r="48" spans="1:18" s="10" customFormat="1" x14ac:dyDescent="0.2">
      <c r="D48" s="105" t="str">
        <f>Count_Lu!$D$11&amp;" - "&amp;Count_Lu!$D$18&amp;" "&amp;Lang_Proportion_Projected_Calculation</f>
        <v>Target Group Name1 - IN-SCHOOL Proportion (%) (Projected Calculation)</v>
      </c>
      <c r="F48"/>
      <c r="I48" s="71" t="str">
        <f>Lang_Proportion&amp;" (%)"</f>
        <v>Proportion (%)</v>
      </c>
      <c r="J48" s="423">
        <v>0.4</v>
      </c>
      <c r="K48" s="423">
        <v>0.5</v>
      </c>
      <c r="L48" s="423">
        <v>0.4</v>
      </c>
      <c r="M48" s="423">
        <v>0.3</v>
      </c>
      <c r="N48" s="423">
        <v>1</v>
      </c>
    </row>
    <row r="49" spans="3:14" s="10" customFormat="1" x14ac:dyDescent="0.2">
      <c r="J49" s="42">
        <f>ROUND(J45*J48,0)</f>
        <v>40000</v>
      </c>
      <c r="K49" s="42">
        <f t="shared" ref="K49:N49" si="3">ROUND(K45*K48,0)</f>
        <v>51500</v>
      </c>
      <c r="L49" s="42">
        <f t="shared" si="3"/>
        <v>42436</v>
      </c>
      <c r="M49" s="42">
        <f t="shared" si="3"/>
        <v>32782</v>
      </c>
      <c r="N49" s="42">
        <f t="shared" si="3"/>
        <v>112550</v>
      </c>
    </row>
    <row r="50" spans="3:14" s="10" customFormat="1" x14ac:dyDescent="0.2"/>
    <row r="51" spans="3:14" s="10" customFormat="1" x14ac:dyDescent="0.2">
      <c r="D51" s="105" t="str">
        <f>Count_Lu!$D$11&amp;" - "&amp;Count_Lu!$D$19&amp;" "&amp;Lang_Proportion_Projected_Autocalculated</f>
        <v>Target Group Name1 - OUT OF SCHOOL Proportion (%) (Projected) - AUTOCALCULATED</v>
      </c>
      <c r="F51" s="356"/>
      <c r="I51" s="71" t="str">
        <f>Lang_Proportion&amp;" (%)"</f>
        <v>Proportion (%)</v>
      </c>
      <c r="J51" s="424">
        <f>1-J48</f>
        <v>0.6</v>
      </c>
      <c r="K51" s="424">
        <f t="shared" ref="K51:N51" si="4">1-K48</f>
        <v>0.5</v>
      </c>
      <c r="L51" s="424">
        <f t="shared" si="4"/>
        <v>0.6</v>
      </c>
      <c r="M51" s="424">
        <f t="shared" si="4"/>
        <v>0.7</v>
      </c>
      <c r="N51" s="424">
        <f t="shared" si="4"/>
        <v>0</v>
      </c>
    </row>
    <row r="52" spans="3:14" s="10" customFormat="1" x14ac:dyDescent="0.2">
      <c r="J52" s="42">
        <f>ROUND(J45*J51,0)</f>
        <v>59999</v>
      </c>
      <c r="K52" s="42">
        <f t="shared" ref="K52:N52" si="5">ROUND(K45*K51,0)</f>
        <v>51500</v>
      </c>
      <c r="L52" s="42">
        <f t="shared" si="5"/>
        <v>63653</v>
      </c>
      <c r="M52" s="42">
        <f t="shared" si="5"/>
        <v>76490</v>
      </c>
      <c r="N52" s="42">
        <f t="shared" si="5"/>
        <v>0</v>
      </c>
    </row>
    <row r="53" spans="3:14" s="10" customFormat="1" x14ac:dyDescent="0.2"/>
    <row r="54" spans="3:14" s="10" customFormat="1" x14ac:dyDescent="0.2">
      <c r="D54" s="54" t="str">
        <f>Lang_Source_Of_Information_Notes</f>
        <v>Notes and Sources of Information</v>
      </c>
    </row>
    <row r="55" spans="3:14" s="10" customFormat="1" ht="12" customHeight="1" x14ac:dyDescent="0.2">
      <c r="D55" s="482" t="s">
        <v>596</v>
      </c>
      <c r="E55" s="482"/>
      <c r="F55"/>
      <c r="G55"/>
    </row>
    <row r="56" spans="3:14" s="10" customFormat="1" ht="12" customHeight="1" x14ac:dyDescent="0.2">
      <c r="D56" s="482" t="s">
        <v>596</v>
      </c>
      <c r="E56" s="482"/>
      <c r="F56"/>
      <c r="G56"/>
    </row>
    <row r="57" spans="3:14" s="10" customFormat="1" ht="12" customHeight="1" x14ac:dyDescent="0.2">
      <c r="D57" s="482" t="s">
        <v>596</v>
      </c>
      <c r="E57" s="482"/>
      <c r="F57"/>
      <c r="G57"/>
    </row>
    <row r="58" spans="3:14" s="10" customFormat="1" ht="12" customHeight="1" x14ac:dyDescent="0.2">
      <c r="E58"/>
      <c r="F58"/>
      <c r="G58"/>
    </row>
    <row r="59" spans="3:14" s="10" customFormat="1" x14ac:dyDescent="0.2"/>
    <row r="60" spans="3:14" s="10" customFormat="1" x14ac:dyDescent="0.2">
      <c r="C60" s="65" t="str">
        <f>Count_Lu!$D$12</f>
        <v>Target Group Name2</v>
      </c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</row>
    <row r="61" spans="3:14" s="10" customFormat="1" x14ac:dyDescent="0.2"/>
    <row r="62" spans="3:14" s="10" customFormat="1" ht="48" x14ac:dyDescent="0.2">
      <c r="E62" s="74" t="str">
        <f>Lang_Pop_Count</f>
        <v>Population Count</v>
      </c>
      <c r="F62" s="74" t="str">
        <f>Lang_Year</f>
        <v>Year</v>
      </c>
      <c r="G62" s="87" t="str">
        <f>Lang_Annual_Pop_Growth_Rate</f>
        <v>Annual Population Growth Rate (%)</v>
      </c>
      <c r="I62" s="425" t="s">
        <v>4032</v>
      </c>
    </row>
    <row r="63" spans="3:14" s="10" customFormat="1" x14ac:dyDescent="0.2">
      <c r="D63" s="105" t="str">
        <f>Count_Lu!$D$12&amp;" - "&amp;Lang_Projected</f>
        <v>Target Group Name2 - Projected</v>
      </c>
      <c r="E63" s="77">
        <v>99999</v>
      </c>
      <c r="F63" s="325">
        <v>2019</v>
      </c>
      <c r="G63" s="131">
        <v>0</v>
      </c>
      <c r="J63" s="42">
        <f t="shared" ref="J63:N63" si="6">ROUND($E63*(1+$G63)^(J$3-$F63),0)</f>
        <v>99999</v>
      </c>
      <c r="K63" s="42">
        <f t="shared" si="6"/>
        <v>99999</v>
      </c>
      <c r="L63" s="42">
        <f t="shared" si="6"/>
        <v>99999</v>
      </c>
      <c r="M63" s="42">
        <f t="shared" si="6"/>
        <v>99999</v>
      </c>
      <c r="N63" s="42">
        <f t="shared" si="6"/>
        <v>99999</v>
      </c>
    </row>
    <row r="64" spans="3:14" s="10" customFormat="1" x14ac:dyDescent="0.2"/>
    <row r="65" spans="1:14" s="10" customFormat="1" x14ac:dyDescent="0.2">
      <c r="F65"/>
    </row>
    <row r="66" spans="1:14" s="10" customFormat="1" x14ac:dyDescent="0.2">
      <c r="D66" s="105" t="str">
        <f>Count_Lu!$D$12&amp;" - "&amp;Count_Lu!$D$18&amp;" "&amp;Lang_Proportion_Projected_Calculation</f>
        <v>Target Group Name2 - IN-SCHOOL Proportion (%) (Projected Calculation)</v>
      </c>
      <c r="F66"/>
      <c r="I66" s="71" t="str">
        <f>Lang_Proportion&amp;" (%)"</f>
        <v>Proportion (%)</v>
      </c>
      <c r="J66" s="423">
        <v>0.3</v>
      </c>
      <c r="K66" s="423">
        <v>0.5</v>
      </c>
      <c r="L66" s="423">
        <v>0.4</v>
      </c>
      <c r="M66" s="423">
        <v>0.3</v>
      </c>
      <c r="N66" s="423">
        <v>0.1</v>
      </c>
    </row>
    <row r="67" spans="1:14" s="10" customFormat="1" x14ac:dyDescent="0.2">
      <c r="F67"/>
      <c r="J67" s="42">
        <f>ROUND(J63*J66,0)</f>
        <v>30000</v>
      </c>
      <c r="K67" s="42">
        <f t="shared" ref="K67" si="7">ROUND(K63*K66,0)</f>
        <v>50000</v>
      </c>
      <c r="L67" s="42">
        <f t="shared" ref="L67" si="8">ROUND(L63*L66,0)</f>
        <v>40000</v>
      </c>
      <c r="M67" s="42">
        <f t="shared" ref="M67" si="9">ROUND(M63*M66,0)</f>
        <v>30000</v>
      </c>
      <c r="N67" s="42">
        <f t="shared" ref="N67" si="10">ROUND(N63*N66,0)</f>
        <v>10000</v>
      </c>
    </row>
    <row r="68" spans="1:14" s="10" customFormat="1" x14ac:dyDescent="0.2">
      <c r="F68"/>
    </row>
    <row r="69" spans="1:14" s="10" customFormat="1" x14ac:dyDescent="0.2">
      <c r="D69" s="105" t="str">
        <f>Count_Lu!$D$12&amp;" - "&amp;Count_Lu!$D$19&amp;" "&amp;Lang_Proportion_Projected_Autocalculated</f>
        <v>Target Group Name2 - OUT OF SCHOOL Proportion (%) (Projected) - AUTOCALCULATED</v>
      </c>
      <c r="F69"/>
      <c r="I69" s="71" t="str">
        <f>Lang_Proportion&amp;" (%)"</f>
        <v>Proportion (%)</v>
      </c>
      <c r="J69" s="424">
        <f>1-J66</f>
        <v>0.7</v>
      </c>
      <c r="K69" s="424">
        <f t="shared" ref="K69:N69" si="11">1-K66</f>
        <v>0.5</v>
      </c>
      <c r="L69" s="424">
        <f t="shared" si="11"/>
        <v>0.6</v>
      </c>
      <c r="M69" s="424">
        <f t="shared" si="11"/>
        <v>0.7</v>
      </c>
      <c r="N69" s="424">
        <f t="shared" si="11"/>
        <v>0.9</v>
      </c>
    </row>
    <row r="70" spans="1:14" s="10" customFormat="1" x14ac:dyDescent="0.2">
      <c r="J70" s="42">
        <f>ROUND(J63*J69,0)</f>
        <v>69999</v>
      </c>
      <c r="K70" s="42">
        <f t="shared" ref="K70" si="12">ROUND(K63*K69,0)</f>
        <v>50000</v>
      </c>
      <c r="L70" s="42">
        <f t="shared" ref="L70" si="13">ROUND(L63*L69,0)</f>
        <v>59999</v>
      </c>
      <c r="M70" s="42">
        <f t="shared" ref="M70" si="14">ROUND(M63*M69,0)</f>
        <v>69999</v>
      </c>
      <c r="N70" s="42">
        <f t="shared" ref="N70" si="15">ROUND(N63*N69,0)</f>
        <v>89999</v>
      </c>
    </row>
    <row r="71" spans="1:14" x14ac:dyDescent="0.2">
      <c r="A71" s="10"/>
    </row>
    <row r="72" spans="1:14" x14ac:dyDescent="0.2">
      <c r="A72" s="10"/>
      <c r="D72" s="54" t="str">
        <f>Lang_Source_Of_Information_Notes</f>
        <v>Notes and Sources of Information</v>
      </c>
    </row>
    <row r="73" spans="1:14" x14ac:dyDescent="0.2">
      <c r="A73" s="10"/>
      <c r="D73" s="482" t="s">
        <v>596</v>
      </c>
      <c r="E73" s="482"/>
    </row>
    <row r="74" spans="1:14" s="10" customFormat="1" x14ac:dyDescent="0.2">
      <c r="D74" s="482" t="s">
        <v>596</v>
      </c>
      <c r="E74" s="482"/>
    </row>
    <row r="75" spans="1:14" s="10" customFormat="1" x14ac:dyDescent="0.2">
      <c r="D75" s="482" t="s">
        <v>596</v>
      </c>
      <c r="E75" s="482"/>
    </row>
    <row r="76" spans="1:14" s="10" customFormat="1" x14ac:dyDescent="0.2"/>
    <row r="77" spans="1:14" s="10" customFormat="1" x14ac:dyDescent="0.2"/>
    <row r="78" spans="1:14" s="10" customFormat="1" x14ac:dyDescent="0.2"/>
    <row r="79" spans="1:14" s="10" customFormat="1" x14ac:dyDescent="0.2">
      <c r="C79" s="65" t="str">
        <f>Lang_All_Age_Groups_Projected</f>
        <v>All Age Groups - Projected</v>
      </c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</row>
    <row r="80" spans="1:14" s="10" customFormat="1" x14ac:dyDescent="0.2"/>
    <row r="81" spans="4:14" s="10" customFormat="1" x14ac:dyDescent="0.2">
      <c r="D81" s="74" t="str">
        <f>Lang_All_Age_Groups_Projected</f>
        <v>All Age Groups - Projected</v>
      </c>
    </row>
    <row r="82" spans="4:14" s="10" customFormat="1" x14ac:dyDescent="0.2">
      <c r="D82" s="49" t="str">
        <f>D45</f>
        <v>Target Group Name1 - Projected</v>
      </c>
      <c r="J82" s="42">
        <f>J45</f>
        <v>99999</v>
      </c>
      <c r="K82" s="42">
        <f>K45</f>
        <v>102999</v>
      </c>
      <c r="L82" s="42">
        <f>L45</f>
        <v>106089</v>
      </c>
      <c r="M82" s="42">
        <f>M45</f>
        <v>109272</v>
      </c>
      <c r="N82" s="42">
        <f>N45</f>
        <v>112550</v>
      </c>
    </row>
    <row r="83" spans="4:14" s="10" customFormat="1" x14ac:dyDescent="0.2">
      <c r="D83" s="49" t="str">
        <f>D63</f>
        <v>Target Group Name2 - Projected</v>
      </c>
      <c r="J83" s="42">
        <f>J63</f>
        <v>99999</v>
      </c>
      <c r="K83" s="42">
        <f>K63</f>
        <v>99999</v>
      </c>
      <c r="L83" s="42">
        <f>L63</f>
        <v>99999</v>
      </c>
      <c r="M83" s="42">
        <f>M63</f>
        <v>99999</v>
      </c>
      <c r="N83" s="42">
        <f>N63</f>
        <v>99999</v>
      </c>
    </row>
    <row r="84" spans="4:14" s="10" customFormat="1" x14ac:dyDescent="0.2">
      <c r="D84" s="105" t="str">
        <f>Lang_Total_SmallLetter&amp;" - "&amp;D$81</f>
        <v>Total - All Age Groups - Projected</v>
      </c>
      <c r="J84" s="43">
        <f t="shared" ref="J84:N84" si="16">ROUND(SUM(J82:J83),0)</f>
        <v>199998</v>
      </c>
      <c r="K84" s="43">
        <f t="shared" si="16"/>
        <v>202998</v>
      </c>
      <c r="L84" s="43">
        <f t="shared" si="16"/>
        <v>206088</v>
      </c>
      <c r="M84" s="43">
        <f t="shared" si="16"/>
        <v>209271</v>
      </c>
      <c r="N84" s="43">
        <f t="shared" si="16"/>
        <v>212549</v>
      </c>
    </row>
    <row r="85" spans="4:14" s="10" customFormat="1" x14ac:dyDescent="0.2"/>
    <row r="86" spans="4:14" s="10" customFormat="1" x14ac:dyDescent="0.2">
      <c r="D86" s="71" t="str">
        <f>Lang_All_Age_Groups&amp;" - ("&amp;Count_Lu!$D$18&amp;" "&amp;Lang_Subgroup_Only&amp;")"</f>
        <v>All Age Groups - (IN-SCHOOL Subgroup Only)</v>
      </c>
    </row>
    <row r="87" spans="4:14" s="10" customFormat="1" x14ac:dyDescent="0.2">
      <c r="D87" s="49" t="str">
        <f>D82</f>
        <v>Target Group Name1 - Projected</v>
      </c>
      <c r="J87" s="42">
        <f>J49</f>
        <v>40000</v>
      </c>
      <c r="K87" s="42">
        <f>K49</f>
        <v>51500</v>
      </c>
      <c r="L87" s="42">
        <f>L49</f>
        <v>42436</v>
      </c>
      <c r="M87" s="42">
        <f>M49</f>
        <v>32782</v>
      </c>
      <c r="N87" s="42">
        <f>N49</f>
        <v>112550</v>
      </c>
    </row>
    <row r="88" spans="4:14" s="10" customFormat="1" x14ac:dyDescent="0.2">
      <c r="D88" s="49" t="str">
        <f>D83</f>
        <v>Target Group Name2 - Projected</v>
      </c>
      <c r="J88" s="42">
        <f>J67</f>
        <v>30000</v>
      </c>
      <c r="K88" s="42">
        <f>K67</f>
        <v>50000</v>
      </c>
      <c r="L88" s="42">
        <f>L67</f>
        <v>40000</v>
      </c>
      <c r="M88" s="42">
        <f>M67</f>
        <v>30000</v>
      </c>
      <c r="N88" s="42">
        <f>N67</f>
        <v>10000</v>
      </c>
    </row>
    <row r="89" spans="4:14" s="10" customFormat="1" x14ac:dyDescent="0.2">
      <c r="D89" s="18" t="str">
        <f>Lang_Total_SmallLetter&amp;" - "&amp;D$86</f>
        <v>Total - All Age Groups - (IN-SCHOOL Subgroup Only)</v>
      </c>
      <c r="J89" s="43">
        <f>ROUND(SUM(J87:J88),0)</f>
        <v>70000</v>
      </c>
      <c r="K89" s="43">
        <f t="shared" ref="K89:N89" si="17">ROUND(SUM(K87:K88),0)</f>
        <v>101500</v>
      </c>
      <c r="L89" s="43">
        <f t="shared" si="17"/>
        <v>82436</v>
      </c>
      <c r="M89" s="43">
        <f t="shared" si="17"/>
        <v>62782</v>
      </c>
      <c r="N89" s="43">
        <f t="shared" si="17"/>
        <v>122550</v>
      </c>
    </row>
    <row r="90" spans="4:14" s="10" customFormat="1" x14ac:dyDescent="0.2"/>
    <row r="91" spans="4:14" s="10" customFormat="1" x14ac:dyDescent="0.2">
      <c r="D91" s="71" t="str">
        <f>Lang_All_Age_Groups&amp;" - ("&amp;Count_Lu!$D$19&amp;" "&amp;Lang_Subgroup_Only&amp;")"</f>
        <v>All Age Groups - (OUT OF SCHOOL Subgroup Only)</v>
      </c>
    </row>
    <row r="92" spans="4:14" s="10" customFormat="1" x14ac:dyDescent="0.2">
      <c r="D92" s="49" t="str">
        <f>D87</f>
        <v>Target Group Name1 - Projected</v>
      </c>
      <c r="J92" s="42">
        <f t="shared" ref="J92:N92" si="18">J82-J87</f>
        <v>59999</v>
      </c>
      <c r="K92" s="42">
        <f t="shared" si="18"/>
        <v>51499</v>
      </c>
      <c r="L92" s="42">
        <f t="shared" si="18"/>
        <v>63653</v>
      </c>
      <c r="M92" s="42">
        <f t="shared" si="18"/>
        <v>76490</v>
      </c>
      <c r="N92" s="42">
        <f t="shared" si="18"/>
        <v>0</v>
      </c>
    </row>
    <row r="93" spans="4:14" s="10" customFormat="1" x14ac:dyDescent="0.2">
      <c r="D93" s="49" t="str">
        <f>D88</f>
        <v>Target Group Name2 - Projected</v>
      </c>
      <c r="J93" s="42">
        <f t="shared" ref="J93:N93" si="19">J83-J88</f>
        <v>69999</v>
      </c>
      <c r="K93" s="42">
        <f t="shared" si="19"/>
        <v>49999</v>
      </c>
      <c r="L93" s="42">
        <f t="shared" si="19"/>
        <v>59999</v>
      </c>
      <c r="M93" s="42">
        <f t="shared" si="19"/>
        <v>69999</v>
      </c>
      <c r="N93" s="42">
        <f t="shared" si="19"/>
        <v>89999</v>
      </c>
    </row>
    <row r="94" spans="4:14" s="10" customFormat="1" x14ac:dyDescent="0.2">
      <c r="D94" s="358" t="str">
        <f>D89</f>
        <v>Total - All Age Groups - (IN-SCHOOL Subgroup Only)</v>
      </c>
      <c r="J94" s="43">
        <f t="shared" ref="J94:N94" si="20">SUM(J92:J93)</f>
        <v>129998</v>
      </c>
      <c r="K94" s="43">
        <f t="shared" si="20"/>
        <v>101498</v>
      </c>
      <c r="L94" s="43">
        <f t="shared" si="20"/>
        <v>123652</v>
      </c>
      <c r="M94" s="43">
        <f t="shared" si="20"/>
        <v>146489</v>
      </c>
      <c r="N94" s="43">
        <f t="shared" si="20"/>
        <v>89999</v>
      </c>
    </row>
    <row r="95" spans="4:14" s="10" customFormat="1" x14ac:dyDescent="0.2"/>
    <row r="96" spans="4:14" s="10" customFormat="1" x14ac:dyDescent="0.2"/>
    <row r="97" spans="1:14" s="10" customFormat="1" x14ac:dyDescent="0.2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</row>
    <row r="98" spans="1:14" s="10" customFormat="1" x14ac:dyDescent="0.2">
      <c r="B98" s="13" t="str">
        <f>IF(TIME_SERIES!$H$6=2,Lang_Retrospective_Target_Pop_Counts_Data,Lang_Not_A_Retrospective_Costing_Skip_This_Section_Use_The_Cost_Projection_Counts_Assumptions_Section)</f>
        <v>NOT A RETROSPECTIVE COSTING. SKIP THIS SECTION. USE THE COST PROJECTION COUNTS - Assumptions Section.</v>
      </c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</row>
    <row r="99" spans="1:14" s="10" customFormat="1" x14ac:dyDescent="0.2">
      <c r="F99" s="76" t="str">
        <f>IF(TIME_SERIES!$H$6=1,Lang_GoTo_Cost_Projection_Counts_Assumptions," ")</f>
        <v>Go to COST PROJECTION COUNTS  - Assumptions</v>
      </c>
    </row>
    <row r="100" spans="1:14" s="10" customFormat="1" x14ac:dyDescent="0.2">
      <c r="C100" s="65" t="str">
        <f>Count_Lu!$D$11&amp;" ("&amp;Lang_Retrospective_Count&amp;")"</f>
        <v>Target Group Name1 (Retrospective Count)</v>
      </c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</row>
    <row r="101" spans="1:14" s="10" customFormat="1" x14ac:dyDescent="0.2"/>
    <row r="102" spans="1:14" s="10" customFormat="1" x14ac:dyDescent="0.2"/>
    <row r="103" spans="1:14" s="10" customFormat="1" x14ac:dyDescent="0.2">
      <c r="D103" s="105" t="str">
        <f>Lang_Entire&amp;" "&amp;Count_Lu!$D$11&amp;" "&amp;Lang_Count_Using_Retrospective_Data</f>
        <v>Entire Target Group Name1 Count (Using Retrospective Data)</v>
      </c>
      <c r="J103" s="77">
        <v>99999</v>
      </c>
      <c r="K103" s="77">
        <v>99999</v>
      </c>
      <c r="L103" s="77">
        <v>99999</v>
      </c>
      <c r="M103" s="77">
        <v>99999</v>
      </c>
      <c r="N103" s="77">
        <v>99999</v>
      </c>
    </row>
    <row r="104" spans="1:14" s="10" customFormat="1" x14ac:dyDescent="0.2"/>
    <row r="105" spans="1:14" s="10" customFormat="1" x14ac:dyDescent="0.2">
      <c r="D105" s="105" t="str">
        <f>Count_Lu!$D$11&amp;" - "&amp;Count_Lu!$D$18&amp;" "&amp;Lang_Portion_Using_Retrospective_Data</f>
        <v>Target Group Name1 - IN-SCHOOL Portion (#) - Using Retrospective Data</v>
      </c>
      <c r="J105" s="77">
        <v>50000</v>
      </c>
      <c r="K105" s="77">
        <v>50000</v>
      </c>
      <c r="L105" s="77">
        <v>50000</v>
      </c>
      <c r="M105" s="77">
        <v>50000</v>
      </c>
      <c r="N105" s="77">
        <v>50000</v>
      </c>
    </row>
    <row r="106" spans="1:14" s="10" customFormat="1" x14ac:dyDescent="0.2"/>
    <row r="107" spans="1:14" s="10" customFormat="1" x14ac:dyDescent="0.2">
      <c r="D107" s="105" t="str">
        <f>Count_Lu!$D$11&amp;" - "&amp;Count_Lu!$D$19&amp;" "&amp;Lang_Portion_Using_Retrospective_Data_Autocalculated</f>
        <v>Target Group Name1 - OUT OF SCHOOL Portion (#) - Using Retrospective Data (AUTOCALCULATED)</v>
      </c>
      <c r="J107" s="42">
        <f t="shared" ref="J107:N107" si="21">J103-J105</f>
        <v>49999</v>
      </c>
      <c r="K107" s="42">
        <f t="shared" si="21"/>
        <v>49999</v>
      </c>
      <c r="L107" s="42">
        <f t="shared" si="21"/>
        <v>49999</v>
      </c>
      <c r="M107" s="42">
        <f t="shared" si="21"/>
        <v>49999</v>
      </c>
      <c r="N107" s="42">
        <f t="shared" si="21"/>
        <v>49999</v>
      </c>
    </row>
    <row r="108" spans="1:14" s="10" customFormat="1" x14ac:dyDescent="0.2"/>
    <row r="109" spans="1:14" s="10" customFormat="1" x14ac:dyDescent="0.2">
      <c r="D109" s="54" t="str">
        <f>Lang_Source_Of_Information_Notes</f>
        <v>Notes and Sources of Information</v>
      </c>
    </row>
    <row r="110" spans="1:14" s="10" customFormat="1" x14ac:dyDescent="0.2">
      <c r="D110" s="482" t="s">
        <v>596</v>
      </c>
      <c r="E110" s="482"/>
      <c r="F110"/>
      <c r="G110"/>
    </row>
    <row r="111" spans="1:14" s="10" customFormat="1" x14ac:dyDescent="0.2">
      <c r="D111" s="482" t="s">
        <v>596</v>
      </c>
      <c r="E111" s="482"/>
      <c r="F111"/>
      <c r="G111"/>
    </row>
    <row r="112" spans="1:14" s="10" customFormat="1" x14ac:dyDescent="0.2">
      <c r="D112" s="482" t="s">
        <v>596</v>
      </c>
      <c r="E112" s="482"/>
      <c r="F112"/>
      <c r="G112"/>
    </row>
    <row r="113" spans="3:14" s="10" customFormat="1" x14ac:dyDescent="0.2">
      <c r="E113"/>
      <c r="F113"/>
      <c r="G113"/>
    </row>
    <row r="114" spans="3:14" s="10" customFormat="1" x14ac:dyDescent="0.2"/>
    <row r="115" spans="3:14" s="10" customFormat="1" x14ac:dyDescent="0.2"/>
    <row r="116" spans="3:14" s="10" customFormat="1" x14ac:dyDescent="0.2">
      <c r="C116" s="65" t="str">
        <f>Count_Lu!$D$12</f>
        <v>Target Group Name2</v>
      </c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</row>
    <row r="117" spans="3:14" s="10" customFormat="1" x14ac:dyDescent="0.2"/>
    <row r="118" spans="3:14" s="10" customFormat="1" x14ac:dyDescent="0.2"/>
    <row r="119" spans="3:14" s="10" customFormat="1" x14ac:dyDescent="0.2">
      <c r="D119" s="105" t="str">
        <f>Lang_Entire&amp;" "&amp;Count_Lu!$D$12&amp;" "&amp;Lang_Count_Using_Retrospective_Data</f>
        <v>Entire Target Group Name2 Count (Using Retrospective Data)</v>
      </c>
      <c r="J119" s="324">
        <v>99999</v>
      </c>
      <c r="K119" s="324">
        <v>99999</v>
      </c>
      <c r="L119" s="324">
        <v>99999</v>
      </c>
      <c r="M119" s="324">
        <v>99999</v>
      </c>
      <c r="N119" s="324">
        <v>99999</v>
      </c>
    </row>
    <row r="120" spans="3:14" s="10" customFormat="1" x14ac:dyDescent="0.2"/>
    <row r="121" spans="3:14" s="10" customFormat="1" x14ac:dyDescent="0.2">
      <c r="D121" s="105" t="str">
        <f>Count_Lu!$D$12&amp;" - "&amp;Count_Lu!$D$18&amp;" "&amp;Lang_Portion_Using_Retrospective_Data</f>
        <v>Target Group Name2 - IN-SCHOOL Portion (#) - Using Retrospective Data</v>
      </c>
      <c r="J121" s="324">
        <v>50000</v>
      </c>
      <c r="K121" s="324">
        <v>50000</v>
      </c>
      <c r="L121" s="324">
        <v>50000</v>
      </c>
      <c r="M121" s="324">
        <v>50000</v>
      </c>
      <c r="N121" s="324">
        <v>50000</v>
      </c>
    </row>
    <row r="122" spans="3:14" s="10" customFormat="1" x14ac:dyDescent="0.2"/>
    <row r="123" spans="3:14" s="10" customFormat="1" x14ac:dyDescent="0.2">
      <c r="D123" s="105" t="str">
        <f>Count_Lu!$D$12&amp;" - "&amp;Count_Lu!$D$19&amp;" "&amp;Lang_Portion_Using_Retrospective_Data_Autocalculated</f>
        <v>Target Group Name2 - OUT OF SCHOOL Portion (#) - Using Retrospective Data (AUTOCALCULATED)</v>
      </c>
      <c r="J123" s="42">
        <f t="shared" ref="J123:N123" si="22">J119-J121</f>
        <v>49999</v>
      </c>
      <c r="K123" s="42">
        <f t="shared" si="22"/>
        <v>49999</v>
      </c>
      <c r="L123" s="42">
        <f t="shared" si="22"/>
        <v>49999</v>
      </c>
      <c r="M123" s="42">
        <f t="shared" si="22"/>
        <v>49999</v>
      </c>
      <c r="N123" s="42">
        <f t="shared" si="22"/>
        <v>49999</v>
      </c>
    </row>
    <row r="124" spans="3:14" s="10" customFormat="1" x14ac:dyDescent="0.2"/>
    <row r="125" spans="3:14" s="10" customFormat="1" x14ac:dyDescent="0.2">
      <c r="D125" s="54" t="str">
        <f>Lang_Source_Of_Information_Notes</f>
        <v>Notes and Sources of Information</v>
      </c>
    </row>
    <row r="126" spans="3:14" s="10" customFormat="1" ht="12" customHeight="1" x14ac:dyDescent="0.2">
      <c r="D126" s="482" t="s">
        <v>596</v>
      </c>
      <c r="E126" s="482"/>
      <c r="F126"/>
      <c r="G126"/>
    </row>
    <row r="127" spans="3:14" s="10" customFormat="1" ht="12" customHeight="1" x14ac:dyDescent="0.2">
      <c r="D127" s="482" t="s">
        <v>596</v>
      </c>
      <c r="E127" s="482"/>
      <c r="F127"/>
      <c r="G127"/>
    </row>
    <row r="128" spans="3:14" s="10" customFormat="1" ht="12" customHeight="1" x14ac:dyDescent="0.2">
      <c r="D128" s="482" t="s">
        <v>596</v>
      </c>
      <c r="E128" s="482"/>
      <c r="F128"/>
      <c r="G128"/>
    </row>
    <row r="129" spans="3:14" s="10" customFormat="1" ht="12" customHeight="1" x14ac:dyDescent="0.2">
      <c r="E129"/>
      <c r="F129"/>
      <c r="G129"/>
    </row>
    <row r="130" spans="3:14" s="10" customFormat="1" x14ac:dyDescent="0.2"/>
    <row r="131" spans="3:14" s="10" customFormat="1" x14ac:dyDescent="0.2">
      <c r="C131" s="65" t="str">
        <f>Lang_All_Age_Groups_Retrospective</f>
        <v>All Age Groups - Retrospective</v>
      </c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</row>
    <row r="132" spans="3:14" s="10" customFormat="1" x14ac:dyDescent="0.2"/>
    <row r="133" spans="3:14" s="10" customFormat="1" x14ac:dyDescent="0.2"/>
    <row r="134" spans="3:14" s="10" customFormat="1" x14ac:dyDescent="0.2">
      <c r="D134" s="74" t="str">
        <f>Lang_All_Age_Groups_Retrospective_AUTOCALCULATED</f>
        <v>All Age Groups - Retrospective (AUTOCALCULATED)</v>
      </c>
    </row>
    <row r="135" spans="3:14" s="10" customFormat="1" x14ac:dyDescent="0.2"/>
    <row r="136" spans="3:14" s="10" customFormat="1" x14ac:dyDescent="0.2">
      <c r="D136" s="49" t="str">
        <f>D103</f>
        <v>Entire Target Group Name1 Count (Using Retrospective Data)</v>
      </c>
      <c r="J136" s="42">
        <f t="shared" ref="J136:N136" si="23">J103</f>
        <v>99999</v>
      </c>
      <c r="K136" s="42">
        <f t="shared" si="23"/>
        <v>99999</v>
      </c>
      <c r="L136" s="42">
        <f t="shared" si="23"/>
        <v>99999</v>
      </c>
      <c r="M136" s="42">
        <f t="shared" si="23"/>
        <v>99999</v>
      </c>
      <c r="N136" s="42">
        <f t="shared" si="23"/>
        <v>99999</v>
      </c>
    </row>
    <row r="137" spans="3:14" s="10" customFormat="1" x14ac:dyDescent="0.2">
      <c r="D137" s="49" t="str">
        <f>D119</f>
        <v>Entire Target Group Name2 Count (Using Retrospective Data)</v>
      </c>
      <c r="J137" s="42">
        <f t="shared" ref="J137:N137" si="24">J119</f>
        <v>99999</v>
      </c>
      <c r="K137" s="42">
        <f t="shared" si="24"/>
        <v>99999</v>
      </c>
      <c r="L137" s="42">
        <f t="shared" si="24"/>
        <v>99999</v>
      </c>
      <c r="M137" s="42">
        <f t="shared" si="24"/>
        <v>99999</v>
      </c>
      <c r="N137" s="42">
        <f t="shared" si="24"/>
        <v>99999</v>
      </c>
    </row>
    <row r="138" spans="3:14" s="10" customFormat="1" x14ac:dyDescent="0.2">
      <c r="D138" s="55" t="str">
        <f>Lang_Total</f>
        <v>TOTAL</v>
      </c>
      <c r="J138" s="113">
        <f t="shared" ref="J138:N138" si="25">SUM(J136:J137)</f>
        <v>199998</v>
      </c>
      <c r="K138" s="113">
        <f t="shared" si="25"/>
        <v>199998</v>
      </c>
      <c r="L138" s="113">
        <f t="shared" si="25"/>
        <v>199998</v>
      </c>
      <c r="M138" s="113">
        <f t="shared" si="25"/>
        <v>199998</v>
      </c>
      <c r="N138" s="113">
        <f t="shared" si="25"/>
        <v>199998</v>
      </c>
    </row>
    <row r="139" spans="3:14" s="10" customFormat="1" x14ac:dyDescent="0.2"/>
    <row r="140" spans="3:14" s="10" customFormat="1" x14ac:dyDescent="0.2">
      <c r="D140" s="71" t="str">
        <f>Count_Lu!$D$18&amp;" "&amp;Lang_Segment</f>
        <v>IN-SCHOOL Segment</v>
      </c>
    </row>
    <row r="141" spans="3:14" s="10" customFormat="1" x14ac:dyDescent="0.2"/>
    <row r="142" spans="3:14" s="10" customFormat="1" x14ac:dyDescent="0.2">
      <c r="D142" s="49" t="str">
        <f>D105</f>
        <v>Target Group Name1 - IN-SCHOOL Portion (#) - Using Retrospective Data</v>
      </c>
      <c r="J142" s="42">
        <f t="shared" ref="J142:N142" si="26">J105</f>
        <v>50000</v>
      </c>
      <c r="K142" s="42">
        <f t="shared" si="26"/>
        <v>50000</v>
      </c>
      <c r="L142" s="42">
        <f t="shared" si="26"/>
        <v>50000</v>
      </c>
      <c r="M142" s="42">
        <f t="shared" si="26"/>
        <v>50000</v>
      </c>
      <c r="N142" s="42">
        <f t="shared" si="26"/>
        <v>50000</v>
      </c>
    </row>
    <row r="143" spans="3:14" s="10" customFormat="1" x14ac:dyDescent="0.2">
      <c r="D143" s="49" t="str">
        <f>D121</f>
        <v>Target Group Name2 - IN-SCHOOL Portion (#) - Using Retrospective Data</v>
      </c>
      <c r="J143" s="42">
        <f t="shared" ref="J143:N143" si="27">J121</f>
        <v>50000</v>
      </c>
      <c r="K143" s="42">
        <f t="shared" si="27"/>
        <v>50000</v>
      </c>
      <c r="L143" s="42">
        <f t="shared" si="27"/>
        <v>50000</v>
      </c>
      <c r="M143" s="42">
        <f t="shared" si="27"/>
        <v>50000</v>
      </c>
      <c r="N143" s="42">
        <f t="shared" si="27"/>
        <v>50000</v>
      </c>
    </row>
    <row r="144" spans="3:14" s="10" customFormat="1" x14ac:dyDescent="0.2">
      <c r="D144" s="18" t="str">
        <f>Lang_Total_SmallLetter&amp;" "&amp;Count_Lu!$D$18&amp;" "&amp;Lang_Segment</f>
        <v>Total IN-SCHOOL Segment</v>
      </c>
      <c r="J144" s="113">
        <f t="shared" ref="J144:N144" si="28">SUM(J142:J143)</f>
        <v>100000</v>
      </c>
      <c r="K144" s="113">
        <f t="shared" si="28"/>
        <v>100000</v>
      </c>
      <c r="L144" s="113">
        <f t="shared" si="28"/>
        <v>100000</v>
      </c>
      <c r="M144" s="113">
        <f t="shared" si="28"/>
        <v>100000</v>
      </c>
      <c r="N144" s="113">
        <f t="shared" si="28"/>
        <v>100000</v>
      </c>
    </row>
    <row r="145" spans="1:14" s="10" customFormat="1" x14ac:dyDescent="0.2"/>
    <row r="146" spans="1:14" s="10" customFormat="1" x14ac:dyDescent="0.2">
      <c r="D146" s="71" t="str">
        <f>Count_Lu!$D$19&amp;" "&amp;Lang_Segment</f>
        <v>OUT OF SCHOOL Segment</v>
      </c>
    </row>
    <row r="147" spans="1:14" s="10" customFormat="1" x14ac:dyDescent="0.2"/>
    <row r="148" spans="1:14" s="10" customFormat="1" x14ac:dyDescent="0.2">
      <c r="D148" s="49" t="str">
        <f>D107</f>
        <v>Target Group Name1 - OUT OF SCHOOL Portion (#) - Using Retrospective Data (AUTOCALCULATED)</v>
      </c>
      <c r="J148" s="42">
        <f t="shared" ref="J148:N148" si="29">J107</f>
        <v>49999</v>
      </c>
      <c r="K148" s="42">
        <f t="shared" si="29"/>
        <v>49999</v>
      </c>
      <c r="L148" s="42">
        <f t="shared" si="29"/>
        <v>49999</v>
      </c>
      <c r="M148" s="42">
        <f t="shared" si="29"/>
        <v>49999</v>
      </c>
      <c r="N148" s="42">
        <f t="shared" si="29"/>
        <v>49999</v>
      </c>
    </row>
    <row r="149" spans="1:14" s="10" customFormat="1" x14ac:dyDescent="0.2">
      <c r="D149" s="49" t="str">
        <f>D123</f>
        <v>Target Group Name2 - OUT OF SCHOOL Portion (#) - Using Retrospective Data (AUTOCALCULATED)</v>
      </c>
      <c r="J149" s="42">
        <f t="shared" ref="J149:N149" si="30">J123</f>
        <v>49999</v>
      </c>
      <c r="K149" s="42">
        <f t="shared" si="30"/>
        <v>49999</v>
      </c>
      <c r="L149" s="42">
        <f t="shared" si="30"/>
        <v>49999</v>
      </c>
      <c r="M149" s="42">
        <f t="shared" si="30"/>
        <v>49999</v>
      </c>
      <c r="N149" s="42">
        <f t="shared" si="30"/>
        <v>49999</v>
      </c>
    </row>
    <row r="150" spans="1:14" s="10" customFormat="1" x14ac:dyDescent="0.2">
      <c r="D150" s="18" t="str">
        <f>Lang_Total_SmallLetter&amp;" "&amp;Count_Lu!$D$19&amp;" "&amp;Lang_Segment</f>
        <v>Total OUT OF SCHOOL Segment</v>
      </c>
      <c r="J150" s="113">
        <f t="shared" ref="J150:N150" si="31">SUM(J148:J149)</f>
        <v>99998</v>
      </c>
      <c r="K150" s="113">
        <f t="shared" si="31"/>
        <v>99998</v>
      </c>
      <c r="L150" s="113">
        <f t="shared" si="31"/>
        <v>99998</v>
      </c>
      <c r="M150" s="113">
        <f t="shared" si="31"/>
        <v>99998</v>
      </c>
      <c r="N150" s="113">
        <f t="shared" si="31"/>
        <v>99998</v>
      </c>
    </row>
    <row r="151" spans="1:14" s="10" customFormat="1" x14ac:dyDescent="0.2"/>
    <row r="152" spans="1:14" s="10" customFormat="1" hidden="1" x14ac:dyDescent="0.2">
      <c r="A152" s="12" t="s">
        <v>125</v>
      </c>
      <c r="B152" s="13" t="s">
        <v>279</v>
      </c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</row>
    <row r="153" spans="1:14" s="10" customFormat="1" x14ac:dyDescent="0.2"/>
    <row r="154" spans="1:14" s="10" customFormat="1" x14ac:dyDescent="0.2">
      <c r="C154" s="74" t="s">
        <v>278</v>
      </c>
    </row>
    <row r="155" spans="1:14" s="10" customFormat="1" x14ac:dyDescent="0.2"/>
    <row r="156" spans="1:14" s="10" customFormat="1" x14ac:dyDescent="0.2">
      <c r="C156" s="55" t="s">
        <v>133</v>
      </c>
    </row>
    <row r="157" spans="1:14" s="10" customFormat="1" x14ac:dyDescent="0.2">
      <c r="D157" s="49" t="str">
        <f>LABELS!E21</f>
        <v>Target Group Name1</v>
      </c>
    </row>
    <row r="158" spans="1:14" s="10" customFormat="1" x14ac:dyDescent="0.2">
      <c r="D158" s="49" t="str">
        <f>LABELS!E22</f>
        <v>Target Group Name2</v>
      </c>
    </row>
    <row r="159" spans="1:14" s="10" customFormat="1" x14ac:dyDescent="0.2"/>
    <row r="160" spans="1:14" s="10" customFormat="1" x14ac:dyDescent="0.2">
      <c r="C160" s="55" t="s">
        <v>134</v>
      </c>
    </row>
    <row r="161" spans="4:4" s="10" customFormat="1" x14ac:dyDescent="0.2">
      <c r="D161" s="49" t="str">
        <f>LABELS!E25</f>
        <v>IN-SCHOOL</v>
      </c>
    </row>
    <row r="162" spans="4:4" s="10" customFormat="1" x14ac:dyDescent="0.2">
      <c r="D162" s="49" t="str">
        <f>LABELS!E26</f>
        <v>OUT OF SCHOOL</v>
      </c>
    </row>
  </sheetData>
  <mergeCells count="20">
    <mergeCell ref="D73:E73"/>
    <mergeCell ref="D74:E74"/>
    <mergeCell ref="D75:E75"/>
    <mergeCell ref="D55:E55"/>
    <mergeCell ref="D56:E56"/>
    <mergeCell ref="D57:E57"/>
    <mergeCell ref="C37:I37"/>
    <mergeCell ref="C38:I38"/>
    <mergeCell ref="D17:E17"/>
    <mergeCell ref="D18:E18"/>
    <mergeCell ref="D19:E19"/>
    <mergeCell ref="D28:E28"/>
    <mergeCell ref="D29:E29"/>
    <mergeCell ref="D30:E30"/>
    <mergeCell ref="D126:E126"/>
    <mergeCell ref="D127:E127"/>
    <mergeCell ref="D128:E128"/>
    <mergeCell ref="D110:E110"/>
    <mergeCell ref="D111:E111"/>
    <mergeCell ref="D112:E112"/>
  </mergeCells>
  <dataValidations count="2">
    <dataValidation type="custom" showErrorMessage="1" errorTitle="Invalid Assumption" error="Assumption must be a number." sqref="E63 G45 J105:N105 J103:N103 E45 J12:N14 J22:N25 J121:N121 J119:N119 J66:N66 G63 J48:N48" xr:uid="{00000000-0002-0000-0C00-000000000000}">
      <formula1>NOT(ISERROR(E12/1))</formula1>
    </dataValidation>
    <dataValidation type="whole" operator="greaterThanOrEqual" showDropDown="1" showErrorMessage="1" errorTitle="Year Assumption" error="The year assumption must be a whole number greater than or equal to zero." sqref="F45 F63" xr:uid="{00000000-0002-0000-0C00-000001000000}">
      <formula1>0</formula1>
    </dataValidation>
  </dataValidations>
  <hyperlinks>
    <hyperlink ref="A33" location="HL_Count_Ass_A" tooltip="Click to follow hyperlink." display="HL_Count_Ass_A" xr:uid="{00000000-0004-0000-0C00-000000000000}"/>
    <hyperlink ref="A152" location="HL_Count_Ass_A" tooltip="Click to follow hyperlink." display="HL_Count_Ass_A" xr:uid="{00000000-0004-0000-0C00-000001000000}"/>
    <hyperlink ref="A40" location="HL_Count_Ass_C" tooltip="Click to follow hyperlink." display="HL_Count_Ass_C" xr:uid="{00000000-0004-0000-0C00-000002000000}"/>
    <hyperlink ref="C37:I37" location="HL_Count_Ass_A" tooltip="Click to follow hyperlink." display="HL_Count_Ass_A" xr:uid="{00000000-0004-0000-0C00-000003000000}"/>
    <hyperlink ref="C38:I38" location="HL_Count_Ass_B" tooltip="Click to follow hyperlink." display="HL_Count_Ass_B" xr:uid="{00000000-0004-0000-0C00-000004000000}"/>
    <hyperlink ref="F99" location="HL_Count_Ass_A" tooltip="Click to follow hyperlink." display="HL_Count_Ass_A" xr:uid="{00000000-0004-0000-0C00-000005000000}"/>
    <hyperlink ref="F41" location="HL_Count_Ass_B" tooltip="Click to follow hyperlink." display="HL_Count_Ass_B" xr:uid="{00000000-0004-0000-0C00-000006000000}"/>
    <hyperlink ref="A2" location="HL_Err_Chk" tooltip="Go to Error Checks" display="HL_Err_Chk" xr:uid="{00000000-0004-0000-0C00-000007000000}"/>
    <hyperlink ref="A9" location="HL_Count_Ass_A" tooltip="Click to follow hyperlink." display="HL_Count_Ass_A" xr:uid="{00000000-0004-0000-0C00-000008000000}"/>
    <hyperlink ref="A1" location="Contents!A1" tooltip="Go to Table of Contents" display="±" xr:uid="{00000000-0004-0000-0C00-000009000000}"/>
    <hyperlink ref="A3" location="$B$8" tooltip="Go to Top of Sheet" display="$B$8" xr:uid="{E1583442-9C7F-4E09-8963-418389CBB2D2}"/>
  </hyperlinks>
  <pageMargins left="0.7" right="0.7" top="0.75" bottom="0.75" header="0.3" footer="0.3"/>
  <pageSetup scale="58" fitToHeight="0" orientation="landscape" r:id="rId1"/>
  <headerFooter>
    <oddFooter>&amp;L&amp;B Confidential&amp;B&amp;C&amp;D&amp;RPage &amp;P</oddFooter>
  </headerFooter>
  <rowBreaks count="2" manualBreakCount="2">
    <brk id="78" max="16383" man="1"/>
    <brk id="15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tabColor rgb="FFFFC000"/>
    <pageSetUpPr autoPageBreaks="0" fitToPage="1"/>
  </sheetPr>
  <dimension ref="A1:R275"/>
  <sheetViews>
    <sheetView showGridLines="0" zoomScaleNormal="100" workbookViewId="0">
      <pane xSplit="1" ySplit="7" topLeftCell="B8" activePane="bottomRight" state="frozen"/>
      <selection activeCell="I511" sqref="I511"/>
      <selection pane="topRight" activeCell="I511" sqref="I511"/>
      <selection pane="bottomLeft" activeCell="I511" sqref="I511"/>
      <selection pane="bottomRight" activeCell="J29" sqref="J29"/>
    </sheetView>
  </sheetViews>
  <sheetFormatPr defaultColWidth="0" defaultRowHeight="12" zeroHeight="1" x14ac:dyDescent="0.2"/>
  <cols>
    <col min="1" max="2" width="3.7109375" customWidth="1"/>
    <col min="3" max="3" width="5.7109375" customWidth="1"/>
    <col min="4" max="4" width="35.7109375" customWidth="1"/>
    <col min="5" max="5" width="30.7109375" customWidth="1"/>
    <col min="6" max="6" width="15.7109375" customWidth="1"/>
    <col min="7" max="7" width="10.7109375" customWidth="1"/>
    <col min="8" max="8" width="11.7109375" customWidth="1"/>
    <col min="9" max="9" width="15.7109375" customWidth="1"/>
    <col min="10" max="14" width="20.7109375" customWidth="1"/>
    <col min="15" max="15" width="0" hidden="1" customWidth="1"/>
    <col min="16" max="16384" width="11.7109375" hidden="1"/>
  </cols>
  <sheetData>
    <row r="1" spans="1:14" ht="15" x14ac:dyDescent="0.2">
      <c r="A1" s="35" t="s">
        <v>128</v>
      </c>
      <c r="B1" s="31" t="str">
        <f>Lang_Immunization_Coverage_Assumptions</f>
        <v>Immunization Coverage Assumptions</v>
      </c>
      <c r="E1" t="s">
        <v>3997</v>
      </c>
    </row>
    <row r="2" spans="1:14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3" spans="1:14" s="10" customFormat="1" x14ac:dyDescent="0.2">
      <c r="A3" s="421" t="s">
        <v>5</v>
      </c>
      <c r="B3" s="90" t="str">
        <f>Lang_Year_Ending</f>
        <v>Year Ending</v>
      </c>
      <c r="C3" s="90"/>
      <c r="D3" s="90"/>
      <c r="E3" s="90"/>
      <c r="F3" s="90"/>
      <c r="G3" s="90"/>
      <c r="H3" s="90"/>
      <c r="I3" s="90"/>
      <c r="J3" s="106">
        <f t="shared" ref="J3:N3" si="0">J7</f>
        <v>2019</v>
      </c>
      <c r="K3" s="106">
        <f t="shared" si="0"/>
        <v>2020</v>
      </c>
      <c r="L3" s="106">
        <f t="shared" si="0"/>
        <v>2021</v>
      </c>
      <c r="M3" s="106">
        <f t="shared" si="0"/>
        <v>2022</v>
      </c>
      <c r="N3" s="106">
        <f t="shared" si="0"/>
        <v>2023</v>
      </c>
    </row>
    <row r="4" spans="1:14" s="10" customFormat="1" hidden="1" x14ac:dyDescent="0.2">
      <c r="B4" s="50" t="str">
        <f>Lang_Period_Start_Date</f>
        <v>Period Start Date</v>
      </c>
      <c r="J4" s="340">
        <f>EDATE(TS_Start_Date,(J6-1)*TS_Mths_In_Yr)</f>
        <v>43466</v>
      </c>
      <c r="K4" s="340">
        <f>EDATE(TS_Start_Date,(K6-1)*TS_Mths_In_Yr)</f>
        <v>43831</v>
      </c>
      <c r="L4" s="340">
        <f>EDATE(TS_Start_Date,(L6-1)*TS_Mths_In_Yr)</f>
        <v>44197</v>
      </c>
      <c r="M4" s="340">
        <f>EDATE(TS_Start_Date,(M6-1)*TS_Mths_In_Yr)</f>
        <v>44562</v>
      </c>
      <c r="N4" s="340">
        <f>EDATE(TS_Start_Date,(N6-1)*TS_Mths_In_Yr)</f>
        <v>44927</v>
      </c>
    </row>
    <row r="5" spans="1:14" s="10" customFormat="1" hidden="1" x14ac:dyDescent="0.2">
      <c r="B5" s="50" t="str">
        <f>Lang_Period_End_Date</f>
        <v>Period End Date</v>
      </c>
      <c r="J5" s="340">
        <f>EDATE(J4,TS_Mths_In_Yr)-1</f>
        <v>43830</v>
      </c>
      <c r="K5" s="340">
        <f>EDATE(K4,TS_Mths_In_Yr)-1</f>
        <v>44196</v>
      </c>
      <c r="L5" s="340">
        <f>EDATE(L4,TS_Mths_In_Yr)-1</f>
        <v>44561</v>
      </c>
      <c r="M5" s="340">
        <f>EDATE(M4,TS_Mths_In_Yr)-1</f>
        <v>44926</v>
      </c>
      <c r="N5" s="340">
        <f>EDATE(N4,TS_Mths_In_Yr)-1</f>
        <v>45291</v>
      </c>
    </row>
    <row r="6" spans="1:14" s="10" customFormat="1" hidden="1" x14ac:dyDescent="0.2">
      <c r="B6" s="50" t="str">
        <f>Lang_Counter</f>
        <v>Counter</v>
      </c>
      <c r="J6" s="42">
        <f>COLUMNS($J6:J6)</f>
        <v>1</v>
      </c>
      <c r="K6" s="42">
        <f>COLUMNS($J6:K6)</f>
        <v>2</v>
      </c>
      <c r="L6" s="42">
        <f>COLUMNS($J6:L6)</f>
        <v>3</v>
      </c>
      <c r="M6" s="42">
        <f>COLUMNS($J6:M6)</f>
        <v>4</v>
      </c>
      <c r="N6" s="42">
        <f>COLUMNS($J6:N6)</f>
        <v>5</v>
      </c>
    </row>
    <row r="7" spans="1:14" s="10" customFormat="1" hidden="1" x14ac:dyDescent="0.2">
      <c r="B7" s="91" t="str">
        <f>Lang_Financial_Year</f>
        <v>Financial Year</v>
      </c>
      <c r="C7" s="69"/>
      <c r="D7" s="69"/>
      <c r="E7" s="69"/>
      <c r="F7" s="69"/>
      <c r="G7" s="69"/>
      <c r="H7" s="69"/>
      <c r="I7" s="69"/>
      <c r="J7" s="341">
        <f t="shared" ref="J7:N7" si="1">YEAR(J5)</f>
        <v>2019</v>
      </c>
      <c r="K7" s="341">
        <f t="shared" si="1"/>
        <v>2020</v>
      </c>
      <c r="L7" s="341">
        <f t="shared" si="1"/>
        <v>2021</v>
      </c>
      <c r="M7" s="341">
        <f t="shared" si="1"/>
        <v>2022</v>
      </c>
      <c r="N7" s="341">
        <f t="shared" si="1"/>
        <v>2023</v>
      </c>
    </row>
    <row r="8" spans="1:14" s="10" customFormat="1" x14ac:dyDescent="0.2"/>
    <row r="9" spans="1:14" s="10" customFormat="1" x14ac:dyDescent="0.2">
      <c r="A9" s="12" t="s">
        <v>125</v>
      </c>
      <c r="B9" s="13" t="str">
        <f>Lang_Coverage_Navigation</f>
        <v>Coverage- Navigation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1:14" s="10" customFormat="1" x14ac:dyDescent="0.2"/>
    <row r="11" spans="1:14" s="10" customFormat="1" x14ac:dyDescent="0.2">
      <c r="C11" s="65" t="str">
        <f>IF(TIME_SERIES!$H$6=2,Lang_GoTo&amp;" "&amp;HL_CVG_Retrospective_Coverage_Instructions,Lang_GoTo&amp;" "&amp;HL_CVG_Coverage_Prospective_Assumptions)</f>
        <v>Go to Coverage Projections - HPV 1 Target Group Name1</v>
      </c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</row>
    <row r="12" spans="1:14" s="10" customFormat="1" x14ac:dyDescent="0.2"/>
    <row r="13" spans="1:14" s="10" customFormat="1" ht="12" customHeight="1" x14ac:dyDescent="0.2">
      <c r="D13" s="76" t="str">
        <f>Lang_GoTo&amp;" "&amp;HL_CVG_Projected_Coverage_Instructions</f>
        <v>Go to Projected Coverage - Instructions - Input the percent coverage for each year, dose, and target population.</v>
      </c>
    </row>
    <row r="14" spans="1:14" s="10" customFormat="1" ht="12" customHeight="1" x14ac:dyDescent="0.2">
      <c r="D14" s="76" t="str">
        <f>Lang_GoTo&amp;" "&amp;HL_CVG_Retrospective_Coverage_Instructions</f>
        <v>Go to Retrospective Coverage - Insert the actual quantity of vaccine doses administered.</v>
      </c>
    </row>
    <row r="15" spans="1:14" s="10" customFormat="1" x14ac:dyDescent="0.2"/>
    <row r="16" spans="1:14" s="10" customFormat="1" x14ac:dyDescent="0.2">
      <c r="A16" s="12" t="s">
        <v>125</v>
      </c>
      <c r="B16" s="13" t="str">
        <f>C19</f>
        <v>Projected Coverage - Instructions - Input the percent coverage for each year, dose, and target population.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</row>
    <row r="17" spans="1:14" s="10" customFormat="1" x14ac:dyDescent="0.2"/>
    <row r="18" spans="1:14" s="10" customFormat="1" x14ac:dyDescent="0.2"/>
    <row r="19" spans="1:14" s="10" customFormat="1" x14ac:dyDescent="0.2">
      <c r="C19" s="74" t="str">
        <f>Lang_Projected_Coverage_Instructions_Input_Percent_Coverage_For_Each_Year_Dose_And_Target_Pop</f>
        <v>Projected Coverage - Instructions - Input the percent coverage for each year, dose, and target population.</v>
      </c>
    </row>
    <row r="20" spans="1:14" s="10" customFormat="1" x14ac:dyDescent="0.2"/>
    <row r="21" spans="1:14" s="10" customFormat="1" x14ac:dyDescent="0.2">
      <c r="A21" s="12" t="s">
        <v>125</v>
      </c>
      <c r="B21" s="13" t="str">
        <f>Lang_Coverage_Projections&amp;" - "&amp;CVG_Lu!$D$31&amp;" "&amp;CVG_Lu!$D$18</f>
        <v>Coverage Projections - HPV 1 Target Group Name1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</row>
    <row r="22" spans="1:14" s="10" customFormat="1" x14ac:dyDescent="0.2"/>
    <row r="23" spans="1:14" s="10" customFormat="1" x14ac:dyDescent="0.2">
      <c r="C23" s="65" t="str">
        <f>CVG_Lu!$D$31</f>
        <v>HPV 1</v>
      </c>
    </row>
    <row r="24" spans="1:14" s="10" customFormat="1" x14ac:dyDescent="0.2"/>
    <row r="25" spans="1:14" s="10" customFormat="1" x14ac:dyDescent="0.2">
      <c r="D25" s="105" t="str">
        <f>Lang_Proportion_Of&amp;" "&amp;CVG_Lu!$D$18&amp;" "&amp;Lang_Receiving&amp;" "&amp;CVG_Lu!$D$31&amp;" ("&amp;Lang_Projection&amp;")"</f>
        <v>Proportion (%) of Target Group Name1 Receiving HPV 1 (Projection)</v>
      </c>
    </row>
    <row r="26" spans="1:14" s="10" customFormat="1" x14ac:dyDescent="0.2"/>
    <row r="27" spans="1:14" s="10" customFormat="1" x14ac:dyDescent="0.2">
      <c r="D27" s="114" t="str">
        <f>CVG_Lu!$D$18</f>
        <v>Target Group Name1</v>
      </c>
    </row>
    <row r="28" spans="1:14" s="10" customFormat="1" x14ac:dyDescent="0.2">
      <c r="D28" s="135" t="str">
        <f>D27&amp;" - "&amp;CVG_Lu!$D$25&amp;" ("&amp;Lang_Projection&amp;")"</f>
        <v>Target Group Name1 - IN-SCHOOL (Projection)</v>
      </c>
      <c r="J28" s="96">
        <v>0.5</v>
      </c>
      <c r="K28" s="96">
        <v>0.5</v>
      </c>
      <c r="L28" s="96">
        <v>0.5</v>
      </c>
      <c r="M28" s="96">
        <v>0.5</v>
      </c>
      <c r="N28" s="96">
        <v>0.5</v>
      </c>
    </row>
    <row r="29" spans="1:14" s="10" customFormat="1" x14ac:dyDescent="0.2">
      <c r="F29" s="50" t="str">
        <f>Lang_AutoCal_Number_Receiving_Vacc</f>
        <v>(AUTOCALCULATED) # RECEIVING VACCINATION &gt;&gt;</v>
      </c>
      <c r="J29" s="42">
        <f>(COUNTS!J49*J28)</f>
        <v>20000</v>
      </c>
      <c r="K29" s="42">
        <f>(COUNTS!K49*K28)</f>
        <v>25750</v>
      </c>
      <c r="L29" s="42">
        <f>(COUNTS!L49*L28)</f>
        <v>21218</v>
      </c>
      <c r="M29" s="42">
        <f>(COUNTS!M49*M28)</f>
        <v>16391</v>
      </c>
      <c r="N29" s="42">
        <f>(COUNTS!N49*N28)</f>
        <v>56275</v>
      </c>
    </row>
    <row r="30" spans="1:14" s="10" customFormat="1" x14ac:dyDescent="0.2"/>
    <row r="31" spans="1:14" s="10" customFormat="1" x14ac:dyDescent="0.2">
      <c r="J31" s="96">
        <v>0.5</v>
      </c>
      <c r="K31" s="96">
        <v>0.5</v>
      </c>
      <c r="L31" s="96">
        <v>0.5</v>
      </c>
      <c r="M31" s="96">
        <v>0.5</v>
      </c>
      <c r="N31" s="96">
        <v>0.5</v>
      </c>
    </row>
    <row r="32" spans="1:14" s="10" customFormat="1" x14ac:dyDescent="0.2">
      <c r="D32" s="135" t="str">
        <f>D27&amp;" - "&amp;CVG_Lu!$D$26&amp;" ("&amp;Lang_Projection&amp;")"</f>
        <v>Target Group Name1 - OUT OF SCHOOL (Projection)</v>
      </c>
      <c r="F32" s="50" t="str">
        <f>Lang_AutoCal_Number_Receiving_Vacc</f>
        <v>(AUTOCALCULATED) # RECEIVING VACCINATION &gt;&gt;</v>
      </c>
      <c r="J32" s="42">
        <f>COUNTS!J52*J31</f>
        <v>29999.5</v>
      </c>
      <c r="K32" s="42">
        <f>COUNTS!K52*K31</f>
        <v>25750</v>
      </c>
      <c r="L32" s="42">
        <f>COUNTS!L52*L31</f>
        <v>31826.5</v>
      </c>
      <c r="M32" s="42">
        <f>COUNTS!M52*M31</f>
        <v>38245</v>
      </c>
      <c r="N32" s="42">
        <f>COUNTS!N52*N31</f>
        <v>0</v>
      </c>
    </row>
    <row r="33" spans="1:18" s="10" customFormat="1" x14ac:dyDescent="0.2">
      <c r="R33" s="10" t="s">
        <v>39</v>
      </c>
    </row>
    <row r="34" spans="1:18" s="10" customFormat="1" x14ac:dyDescent="0.2">
      <c r="D34" s="53" t="str">
        <f>Lang_Total_SmallLetter&amp;" "&amp;D$27&amp;" "&amp;D25&amp;" ("&amp;C$23&amp;")"</f>
        <v>Total Target Group Name1 Proportion (%) of Target Group Name1 Receiving HPV 1 (Projection) (HPV 1)</v>
      </c>
      <c r="F34" s="50" t="str">
        <f>Lang_AutoCal_Proportion_Of_All_Receiving_Vacc</f>
        <v>(AUTOCALCULATED) Proportion of all RECEIVING VACCINATION &gt;&gt;</v>
      </c>
      <c r="J34" s="376">
        <f>IFERROR(SUM(J29,J32)/COUNTS!J$45,0)</f>
        <v>0.5</v>
      </c>
      <c r="K34" s="376">
        <f>IFERROR(SUM(K29,K32)/COUNTS!K$45,0)</f>
        <v>0.50000485441606224</v>
      </c>
      <c r="L34" s="376">
        <f>IFERROR(SUM(L29,L32)/COUNTS!L$45,0)</f>
        <v>0.5</v>
      </c>
      <c r="M34" s="376">
        <f>IFERROR(SUM(M29,M32)/COUNTS!M$45,0)</f>
        <v>0.5</v>
      </c>
      <c r="N34" s="376">
        <f>IFERROR(SUM(N29,N32)/COUNTS!N$45,0)</f>
        <v>0.5</v>
      </c>
    </row>
    <row r="35" spans="1:18" s="10" customFormat="1" x14ac:dyDescent="0.2">
      <c r="D35" s="53" t="str">
        <f>Lang_Total_SmallLetter&amp;" "&amp;D$27&amp;" "&amp;Lang_Number_Receiving_Vacc&amp;" ("&amp;C$23&amp;")"</f>
        <v>Total Target Group Name1 Number Receiving Vaccination (HPV 1)</v>
      </c>
      <c r="F35" s="50" t="str">
        <f>Lang_AutoCal_Number_Receiving_Vacc</f>
        <v>(AUTOCALCULATED) # RECEIVING VACCINATION &gt;&gt;</v>
      </c>
      <c r="J35" s="377">
        <f>COUNTS!J$45*J34</f>
        <v>49999.5</v>
      </c>
      <c r="K35" s="377">
        <f>COUNTS!K$45*K34</f>
        <v>51499.999999999993</v>
      </c>
      <c r="L35" s="377">
        <f>COUNTS!L$45*L34</f>
        <v>53044.5</v>
      </c>
      <c r="M35" s="377">
        <f>COUNTS!M$45*M34</f>
        <v>54636</v>
      </c>
      <c r="N35" s="377">
        <f>COUNTS!N$45*N34</f>
        <v>56275</v>
      </c>
    </row>
    <row r="36" spans="1:18" s="10" customFormat="1" x14ac:dyDescent="0.2"/>
    <row r="37" spans="1:18" s="10" customFormat="1" x14ac:dyDescent="0.2"/>
    <row r="38" spans="1:18" s="10" customFormat="1" x14ac:dyDescent="0.2">
      <c r="D38" s="74" t="str">
        <f>Lang_Source_Of_Information_Notes</f>
        <v>Notes and Sources of Information</v>
      </c>
    </row>
    <row r="39" spans="1:18" s="10" customFormat="1" ht="12" customHeight="1" x14ac:dyDescent="0.2">
      <c r="D39" s="482" t="s">
        <v>596</v>
      </c>
      <c r="E39" s="482"/>
      <c r="F39" s="482"/>
    </row>
    <row r="40" spans="1:18" s="10" customFormat="1" ht="12" customHeight="1" x14ac:dyDescent="0.2">
      <c r="D40" s="482" t="s">
        <v>596</v>
      </c>
      <c r="E40" s="482"/>
      <c r="F40" s="482"/>
    </row>
    <row r="41" spans="1:18" s="10" customFormat="1" ht="12" customHeight="1" x14ac:dyDescent="0.2">
      <c r="D41" s="482" t="s">
        <v>596</v>
      </c>
      <c r="E41" s="482"/>
      <c r="F41" s="482"/>
    </row>
    <row r="42" spans="1:18" s="10" customFormat="1" ht="12" customHeight="1" x14ac:dyDescent="0.2">
      <c r="D42" s="482" t="s">
        <v>596</v>
      </c>
      <c r="E42" s="482"/>
      <c r="F42" s="482"/>
    </row>
    <row r="43" spans="1:18" s="10" customFormat="1" x14ac:dyDescent="0.2"/>
    <row r="44" spans="1:18" s="10" customFormat="1" x14ac:dyDescent="0.2">
      <c r="A44" s="12" t="s">
        <v>125</v>
      </c>
      <c r="B44" s="13" t="str">
        <f>Lang_Coverage_Projections&amp;" - "&amp;CVG_Lu!$D$31&amp;" "&amp;CVG_Lu!$D$19</f>
        <v>Coverage Projections - HPV 1 Target Group Name2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</row>
    <row r="45" spans="1:18" s="10" customFormat="1" x14ac:dyDescent="0.2"/>
    <row r="46" spans="1:18" s="10" customFormat="1" x14ac:dyDescent="0.2">
      <c r="C46" s="65" t="str">
        <f>CVG_Lu!$D$31</f>
        <v>HPV 1</v>
      </c>
    </row>
    <row r="47" spans="1:18" s="10" customFormat="1" x14ac:dyDescent="0.2"/>
    <row r="48" spans="1:18" s="10" customFormat="1" x14ac:dyDescent="0.2">
      <c r="D48" s="326" t="str">
        <f>Lang_Proportion_Of&amp;" "&amp;CVG_Lu!$D$19&amp;" "&amp;Lang_Receiving&amp;" "&amp;CVG_Lu!$D$31&amp;" ("&amp;Lang_Projection&amp;")"</f>
        <v>Proportion (%) of Target Group Name2 Receiving HPV 1 (Projection)</v>
      </c>
    </row>
    <row r="49" spans="4:14" s="10" customFormat="1" x14ac:dyDescent="0.2"/>
    <row r="50" spans="4:14" s="10" customFormat="1" x14ac:dyDescent="0.2">
      <c r="D50" s="114" t="str">
        <f>CVG_Lu!$D$19</f>
        <v>Target Group Name2</v>
      </c>
    </row>
    <row r="51" spans="4:14" s="10" customFormat="1" x14ac:dyDescent="0.2">
      <c r="D51" s="135" t="str">
        <f>D50&amp;" - "&amp;CVG_Lu!$D$25&amp;" ("&amp;Lang_Projection&amp;")"</f>
        <v>Target Group Name2 - IN-SCHOOL (Projection)</v>
      </c>
      <c r="J51" s="131">
        <v>0.5</v>
      </c>
      <c r="K51" s="131">
        <v>0.5</v>
      </c>
      <c r="L51" s="131">
        <v>0.5</v>
      </c>
      <c r="M51" s="131">
        <v>0.5</v>
      </c>
      <c r="N51" s="131">
        <v>0.5</v>
      </c>
    </row>
    <row r="52" spans="4:14" s="10" customFormat="1" x14ac:dyDescent="0.2">
      <c r="F52" s="50" t="str">
        <f>Lang_AutoCal_Number_Receiving_Vacc</f>
        <v>(AUTOCALCULATED) # RECEIVING VACCINATION &gt;&gt;</v>
      </c>
      <c r="J52" s="42">
        <f>(COUNTS!J67*J51)</f>
        <v>15000</v>
      </c>
      <c r="K52" s="42">
        <f>(COUNTS!K67*K51)</f>
        <v>25000</v>
      </c>
      <c r="L52" s="42">
        <f>(COUNTS!L67*L51)</f>
        <v>20000</v>
      </c>
      <c r="M52" s="42">
        <f>(COUNTS!M67*M51)</f>
        <v>15000</v>
      </c>
      <c r="N52" s="42">
        <f>(COUNTS!N67*N51)</f>
        <v>5000</v>
      </c>
    </row>
    <row r="53" spans="4:14" s="10" customFormat="1" x14ac:dyDescent="0.2"/>
    <row r="54" spans="4:14" s="10" customFormat="1" x14ac:dyDescent="0.2">
      <c r="D54" s="135" t="str">
        <f>D$50&amp;" - "&amp;CVG_Lu!$D$26&amp;" ("&amp;Lang_Projection&amp;")"</f>
        <v>Target Group Name2 - OUT OF SCHOOL (Projection)</v>
      </c>
      <c r="J54" s="96">
        <v>0.5</v>
      </c>
      <c r="K54" s="96">
        <v>0.5</v>
      </c>
      <c r="L54" s="96">
        <v>0.5</v>
      </c>
      <c r="M54" s="96">
        <v>0.5</v>
      </c>
      <c r="N54" s="96">
        <v>0.5</v>
      </c>
    </row>
    <row r="55" spans="4:14" s="10" customFormat="1" x14ac:dyDescent="0.2">
      <c r="F55" s="50" t="str">
        <f>Lang_AutoCal_Number_Receiving_Vacc</f>
        <v>(AUTOCALCULATED) # RECEIVING VACCINATION &gt;&gt;</v>
      </c>
      <c r="J55" s="42">
        <f>(COUNTS!J70*J54)</f>
        <v>34999.5</v>
      </c>
      <c r="K55" s="42">
        <f>(COUNTS!K70*K54)</f>
        <v>25000</v>
      </c>
      <c r="L55" s="42">
        <f>(COUNTS!L70*L54)</f>
        <v>29999.5</v>
      </c>
      <c r="M55" s="42">
        <f>(COUNTS!M70*M54)</f>
        <v>34999.5</v>
      </c>
      <c r="N55" s="42">
        <f>(COUNTS!N70*N54)</f>
        <v>44999.5</v>
      </c>
    </row>
    <row r="56" spans="4:14" s="10" customFormat="1" x14ac:dyDescent="0.2"/>
    <row r="57" spans="4:14" s="10" customFormat="1" x14ac:dyDescent="0.2">
      <c r="D57" s="53" t="str">
        <f>Lang_Total_SmallLetter&amp;" "&amp;D$50&amp;" "&amp;D$48&amp;" ("&amp;C$46&amp;")"</f>
        <v>Total Target Group Name2 Proportion (%) of Target Group Name2 Receiving HPV 1 (Projection) (HPV 1)</v>
      </c>
      <c r="F57" s="50" t="str">
        <f>Lang_AutoCal_Proportion_Of_All_Receiving_Vacc</f>
        <v>(AUTOCALCULATED) Proportion of all RECEIVING VACCINATION &gt;&gt;</v>
      </c>
      <c r="J57" s="376">
        <f>IFERROR(SUM(J$52,J55)/COUNTS!J$63,0)</f>
        <v>0.5</v>
      </c>
      <c r="K57" s="376">
        <f>IFERROR(SUM(K$52,K55)/COUNTS!K$63,0)</f>
        <v>0.50000500005000048</v>
      </c>
      <c r="L57" s="376">
        <f>IFERROR(SUM(L$52,L55)/COUNTS!L$63,0)</f>
        <v>0.5</v>
      </c>
      <c r="M57" s="376">
        <f>IFERROR(SUM(M$52,M55)/COUNTS!M$63,0)</f>
        <v>0.5</v>
      </c>
      <c r="N57" s="376">
        <f>IFERROR(SUM(N$52,N55)/COUNTS!N$63,0)</f>
        <v>0.5</v>
      </c>
    </row>
    <row r="58" spans="4:14" s="10" customFormat="1" x14ac:dyDescent="0.2">
      <c r="D58" s="53" t="str">
        <f>Lang_Total_SmallLetter&amp;" "&amp;D$50&amp;" "&amp;Lang_Number_Receiving_Vacc&amp;" ("&amp;C$46&amp;")"</f>
        <v>Total Target Group Name2 Number Receiving Vaccination (HPV 1)</v>
      </c>
      <c r="F58" s="50" t="str">
        <f>Lang_AutoCal_Number_Receiving_Vacc</f>
        <v>(AUTOCALCULATED) # RECEIVING VACCINATION &gt;&gt;</v>
      </c>
      <c r="J58" s="367">
        <f>COUNTS!J$63*J57</f>
        <v>49999.5</v>
      </c>
      <c r="K58" s="367">
        <f>COUNTS!K$63*K57</f>
        <v>50000</v>
      </c>
      <c r="L58" s="367">
        <f>COUNTS!L$63*L57</f>
        <v>49999.5</v>
      </c>
      <c r="M58" s="367">
        <f>COUNTS!M$63*M57</f>
        <v>49999.5</v>
      </c>
      <c r="N58" s="367">
        <f>COUNTS!N$63*N57</f>
        <v>49999.5</v>
      </c>
    </row>
    <row r="59" spans="4:14" s="10" customFormat="1" x14ac:dyDescent="0.2"/>
    <row r="60" spans="4:14" s="10" customFormat="1" x14ac:dyDescent="0.2"/>
    <row r="61" spans="4:14" s="10" customFormat="1" x14ac:dyDescent="0.2">
      <c r="D61" s="74" t="str">
        <f>Lang_Source_Of_Information_Notes</f>
        <v>Notes and Sources of Information</v>
      </c>
    </row>
    <row r="62" spans="4:14" s="10" customFormat="1" ht="12" customHeight="1" x14ac:dyDescent="0.2">
      <c r="D62" s="482" t="s">
        <v>596</v>
      </c>
      <c r="E62" s="482"/>
      <c r="F62" s="482"/>
    </row>
    <row r="63" spans="4:14" s="10" customFormat="1" ht="12" customHeight="1" x14ac:dyDescent="0.2">
      <c r="D63" s="482" t="s">
        <v>596</v>
      </c>
      <c r="E63" s="482"/>
      <c r="F63" s="482"/>
    </row>
    <row r="64" spans="4:14" s="10" customFormat="1" ht="12" customHeight="1" x14ac:dyDescent="0.2">
      <c r="D64" s="482" t="s">
        <v>596</v>
      </c>
      <c r="E64" s="482"/>
      <c r="F64" s="482"/>
    </row>
    <row r="65" spans="1:14" s="10" customFormat="1" ht="12" customHeight="1" x14ac:dyDescent="0.2">
      <c r="D65" s="482" t="s">
        <v>596</v>
      </c>
      <c r="E65" s="482"/>
      <c r="F65" s="482"/>
    </row>
    <row r="66" spans="1:14" s="10" customFormat="1" x14ac:dyDescent="0.2"/>
    <row r="67" spans="1:14" s="10" customFormat="1" x14ac:dyDescent="0.2">
      <c r="A67" s="12" t="s">
        <v>125</v>
      </c>
      <c r="B67" s="13" t="str">
        <f>Lang_Coverage_Projections&amp;" - "&amp;CVG_Lu!$D$32&amp;" "&amp;CVG_Lu!$D$18</f>
        <v>Coverage Projections - HPV 2 Target Group Name1</v>
      </c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</row>
    <row r="68" spans="1:14" s="10" customFormat="1" x14ac:dyDescent="0.2"/>
    <row r="69" spans="1:14" s="10" customFormat="1" x14ac:dyDescent="0.2">
      <c r="C69" s="65" t="str">
        <f>CVG_Lu!$D$32</f>
        <v>HPV 2</v>
      </c>
    </row>
    <row r="70" spans="1:14" s="10" customFormat="1" x14ac:dyDescent="0.2"/>
    <row r="71" spans="1:14" s="10" customFormat="1" x14ac:dyDescent="0.2">
      <c r="D71" s="105" t="str">
        <f>Lang_Drop_Out_Rate&amp;" "&amp;CVG_Lu!$D$31&amp;" "&amp;Lang_To&amp;" "&amp;CVG_Lu!$D$32&amp;" "&amp;Lang_For&amp;" "&amp;CVG_Lu!$D$18</f>
        <v>Drop-Out Rate HPV 1 to HPV 2 for Target Group Name1</v>
      </c>
    </row>
    <row r="72" spans="1:14" s="10" customFormat="1" x14ac:dyDescent="0.2"/>
    <row r="73" spans="1:14" s="10" customFormat="1" x14ac:dyDescent="0.2">
      <c r="D73" s="114" t="str">
        <f>CVG_Lu!$D$18</f>
        <v>Target Group Name1</v>
      </c>
    </row>
    <row r="74" spans="1:14" s="10" customFormat="1" x14ac:dyDescent="0.2">
      <c r="D74" s="135" t="str">
        <f>D73&amp;" - "&amp;CVG_Lu!$D$25&amp;" ("&amp;Lang_Projection&amp;")"</f>
        <v>Target Group Name1 - IN-SCHOOL (Projection)</v>
      </c>
      <c r="J74" s="96">
        <v>0.1</v>
      </c>
      <c r="K74" s="96">
        <v>0.1</v>
      </c>
      <c r="L74" s="96">
        <v>0.1</v>
      </c>
      <c r="M74" s="96">
        <v>0.1</v>
      </c>
      <c r="N74" s="96">
        <v>0.1</v>
      </c>
    </row>
    <row r="75" spans="1:14" s="10" customFormat="1" x14ac:dyDescent="0.2">
      <c r="F75" s="50" t="str">
        <f>Lang_AutoCal_Number_Receiving_Vacc</f>
        <v>(AUTOCALCULATED) # RECEIVING VACCINATION &gt;&gt;</v>
      </c>
      <c r="J75" s="42">
        <f t="shared" ref="J75:N75" si="2">J29-(J29*J74)</f>
        <v>18000</v>
      </c>
      <c r="K75" s="42">
        <f t="shared" si="2"/>
        <v>23175</v>
      </c>
      <c r="L75" s="42">
        <f t="shared" si="2"/>
        <v>19096.2</v>
      </c>
      <c r="M75" s="42">
        <f t="shared" si="2"/>
        <v>14751.9</v>
      </c>
      <c r="N75" s="42">
        <f t="shared" si="2"/>
        <v>50647.5</v>
      </c>
    </row>
    <row r="76" spans="1:14" s="10" customFormat="1" x14ac:dyDescent="0.2"/>
    <row r="77" spans="1:14" s="10" customFormat="1" x14ac:dyDescent="0.2">
      <c r="D77" s="128" t="str">
        <f>D$73&amp;" - "&amp;CVG_Lu!$D$26&amp;" ("&amp;Lang_Projection&amp;")"</f>
        <v>Target Group Name1 - OUT OF SCHOOL (Projection)</v>
      </c>
      <c r="J77" s="131">
        <v>0.1</v>
      </c>
      <c r="K77" s="131">
        <v>0.1</v>
      </c>
      <c r="L77" s="131">
        <v>0.1</v>
      </c>
      <c r="M77" s="131">
        <v>0.1</v>
      </c>
      <c r="N77" s="131">
        <v>0.1</v>
      </c>
    </row>
    <row r="78" spans="1:14" s="10" customFormat="1" x14ac:dyDescent="0.2">
      <c r="F78" s="50" t="str">
        <f>Lang_AutoCal_Number_Receiving_Vacc</f>
        <v>(AUTOCALCULATED) # RECEIVING VACCINATION &gt;&gt;</v>
      </c>
      <c r="J78" s="42">
        <f t="shared" ref="J78:N78" si="3">J32-(J32*J77)</f>
        <v>26999.55</v>
      </c>
      <c r="K78" s="42">
        <f t="shared" si="3"/>
        <v>23175</v>
      </c>
      <c r="L78" s="42">
        <f t="shared" si="3"/>
        <v>28643.85</v>
      </c>
      <c r="M78" s="42">
        <f t="shared" si="3"/>
        <v>34420.5</v>
      </c>
      <c r="N78" s="42">
        <f t="shared" si="3"/>
        <v>0</v>
      </c>
    </row>
    <row r="79" spans="1:14" s="10" customFormat="1" x14ac:dyDescent="0.2"/>
    <row r="80" spans="1:14" s="10" customFormat="1" x14ac:dyDescent="0.2">
      <c r="D80" s="53" t="str">
        <f>Lang_Total_SmallLetter&amp;" "&amp;D$73&amp;" "&amp;D71&amp;" ("&amp;C$23&amp;")"</f>
        <v>Total Target Group Name1 Drop-Out Rate HPV 1 to HPV 2 for Target Group Name1 (HPV 1)</v>
      </c>
      <c r="F80" s="50" t="str">
        <f>Lang_AutoCal_Drop_Out_Rate</f>
        <v>(AUTOCALCULATED) Drop-Out Rate &gt;&gt;</v>
      </c>
      <c r="J80" s="234">
        <f t="shared" ref="J80:N80" si="4">IFERROR(1-SUM(J$75,J$78)/SUM(J$29,J$32),0)</f>
        <v>9.9999999999999978E-2</v>
      </c>
      <c r="K80" s="234">
        <f t="shared" si="4"/>
        <v>9.9999999999999978E-2</v>
      </c>
      <c r="L80" s="234">
        <f t="shared" si="4"/>
        <v>9.9999999999999978E-2</v>
      </c>
      <c r="M80" s="234">
        <f t="shared" si="4"/>
        <v>9.9999999999999978E-2</v>
      </c>
      <c r="N80" s="234">
        <f t="shared" si="4"/>
        <v>9.9999999999999978E-2</v>
      </c>
    </row>
    <row r="81" spans="1:14" s="10" customFormat="1" x14ac:dyDescent="0.2"/>
    <row r="82" spans="1:14" s="10" customFormat="1" x14ac:dyDescent="0.2">
      <c r="F82" s="50" t="str">
        <f>Lang_AutoCal_Proportion_Of_All_Receiving_Vacc</f>
        <v>(AUTOCALCULATED) Proportion of all RECEIVING VACCINATION &gt;&gt;</v>
      </c>
      <c r="J82" s="376">
        <f>IFERROR(SUM(J75,J78)/COUNTS!J$45,0)</f>
        <v>0.45</v>
      </c>
      <c r="K82" s="376">
        <f>IFERROR(SUM(K75,K78)/COUNTS!K$45,0)</f>
        <v>0.45000436897445606</v>
      </c>
      <c r="L82" s="376">
        <f>IFERROR(SUM(L75,L78)/COUNTS!L$45,0)</f>
        <v>0.45</v>
      </c>
      <c r="M82" s="376">
        <f>IFERROR(SUM(M75,M78)/COUNTS!M$45,0)</f>
        <v>0.45</v>
      </c>
      <c r="N82" s="376">
        <f>IFERROR(SUM(N75,N78)/COUNTS!N$45,0)</f>
        <v>0.45</v>
      </c>
    </row>
    <row r="83" spans="1:14" s="10" customFormat="1" x14ac:dyDescent="0.2">
      <c r="D83" s="53" t="str">
        <f>Lang_Total_SmallLetter&amp;" "&amp;D$73&amp;" "&amp;Lang_Number_Receiving_Vacc&amp;" ("&amp;C$69&amp;")"</f>
        <v>Total Target Group Name1 Number Receiving Vaccination (HPV 2)</v>
      </c>
      <c r="F83" s="50" t="str">
        <f>Lang_AutoCal_Number_Receiving_Vacc</f>
        <v>(AUTOCALCULATED) # RECEIVING VACCINATION &gt;&gt;</v>
      </c>
      <c r="J83" s="367">
        <f t="shared" ref="J83:N83" si="5">J35-(J35*J80)</f>
        <v>44999.55</v>
      </c>
      <c r="K83" s="367">
        <f t="shared" si="5"/>
        <v>46349.999999999993</v>
      </c>
      <c r="L83" s="367">
        <f t="shared" si="5"/>
        <v>47740.05</v>
      </c>
      <c r="M83" s="367">
        <f t="shared" si="5"/>
        <v>49172.4</v>
      </c>
      <c r="N83" s="367">
        <f t="shared" si="5"/>
        <v>50647.5</v>
      </c>
    </row>
    <row r="84" spans="1:14" s="10" customFormat="1" x14ac:dyDescent="0.2"/>
    <row r="85" spans="1:14" s="10" customFormat="1" x14ac:dyDescent="0.2"/>
    <row r="86" spans="1:14" s="10" customFormat="1" x14ac:dyDescent="0.2"/>
    <row r="87" spans="1:14" s="10" customFormat="1" x14ac:dyDescent="0.2">
      <c r="D87" s="74" t="str">
        <f>Lang_Source_Of_Information_Notes</f>
        <v>Notes and Sources of Information</v>
      </c>
    </row>
    <row r="88" spans="1:14" s="10" customFormat="1" ht="12" customHeight="1" x14ac:dyDescent="0.2">
      <c r="D88" s="482" t="s">
        <v>596</v>
      </c>
      <c r="E88" s="482"/>
      <c r="F88" s="482"/>
    </row>
    <row r="89" spans="1:14" s="10" customFormat="1" ht="12" customHeight="1" x14ac:dyDescent="0.2">
      <c r="D89" s="482" t="s">
        <v>596</v>
      </c>
      <c r="E89" s="482"/>
      <c r="F89" s="482"/>
    </row>
    <row r="90" spans="1:14" s="10" customFormat="1" ht="12" customHeight="1" x14ac:dyDescent="0.2">
      <c r="D90" s="482" t="s">
        <v>596</v>
      </c>
      <c r="E90" s="482"/>
      <c r="F90" s="482"/>
    </row>
    <row r="91" spans="1:14" s="10" customFormat="1" ht="12" customHeight="1" x14ac:dyDescent="0.2">
      <c r="D91" s="482" t="s">
        <v>596</v>
      </c>
      <c r="E91" s="482"/>
      <c r="F91" s="482"/>
    </row>
    <row r="92" spans="1:14" s="10" customFormat="1" x14ac:dyDescent="0.2"/>
    <row r="93" spans="1:14" s="10" customFormat="1" x14ac:dyDescent="0.2">
      <c r="A93" s="12" t="s">
        <v>125</v>
      </c>
      <c r="B93" s="13" t="str">
        <f>Lang_Coverage_Projections&amp;" - "&amp;CVG_Lu!$D$32&amp;" "&amp;CVG_Lu!$D$19</f>
        <v>Coverage Projections - HPV 2 Target Group Name2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</row>
    <row r="94" spans="1:14" s="10" customFormat="1" x14ac:dyDescent="0.2"/>
    <row r="95" spans="1:14" s="10" customFormat="1" x14ac:dyDescent="0.2">
      <c r="C95" s="65" t="str">
        <f>CVG_Lu!$D$32</f>
        <v>HPV 2</v>
      </c>
    </row>
    <row r="96" spans="1:14" s="10" customFormat="1" x14ac:dyDescent="0.2"/>
    <row r="97" spans="4:14" s="10" customFormat="1" x14ac:dyDescent="0.2">
      <c r="D97" s="326" t="str">
        <f>Lang_Drop_Out_Rate&amp;" "&amp;CVG_Lu!$D$31&amp;" "&amp;Lang_To&amp;" "&amp;CVG_Lu!$D$32&amp;" "&amp;Lang_For&amp;" "&amp;CVG_Lu!$D$19&amp;" ("&amp;Lang_Projection&amp;")"</f>
        <v>Drop-Out Rate HPV 1 to HPV 2 for Target Group Name2 (Projection)</v>
      </c>
    </row>
    <row r="98" spans="4:14" s="10" customFormat="1" x14ac:dyDescent="0.2"/>
    <row r="99" spans="4:14" s="10" customFormat="1" x14ac:dyDescent="0.2">
      <c r="D99" s="71" t="str">
        <f>CVG_Lu!$D$19&amp;" "&amp;Lang_Subgroups</f>
        <v>Target Group Name2 Subgroups</v>
      </c>
    </row>
    <row r="100" spans="4:14" s="10" customFormat="1" x14ac:dyDescent="0.2">
      <c r="D100" s="135" t="str">
        <f>D99&amp;" - "&amp;CVG_Lu!$D$25&amp;" ("&amp;Lang_Projection&amp;")"</f>
        <v>Target Group Name2 Subgroups - IN-SCHOOL (Projection)</v>
      </c>
      <c r="J100" s="131">
        <v>0.1</v>
      </c>
      <c r="K100" s="131">
        <v>0.1</v>
      </c>
      <c r="L100" s="131">
        <v>0.1</v>
      </c>
      <c r="M100" s="131">
        <v>0.1</v>
      </c>
      <c r="N100" s="131">
        <v>0.1</v>
      </c>
    </row>
    <row r="101" spans="4:14" s="10" customFormat="1" x14ac:dyDescent="0.2">
      <c r="F101" s="50" t="str">
        <f>Lang_AutoCal_Number_Receiving_Vacc</f>
        <v>(AUTOCALCULATED) # RECEIVING VACCINATION &gt;&gt;</v>
      </c>
      <c r="J101" s="42">
        <f>J52-(J52*J100)</f>
        <v>13500</v>
      </c>
      <c r="K101" s="42">
        <f>K52-(K52*K100)</f>
        <v>22500</v>
      </c>
      <c r="L101" s="42">
        <f>L52-(L52*L100)</f>
        <v>18000</v>
      </c>
      <c r="M101" s="42">
        <f>M52-(M52*M100)</f>
        <v>13500</v>
      </c>
      <c r="N101" s="42">
        <f>N52-(N52*N100)</f>
        <v>4500</v>
      </c>
    </row>
    <row r="102" spans="4:14" s="10" customFormat="1" x14ac:dyDescent="0.2"/>
    <row r="103" spans="4:14" s="10" customFormat="1" x14ac:dyDescent="0.2">
      <c r="D103" s="128" t="str">
        <f>D$99&amp;" - "&amp;CVG_Lu!$D$26&amp;" ("&amp;Lang_Projection&amp;")"</f>
        <v>Target Group Name2 Subgroups - OUT OF SCHOOL (Projection)</v>
      </c>
      <c r="J103" s="131">
        <v>0.1</v>
      </c>
      <c r="K103" s="131">
        <v>0.1</v>
      </c>
      <c r="L103" s="131">
        <v>0.1</v>
      </c>
      <c r="M103" s="131">
        <v>0.1</v>
      </c>
      <c r="N103" s="131">
        <v>0.1</v>
      </c>
    </row>
    <row r="104" spans="4:14" s="10" customFormat="1" x14ac:dyDescent="0.2">
      <c r="F104" s="50" t="str">
        <f>Lang_AutoCal_Number_Receiving_Vacc</f>
        <v>(AUTOCALCULATED) # RECEIVING VACCINATION &gt;&gt;</v>
      </c>
      <c r="J104" s="42">
        <f>J55-(J55*J103)</f>
        <v>31499.55</v>
      </c>
      <c r="K104" s="42">
        <f>K55-(K55*K103)</f>
        <v>22500</v>
      </c>
      <c r="L104" s="42">
        <f>L55-(L55*L103)</f>
        <v>26999.55</v>
      </c>
      <c r="M104" s="42">
        <f>M55-(M55*M103)</f>
        <v>31499.55</v>
      </c>
      <c r="N104" s="42">
        <f>N55-(N55*N103)</f>
        <v>40499.550000000003</v>
      </c>
    </row>
    <row r="105" spans="4:14" s="10" customFormat="1" x14ac:dyDescent="0.2"/>
    <row r="106" spans="4:14" s="10" customFormat="1" x14ac:dyDescent="0.2">
      <c r="D106" s="53" t="str">
        <f>Lang_Total_SmallLetter&amp;" "&amp;D97</f>
        <v>Total Drop-Out Rate HPV 1 to HPV 2 for Target Group Name2 (Projection)</v>
      </c>
      <c r="F106" s="50" t="str">
        <f>Lang_AutoCal_Drop_Out_Rate</f>
        <v>(AUTOCALCULATED) Drop-Out Rate &gt;&gt;</v>
      </c>
      <c r="J106" s="234">
        <f>IFERROR(1-SUM(J$101,J$104)/SUM(J$52,J55),0)</f>
        <v>9.9999999999999978E-2</v>
      </c>
      <c r="K106" s="234">
        <f>IFERROR(1-SUM(K$101,K$104)/SUM(K$52,K55),0)</f>
        <v>9.9999999999999978E-2</v>
      </c>
      <c r="L106" s="234">
        <f>IFERROR(1-SUM(L$101,L$104)/SUM(L$52,L55),0)</f>
        <v>9.9999999999999978E-2</v>
      </c>
      <c r="M106" s="234">
        <f>IFERROR(1-SUM(M$101,M$104)/SUM(M$52,M55),0)</f>
        <v>9.9999999999999978E-2</v>
      </c>
      <c r="N106" s="234">
        <f>IFERROR(1-SUM(N$101,N$104)/SUM(N$52,N55),0)</f>
        <v>9.9999999999999978E-2</v>
      </c>
    </row>
    <row r="107" spans="4:14" s="10" customFormat="1" x14ac:dyDescent="0.2"/>
    <row r="108" spans="4:14" s="10" customFormat="1" x14ac:dyDescent="0.2">
      <c r="F108" s="50" t="str">
        <f>Lang_AutoCal_Proportion_Of_All_Receiving_Vacc</f>
        <v>(AUTOCALCULATED) Proportion of all RECEIVING VACCINATION &gt;&gt;</v>
      </c>
      <c r="J108" s="376">
        <f>IFERROR(SUM(J101,J104)/COUNTS!J$63,0)</f>
        <v>0.45</v>
      </c>
      <c r="K108" s="376">
        <f>IFERROR(SUM(K101,K104)/COUNTS!K$63,0)</f>
        <v>0.45000450004500048</v>
      </c>
      <c r="L108" s="376">
        <f>IFERROR(SUM(L101,L104)/COUNTS!L$63,0)</f>
        <v>0.45</v>
      </c>
      <c r="M108" s="376">
        <f>IFERROR(SUM(M101,M104)/COUNTS!M$63,0)</f>
        <v>0.45</v>
      </c>
      <c r="N108" s="376">
        <f>IFERROR(SUM(N101,N104)/COUNTS!N$63,0)</f>
        <v>0.45</v>
      </c>
    </row>
    <row r="109" spans="4:14" s="10" customFormat="1" x14ac:dyDescent="0.2">
      <c r="D109" s="53" t="str">
        <f>Lang_Total_SmallLetter&amp;" "&amp;CVG_Lu!$D$19&amp;" "&amp;Lang_Number_Receiving_Vacc&amp;" ("&amp;C$95&amp;")"</f>
        <v>Total Target Group Name2 Number Receiving Vaccination (HPV 2)</v>
      </c>
      <c r="F109" s="50" t="str">
        <f>Lang_AutoCal_Number_Receiving_Vacc</f>
        <v>(AUTOCALCULATED) # RECEIVING VACCINATION &gt;&gt;</v>
      </c>
      <c r="J109" s="367">
        <f t="shared" ref="J109:N109" si="6">SUM(J$101,J$104)</f>
        <v>44999.55</v>
      </c>
      <c r="K109" s="367">
        <f t="shared" si="6"/>
        <v>45000</v>
      </c>
      <c r="L109" s="367">
        <f t="shared" si="6"/>
        <v>44999.55</v>
      </c>
      <c r="M109" s="367">
        <f t="shared" si="6"/>
        <v>44999.55</v>
      </c>
      <c r="N109" s="367">
        <f t="shared" si="6"/>
        <v>44999.55</v>
      </c>
    </row>
    <row r="110" spans="4:14" s="10" customFormat="1" x14ac:dyDescent="0.2"/>
    <row r="111" spans="4:14" s="10" customFormat="1" x14ac:dyDescent="0.2"/>
    <row r="112" spans="4:14" s="10" customFormat="1" x14ac:dyDescent="0.2">
      <c r="D112" s="74" t="str">
        <f>Lang_Source_Of_Information_Notes</f>
        <v>Notes and Sources of Information</v>
      </c>
    </row>
    <row r="113" spans="1:14" s="10" customFormat="1" ht="12" customHeight="1" x14ac:dyDescent="0.2">
      <c r="D113" s="482" t="s">
        <v>596</v>
      </c>
      <c r="E113" s="482"/>
      <c r="F113" s="482"/>
    </row>
    <row r="114" spans="1:14" s="10" customFormat="1" ht="12" customHeight="1" x14ac:dyDescent="0.2">
      <c r="D114" s="482" t="s">
        <v>596</v>
      </c>
      <c r="E114" s="482"/>
      <c r="F114" s="482"/>
    </row>
    <row r="115" spans="1:14" s="10" customFormat="1" ht="12" customHeight="1" x14ac:dyDescent="0.2">
      <c r="D115" s="482" t="s">
        <v>596</v>
      </c>
      <c r="E115" s="482"/>
      <c r="F115" s="482"/>
    </row>
    <row r="116" spans="1:14" s="10" customFormat="1" ht="12" customHeight="1" x14ac:dyDescent="0.2">
      <c r="D116" s="482" t="s">
        <v>596</v>
      </c>
      <c r="E116" s="482"/>
      <c r="F116" s="482"/>
    </row>
    <row r="117" spans="1:14" s="10" customFormat="1" x14ac:dyDescent="0.2"/>
    <row r="118" spans="1:14" s="10" customFormat="1" x14ac:dyDescent="0.2">
      <c r="A118" s="12" t="s">
        <v>125</v>
      </c>
      <c r="B118" s="13" t="str">
        <f>Lang_Coverage_Summary_Of_Projected_Assumptions</f>
        <v>Coverage - Summary of Projected Assumptions</v>
      </c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</row>
    <row r="119" spans="1:14" s="10" customFormat="1" x14ac:dyDescent="0.2"/>
    <row r="120" spans="1:14" s="10" customFormat="1" x14ac:dyDescent="0.2"/>
    <row r="121" spans="1:14" s="10" customFormat="1" x14ac:dyDescent="0.2">
      <c r="D121" s="105" t="str">
        <f>CVG_Lu!$D$31&amp;" "&amp;Lang_Vacc_Received_By_All_Target_Pop_Through_Any_Service_Delivery_Method_From_Coverage_Assumptions_Projected</f>
        <v>HPV 1 Vaccinations Received by All Target Populations through ANY Service Delivery Method (from Coverage Assumptions) (Projected)</v>
      </c>
      <c r="J121" s="344">
        <f>SUM(J35,J58)</f>
        <v>99999</v>
      </c>
      <c r="K121" s="344">
        <f>SUM(K35,K58)</f>
        <v>101500</v>
      </c>
      <c r="L121" s="344">
        <f>SUM(L35,L58)</f>
        <v>103044</v>
      </c>
      <c r="M121" s="344">
        <f>SUM(M35,M58)</f>
        <v>104635.5</v>
      </c>
      <c r="N121" s="344">
        <f>SUM(N35,N58)</f>
        <v>106274.5</v>
      </c>
    </row>
    <row r="122" spans="1:14" s="10" customFormat="1" x14ac:dyDescent="0.2">
      <c r="D122" s="132" t="str">
        <f>CVG_Lu!$D$31&amp;" "&amp;Lang_Vacc_Received_By&amp;" "&amp;CVG_Lu!$D$25&amp;" "&amp;Lang_Pop_SmallLetter</f>
        <v>HPV 1 Vaccinations Received by IN-SCHOOL Populations</v>
      </c>
      <c r="J122" s="42">
        <f>SUM(J29,J52)</f>
        <v>35000</v>
      </c>
      <c r="K122" s="42">
        <f>SUM(K29,K52)</f>
        <v>50750</v>
      </c>
      <c r="L122" s="42">
        <f>SUM(L29,L52)</f>
        <v>41218</v>
      </c>
      <c r="M122" s="42">
        <f>SUM(M29,M52)</f>
        <v>31391</v>
      </c>
      <c r="N122" s="42">
        <f>SUM(N29,N52)</f>
        <v>61275</v>
      </c>
    </row>
    <row r="123" spans="1:14" s="10" customFormat="1" x14ac:dyDescent="0.2">
      <c r="D123" s="132" t="str">
        <f>CVG_Lu!$D$31&amp;" "&amp;Lang_Vacc_Received_By&amp;" "&amp;CVG_Lu!$D$26&amp;" "&amp;Lang_Pop_SmallLetter</f>
        <v>HPV 1 Vaccinations Received by OUT OF SCHOOL Populations</v>
      </c>
      <c r="J123" s="42">
        <f>SUM(J32,J55)</f>
        <v>64999</v>
      </c>
      <c r="K123" s="42">
        <f>SUM(K32,K55)</f>
        <v>50750</v>
      </c>
      <c r="L123" s="42">
        <f>SUM(L32,L55)</f>
        <v>61826</v>
      </c>
      <c r="M123" s="42">
        <f>SUM(M32,M55)</f>
        <v>73244.5</v>
      </c>
      <c r="N123" s="42">
        <f>SUM(N32,N55)</f>
        <v>44999.5</v>
      </c>
    </row>
    <row r="124" spans="1:14" s="10" customFormat="1" x14ac:dyDescent="0.2"/>
    <row r="125" spans="1:14" s="10" customFormat="1" x14ac:dyDescent="0.2"/>
    <row r="126" spans="1:14" s="10" customFormat="1" x14ac:dyDescent="0.2">
      <c r="D126" s="105" t="str">
        <f>CVG_Lu!$D$32&amp;Lang_Vacc_Received_By_All_Target_Pop_Through_Any_Service_Delivery_Method_From_Coverage_Assumptions_Projected</f>
        <v>HPV 2Vaccinations Received by All Target Populations through ANY Service Delivery Method (from Coverage Assumptions) (Projected)</v>
      </c>
      <c r="J126" s="344">
        <f>SUM(J83,J109)</f>
        <v>89999.1</v>
      </c>
      <c r="K126" s="344">
        <f>SUM(K83,K109)</f>
        <v>91350</v>
      </c>
      <c r="L126" s="344">
        <f>SUM(L83,L109)</f>
        <v>92739.6</v>
      </c>
      <c r="M126" s="344">
        <f>SUM(M83,M109)</f>
        <v>94171.950000000012</v>
      </c>
      <c r="N126" s="344">
        <f>SUM(N83,N109)</f>
        <v>95647.05</v>
      </c>
    </row>
    <row r="127" spans="1:14" s="10" customFormat="1" x14ac:dyDescent="0.2">
      <c r="D127" s="132" t="str">
        <f>CVG_Lu!$D$32&amp;" "&amp;Lang_Vacc_Received_By&amp;" "&amp;CVG_Lu!$D$25&amp;" "&amp;Lang_Pop_SmallLetter</f>
        <v>HPV 2 Vaccinations Received by IN-SCHOOL Populations</v>
      </c>
      <c r="J127" s="42">
        <f>SUM(J75,J101)</f>
        <v>31500</v>
      </c>
      <c r="K127" s="42">
        <f>SUM(K75,K101)</f>
        <v>45675</v>
      </c>
      <c r="L127" s="42">
        <f>SUM(L75,L101)</f>
        <v>37096.199999999997</v>
      </c>
      <c r="M127" s="42">
        <f>SUM(M75,M101)</f>
        <v>28251.9</v>
      </c>
      <c r="N127" s="42">
        <f>SUM(N75,N101)</f>
        <v>55147.5</v>
      </c>
    </row>
    <row r="128" spans="1:14" s="10" customFormat="1" x14ac:dyDescent="0.2">
      <c r="D128" s="132" t="str">
        <f>CVG_Lu!$D$32&amp;" "&amp;Lang_Vacc_Received_By&amp;" "&amp;CVG_Lu!$D$26&amp;" "&amp;Lang_Pop_SmallLetter</f>
        <v>HPV 2 Vaccinations Received by OUT OF SCHOOL Populations</v>
      </c>
      <c r="J128" s="42">
        <f>SUM(J78,J104)</f>
        <v>58499.1</v>
      </c>
      <c r="K128" s="42">
        <f>SUM(K78,K104)</f>
        <v>45675</v>
      </c>
      <c r="L128" s="42">
        <f>SUM(L78,L104)</f>
        <v>55643.399999999994</v>
      </c>
      <c r="M128" s="42">
        <f>SUM(M78,M104)</f>
        <v>65920.05</v>
      </c>
      <c r="N128" s="42">
        <f>SUM(N78,N104)</f>
        <v>40499.550000000003</v>
      </c>
    </row>
    <row r="129" spans="1:14" s="10" customFormat="1" x14ac:dyDescent="0.2"/>
    <row r="130" spans="1:14" s="10" customFormat="1" x14ac:dyDescent="0.2"/>
    <row r="131" spans="1:14" s="10" customFormat="1" x14ac:dyDescent="0.2">
      <c r="D131" s="55" t="str">
        <f>Lang_Total_Vacc_Received_By_All_Target_Pop_Through_Any_Service_Delivery_Method_From_Coverage_Assumptions_Projected</f>
        <v>Total Vaccinations Received by All Target Populations through ANY Service Delivery Method (from Coverage Assumptions) (Projected)</v>
      </c>
      <c r="J131" s="344">
        <f>SUM(J35,J58,J83,J109)</f>
        <v>189998.09999999998</v>
      </c>
      <c r="K131" s="344">
        <f>SUM(K35,K58,K83,K109)</f>
        <v>192850</v>
      </c>
      <c r="L131" s="344">
        <f>SUM(L35,L58,L83,L109)</f>
        <v>195783.59999999998</v>
      </c>
      <c r="M131" s="344">
        <f>SUM(M35,M58,M83,M109)</f>
        <v>198807.45</v>
      </c>
      <c r="N131" s="344">
        <f>SUM(N35,N58,N83,N109)</f>
        <v>201921.55</v>
      </c>
    </row>
    <row r="132" spans="1:14" s="10" customFormat="1" x14ac:dyDescent="0.2">
      <c r="D132" s="132" t="str">
        <f>Lang_Vacc_Received_By&amp;" "&amp;CVG_Lu!$D$25&amp;" "&amp;Lang_Pop_SmallLetter</f>
        <v>Vaccinations Received by IN-SCHOOL Populations</v>
      </c>
      <c r="J132" s="42">
        <f>SUM(J29,J52,J75,J101)</f>
        <v>66500</v>
      </c>
      <c r="K132" s="42">
        <f>SUM(K29,K52,K75,K101)</f>
        <v>96425</v>
      </c>
      <c r="L132" s="42">
        <f>SUM(L29,L52,L75,L101)</f>
        <v>78314.2</v>
      </c>
      <c r="M132" s="42">
        <f>SUM(M29,M52,M75,M101)</f>
        <v>59642.9</v>
      </c>
      <c r="N132" s="42">
        <f>SUM(N29,N52,N75,N101)</f>
        <v>116422.5</v>
      </c>
    </row>
    <row r="133" spans="1:14" s="10" customFormat="1" x14ac:dyDescent="0.2">
      <c r="D133" s="132" t="str">
        <f>Lang_Vacc_Received_By&amp;" "&amp;CVG_Lu!$D$26&amp;" "&amp;Lang_Pop_SmallLetter</f>
        <v>Vaccinations Received by OUT OF SCHOOL Populations</v>
      </c>
      <c r="J133" s="42">
        <f>SUM(J32,J55,J78,J104)</f>
        <v>123498.1</v>
      </c>
      <c r="K133" s="42">
        <f>SUM(K32,K55,K78,K104)</f>
        <v>96425</v>
      </c>
      <c r="L133" s="42">
        <f>SUM(L32,L55,L78,L104)</f>
        <v>117469.40000000001</v>
      </c>
      <c r="M133" s="42">
        <f>SUM(M32,M55,M78,M104)</f>
        <v>139164.54999999999</v>
      </c>
      <c r="N133" s="42">
        <f>SUM(N32,N55,N78,N104)</f>
        <v>85499.05</v>
      </c>
    </row>
    <row r="134" spans="1:14" s="10" customFormat="1" x14ac:dyDescent="0.2"/>
    <row r="135" spans="1:14" s="10" customFormat="1" x14ac:dyDescent="0.2"/>
    <row r="136" spans="1:14" s="10" customFormat="1" x14ac:dyDescent="0.2"/>
    <row r="137" spans="1:14" s="10" customFormat="1" x14ac:dyDescent="0.2">
      <c r="A137" s="12" t="s">
        <v>125</v>
      </c>
      <c r="B137" s="13" t="str">
        <f>C140</f>
        <v>Retrospective Coverage - Insert the actual quantity of vaccine doses administered.</v>
      </c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</row>
    <row r="138" spans="1:14" s="10" customFormat="1" x14ac:dyDescent="0.2"/>
    <row r="139" spans="1:14" s="10" customFormat="1" x14ac:dyDescent="0.2"/>
    <row r="140" spans="1:14" s="10" customFormat="1" x14ac:dyDescent="0.2">
      <c r="C140" s="74" t="str">
        <f>Lang_Retrospective_Coverage_Insert_The_Actual_Quantity_Of_Vaccine_Doses_Administered</f>
        <v>Retrospective Coverage - Insert the actual quantity of vaccine doses administered.</v>
      </c>
    </row>
    <row r="141" spans="1:14" s="10" customFormat="1" x14ac:dyDescent="0.2"/>
    <row r="142" spans="1:14" s="10" customFormat="1" x14ac:dyDescent="0.2">
      <c r="A142" s="12" t="s">
        <v>125</v>
      </c>
      <c r="B142" s="13" t="str">
        <f>Lang_Coverage_Number_Retrospective_Data&amp;" - "&amp;CVG_Lu!$D$31&amp;" "&amp;CVG_Lu!$D$18</f>
        <v>Coverage (#) Retrospective Data - HPV 1 Target Group Name1</v>
      </c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</row>
    <row r="143" spans="1:14" s="10" customFormat="1" x14ac:dyDescent="0.2"/>
    <row r="144" spans="1:14" s="10" customFormat="1" x14ac:dyDescent="0.2">
      <c r="C144" s="114" t="str">
        <f>CVG_Lu!$D$31</f>
        <v>HPV 1</v>
      </c>
    </row>
    <row r="145" spans="4:14" s="10" customFormat="1" x14ac:dyDescent="0.2"/>
    <row r="146" spans="4:14" s="10" customFormat="1" x14ac:dyDescent="0.2">
      <c r="D146" s="55" t="str">
        <f>Lang_Number_Receiving_Vacc_Retrospective_Data</f>
        <v>Number Receiving Vaccination (Retrospective Data)</v>
      </c>
    </row>
    <row r="147" spans="4:14" s="10" customFormat="1" x14ac:dyDescent="0.2"/>
    <row r="148" spans="4:14" s="10" customFormat="1" x14ac:dyDescent="0.2">
      <c r="D148" s="114" t="str">
        <f>CVG_Lu!$D$18</f>
        <v>Target Group Name1</v>
      </c>
      <c r="J148" s="129" t="str">
        <f>"MAX ="&amp;COUNTS!J105</f>
        <v>MAX =50000</v>
      </c>
      <c r="K148" s="129" t="str">
        <f>"MAX ="&amp;COUNTS!K105</f>
        <v>MAX =50000</v>
      </c>
      <c r="L148" s="129" t="str">
        <f>"MAX ="&amp;COUNTS!L105</f>
        <v>MAX =50000</v>
      </c>
      <c r="M148" s="129" t="str">
        <f>"MAX ="&amp;COUNTS!M105</f>
        <v>MAX =50000</v>
      </c>
      <c r="N148" s="129" t="str">
        <f>"MAX ="&amp;COUNTS!N105</f>
        <v>MAX =50000</v>
      </c>
    </row>
    <row r="149" spans="4:14" s="10" customFormat="1" x14ac:dyDescent="0.2">
      <c r="D149" s="128" t="str">
        <f>CVG_Lu!$D$25&amp;" ("&amp;Lang_Retrospective_Data&amp;")"</f>
        <v>IN-SCHOOL (Retrospective Data)</v>
      </c>
      <c r="J149" s="77">
        <v>12345</v>
      </c>
      <c r="K149" s="77">
        <v>12345</v>
      </c>
      <c r="L149" s="77">
        <v>12345</v>
      </c>
      <c r="M149" s="77">
        <v>12345</v>
      </c>
      <c r="N149" s="77">
        <v>12345</v>
      </c>
    </row>
    <row r="150" spans="4:14" s="10" customFormat="1" x14ac:dyDescent="0.2">
      <c r="F150" s="50" t="str">
        <f>Lang_AutoCal_Percent_Receiving_Vacc</f>
        <v>(AUTOCALCULATED) % RECEIVING VACCINATION &gt;&gt;</v>
      </c>
      <c r="J150" s="234">
        <f>IFERROR(J149/COUNTS!J105,0)</f>
        <v>0.24690000000000001</v>
      </c>
      <c r="K150" s="234">
        <f>IFERROR(K149/COUNTS!K105,0)</f>
        <v>0.24690000000000001</v>
      </c>
      <c r="L150" s="234">
        <f>IFERROR(L149/COUNTS!L105,0)</f>
        <v>0.24690000000000001</v>
      </c>
      <c r="M150" s="234">
        <f>IFERROR(M149/COUNTS!M105,0)</f>
        <v>0.24690000000000001</v>
      </c>
      <c r="N150" s="234">
        <f>IFERROR(N149/COUNTS!N105,0)</f>
        <v>0.24690000000000001</v>
      </c>
    </row>
    <row r="151" spans="4:14" s="10" customFormat="1" x14ac:dyDescent="0.2">
      <c r="F151" s="50" t="str">
        <f>Lang_Error_Check</f>
        <v>ERROR CHECK</v>
      </c>
      <c r="H151" s="145">
        <f>IF(ISERROR(SUM(J151:N151)),1,MIN(SUM(J151:N151),1))</f>
        <v>0</v>
      </c>
      <c r="J151" s="42">
        <f t="shared" ref="J151:N151" si="7">IF(J150&gt;1,1,0)</f>
        <v>0</v>
      </c>
      <c r="K151" s="42">
        <f t="shared" si="7"/>
        <v>0</v>
      </c>
      <c r="L151" s="42">
        <f t="shared" si="7"/>
        <v>0</v>
      </c>
      <c r="M151" s="42">
        <f t="shared" si="7"/>
        <v>0</v>
      </c>
      <c r="N151" s="42">
        <f t="shared" si="7"/>
        <v>0</v>
      </c>
    </row>
    <row r="152" spans="4:14" s="10" customFormat="1" x14ac:dyDescent="0.2">
      <c r="J152" s="134" t="str">
        <f>"MAX ="&amp;COUNTS!J107</f>
        <v>MAX =49999</v>
      </c>
      <c r="K152" s="134" t="str">
        <f>"MAX ="&amp;COUNTS!K107</f>
        <v>MAX =49999</v>
      </c>
      <c r="L152" s="134" t="str">
        <f>"MAX ="&amp;COUNTS!L107</f>
        <v>MAX =49999</v>
      </c>
      <c r="M152" s="134" t="str">
        <f>"MAX ="&amp;COUNTS!M107</f>
        <v>MAX =49999</v>
      </c>
      <c r="N152" s="134" t="str">
        <f>"MAX ="&amp;COUNTS!N107</f>
        <v>MAX =49999</v>
      </c>
    </row>
    <row r="153" spans="4:14" s="10" customFormat="1" x14ac:dyDescent="0.2">
      <c r="D153" s="128" t="str">
        <f>CVG_Lu!$D$26&amp;" ("&amp;Lang_Retrospective_Data&amp;")"</f>
        <v>OUT OF SCHOOL (Retrospective Data)</v>
      </c>
      <c r="J153" s="77">
        <v>12345</v>
      </c>
      <c r="K153" s="77">
        <v>12345</v>
      </c>
      <c r="L153" s="77">
        <v>12345</v>
      </c>
      <c r="M153" s="77">
        <v>12345</v>
      </c>
      <c r="N153" s="77">
        <v>12345</v>
      </c>
    </row>
    <row r="154" spans="4:14" s="10" customFormat="1" x14ac:dyDescent="0.2">
      <c r="F154" s="50" t="str">
        <f>Lang_AutoCal_Percent_Receiving_Vacc</f>
        <v>(AUTOCALCULATED) % RECEIVING VACCINATION &gt;&gt;</v>
      </c>
      <c r="J154" s="234">
        <f>IFERROR(J153/COUNTS!J107,0)</f>
        <v>0.24690493809876199</v>
      </c>
      <c r="K154" s="234">
        <f>IFERROR(K153/COUNTS!K107,0)</f>
        <v>0.24690493809876199</v>
      </c>
      <c r="L154" s="234">
        <f>IFERROR(L153/COUNTS!L107,0)</f>
        <v>0.24690493809876199</v>
      </c>
      <c r="M154" s="234">
        <f>IFERROR(M153/COUNTS!M107,0)</f>
        <v>0.24690493809876199</v>
      </c>
      <c r="N154" s="234">
        <f>IFERROR(N153/COUNTS!N107,0)</f>
        <v>0.24690493809876199</v>
      </c>
    </row>
    <row r="155" spans="4:14" s="10" customFormat="1" x14ac:dyDescent="0.2">
      <c r="F155" s="50" t="str">
        <f>Lang_Error_Check</f>
        <v>ERROR CHECK</v>
      </c>
      <c r="H155" s="145">
        <f>IF(ISERROR(SUM(J155:N155)),1,MIN(SUM(J155:N155),1))</f>
        <v>0</v>
      </c>
      <c r="J155" s="42">
        <f t="shared" ref="J155:N155" si="8">IF(J154&gt;1,1,0)</f>
        <v>0</v>
      </c>
      <c r="K155" s="42">
        <f t="shared" si="8"/>
        <v>0</v>
      </c>
      <c r="L155" s="42">
        <f t="shared" si="8"/>
        <v>0</v>
      </c>
      <c r="M155" s="42">
        <f t="shared" si="8"/>
        <v>0</v>
      </c>
      <c r="N155" s="42">
        <f t="shared" si="8"/>
        <v>0</v>
      </c>
    </row>
    <row r="156" spans="4:14" s="10" customFormat="1" x14ac:dyDescent="0.2"/>
    <row r="157" spans="4:14" s="10" customFormat="1" x14ac:dyDescent="0.2">
      <c r="D157" s="105" t="str">
        <f>Lang_Total_SmallLetter&amp;" "&amp;D148&amp;" "&amp;Lang_Receiving&amp;" "&amp;Lang_Vacc&amp;" ("&amp;Lang_Retrospective_Data&amp;")"</f>
        <v>Total Target Group Name1 Receiving Vaccination (Retrospective Data)</v>
      </c>
      <c r="J157" s="142">
        <f>SUM(J149,J153)</f>
        <v>24690</v>
      </c>
      <c r="K157" s="142">
        <f>SUM(K149,K153)</f>
        <v>24690</v>
      </c>
      <c r="L157" s="142">
        <f>SUM(L149,L153)</f>
        <v>24690</v>
      </c>
      <c r="M157" s="142">
        <f>SUM(M149,M153)</f>
        <v>24690</v>
      </c>
      <c r="N157" s="142">
        <f>SUM(N149,N153)</f>
        <v>24690</v>
      </c>
    </row>
    <row r="158" spans="4:14" s="10" customFormat="1" x14ac:dyDescent="0.2">
      <c r="F158" s="50" t="str">
        <f>Lang_AutoCal_Percent_Receiving_Vacc</f>
        <v>(AUTOCALCULATED) % RECEIVING VACCINATION &gt;&gt;</v>
      </c>
      <c r="J158" s="375">
        <f>IFERROR(SUM(J149,J153)/COUNTS!J$103,0)</f>
        <v>0.24690246902469024</v>
      </c>
      <c r="K158" s="375">
        <f>IFERROR(SUM(K149,K153)/COUNTS!K$103,0)</f>
        <v>0.24690246902469024</v>
      </c>
      <c r="L158" s="375">
        <f>IFERROR(SUM(L149,L153)/COUNTS!L$103,0)</f>
        <v>0.24690246902469024</v>
      </c>
      <c r="M158" s="375">
        <f>IFERROR(SUM(M149,M153)/COUNTS!M$103,0)</f>
        <v>0.24690246902469024</v>
      </c>
      <c r="N158" s="375">
        <f>IFERROR(SUM(N149,N153)/COUNTS!N$103,0)</f>
        <v>0.24690246902469024</v>
      </c>
    </row>
    <row r="159" spans="4:14" s="10" customFormat="1" x14ac:dyDescent="0.2">
      <c r="F159" s="50" t="str">
        <f>Lang_Error_Check</f>
        <v>ERROR CHECK</v>
      </c>
      <c r="H159" s="145">
        <f>IF(ISERROR(SUM(J159:N159)),1,MIN(SUM(J159:N159),1))</f>
        <v>0</v>
      </c>
      <c r="J159" s="42">
        <f t="shared" ref="J159:N159" si="9">IF(J158&gt;1,1,0)</f>
        <v>0</v>
      </c>
      <c r="K159" s="42">
        <f t="shared" si="9"/>
        <v>0</v>
      </c>
      <c r="L159" s="42">
        <f t="shared" si="9"/>
        <v>0</v>
      </c>
      <c r="M159" s="42">
        <f t="shared" si="9"/>
        <v>0</v>
      </c>
      <c r="N159" s="42">
        <f t="shared" si="9"/>
        <v>0</v>
      </c>
    </row>
    <row r="160" spans="4:14" s="10" customFormat="1" x14ac:dyDescent="0.2"/>
    <row r="161" spans="1:14" s="10" customFormat="1" x14ac:dyDescent="0.2">
      <c r="D161" s="74" t="str">
        <f>Lang_Source_Of_Information_Notes</f>
        <v>Notes and Sources of Information</v>
      </c>
    </row>
    <row r="162" spans="1:14" s="10" customFormat="1" x14ac:dyDescent="0.2">
      <c r="D162" s="482" t="s">
        <v>596</v>
      </c>
      <c r="E162" s="482"/>
      <c r="F162" s="482"/>
    </row>
    <row r="163" spans="1:14" s="10" customFormat="1" x14ac:dyDescent="0.2">
      <c r="D163" s="482" t="s">
        <v>596</v>
      </c>
      <c r="E163" s="482"/>
      <c r="F163" s="482"/>
    </row>
    <row r="164" spans="1:14" s="10" customFormat="1" x14ac:dyDescent="0.2">
      <c r="D164" s="482" t="s">
        <v>596</v>
      </c>
      <c r="E164" s="482"/>
      <c r="F164" s="482"/>
    </row>
    <row r="165" spans="1:14" s="10" customFormat="1" x14ac:dyDescent="0.2">
      <c r="D165" s="482" t="s">
        <v>596</v>
      </c>
      <c r="E165" s="482"/>
      <c r="F165" s="482"/>
    </row>
    <row r="166" spans="1:14" s="10" customFormat="1" x14ac:dyDescent="0.2"/>
    <row r="167" spans="1:14" s="10" customFormat="1" x14ac:dyDescent="0.2">
      <c r="A167" s="12" t="s">
        <v>125</v>
      </c>
      <c r="B167" s="13" t="str">
        <f>Lang_Coverage_Number_Retrospective_Data&amp;" - "&amp;CVG_Lu!$D$31&amp;" "&amp;CVG_Lu!$D$19</f>
        <v>Coverage (#) Retrospective Data - HPV 1 Target Group Name2</v>
      </c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</row>
    <row r="168" spans="1:14" s="10" customFormat="1" x14ac:dyDescent="0.2"/>
    <row r="169" spans="1:14" s="10" customFormat="1" x14ac:dyDescent="0.2">
      <c r="C169" s="114" t="str">
        <f>CVG_Lu!$D$31</f>
        <v>HPV 1</v>
      </c>
    </row>
    <row r="170" spans="1:14" s="10" customFormat="1" x14ac:dyDescent="0.2"/>
    <row r="171" spans="1:14" s="10" customFormat="1" x14ac:dyDescent="0.2">
      <c r="D171" s="55" t="str">
        <f>Lang_Number_Receiving_Vacc_Retrospective_Data</f>
        <v>Number Receiving Vaccination (Retrospective Data)</v>
      </c>
    </row>
    <row r="172" spans="1:14" s="10" customFormat="1" x14ac:dyDescent="0.2"/>
    <row r="173" spans="1:14" s="10" customFormat="1" x14ac:dyDescent="0.2">
      <c r="D173" s="114" t="str">
        <f>CVG_Lu!$D$19</f>
        <v>Target Group Name2</v>
      </c>
      <c r="J173" s="129" t="str">
        <f>"MAX ="&amp;COUNTS!J121</f>
        <v>MAX =50000</v>
      </c>
      <c r="K173" s="129" t="str">
        <f>"MAX ="&amp;COUNTS!K121</f>
        <v>MAX =50000</v>
      </c>
      <c r="L173" s="129" t="str">
        <f>"MAX ="&amp;COUNTS!L121</f>
        <v>MAX =50000</v>
      </c>
      <c r="M173" s="129" t="str">
        <f>"MAX ="&amp;COUNTS!M121</f>
        <v>MAX =50000</v>
      </c>
      <c r="N173" s="129" t="str">
        <f>"MAX ="&amp;COUNTS!N121</f>
        <v>MAX =50000</v>
      </c>
    </row>
    <row r="174" spans="1:14" s="10" customFormat="1" x14ac:dyDescent="0.2">
      <c r="D174" s="128" t="str">
        <f>CVG_Lu!$D$25&amp;" ("&amp;Lang_Retrospective_Data&amp;")"</f>
        <v>IN-SCHOOL (Retrospective Data)</v>
      </c>
      <c r="J174" s="77">
        <v>12345</v>
      </c>
      <c r="K174" s="77">
        <v>12345</v>
      </c>
      <c r="L174" s="77">
        <v>12345</v>
      </c>
      <c r="M174" s="77">
        <v>12345</v>
      </c>
      <c r="N174" s="77">
        <v>12345</v>
      </c>
    </row>
    <row r="175" spans="1:14" s="10" customFormat="1" x14ac:dyDescent="0.2">
      <c r="F175" s="50" t="str">
        <f>Lang_AutoCal_Percent_Receiving_Vacc</f>
        <v>(AUTOCALCULATED) % RECEIVING VACCINATION &gt;&gt;</v>
      </c>
      <c r="J175" s="374">
        <f>IFERROR(J174/COUNTS!J$121,0)</f>
        <v>0.24690000000000001</v>
      </c>
      <c r="K175" s="374">
        <f>IFERROR(K174/COUNTS!K$121,0)</f>
        <v>0.24690000000000001</v>
      </c>
      <c r="L175" s="374">
        <f>IFERROR(L174/COUNTS!L$121,0)</f>
        <v>0.24690000000000001</v>
      </c>
      <c r="M175" s="374">
        <f>IFERROR(M174/COUNTS!M$121,0)</f>
        <v>0.24690000000000001</v>
      </c>
      <c r="N175" s="374">
        <f>IFERROR(N174/COUNTS!N$121,0)</f>
        <v>0.24690000000000001</v>
      </c>
    </row>
    <row r="176" spans="1:14" s="10" customFormat="1" x14ac:dyDescent="0.2">
      <c r="F176" s="50" t="str">
        <f>Lang_Error_Check</f>
        <v>ERROR CHECK</v>
      </c>
      <c r="H176" s="145">
        <f>IF(ISERROR(SUM(J176:N176)),1,MIN(SUM(J176:N176),1))</f>
        <v>0</v>
      </c>
      <c r="J176" s="42">
        <f t="shared" ref="J176:N176" si="10">IF(J175&gt;1,1,0)</f>
        <v>0</v>
      </c>
      <c r="K176" s="42">
        <f t="shared" si="10"/>
        <v>0</v>
      </c>
      <c r="L176" s="42">
        <f t="shared" si="10"/>
        <v>0</v>
      </c>
      <c r="M176" s="42">
        <f t="shared" si="10"/>
        <v>0</v>
      </c>
      <c r="N176" s="42">
        <f t="shared" si="10"/>
        <v>0</v>
      </c>
    </row>
    <row r="177" spans="4:14" s="10" customFormat="1" x14ac:dyDescent="0.2"/>
    <row r="178" spans="4:14" s="10" customFormat="1" x14ac:dyDescent="0.2">
      <c r="J178" s="129" t="str">
        <f>"MAX ="&amp;COUNTS!J123</f>
        <v>MAX =49999</v>
      </c>
      <c r="K178" s="129" t="str">
        <f>"MAX ="&amp;COUNTS!K123</f>
        <v>MAX =49999</v>
      </c>
      <c r="L178" s="129" t="str">
        <f>"MAX ="&amp;COUNTS!L123</f>
        <v>MAX =49999</v>
      </c>
      <c r="M178" s="129" t="str">
        <f>"MAX ="&amp;COUNTS!M123</f>
        <v>MAX =49999</v>
      </c>
      <c r="N178" s="129" t="str">
        <f>"MAX ="&amp;COUNTS!N123</f>
        <v>MAX =49999</v>
      </c>
    </row>
    <row r="179" spans="4:14" s="10" customFormat="1" x14ac:dyDescent="0.2">
      <c r="D179" s="128" t="str">
        <f>CVG_Lu!$D$26&amp;" ("&amp;Lang_Retrospective_Data&amp;")"</f>
        <v>OUT OF SCHOOL (Retrospective Data)</v>
      </c>
      <c r="J179" s="324">
        <v>12345</v>
      </c>
      <c r="K179" s="324">
        <v>12345</v>
      </c>
      <c r="L179" s="324">
        <v>12345</v>
      </c>
      <c r="M179" s="324">
        <v>12345</v>
      </c>
      <c r="N179" s="324">
        <v>12345</v>
      </c>
    </row>
    <row r="180" spans="4:14" s="10" customFormat="1" x14ac:dyDescent="0.2">
      <c r="F180" s="50" t="str">
        <f>Lang_AutoCal_Percent_Receiving_Vacc</f>
        <v>(AUTOCALCULATED) % RECEIVING VACCINATION &gt;&gt;</v>
      </c>
      <c r="J180" s="374">
        <f>IFERROR(J179/COUNTS!J123,0)</f>
        <v>0.24690493809876199</v>
      </c>
      <c r="K180" s="374">
        <f>IFERROR(K179/COUNTS!K123,0)</f>
        <v>0.24690493809876199</v>
      </c>
      <c r="L180" s="374">
        <f>IFERROR(L179/COUNTS!L123,0)</f>
        <v>0.24690493809876199</v>
      </c>
      <c r="M180" s="374">
        <f>IFERROR(M179/COUNTS!M123,0)</f>
        <v>0.24690493809876199</v>
      </c>
      <c r="N180" s="374">
        <f>IFERROR(N179/COUNTS!N123,0)</f>
        <v>0.24690493809876199</v>
      </c>
    </row>
    <row r="181" spans="4:14" s="10" customFormat="1" x14ac:dyDescent="0.2">
      <c r="F181" s="50" t="str">
        <f>Lang_Error_Check</f>
        <v>ERROR CHECK</v>
      </c>
      <c r="H181" s="145">
        <f>IF(ISERROR(SUM(J181:N181)),1,MIN(SUM(J181:N181),1))</f>
        <v>0</v>
      </c>
      <c r="J181" s="42">
        <f t="shared" ref="J181:N181" si="11">IF(J180&gt;1,1,0)</f>
        <v>0</v>
      </c>
      <c r="K181" s="42">
        <f t="shared" si="11"/>
        <v>0</v>
      </c>
      <c r="L181" s="42">
        <f t="shared" si="11"/>
        <v>0</v>
      </c>
      <c r="M181" s="42">
        <f t="shared" si="11"/>
        <v>0</v>
      </c>
      <c r="N181" s="42">
        <f t="shared" si="11"/>
        <v>0</v>
      </c>
    </row>
    <row r="182" spans="4:14" s="10" customFormat="1" x14ac:dyDescent="0.2"/>
    <row r="183" spans="4:14" s="10" customFormat="1" x14ac:dyDescent="0.2">
      <c r="D183" s="105" t="str">
        <f>Lang_Total_Number_Of&amp;" "&amp;D173&amp;" "&amp;Lang_Receiving&amp;" "&amp;C169&amp;" "&amp;Lang_Vacc&amp;" ("&amp;Lang_Retrospective_Data&amp;")"</f>
        <v>Total Number of Target Group Name2 Receiving HPV 1 Vaccination (Retrospective Data)</v>
      </c>
      <c r="J183" s="142">
        <f t="shared" ref="J183:N183" si="12">SUM(J174,J179)</f>
        <v>24690</v>
      </c>
      <c r="K183" s="142">
        <f t="shared" si="12"/>
        <v>24690</v>
      </c>
      <c r="L183" s="142">
        <f t="shared" si="12"/>
        <v>24690</v>
      </c>
      <c r="M183" s="142">
        <f t="shared" si="12"/>
        <v>24690</v>
      </c>
      <c r="N183" s="142">
        <f t="shared" si="12"/>
        <v>24690</v>
      </c>
    </row>
    <row r="184" spans="4:14" s="10" customFormat="1" x14ac:dyDescent="0.2">
      <c r="D184" s="105" t="str">
        <f>Lang_Proportion_Of&amp;" "&amp;D173&amp;" "&amp;Lang_Receiving&amp;" "&amp;C169&amp;" "&amp;Lang_Vacc&amp;" ("&amp;Lang_Retrospective_Data&amp;")"</f>
        <v>Proportion (%) of Target Group Name2 Receiving HPV 1 Vaccination (Retrospective Data)</v>
      </c>
      <c r="F184" s="50" t="str">
        <f>Lang_AutoCal_Percent_Receiving_Vacc</f>
        <v>(AUTOCALCULATED) % RECEIVING VACCINATION &gt;&gt;</v>
      </c>
      <c r="J184" s="370">
        <f>IFERROR(J183/COUNTS!J119,0)</f>
        <v>0.24690246902469024</v>
      </c>
      <c r="K184" s="370">
        <f>IFERROR(K183/COUNTS!K119,0)</f>
        <v>0.24690246902469024</v>
      </c>
      <c r="L184" s="370">
        <f>IFERROR(L183/COUNTS!L119,0)</f>
        <v>0.24690246902469024</v>
      </c>
      <c r="M184" s="370">
        <f>IFERROR(M183/COUNTS!M119,0)</f>
        <v>0.24690246902469024</v>
      </c>
      <c r="N184" s="370">
        <f>IFERROR(N183/COUNTS!N119,0)</f>
        <v>0.24690246902469024</v>
      </c>
    </row>
    <row r="185" spans="4:14" s="10" customFormat="1" x14ac:dyDescent="0.2"/>
    <row r="186" spans="4:14" s="10" customFormat="1" x14ac:dyDescent="0.2"/>
    <row r="187" spans="4:14" s="10" customFormat="1" x14ac:dyDescent="0.2">
      <c r="D187" s="74" t="str">
        <f>Lang_Source_Of_Information_Notes</f>
        <v>Notes and Sources of Information</v>
      </c>
    </row>
    <row r="188" spans="4:14" s="10" customFormat="1" ht="12" customHeight="1" x14ac:dyDescent="0.2">
      <c r="D188" s="482" t="s">
        <v>596</v>
      </c>
      <c r="E188" s="482"/>
      <c r="F188" s="482"/>
    </row>
    <row r="189" spans="4:14" s="10" customFormat="1" ht="12" customHeight="1" x14ac:dyDescent="0.2">
      <c r="D189" s="482" t="s">
        <v>596</v>
      </c>
      <c r="E189" s="482"/>
      <c r="F189" s="482"/>
    </row>
    <row r="190" spans="4:14" s="10" customFormat="1" ht="12" customHeight="1" x14ac:dyDescent="0.2">
      <c r="D190" s="482" t="s">
        <v>596</v>
      </c>
      <c r="E190" s="482"/>
      <c r="F190" s="482"/>
    </row>
    <row r="191" spans="4:14" s="10" customFormat="1" ht="12" customHeight="1" x14ac:dyDescent="0.2">
      <c r="D191" s="482" t="s">
        <v>596</v>
      </c>
      <c r="E191" s="482"/>
      <c r="F191" s="482"/>
    </row>
    <row r="192" spans="4:14" s="10" customFormat="1" x14ac:dyDescent="0.2"/>
    <row r="193" spans="1:14" s="10" customFormat="1" x14ac:dyDescent="0.2">
      <c r="A193" s="12" t="s">
        <v>125</v>
      </c>
      <c r="B193" s="13" t="str">
        <f>Lang_Coverage_Number_Retrospective_Data&amp;" - "&amp;CVG_Lu!$D$32&amp;" "&amp;CVG_Lu!$D$18</f>
        <v>Coverage (#) Retrospective Data - HPV 2 Target Group Name1</v>
      </c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</row>
    <row r="194" spans="1:14" s="10" customFormat="1" x14ac:dyDescent="0.2"/>
    <row r="195" spans="1:14" s="10" customFormat="1" x14ac:dyDescent="0.2">
      <c r="C195" s="114" t="str">
        <f>CVG_Lu!$D$32</f>
        <v>HPV 2</v>
      </c>
    </row>
    <row r="196" spans="1:14" s="10" customFormat="1" x14ac:dyDescent="0.2"/>
    <row r="197" spans="1:14" s="10" customFormat="1" x14ac:dyDescent="0.2">
      <c r="D197" s="114" t="str">
        <f>CVG_Lu!$D$18</f>
        <v>Target Group Name1</v>
      </c>
      <c r="J197" s="129" t="str">
        <f>"MAX ="&amp;J149</f>
        <v>MAX =12345</v>
      </c>
      <c r="K197" s="129" t="str">
        <f>"MAX ="&amp;K149</f>
        <v>MAX =12345</v>
      </c>
      <c r="L197" s="129" t="str">
        <f>"MAX ="&amp;L149</f>
        <v>MAX =12345</v>
      </c>
      <c r="M197" s="129" t="str">
        <f>"MAX ="&amp;M149</f>
        <v>MAX =12345</v>
      </c>
      <c r="N197" s="129" t="str">
        <f>"MAX ="&amp;N149</f>
        <v>MAX =12345</v>
      </c>
    </row>
    <row r="198" spans="1:14" s="10" customFormat="1" x14ac:dyDescent="0.2">
      <c r="D198" s="128" t="str">
        <f>CVG_Lu!$D$25&amp;" ("&amp;Lang_Retrospective_Data&amp;")"</f>
        <v>IN-SCHOOL (Retrospective Data)</v>
      </c>
      <c r="J198" s="77">
        <v>11111</v>
      </c>
      <c r="K198" s="77">
        <v>11111</v>
      </c>
      <c r="L198" s="77">
        <v>11111</v>
      </c>
      <c r="M198" s="77">
        <v>11111</v>
      </c>
      <c r="N198" s="77">
        <v>11111</v>
      </c>
    </row>
    <row r="199" spans="1:14" s="10" customFormat="1" x14ac:dyDescent="0.2">
      <c r="E199" s="50" t="str">
        <f>Lang_AutoCal_Drop_Out_Rate</f>
        <v>(AUTOCALCULATED) Drop-Out Rate &gt;&gt;</v>
      </c>
      <c r="J199" s="234">
        <f>IFERROR(1-(J198/J149),0)</f>
        <v>9.9959497772377448E-2</v>
      </c>
      <c r="K199" s="234">
        <f>IFERROR(1-(K198/K149),0)</f>
        <v>9.9959497772377448E-2</v>
      </c>
      <c r="L199" s="234">
        <f>IFERROR(1-(L198/L149),0)</f>
        <v>9.9959497772377448E-2</v>
      </c>
      <c r="M199" s="234">
        <f>IFERROR(1-(M198/M149),0)</f>
        <v>9.9959497772377448E-2</v>
      </c>
      <c r="N199" s="234">
        <f>IFERROR(1-(N198/N149),0)</f>
        <v>9.9959497772377448E-2</v>
      </c>
    </row>
    <row r="200" spans="1:14" s="10" customFormat="1" x14ac:dyDescent="0.2">
      <c r="E200" s="50" t="str">
        <f>Lang_Error_Check_HPV2_Coverage_Larger_Than_HPV1_Coverage</f>
        <v>ERROR CHECK: (IS HPV2 COVERAGE &gt; HPV1 COVERAGE?)</v>
      </c>
      <c r="H200" s="145">
        <f>IF(ISERROR(SUM(J200:N200)),1,MIN(SUM(J200:N200),1))</f>
        <v>0</v>
      </c>
      <c r="J200" s="42">
        <f>IF(J198&gt;J149,1,0)</f>
        <v>0</v>
      </c>
      <c r="K200" s="42">
        <f>IF(K198&gt;K149,1,0)</f>
        <v>0</v>
      </c>
      <c r="L200" s="42">
        <f>IF(L198&gt;L149,1,0)</f>
        <v>0</v>
      </c>
      <c r="M200" s="42">
        <f>IF(M198&gt;M149,1,0)</f>
        <v>0</v>
      </c>
      <c r="N200" s="42">
        <f>IF(N198&gt;N149,1,0)</f>
        <v>0</v>
      </c>
    </row>
    <row r="201" spans="1:14" s="10" customFormat="1" x14ac:dyDescent="0.2">
      <c r="E201" s="50" t="str">
        <f>Lang_AutoCal_Percent_Receiving_Vacc</f>
        <v>(AUTOCALCULATED) % RECEIVING VACCINATION &gt;&gt;</v>
      </c>
      <c r="J201" s="234">
        <f>IFERROR(J198/COUNTS!J105,0)</f>
        <v>0.22222</v>
      </c>
      <c r="K201" s="234">
        <f>IFERROR(K198/COUNTS!K105,0)</f>
        <v>0.22222</v>
      </c>
      <c r="L201" s="234">
        <f>IFERROR(L198/COUNTS!L105,0)</f>
        <v>0.22222</v>
      </c>
      <c r="M201" s="234">
        <f>IFERROR(M198/COUNTS!M105,0)</f>
        <v>0.22222</v>
      </c>
      <c r="N201" s="234">
        <f>IFERROR(N198/COUNTS!N105,0)</f>
        <v>0.22222</v>
      </c>
    </row>
    <row r="202" spans="1:14" s="10" customFormat="1" x14ac:dyDescent="0.2"/>
    <row r="203" spans="1:14" s="10" customFormat="1" x14ac:dyDescent="0.2">
      <c r="J203" s="129" t="str">
        <f>"MAX ="&amp;J153</f>
        <v>MAX =12345</v>
      </c>
      <c r="K203" s="129" t="str">
        <f>"MAX ="&amp;K153</f>
        <v>MAX =12345</v>
      </c>
      <c r="L203" s="129" t="str">
        <f>"MAX ="&amp;L153</f>
        <v>MAX =12345</v>
      </c>
      <c r="M203" s="129" t="str">
        <f>"MAX ="&amp;M153</f>
        <v>MAX =12345</v>
      </c>
      <c r="N203" s="129" t="str">
        <f>"MAX ="&amp;N153</f>
        <v>MAX =12345</v>
      </c>
    </row>
    <row r="204" spans="1:14" s="10" customFormat="1" x14ac:dyDescent="0.2">
      <c r="D204" s="128" t="str">
        <f>CVG_Lu!$D$26&amp;" ("&amp;Lang_Retrospective_Data&amp;")"</f>
        <v>OUT OF SCHOOL (Retrospective Data)</v>
      </c>
      <c r="J204" s="77">
        <v>11111</v>
      </c>
      <c r="K204" s="77">
        <v>11111</v>
      </c>
      <c r="L204" s="77">
        <v>11111</v>
      </c>
      <c r="M204" s="77">
        <v>11111</v>
      </c>
      <c r="N204" s="77">
        <v>11111</v>
      </c>
    </row>
    <row r="205" spans="1:14" s="10" customFormat="1" x14ac:dyDescent="0.2">
      <c r="E205" s="50" t="str">
        <f>Lang_AutoCal_Drop_Out_Rate</f>
        <v>(AUTOCALCULATED) Drop-Out Rate &gt;&gt;</v>
      </c>
      <c r="J205" s="234">
        <f>IFERROR(1-(J204/J153),0)</f>
        <v>9.9959497772377448E-2</v>
      </c>
      <c r="K205" s="234">
        <f>IFERROR(1-(K204/K153),0)</f>
        <v>9.9959497772377448E-2</v>
      </c>
      <c r="L205" s="234">
        <f>IFERROR(1-(L204/L153),0)</f>
        <v>9.9959497772377448E-2</v>
      </c>
      <c r="M205" s="234">
        <f>IFERROR(1-(M204/M153),0)</f>
        <v>9.9959497772377448E-2</v>
      </c>
      <c r="N205" s="234">
        <f>IFERROR(1-(N204/N153),0)</f>
        <v>9.9959497772377448E-2</v>
      </c>
    </row>
    <row r="206" spans="1:14" s="10" customFormat="1" x14ac:dyDescent="0.2">
      <c r="E206" s="50" t="str">
        <f>Lang_Error_Check_HPV2_Coverage_Larger_Than_HPV1_Coverage</f>
        <v>ERROR CHECK: (IS HPV2 COVERAGE &gt; HPV1 COVERAGE?)</v>
      </c>
      <c r="J206" s="42">
        <f>IF(J204&gt;J153,1,0)</f>
        <v>0</v>
      </c>
      <c r="K206" s="42">
        <f>IF(K204&gt;K153,1,0)</f>
        <v>0</v>
      </c>
      <c r="L206" s="42">
        <f>IF(L204&gt;L153,1,0)</f>
        <v>0</v>
      </c>
      <c r="M206" s="42">
        <f>IF(M204&gt;M153,1,0)</f>
        <v>0</v>
      </c>
      <c r="N206" s="42">
        <f>IF(N204&gt;N153,1,0)</f>
        <v>0</v>
      </c>
    </row>
    <row r="207" spans="1:14" s="10" customFormat="1" x14ac:dyDescent="0.2">
      <c r="E207" s="50" t="str">
        <f>Lang_AutoCal_Percent_Receiving_Vacc</f>
        <v>(AUTOCALCULATED) % RECEIVING VACCINATION &gt;&gt;</v>
      </c>
      <c r="J207" s="234">
        <f>IFERROR(J204/COUNTS!J107,0)</f>
        <v>0.22222444448888978</v>
      </c>
      <c r="K207" s="234">
        <f>IFERROR(K204/COUNTS!K107,0)</f>
        <v>0.22222444448888978</v>
      </c>
      <c r="L207" s="234">
        <f>IFERROR(L204/COUNTS!L107,0)</f>
        <v>0.22222444448888978</v>
      </c>
      <c r="M207" s="234">
        <f>IFERROR(M204/COUNTS!M107,0)</f>
        <v>0.22222444448888978</v>
      </c>
      <c r="N207" s="234">
        <f>IFERROR(N204/COUNTS!N107,0)</f>
        <v>0.22222444448888978</v>
      </c>
    </row>
    <row r="208" spans="1:14" s="10" customFormat="1" x14ac:dyDescent="0.2"/>
    <row r="209" spans="1:14" s="10" customFormat="1" x14ac:dyDescent="0.2">
      <c r="D209" s="105" t="str">
        <f>Lang_Total_Number_Of&amp;" "&amp;D197&amp;" "&amp;Lang_Receiving&amp;" "&amp;C195&amp;" "&amp;Lang_Vacc&amp;" ("&amp;Lang_Retrospective_Data&amp;")"</f>
        <v>Total Number of Target Group Name1 Receiving HPV 2 Vaccination (Retrospective Data)</v>
      </c>
      <c r="J209" s="142">
        <f>SUM(J198,J204)</f>
        <v>22222</v>
      </c>
      <c r="K209" s="142">
        <f>SUM(K198,K204)</f>
        <v>22222</v>
      </c>
      <c r="L209" s="142">
        <f>SUM(L198,L204)</f>
        <v>22222</v>
      </c>
      <c r="M209" s="142">
        <f>SUM(M198,M204)</f>
        <v>22222</v>
      </c>
      <c r="N209" s="142">
        <f>SUM(N198,N204)</f>
        <v>22222</v>
      </c>
    </row>
    <row r="210" spans="1:14" s="10" customFormat="1" x14ac:dyDescent="0.2">
      <c r="D210" s="105" t="str">
        <f>Lang_Proportion_Of&amp;" "&amp;D197&amp;" "&amp;Lang_Receiving&amp;" "&amp;C195&amp;" "&amp;Lang_Vacc&amp;" ("&amp;Lang_Retrospective_Data&amp;")"</f>
        <v>Proportion (%) of Target Group Name1 Receiving HPV 2 Vaccination (Retrospective Data)</v>
      </c>
      <c r="E210" s="50" t="str">
        <f>Lang_AutoCal_Percent_Receiving_Vacc</f>
        <v>(AUTOCALCULATED) % RECEIVING VACCINATION &gt;&gt;</v>
      </c>
      <c r="F210" s="50"/>
      <c r="J210" s="373">
        <f>IFERROR(J209/COUNTS!J103,0)</f>
        <v>0.22222222222222221</v>
      </c>
      <c r="K210" s="373">
        <f>IFERROR(K209/COUNTS!K103,0)</f>
        <v>0.22222222222222221</v>
      </c>
      <c r="L210" s="373">
        <f>IFERROR(L209/COUNTS!L103,0)</f>
        <v>0.22222222222222221</v>
      </c>
      <c r="M210" s="373">
        <f>IFERROR(M209/COUNTS!M103,0)</f>
        <v>0.22222222222222221</v>
      </c>
      <c r="N210" s="373">
        <f>IFERROR(N209/COUNTS!N103,0)</f>
        <v>0.22222222222222221</v>
      </c>
    </row>
    <row r="211" spans="1:14" s="10" customFormat="1" x14ac:dyDescent="0.2">
      <c r="E211" s="50" t="str">
        <f>Lang_Error_Check_HPV2_Coverage_Larger_Than_HPV1_Coverage</f>
        <v>ERROR CHECK: (IS HPV2 COVERAGE &gt; HPV1 COVERAGE?)</v>
      </c>
      <c r="H211" s="145">
        <f>IF(ISERROR(SUM(J211:N211)),1,MIN(SUM(J211:N211),1))</f>
        <v>0</v>
      </c>
      <c r="J211" s="42">
        <f>IF(J210&gt;J158,1,0)</f>
        <v>0</v>
      </c>
      <c r="K211" s="42">
        <f>IF(K210&gt;K158,1,0)</f>
        <v>0</v>
      </c>
      <c r="L211" s="42">
        <f>IF(L210&gt;L158,1,0)</f>
        <v>0</v>
      </c>
      <c r="M211" s="42">
        <f>IF(M210&gt;M158,1,0)</f>
        <v>0</v>
      </c>
      <c r="N211" s="42">
        <f>IF(N210&gt;N158,1,0)</f>
        <v>0</v>
      </c>
    </row>
    <row r="212" spans="1:14" s="10" customFormat="1" x14ac:dyDescent="0.2"/>
    <row r="213" spans="1:14" s="10" customFormat="1" x14ac:dyDescent="0.2"/>
    <row r="214" spans="1:14" s="10" customFormat="1" x14ac:dyDescent="0.2"/>
    <row r="215" spans="1:14" s="10" customFormat="1" x14ac:dyDescent="0.2">
      <c r="D215" s="74" t="str">
        <f>Lang_Source_Of_Information_Notes</f>
        <v>Notes and Sources of Information</v>
      </c>
    </row>
    <row r="216" spans="1:14" s="10" customFormat="1" ht="12" customHeight="1" x14ac:dyDescent="0.2">
      <c r="D216" s="482" t="s">
        <v>596</v>
      </c>
      <c r="E216" s="482"/>
      <c r="F216" s="482"/>
    </row>
    <row r="217" spans="1:14" s="10" customFormat="1" ht="12" customHeight="1" x14ac:dyDescent="0.2">
      <c r="D217" s="482" t="s">
        <v>596</v>
      </c>
      <c r="E217" s="482"/>
      <c r="F217" s="482"/>
    </row>
    <row r="218" spans="1:14" s="10" customFormat="1" ht="12" customHeight="1" x14ac:dyDescent="0.2">
      <c r="D218" s="482" t="s">
        <v>596</v>
      </c>
      <c r="E218" s="482"/>
      <c r="F218" s="482"/>
    </row>
    <row r="219" spans="1:14" s="10" customFormat="1" ht="12" customHeight="1" x14ac:dyDescent="0.2">
      <c r="D219" s="482" t="s">
        <v>596</v>
      </c>
      <c r="E219" s="482"/>
      <c r="F219" s="482"/>
    </row>
    <row r="220" spans="1:14" s="10" customFormat="1" x14ac:dyDescent="0.2"/>
    <row r="221" spans="1:14" s="10" customFormat="1" x14ac:dyDescent="0.2">
      <c r="A221" s="12" t="s">
        <v>125</v>
      </c>
      <c r="B221" s="13" t="str">
        <f>Lang_Coverage_Number_Retrospective_Data&amp;" - "&amp;CVG_Lu!$D$32&amp;" "&amp;CVG_Lu!$D$19</f>
        <v>Coverage (#) Retrospective Data - HPV 2 Target Group Name2</v>
      </c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</row>
    <row r="222" spans="1:14" s="10" customFormat="1" x14ac:dyDescent="0.2"/>
    <row r="223" spans="1:14" s="10" customFormat="1" x14ac:dyDescent="0.2">
      <c r="C223" s="114" t="str">
        <f>CVG_Lu!$D$32</f>
        <v>HPV 2</v>
      </c>
    </row>
    <row r="224" spans="1:14" s="10" customFormat="1" x14ac:dyDescent="0.2"/>
    <row r="225" spans="4:14" s="10" customFormat="1" x14ac:dyDescent="0.2">
      <c r="D225" s="114" t="str">
        <f>CVG_Lu!$D$19</f>
        <v>Target Group Name2</v>
      </c>
      <c r="E225" s="74" t="str">
        <f>Lang_Total_Vaccine_Doses_Administered_Retrospective_Data</f>
        <v>Total Vaccine Doses Administered (Retrospective Data)</v>
      </c>
      <c r="J225" s="129" t="str">
        <f>"MAX ="&amp;J174</f>
        <v>MAX =12345</v>
      </c>
      <c r="K225" s="129" t="str">
        <f>"MAX ="&amp;K174</f>
        <v>MAX =12345</v>
      </c>
      <c r="L225" s="129" t="str">
        <f>"MAX ="&amp;L174</f>
        <v>MAX =12345</v>
      </c>
      <c r="M225" s="129" t="str">
        <f>"MAX ="&amp;M174</f>
        <v>MAX =12345</v>
      </c>
      <c r="N225" s="129" t="str">
        <f>"MAX ="&amp;N174</f>
        <v>MAX =12345</v>
      </c>
    </row>
    <row r="226" spans="4:14" s="10" customFormat="1" x14ac:dyDescent="0.2">
      <c r="D226" s="128" t="str">
        <f>CVG_Lu!$D$25&amp;" ("&amp;Lang_Retrospective_Data&amp;")"</f>
        <v>IN-SCHOOL (Retrospective Data)</v>
      </c>
      <c r="J226" s="77">
        <v>11111</v>
      </c>
      <c r="K226" s="77">
        <v>11111</v>
      </c>
      <c r="L226" s="77">
        <v>11111</v>
      </c>
      <c r="M226" s="77">
        <v>11111</v>
      </c>
      <c r="N226" s="77">
        <v>11111</v>
      </c>
    </row>
    <row r="227" spans="4:14" s="10" customFormat="1" x14ac:dyDescent="0.2">
      <c r="E227" s="50" t="str">
        <f>Lang_AutoCal_Drop_Out_Rate</f>
        <v>(AUTOCALCULATED) Drop-Out Rate &gt;&gt;</v>
      </c>
      <c r="J227" s="234">
        <f>IFERROR(1-(J226/J174),0)</f>
        <v>9.9959497772377448E-2</v>
      </c>
      <c r="K227" s="234">
        <f>IFERROR(1-(K226/K174),0)</f>
        <v>9.9959497772377448E-2</v>
      </c>
      <c r="L227" s="234">
        <f>IFERROR(1-(L226/L174),0)</f>
        <v>9.9959497772377448E-2</v>
      </c>
      <c r="M227" s="234">
        <f>IFERROR(1-(M226/M174),0)</f>
        <v>9.9959497772377448E-2</v>
      </c>
      <c r="N227" s="234">
        <f>IFERROR(1-(N226/N174),0)</f>
        <v>9.9959497772377448E-2</v>
      </c>
    </row>
    <row r="228" spans="4:14" s="10" customFormat="1" x14ac:dyDescent="0.2">
      <c r="E228" s="50" t="str">
        <f>Lang_Error_Check_HPV2_Coverage_Larger_Than_HPV1_Coverage</f>
        <v>ERROR CHECK: (IS HPV2 COVERAGE &gt; HPV1 COVERAGE?)</v>
      </c>
      <c r="J228" s="42">
        <f>IF(J226&gt;J174,1,0)</f>
        <v>0</v>
      </c>
      <c r="K228" s="42">
        <f>IF(K226&gt;K174,1,0)</f>
        <v>0</v>
      </c>
      <c r="L228" s="42">
        <f>IF(L226&gt;L174,1,0)</f>
        <v>0</v>
      </c>
      <c r="M228" s="42">
        <f>IF(M226&gt;M174,1,0)</f>
        <v>0</v>
      </c>
      <c r="N228" s="42">
        <f>IF(N226&gt;N174,1,0)</f>
        <v>0</v>
      </c>
    </row>
    <row r="229" spans="4:14" s="10" customFormat="1" x14ac:dyDescent="0.2">
      <c r="E229" s="50" t="str">
        <f>Lang_AutoCal_Percent_Receiving_Vacc</f>
        <v>(AUTOCALCULATED) % RECEIVING VACCINATION &gt;&gt;</v>
      </c>
      <c r="J229" s="234">
        <f>IFERROR(J226/COUNTS!J121,0)</f>
        <v>0.22222</v>
      </c>
      <c r="K229" s="234">
        <f>IFERROR(K226/COUNTS!K121,0)</f>
        <v>0.22222</v>
      </c>
      <c r="L229" s="234">
        <f>IFERROR(L226/COUNTS!L121,0)</f>
        <v>0.22222</v>
      </c>
      <c r="M229" s="234">
        <f>IFERROR(M226/COUNTS!M121,0)</f>
        <v>0.22222</v>
      </c>
      <c r="N229" s="234">
        <f>IFERROR(N226/COUNTS!N121,0)</f>
        <v>0.22222</v>
      </c>
    </row>
    <row r="230" spans="4:14" s="10" customFormat="1" x14ac:dyDescent="0.2"/>
    <row r="231" spans="4:14" s="10" customFormat="1" x14ac:dyDescent="0.2">
      <c r="J231" s="129" t="str">
        <f>"MAX ="&amp;J179</f>
        <v>MAX =12345</v>
      </c>
      <c r="K231" s="129" t="str">
        <f>"MAX ="&amp;K179</f>
        <v>MAX =12345</v>
      </c>
      <c r="L231" s="129" t="str">
        <f>"MAX ="&amp;L179</f>
        <v>MAX =12345</v>
      </c>
      <c r="M231" s="129" t="str">
        <f>"MAX ="&amp;M179</f>
        <v>MAX =12345</v>
      </c>
      <c r="N231" s="129" t="str">
        <f>"MAX ="&amp;N179</f>
        <v>MAX =12345</v>
      </c>
    </row>
    <row r="232" spans="4:14" s="10" customFormat="1" x14ac:dyDescent="0.2">
      <c r="D232" s="128" t="str">
        <f>CVG_Lu!$D$26&amp;" ("&amp;Lang_Retrospective_Data&amp;")"</f>
        <v>OUT OF SCHOOL (Retrospective Data)</v>
      </c>
      <c r="J232" s="77">
        <v>11111</v>
      </c>
      <c r="K232" s="77">
        <v>11111</v>
      </c>
      <c r="L232" s="77">
        <v>11111</v>
      </c>
      <c r="M232" s="77">
        <v>11111</v>
      </c>
      <c r="N232" s="77">
        <v>11111</v>
      </c>
    </row>
    <row r="233" spans="4:14" s="10" customFormat="1" x14ac:dyDescent="0.2">
      <c r="E233" s="50" t="str">
        <f>Lang_AutoCal_Drop_Out_Rate</f>
        <v>(AUTOCALCULATED) Drop-Out Rate &gt;&gt;</v>
      </c>
      <c r="J233" s="234">
        <f>IFERROR(1-(J232/J179),0)</f>
        <v>9.9959497772377448E-2</v>
      </c>
      <c r="K233" s="234">
        <f>IFERROR(1-(K232/K179),0)</f>
        <v>9.9959497772377448E-2</v>
      </c>
      <c r="L233" s="234">
        <f>IFERROR(1-(L232/L179),0)</f>
        <v>9.9959497772377448E-2</v>
      </c>
      <c r="M233" s="234">
        <f>IFERROR(1-(M232/M179),0)</f>
        <v>9.9959497772377448E-2</v>
      </c>
      <c r="N233" s="234">
        <f>IFERROR(1-(N232/N179),0)</f>
        <v>9.9959497772377448E-2</v>
      </c>
    </row>
    <row r="234" spans="4:14" s="10" customFormat="1" x14ac:dyDescent="0.2">
      <c r="E234" s="50" t="str">
        <f>Lang_Error_Check_HPV2_Coverage_Larger_Than_HPV1_Coverage</f>
        <v>ERROR CHECK: (IS HPV2 COVERAGE &gt; HPV1 COVERAGE?)</v>
      </c>
      <c r="J234" s="42">
        <f>IF(J232&gt;J179,1,0)</f>
        <v>0</v>
      </c>
      <c r="K234" s="42">
        <f>IF(K232&gt;K179,1,0)</f>
        <v>0</v>
      </c>
      <c r="L234" s="42">
        <f>IF(L232&gt;L179,1,0)</f>
        <v>0</v>
      </c>
      <c r="M234" s="42">
        <f>IF(M232&gt;M179,1,0)</f>
        <v>0</v>
      </c>
      <c r="N234" s="42">
        <f>IF(N232&gt;N179,1,0)</f>
        <v>0</v>
      </c>
    </row>
    <row r="235" spans="4:14" s="10" customFormat="1" x14ac:dyDescent="0.2">
      <c r="E235" s="50" t="str">
        <f>Lang_AutoCal_Percent_Receiving_Vacc</f>
        <v>(AUTOCALCULATED) % RECEIVING VACCINATION &gt;&gt;</v>
      </c>
      <c r="J235" s="234">
        <f>IFERROR(J232/COUNTS!J123,0)</f>
        <v>0.22222444448888978</v>
      </c>
      <c r="K235" s="234">
        <f>IFERROR(K232/COUNTS!K123,0)</f>
        <v>0.22222444448888978</v>
      </c>
      <c r="L235" s="234">
        <f>IFERROR(L232/COUNTS!L123,0)</f>
        <v>0.22222444448888978</v>
      </c>
      <c r="M235" s="234">
        <f>IFERROR(M232/COUNTS!M123,0)</f>
        <v>0.22222444448888978</v>
      </c>
      <c r="N235" s="234">
        <f>IFERROR(N232/COUNTS!N123,0)</f>
        <v>0.22222444448888978</v>
      </c>
    </row>
    <row r="236" spans="4:14" s="10" customFormat="1" x14ac:dyDescent="0.2"/>
    <row r="237" spans="4:14" s="10" customFormat="1" x14ac:dyDescent="0.2">
      <c r="D237" s="105" t="str">
        <f>Lang_Total_Number_Of&amp;" "&amp;D225&amp;" "&amp;Lang_Receiving&amp;" "&amp;C223&amp;" "&amp;Lang_Vacc&amp;" ("&amp;Lang_Retrospective_Data&amp;")"</f>
        <v>Total Number of Target Group Name2 Receiving HPV 2 Vaccination (Retrospective Data)</v>
      </c>
      <c r="J237" s="142">
        <f>SUM(J226,J232)</f>
        <v>22222</v>
      </c>
      <c r="K237" s="142">
        <f>SUM(K226,K232)</f>
        <v>22222</v>
      </c>
      <c r="L237" s="142">
        <f>SUM(L226,L232)</f>
        <v>22222</v>
      </c>
      <c r="M237" s="142">
        <f>SUM(M226,M232)</f>
        <v>22222</v>
      </c>
      <c r="N237" s="142">
        <f>SUM(N226,N232)</f>
        <v>22222</v>
      </c>
    </row>
    <row r="238" spans="4:14" s="10" customFormat="1" x14ac:dyDescent="0.2">
      <c r="D238" s="105" t="str">
        <f>Lang_Proportion_Of&amp;" "&amp;D225&amp;" "&amp;Lang_Receiving&amp;" "&amp;C223&amp;" "&amp;Lang_Vacc&amp;" ("&amp;Lang_Retrospective_Data&amp;")"</f>
        <v>Proportion (%) of Target Group Name2 Receiving HPV 2 Vaccination (Retrospective Data)</v>
      </c>
      <c r="J238" s="373">
        <f>IFERROR(J237/COUNTS!J119,0)</f>
        <v>0.22222222222222221</v>
      </c>
      <c r="K238" s="373">
        <f>IFERROR(K237/COUNTS!K119,0)</f>
        <v>0.22222222222222221</v>
      </c>
      <c r="L238" s="373">
        <f>IFERROR(L237/COUNTS!L119,0)</f>
        <v>0.22222222222222221</v>
      </c>
      <c r="M238" s="373">
        <f>IFERROR(M237/COUNTS!M119,0)</f>
        <v>0.22222222222222221</v>
      </c>
      <c r="N238" s="373">
        <f>IFERROR(N237/COUNTS!N119,0)</f>
        <v>0.22222222222222221</v>
      </c>
    </row>
    <row r="239" spans="4:14" s="10" customFormat="1" x14ac:dyDescent="0.2">
      <c r="E239" s="50" t="str">
        <f>Lang_Error_Check_HPV2_Coverage_Larger_Than_HPV1_Coverage</f>
        <v>ERROR CHECK: (IS HPV2 COVERAGE &gt; HPV1 COVERAGE?)</v>
      </c>
      <c r="H239" s="145">
        <f>IF(ISERROR(SUM(J239:N239)),1,MIN(SUM(J239:N239),1))</f>
        <v>0</v>
      </c>
      <c r="J239" s="42">
        <f>IF(J238&gt;J184,1,0)</f>
        <v>0</v>
      </c>
      <c r="K239" s="42">
        <f>IF(K238&gt;K184,1,0)</f>
        <v>0</v>
      </c>
      <c r="L239" s="42">
        <f>IF(L238&gt;L184,1,0)</f>
        <v>0</v>
      </c>
      <c r="M239" s="42">
        <f>IF(M238&gt;M184,1,0)</f>
        <v>0</v>
      </c>
      <c r="N239" s="42">
        <f>IF(N238&gt;N184,1,0)</f>
        <v>0</v>
      </c>
    </row>
    <row r="240" spans="4:14" s="10" customFormat="1" x14ac:dyDescent="0.2"/>
    <row r="241" spans="1:14" s="10" customFormat="1" x14ac:dyDescent="0.2"/>
    <row r="242" spans="1:14" s="10" customFormat="1" x14ac:dyDescent="0.2">
      <c r="D242" s="74" t="str">
        <f>Lang_Source_Of_Information_Notes</f>
        <v>Notes and Sources of Information</v>
      </c>
    </row>
    <row r="243" spans="1:14" s="10" customFormat="1" ht="12" customHeight="1" x14ac:dyDescent="0.2">
      <c r="D243" s="482" t="s">
        <v>596</v>
      </c>
      <c r="E243" s="482"/>
      <c r="F243" s="482"/>
    </row>
    <row r="244" spans="1:14" s="10" customFormat="1" ht="12" customHeight="1" x14ac:dyDescent="0.2">
      <c r="D244" s="482" t="s">
        <v>596</v>
      </c>
      <c r="E244" s="482"/>
      <c r="F244" s="482"/>
    </row>
    <row r="245" spans="1:14" s="10" customFormat="1" ht="12" customHeight="1" x14ac:dyDescent="0.2">
      <c r="D245" s="482" t="s">
        <v>596</v>
      </c>
      <c r="E245" s="482"/>
      <c r="F245" s="482"/>
    </row>
    <row r="246" spans="1:14" s="10" customFormat="1" ht="12" customHeight="1" x14ac:dyDescent="0.2">
      <c r="D246" s="482" t="s">
        <v>596</v>
      </c>
      <c r="E246" s="482"/>
      <c r="F246" s="482"/>
    </row>
    <row r="247" spans="1:14" s="10" customFormat="1" x14ac:dyDescent="0.2"/>
    <row r="248" spans="1:14" s="10" customFormat="1" x14ac:dyDescent="0.2">
      <c r="A248" s="12" t="s">
        <v>125</v>
      </c>
      <c r="B248" s="13" t="str">
        <f>Lang_Coverage_Summary_Of_Retrospective_Data</f>
        <v>Coverage - Summary of Retrospective Data</v>
      </c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</row>
    <row r="249" spans="1:14" s="10" customFormat="1" x14ac:dyDescent="0.2"/>
    <row r="250" spans="1:14" s="10" customFormat="1" x14ac:dyDescent="0.2"/>
    <row r="251" spans="1:14" s="10" customFormat="1" x14ac:dyDescent="0.2"/>
    <row r="252" spans="1:14" s="10" customFormat="1" x14ac:dyDescent="0.2"/>
    <row r="253" spans="1:14" s="10" customFormat="1" x14ac:dyDescent="0.2">
      <c r="D253" s="105" t="str">
        <f>CVG_Lu!$D$31&amp;" "&amp;Lang_Vacc_Received_By_All_Target_Pop_Through_Any_Service_Delivery_Method_From_Coverage_Assumptions_Retrospective</f>
        <v>HPV 1 Vaccinations Received by All Target Populations through ANY Service Delivery Method (from Coverage Assumptions) (Retrospective)</v>
      </c>
      <c r="J253" s="344">
        <f>SUM(J157,J183)</f>
        <v>49380</v>
      </c>
      <c r="K253" s="344">
        <f>SUM(K157,K183)</f>
        <v>49380</v>
      </c>
      <c r="L253" s="344">
        <f>SUM(L157,L183)</f>
        <v>49380</v>
      </c>
      <c r="M253" s="344">
        <f>SUM(M157,M183)</f>
        <v>49380</v>
      </c>
      <c r="N253" s="344">
        <f>SUM(N157,N183)</f>
        <v>49380</v>
      </c>
    </row>
    <row r="254" spans="1:14" s="10" customFormat="1" x14ac:dyDescent="0.2">
      <c r="D254" s="132" t="str">
        <f>CVG_Lu!$D$31&amp;" "&amp;Lang_Vacc_Received_By&amp;" "&amp;CVG_Lu!$D$25&amp;" "&amp;Lang_Pop_SmallLetter</f>
        <v>HPV 1 Vaccinations Received by IN-SCHOOL Populations</v>
      </c>
      <c r="J254" s="42">
        <f>SUM(J149,J174)</f>
        <v>24690</v>
      </c>
      <c r="K254" s="42">
        <f>SUM(K149,K174)</f>
        <v>24690</v>
      </c>
      <c r="L254" s="42">
        <f>SUM(L149,L174)</f>
        <v>24690</v>
      </c>
      <c r="M254" s="42">
        <f>SUM(M149,M174)</f>
        <v>24690</v>
      </c>
      <c r="N254" s="42">
        <f>SUM(N149,N174)</f>
        <v>24690</v>
      </c>
    </row>
    <row r="255" spans="1:14" s="10" customFormat="1" x14ac:dyDescent="0.2">
      <c r="D255" s="132" t="str">
        <f>CVG_Lu!$D$31&amp;" "&amp;Lang_Vacc_Received_By&amp;" "&amp;CVG_Lu!$D$26&amp;" "&amp;Lang_Pop_SmallLetter</f>
        <v>HPV 1 Vaccinations Received by OUT OF SCHOOL Populations</v>
      </c>
      <c r="J255" s="42">
        <f>SUM(J153,J179)</f>
        <v>24690</v>
      </c>
      <c r="K255" s="42">
        <f>SUM(K153,K179)</f>
        <v>24690</v>
      </c>
      <c r="L255" s="42">
        <f>SUM(L153,L179)</f>
        <v>24690</v>
      </c>
      <c r="M255" s="42">
        <f>SUM(M153,M179)</f>
        <v>24690</v>
      </c>
      <c r="N255" s="42">
        <f>SUM(N153,N179)</f>
        <v>24690</v>
      </c>
    </row>
    <row r="256" spans="1:14" s="10" customFormat="1" x14ac:dyDescent="0.2"/>
    <row r="257" spans="4:14" s="10" customFormat="1" x14ac:dyDescent="0.2">
      <c r="D257" s="105" t="str">
        <f>CVG_Lu!$D$32&amp;" "&amp;Lang_Vacc_Received_By_All_Target_Pop_Through_Any_Service_Delivery_Method_From_Coverage_Assumptions_Retrospective</f>
        <v>HPV 2 Vaccinations Received by All Target Populations through ANY Service Delivery Method (from Coverage Assumptions) (Retrospective)</v>
      </c>
      <c r="J257" s="344">
        <f t="shared" ref="J257:N257" si="13">SUM(J209,J237)</f>
        <v>44444</v>
      </c>
      <c r="K257" s="344">
        <f t="shared" si="13"/>
        <v>44444</v>
      </c>
      <c r="L257" s="344">
        <f t="shared" si="13"/>
        <v>44444</v>
      </c>
      <c r="M257" s="344">
        <f t="shared" si="13"/>
        <v>44444</v>
      </c>
      <c r="N257" s="344">
        <f t="shared" si="13"/>
        <v>44444</v>
      </c>
    </row>
    <row r="258" spans="4:14" s="10" customFormat="1" x14ac:dyDescent="0.2">
      <c r="D258" s="132" t="str">
        <f>CVG_Lu!$D$32&amp;" "&amp;Lang_Vacc_Received_By&amp;" "&amp;CVG_Lu!$D$25&amp;" "&amp;Lang_Pop_SmallLetter</f>
        <v>HPV 2 Vaccinations Received by IN-SCHOOL Populations</v>
      </c>
      <c r="J258" s="42">
        <f t="shared" ref="J258:N258" si="14">SUM(J198,J226)</f>
        <v>22222</v>
      </c>
      <c r="K258" s="42">
        <f t="shared" si="14"/>
        <v>22222</v>
      </c>
      <c r="L258" s="42">
        <f t="shared" si="14"/>
        <v>22222</v>
      </c>
      <c r="M258" s="42">
        <f t="shared" si="14"/>
        <v>22222</v>
      </c>
      <c r="N258" s="42">
        <f t="shared" si="14"/>
        <v>22222</v>
      </c>
    </row>
    <row r="259" spans="4:14" s="10" customFormat="1" x14ac:dyDescent="0.2">
      <c r="D259" s="132" t="str">
        <f>CVG_Lu!$D$32&amp;" "&amp;Lang_Vacc_Received_By&amp;" "&amp;CVG_Lu!$D$26&amp;" "&amp;Lang_Pop_SmallLetter</f>
        <v>HPV 2 Vaccinations Received by OUT OF SCHOOL Populations</v>
      </c>
      <c r="J259" s="42">
        <f t="shared" ref="J259:N259" si="15">SUM(J204,J232)</f>
        <v>22222</v>
      </c>
      <c r="K259" s="42">
        <f t="shared" si="15"/>
        <v>22222</v>
      </c>
      <c r="L259" s="42">
        <f t="shared" si="15"/>
        <v>22222</v>
      </c>
      <c r="M259" s="42">
        <f t="shared" si="15"/>
        <v>22222</v>
      </c>
      <c r="N259" s="42">
        <f t="shared" si="15"/>
        <v>22222</v>
      </c>
    </row>
    <row r="260" spans="4:14" s="10" customFormat="1" x14ac:dyDescent="0.2"/>
    <row r="261" spans="4:14" s="10" customFormat="1" x14ac:dyDescent="0.2">
      <c r="D261" s="55" t="str">
        <f>Lang_Total_Vacc_Received_By_All_Target_Pop_Through_Any_Service_Delivery_Method_From_Coverage_Assumptions_Retrospective</f>
        <v>Total Vaccinations Received by All Target Populations through ANY Service Delivery Method (from Coverage Assumptions) (Retrospective)</v>
      </c>
      <c r="J261" s="344">
        <f>SUM(J157,J183,J209,J237)</f>
        <v>93824</v>
      </c>
      <c r="K261" s="344">
        <f>SUM(K157,K183,K209,K237)</f>
        <v>93824</v>
      </c>
      <c r="L261" s="344">
        <f>SUM(L157,L183,L209,L237)</f>
        <v>93824</v>
      </c>
      <c r="M261" s="344">
        <f>SUM(M157,M183,M209,M237)</f>
        <v>93824</v>
      </c>
      <c r="N261" s="344">
        <f>SUM(N157,N183,N209,N237)</f>
        <v>93824</v>
      </c>
    </row>
    <row r="262" spans="4:14" s="10" customFormat="1" x14ac:dyDescent="0.2">
      <c r="D262" s="132" t="str">
        <f>Lang_Vacc_Received_By&amp;" "&amp;CVG_Lu!$D$25&amp;" "&amp;Lang_Pop_SmallLetter</f>
        <v>Vaccinations Received by IN-SCHOOL Populations</v>
      </c>
      <c r="J262" s="42">
        <f>SUM(J149,J174,J198,J226)</f>
        <v>46912</v>
      </c>
      <c r="K262" s="42">
        <f>SUM(K149,K174,K198,K226)</f>
        <v>46912</v>
      </c>
      <c r="L262" s="42">
        <f>SUM(L149,L174,L198,L226)</f>
        <v>46912</v>
      </c>
      <c r="M262" s="42">
        <f>SUM(M149,M174,M198,M226)</f>
        <v>46912</v>
      </c>
      <c r="N262" s="42">
        <f>SUM(N149,N174,N198,N226)</f>
        <v>46912</v>
      </c>
    </row>
    <row r="263" spans="4:14" s="10" customFormat="1" x14ac:dyDescent="0.2">
      <c r="D263" s="132" t="str">
        <f>Lang_Vacc_Received_By&amp;" "&amp;CVG_Lu!$D$26&amp;" "&amp;Lang_Pop_SmallLetter</f>
        <v>Vaccinations Received by OUT OF SCHOOL Populations</v>
      </c>
      <c r="J263" s="42">
        <f>SUM(J153,J179,J204,J232)</f>
        <v>46912</v>
      </c>
      <c r="K263" s="42">
        <f>SUM(K153,K179,K204,K232)</f>
        <v>46912</v>
      </c>
      <c r="L263" s="42">
        <f>SUM(L153,L179,L204,L232)</f>
        <v>46912</v>
      </c>
      <c r="M263" s="42">
        <f>SUM(M153,M179,M204,M232)</f>
        <v>46912</v>
      </c>
      <c r="N263" s="42">
        <f>SUM(N153,N179,N204,N232)</f>
        <v>46912</v>
      </c>
    </row>
    <row r="264" spans="4:14" s="10" customFormat="1" x14ac:dyDescent="0.2"/>
    <row r="265" spans="4:14" s="10" customFormat="1" x14ac:dyDescent="0.2"/>
    <row r="266" spans="4:14" s="10" customFormat="1" hidden="1" x14ac:dyDescent="0.2"/>
    <row r="267" spans="4:14" s="10" customFormat="1" hidden="1" x14ac:dyDescent="0.2"/>
    <row r="268" spans="4:14" s="10" customFormat="1" hidden="1" x14ac:dyDescent="0.2"/>
    <row r="269" spans="4:14" s="10" customFormat="1" hidden="1" x14ac:dyDescent="0.2"/>
    <row r="270" spans="4:14" s="10" customFormat="1" hidden="1" x14ac:dyDescent="0.2"/>
    <row r="271" spans="4:14" s="10" customFormat="1" hidden="1" x14ac:dyDescent="0.2"/>
    <row r="272" spans="4:14" s="10" customFormat="1" hidden="1" x14ac:dyDescent="0.2"/>
    <row r="273" s="10" customFormat="1" hidden="1" x14ac:dyDescent="0.2"/>
    <row r="274" s="10" customFormat="1" hidden="1" x14ac:dyDescent="0.2"/>
    <row r="275" s="10" customFormat="1" hidden="1" x14ac:dyDescent="0.2"/>
  </sheetData>
  <mergeCells count="32">
    <mergeCell ref="D39:F39"/>
    <mergeCell ref="D40:F40"/>
    <mergeCell ref="D62:F62"/>
    <mergeCell ref="D63:F63"/>
    <mergeCell ref="D64:F64"/>
    <mergeCell ref="D65:F65"/>
    <mergeCell ref="D41:F41"/>
    <mergeCell ref="D42:F42"/>
    <mergeCell ref="D245:F245"/>
    <mergeCell ref="D246:F246"/>
    <mergeCell ref="D218:F218"/>
    <mergeCell ref="D219:F219"/>
    <mergeCell ref="D216:F216"/>
    <mergeCell ref="D217:F217"/>
    <mergeCell ref="D113:F113"/>
    <mergeCell ref="D114:F114"/>
    <mergeCell ref="D88:F88"/>
    <mergeCell ref="D89:F89"/>
    <mergeCell ref="D90:F90"/>
    <mergeCell ref="D91:F91"/>
    <mergeCell ref="D162:F162"/>
    <mergeCell ref="D163:F163"/>
    <mergeCell ref="D164:F164"/>
    <mergeCell ref="D165:F165"/>
    <mergeCell ref="D115:F115"/>
    <mergeCell ref="D116:F116"/>
    <mergeCell ref="D243:F243"/>
    <mergeCell ref="D244:F244"/>
    <mergeCell ref="D188:F188"/>
    <mergeCell ref="D189:F189"/>
    <mergeCell ref="D190:F190"/>
    <mergeCell ref="D191:F191"/>
  </mergeCells>
  <conditionalFormatting sqref="H151">
    <cfRule type="cellIs" dxfId="349" priority="63" operator="notEqual">
      <formula>0</formula>
    </cfRule>
  </conditionalFormatting>
  <conditionalFormatting sqref="H155">
    <cfRule type="cellIs" dxfId="348" priority="62" operator="notEqual">
      <formula>0</formula>
    </cfRule>
  </conditionalFormatting>
  <conditionalFormatting sqref="H159">
    <cfRule type="cellIs" dxfId="347" priority="61" operator="notEqual">
      <formula>0</formula>
    </cfRule>
  </conditionalFormatting>
  <conditionalFormatting sqref="H176">
    <cfRule type="cellIs" dxfId="346" priority="60" operator="notEqual">
      <formula>0</formula>
    </cfRule>
  </conditionalFormatting>
  <conditionalFormatting sqref="H181">
    <cfRule type="cellIs" dxfId="345" priority="59" operator="notEqual">
      <formula>0</formula>
    </cfRule>
  </conditionalFormatting>
  <conditionalFormatting sqref="H200">
    <cfRule type="cellIs" dxfId="344" priority="58" operator="notEqual">
      <formula>0</formula>
    </cfRule>
  </conditionalFormatting>
  <conditionalFormatting sqref="H211">
    <cfRule type="cellIs" dxfId="343" priority="57" operator="notEqual">
      <formula>0</formula>
    </cfRule>
  </conditionalFormatting>
  <conditionalFormatting sqref="H239">
    <cfRule type="cellIs" dxfId="342" priority="56" operator="notEqual">
      <formula>0</formula>
    </cfRule>
  </conditionalFormatting>
  <conditionalFormatting sqref="J151:N151">
    <cfRule type="cellIs" dxfId="341" priority="70" operator="notEqual">
      <formula>0</formula>
    </cfRule>
  </conditionalFormatting>
  <conditionalFormatting sqref="J155:N155">
    <cfRule type="cellIs" dxfId="340" priority="69" operator="notEqual">
      <formula>0</formula>
    </cfRule>
  </conditionalFormatting>
  <conditionalFormatting sqref="J159:N159">
    <cfRule type="cellIs" dxfId="339" priority="68" operator="notEqual">
      <formula>0</formula>
    </cfRule>
  </conditionalFormatting>
  <conditionalFormatting sqref="J176:N176">
    <cfRule type="cellIs" dxfId="338" priority="66" operator="notEqual">
      <formula>0</formula>
    </cfRule>
  </conditionalFormatting>
  <conditionalFormatting sqref="J181:N181">
    <cfRule type="cellIs" dxfId="337" priority="64" operator="notEqual">
      <formula>0</formula>
    </cfRule>
  </conditionalFormatting>
  <conditionalFormatting sqref="J200:N200">
    <cfRule type="cellIs" dxfId="336" priority="55" operator="notEqual">
      <formula>0</formula>
    </cfRule>
  </conditionalFormatting>
  <conditionalFormatting sqref="J206:N206">
    <cfRule type="cellIs" dxfId="335" priority="54" operator="notEqual">
      <formula>0</formula>
    </cfRule>
  </conditionalFormatting>
  <conditionalFormatting sqref="J211:N211">
    <cfRule type="cellIs" dxfId="334" priority="53" operator="notEqual">
      <formula>0</formula>
    </cfRule>
  </conditionalFormatting>
  <conditionalFormatting sqref="J228:N228">
    <cfRule type="cellIs" dxfId="333" priority="52" operator="notEqual">
      <formula>0</formula>
    </cfRule>
  </conditionalFormatting>
  <conditionalFormatting sqref="J234:N234">
    <cfRule type="cellIs" dxfId="332" priority="51" operator="notEqual">
      <formula>0</formula>
    </cfRule>
  </conditionalFormatting>
  <conditionalFormatting sqref="J239:N239">
    <cfRule type="cellIs" dxfId="331" priority="49" operator="notEqual">
      <formula>0</formula>
    </cfRule>
  </conditionalFormatting>
  <dataValidations count="1">
    <dataValidation type="custom" showErrorMessage="1" errorTitle="Invalid Assumption" error="Assumption must be a number." sqref="J198:N198 J204:N204 J31:N31 J232:N232 J28:N28 J226:N226 J54:N54 J74:N74 J153:N153 J149:N149 J174:N174 J179:N179 J103:N103 J100:N100 J77:N77 J51:N51" xr:uid="{00000000-0002-0000-0D00-000000000000}">
      <formula1>NOT(ISERROR(J28/1))</formula1>
    </dataValidation>
  </dataValidations>
  <hyperlinks>
    <hyperlink ref="A221" location="HL_CVG_Out_Sum" tooltip="Click to follow hyperlink." display="HL_CVG_Out_Sum" xr:uid="{00000000-0004-0000-0D00-000000000000}"/>
    <hyperlink ref="A193" location="HL_CVG_Out_Sum" tooltip="Click to follow hyperlink." display="HL_CVG_Out_Sum" xr:uid="{00000000-0004-0000-0D00-000001000000}"/>
    <hyperlink ref="A167" location="HL_CVG_Out_Sum" tooltip="Click to follow hyperlink." display="HL_CVG_Out_Sum" xr:uid="{00000000-0004-0000-0D00-000002000000}"/>
    <hyperlink ref="A142" location="HL_CVG_Out_Sum" tooltip="Click to follow hyperlink." display="HL_CVG_Out_Sum" xr:uid="{00000000-0004-0000-0D00-000003000000}"/>
    <hyperlink ref="A16" location="HL_CVG_Coverage_Prospective_Assumptions" tooltip="Click to follow hyperlink." display="HL_CVG_Coverage_Prospective_Assumptions" xr:uid="{00000000-0004-0000-0D00-000004000000}"/>
    <hyperlink ref="A137" location="HL_CVG_Ass_A" tooltip="Click to follow hyperlink." display="HL_CVG_Ass_A" xr:uid="{00000000-0004-0000-0D00-000005000000}"/>
    <hyperlink ref="D13" location="HL_CVG_Projected_Coverage_Instructions" tooltip="Click to follow hyperlink." display="HL_CVG_Projected_Coverage_Instructions" xr:uid="{00000000-0004-0000-0D00-000006000000}"/>
    <hyperlink ref="D14" location="HL_CVG_Retrospective_Coverage_Instructions" tooltip="Click to follow hyperlink." display="HL_CVG_Retrospective_Coverage_Instructions" xr:uid="{00000000-0004-0000-0D00-000007000000}"/>
    <hyperlink ref="A2" location="HL_Err_Chk" tooltip="Go to Error Checks" display="HL_Err_Chk" xr:uid="{00000000-0004-0000-0D00-000008000000}"/>
    <hyperlink ref="A248" location="HL_CVG_Out_Sum" tooltip="Click to follow hyperlink." display="HL_CVG_Out_Sum" xr:uid="{00000000-0004-0000-0D00-000009000000}"/>
    <hyperlink ref="A118" location="HL_CVG_Retrospective_Coverage_Instructions" tooltip="Click to follow hyperlink." display="HL_CVG_Retrospective_Coverage_Instructions" xr:uid="{00000000-0004-0000-0D00-00000A000000}"/>
    <hyperlink ref="A1" location="Contents!A1" tooltip="Go to Table of Contents" display="±" xr:uid="{00000000-0004-0000-0D00-00000B000000}"/>
    <hyperlink ref="A3" location="$B$8" tooltip="Go to Top of Sheet" display="$B$8" xr:uid="{F0D291C3-5A49-49AA-B1AF-75A414CA6B62}"/>
  </hyperlinks>
  <pageMargins left="0.7" right="0.7" top="0.75" bottom="0.75" header="0.3" footer="0.3"/>
  <pageSetup scale="58" fitToHeight="0" orientation="landscape" r:id="rId1"/>
  <headerFooter>
    <oddFooter>&amp;L&amp;B Confidential&amp;B&amp;C&amp;D&amp;RPage &amp;P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FFC000"/>
    <pageSetUpPr autoPageBreaks="0" fitToPage="1"/>
  </sheetPr>
  <dimension ref="A1:R161"/>
  <sheetViews>
    <sheetView showGridLines="0" zoomScaleNormal="100" workbookViewId="0">
      <pane xSplit="1" ySplit="7" topLeftCell="B92" activePane="bottomRight" state="frozen"/>
      <selection activeCell="I511" sqref="I511"/>
      <selection pane="topRight" activeCell="I511" sqref="I511"/>
      <selection pane="bottomLeft" activeCell="I511" sqref="I511"/>
      <selection pane="bottomRight" activeCell="H120" sqref="H120"/>
    </sheetView>
  </sheetViews>
  <sheetFormatPr defaultColWidth="11.7109375" defaultRowHeight="15.75" customHeight="1" x14ac:dyDescent="0.2"/>
  <cols>
    <col min="1" max="2" width="3.7109375" customWidth="1"/>
    <col min="3" max="3" width="5.7109375" customWidth="1"/>
    <col min="4" max="4" width="35.7109375" customWidth="1"/>
    <col min="5" max="5" width="30.7109375" customWidth="1"/>
    <col min="6" max="6" width="15.7109375" customWidth="1"/>
    <col min="7" max="7" width="10.7109375" customWidth="1"/>
    <col min="8" max="8" width="11.7109375" customWidth="1"/>
    <col min="9" max="9" width="15.7109375" customWidth="1"/>
    <col min="10" max="13" width="20.7109375" customWidth="1"/>
    <col min="14" max="14" width="18.140625" customWidth="1"/>
    <col min="15" max="15" width="2.5703125"/>
    <col min="16384" max="16384" width="2.5703125"/>
  </cols>
  <sheetData>
    <row r="1" spans="1:18" ht="15.75" customHeight="1" x14ac:dyDescent="0.2">
      <c r="A1" s="35" t="s">
        <v>128</v>
      </c>
      <c r="B1" s="410" t="str">
        <f>Lang_Vaccine</f>
        <v>Vaccine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 spans="1:18" ht="15.75" customHeight="1" x14ac:dyDescent="0.2">
      <c r="A2" s="36"/>
      <c r="B2" s="46" t="str">
        <f ca="1">Model_Name</f>
        <v>Cervical Cancer Prevention and Control Costing (C4P) Tool (Cost Projection)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</row>
    <row r="3" spans="1:18" s="10" customFormat="1" ht="15.75" customHeight="1" x14ac:dyDescent="0.2">
      <c r="A3" s="421" t="s">
        <v>5</v>
      </c>
      <c r="B3" s="411" t="str">
        <f>Lang_Year_Ending</f>
        <v>Year Ending</v>
      </c>
      <c r="C3" s="90"/>
      <c r="D3" s="90"/>
      <c r="E3" s="90"/>
      <c r="F3" s="90"/>
      <c r="G3" s="90"/>
      <c r="H3" s="90"/>
      <c r="I3" s="90"/>
      <c r="J3" s="412">
        <f t="shared" ref="J3:N3" si="0">J7</f>
        <v>2019</v>
      </c>
      <c r="K3" s="412">
        <f t="shared" si="0"/>
        <v>2020</v>
      </c>
      <c r="L3" s="412">
        <f t="shared" si="0"/>
        <v>2021</v>
      </c>
      <c r="M3" s="412">
        <f t="shared" si="0"/>
        <v>2022</v>
      </c>
      <c r="N3" s="412">
        <f t="shared" si="0"/>
        <v>2023</v>
      </c>
    </row>
    <row r="4" spans="1:18" s="10" customFormat="1" ht="15.75" hidden="1" customHeight="1" x14ac:dyDescent="0.2">
      <c r="B4" s="50" t="str">
        <f>Lang_Period_Start_Date</f>
        <v>Period Start Date</v>
      </c>
      <c r="J4" s="413">
        <f>EDATE(TS_Start_Date,(J6-1)*TS_Mths_In_Yr)</f>
        <v>43466</v>
      </c>
      <c r="K4" s="413">
        <f>EDATE(TS_Start_Date,(K6-1)*TS_Mths_In_Yr)</f>
        <v>43831</v>
      </c>
      <c r="L4" s="413">
        <f>EDATE(TS_Start_Date,(L6-1)*TS_Mths_In_Yr)</f>
        <v>44197</v>
      </c>
      <c r="M4" s="413">
        <f>EDATE(TS_Start_Date,(M6-1)*TS_Mths_In_Yr)</f>
        <v>44562</v>
      </c>
      <c r="N4" s="413">
        <f>EDATE(TS_Start_Date,(N6-1)*TS_Mths_In_Yr)</f>
        <v>44927</v>
      </c>
    </row>
    <row r="5" spans="1:18" s="10" customFormat="1" ht="15.75" hidden="1" customHeight="1" x14ac:dyDescent="0.2">
      <c r="B5" s="50" t="str">
        <f>Lang_Period_End_Date</f>
        <v>Period End Date</v>
      </c>
      <c r="J5" s="413">
        <f>EDATE(J4,TS_Mths_In_Yr)-1</f>
        <v>43830</v>
      </c>
      <c r="K5" s="413">
        <f>EDATE(K4,TS_Mths_In_Yr)-1</f>
        <v>44196</v>
      </c>
      <c r="L5" s="413">
        <f>EDATE(L4,TS_Mths_In_Yr)-1</f>
        <v>44561</v>
      </c>
      <c r="M5" s="413">
        <f>EDATE(M4,TS_Mths_In_Yr)-1</f>
        <v>44926</v>
      </c>
      <c r="N5" s="413">
        <f>EDATE(N4,TS_Mths_In_Yr)-1</f>
        <v>45291</v>
      </c>
    </row>
    <row r="6" spans="1:18" s="10" customFormat="1" ht="15.75" hidden="1" customHeight="1" x14ac:dyDescent="0.2">
      <c r="B6" s="50" t="str">
        <f>Lang_Counter</f>
        <v>Counter</v>
      </c>
      <c r="J6" s="51">
        <f>COLUMNS($J6:J6)</f>
        <v>1</v>
      </c>
      <c r="K6" s="51">
        <f>COLUMNS($J6:K6)</f>
        <v>2</v>
      </c>
      <c r="L6" s="51">
        <f>COLUMNS($J6:L6)</f>
        <v>3</v>
      </c>
      <c r="M6" s="51">
        <f>COLUMNS($J6:M6)</f>
        <v>4</v>
      </c>
      <c r="N6" s="51">
        <f>COLUMNS($J6:N6)</f>
        <v>5</v>
      </c>
    </row>
    <row r="7" spans="1:18" s="10" customFormat="1" ht="15.75" hidden="1" customHeight="1" x14ac:dyDescent="0.2">
      <c r="B7" s="91" t="str">
        <f>Lang_Financial_Year</f>
        <v>Financial Year</v>
      </c>
      <c r="C7" s="69"/>
      <c r="D7" s="69"/>
      <c r="E7" s="69"/>
      <c r="F7" s="69"/>
      <c r="G7" s="69"/>
      <c r="H7" s="69"/>
      <c r="I7" s="69"/>
      <c r="J7" s="414">
        <f t="shared" ref="J7:N7" si="1">YEAR(J5)</f>
        <v>2019</v>
      </c>
      <c r="K7" s="414">
        <f t="shared" si="1"/>
        <v>2020</v>
      </c>
      <c r="L7" s="414">
        <f t="shared" si="1"/>
        <v>2021</v>
      </c>
      <c r="M7" s="414">
        <f t="shared" si="1"/>
        <v>2022</v>
      </c>
      <c r="N7" s="414">
        <f t="shared" si="1"/>
        <v>2023</v>
      </c>
    </row>
    <row r="8" spans="1:18" s="10" customFormat="1" ht="15.75" customHeight="1" x14ac:dyDescent="0.2"/>
    <row r="9" spans="1:18" s="10" customFormat="1" ht="15.75" customHeight="1" x14ac:dyDescent="0.2">
      <c r="A9" s="12" t="s">
        <v>125</v>
      </c>
      <c r="B9" s="415" t="str">
        <f>Lang_Vaccine_And_Supply_Costs_Assumptions_Prospective_Or_Retrospective</f>
        <v>Vaccine and Supply Costs - Assumptions (Projection or Retrospective)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1:18" s="10" customFormat="1" ht="15.75" customHeight="1" x14ac:dyDescent="0.2"/>
    <row r="11" spans="1:18" s="10" customFormat="1" ht="15.75" customHeight="1" x14ac:dyDescent="0.2"/>
    <row r="12" spans="1:18" s="10" customFormat="1" ht="15.75" customHeight="1" x14ac:dyDescent="0.2">
      <c r="D12" s="74" t="str">
        <f>Lang_Procurement_Costs</f>
        <v>Procurement Costs</v>
      </c>
    </row>
    <row r="13" spans="1:18" s="10" customFormat="1" ht="15.75" customHeight="1" x14ac:dyDescent="0.2"/>
    <row r="14" spans="1:18" s="10" customFormat="1" ht="15.75" customHeight="1" x14ac:dyDescent="0.2">
      <c r="D14" s="55" t="str">
        <f>Lang_Applied_Currency</f>
        <v>Applied Currency</v>
      </c>
      <c r="H14" s="72">
        <v>1</v>
      </c>
    </row>
    <row r="15" spans="1:18" s="10" customFormat="1" ht="15.75" customHeight="1" x14ac:dyDescent="0.2"/>
    <row r="16" spans="1:18" s="10" customFormat="1" ht="15.75" customHeight="1" x14ac:dyDescent="0.2">
      <c r="D16" s="74" t="str">
        <f>Lang_Market_Cost_Of_Vaccine_And_Injectable_Supplies</f>
        <v>Market Cost of vaccine and injectable supplies</v>
      </c>
    </row>
    <row r="17" spans="4:14" s="10" customFormat="1" ht="15.75" customHeight="1" x14ac:dyDescent="0.2">
      <c r="D17" s="74" t="str">
        <f>Lang_Vaccine_Per_Dose</f>
        <v>Vaccine (per dose)</v>
      </c>
      <c r="G17" s="52" t="str">
        <f ca="1">OFFSET(Vacc_Lu!$D$11,DD_Vacc_Applied_Input_Currency,0)</f>
        <v>USD</v>
      </c>
      <c r="J17" s="107">
        <v>0</v>
      </c>
      <c r="K17" s="107">
        <v>0</v>
      </c>
      <c r="L17" s="107">
        <v>0</v>
      </c>
      <c r="M17" s="107">
        <v>0</v>
      </c>
      <c r="N17" s="107">
        <v>0</v>
      </c>
    </row>
    <row r="18" spans="4:14" s="10" customFormat="1" ht="15.75" customHeight="1" x14ac:dyDescent="0.2">
      <c r="D18" s="74" t="str">
        <f>Lang_Injection_Syringe_Each</f>
        <v>Injection syringe (each)</v>
      </c>
      <c r="G18" s="52" t="str">
        <f ca="1">OFFSET(Vacc_Lu!$D$11,DD_Vacc_Applied_Input_Currency,0)</f>
        <v>USD</v>
      </c>
      <c r="J18" s="107">
        <v>0</v>
      </c>
      <c r="K18" s="107">
        <v>0</v>
      </c>
      <c r="L18" s="107">
        <v>0</v>
      </c>
      <c r="M18" s="107">
        <v>0</v>
      </c>
      <c r="N18" s="107">
        <v>0</v>
      </c>
    </row>
    <row r="19" spans="4:14" s="10" customFormat="1" ht="15.75" customHeight="1" x14ac:dyDescent="0.2">
      <c r="D19" s="74" t="str">
        <f>Lang_Safety_Box_Each</f>
        <v>Safety box (each)</v>
      </c>
      <c r="G19" s="52" t="str">
        <f ca="1">OFFSET(Vacc_Lu!$D$11,DD_Vacc_Applied_Input_Currency,0)</f>
        <v>USD</v>
      </c>
      <c r="J19" s="107">
        <v>0</v>
      </c>
      <c r="K19" s="107">
        <v>0</v>
      </c>
      <c r="L19" s="107">
        <v>0</v>
      </c>
      <c r="M19" s="107">
        <v>0</v>
      </c>
      <c r="N19" s="107">
        <v>0</v>
      </c>
    </row>
    <row r="20" spans="4:14" s="10" customFormat="1" ht="15.75" customHeight="1" x14ac:dyDescent="0.2"/>
    <row r="21" spans="4:14" s="10" customFormat="1" ht="15.75" customHeight="1" x14ac:dyDescent="0.2">
      <c r="D21" s="74" t="str">
        <f>Lang_Subsidies_For_Vaccine_And_Injectable_Supplies</f>
        <v>Subsidies for vaccine and injectable supplies</v>
      </c>
    </row>
    <row r="22" spans="4:14" s="10" customFormat="1" ht="15.75" customHeight="1" x14ac:dyDescent="0.2">
      <c r="D22" s="74" t="str">
        <f>Lang_Vaccine_Per_Dose</f>
        <v>Vaccine (per dose)</v>
      </c>
      <c r="G22" s="52" t="str">
        <f ca="1">OFFSET(Vacc_Lu!$D$11,DD_Vacc_Applied_Input_Currency,0)</f>
        <v>USD</v>
      </c>
      <c r="J22" s="107">
        <v>0</v>
      </c>
      <c r="K22" s="107">
        <v>0</v>
      </c>
      <c r="L22" s="107">
        <v>0</v>
      </c>
      <c r="M22" s="107">
        <v>0</v>
      </c>
      <c r="N22" s="107">
        <v>0</v>
      </c>
    </row>
    <row r="23" spans="4:14" s="10" customFormat="1" ht="15.75" customHeight="1" x14ac:dyDescent="0.2">
      <c r="D23" s="74" t="str">
        <f>Lang_Injection_Syringe_Each</f>
        <v>Injection syringe (each)</v>
      </c>
      <c r="G23" s="52" t="str">
        <f ca="1">OFFSET(Vacc_Lu!$D$11,DD_Vacc_Applied_Input_Currency,0)</f>
        <v>USD</v>
      </c>
      <c r="J23" s="107">
        <v>0</v>
      </c>
      <c r="K23" s="107">
        <v>0</v>
      </c>
      <c r="L23" s="107">
        <v>0</v>
      </c>
      <c r="M23" s="107">
        <v>0</v>
      </c>
      <c r="N23" s="107">
        <v>0</v>
      </c>
    </row>
    <row r="24" spans="4:14" s="10" customFormat="1" ht="15.75" customHeight="1" x14ac:dyDescent="0.2">
      <c r="D24" s="74" t="str">
        <f>Lang_Safety_Box_Each</f>
        <v>Safety box (each)</v>
      </c>
      <c r="G24" s="52" t="str">
        <f ca="1">OFFSET(Vacc_Lu!$D$11,DD_Vacc_Applied_Input_Currency,0)</f>
        <v>USD</v>
      </c>
      <c r="J24" s="107">
        <v>0</v>
      </c>
      <c r="K24" s="107">
        <v>0</v>
      </c>
      <c r="L24" s="107">
        <v>0</v>
      </c>
      <c r="M24" s="107">
        <v>0</v>
      </c>
      <c r="N24" s="107">
        <v>0</v>
      </c>
    </row>
    <row r="25" spans="4:14" s="10" customFormat="1" ht="15.75" customHeight="1" x14ac:dyDescent="0.2"/>
    <row r="26" spans="4:14" s="10" customFormat="1" ht="15.75" customHeight="1" x14ac:dyDescent="0.2">
      <c r="D26" s="74" t="str">
        <f>Lang_Proportion_Of_Vaccine_And_Injectable_Supply_Procurement_Subsidized</f>
        <v>Proportion (%) of  vaccine and injectable supply procurement subsidized</v>
      </c>
    </row>
    <row r="27" spans="4:14" s="10" customFormat="1" ht="15.75" customHeight="1" x14ac:dyDescent="0.2">
      <c r="D27" s="74" t="str">
        <f>Lang_Vaccines</f>
        <v>Vaccines</v>
      </c>
      <c r="G27" s="50" t="s">
        <v>355</v>
      </c>
      <c r="J27" s="98"/>
      <c r="K27" s="98"/>
      <c r="L27" s="98"/>
      <c r="M27" s="98"/>
      <c r="N27" s="98"/>
    </row>
    <row r="28" spans="4:14" s="10" customFormat="1" ht="15.75" customHeight="1" x14ac:dyDescent="0.2">
      <c r="D28" s="74" t="str">
        <f>Lang_Injection_Syringes</f>
        <v>Injection Syringes</v>
      </c>
      <c r="G28" s="50" t="s">
        <v>355</v>
      </c>
      <c r="J28" s="98"/>
      <c r="K28" s="98"/>
      <c r="L28" s="98"/>
      <c r="M28" s="98"/>
      <c r="N28" s="98"/>
    </row>
    <row r="29" spans="4:14" s="10" customFormat="1" ht="15.75" customHeight="1" x14ac:dyDescent="0.2">
      <c r="D29" s="74" t="str">
        <f>Lang_Safety_Box_Each</f>
        <v>Safety box (each)</v>
      </c>
      <c r="G29" s="50" t="s">
        <v>355</v>
      </c>
      <c r="J29" s="98"/>
      <c r="K29" s="98"/>
      <c r="L29" s="98"/>
      <c r="M29" s="98"/>
      <c r="N29" s="98"/>
    </row>
    <row r="30" spans="4:14" s="10" customFormat="1" ht="15.75" customHeight="1" x14ac:dyDescent="0.2"/>
    <row r="31" spans="4:14" s="10" customFormat="1" ht="15.75" customHeight="1" x14ac:dyDescent="0.2">
      <c r="D31" s="74" t="str">
        <f>Lang_Additional_Costs</f>
        <v>Additional Costs</v>
      </c>
    </row>
    <row r="32" spans="4:14" s="10" customFormat="1" ht="15.75" customHeight="1" x14ac:dyDescent="0.2"/>
    <row r="33" spans="4:18" s="10" customFormat="1" ht="15.75" customHeight="1" x14ac:dyDescent="0.2">
      <c r="D33" s="99" t="str">
        <f>Lang_Additional_Costs_Vaccine</f>
        <v>Additional Costs - Vaccine</v>
      </c>
      <c r="R33" s="10" t="s">
        <v>39</v>
      </c>
    </row>
    <row r="34" spans="4:18" s="10" customFormat="1" ht="15.75" customHeight="1" x14ac:dyDescent="0.2">
      <c r="D34" s="75" t="s">
        <v>611</v>
      </c>
      <c r="G34" s="50" t="s">
        <v>355</v>
      </c>
      <c r="J34" s="96">
        <v>0</v>
      </c>
      <c r="K34" s="96">
        <v>0</v>
      </c>
      <c r="L34" s="96">
        <v>0</v>
      </c>
      <c r="M34" s="96">
        <v>0</v>
      </c>
      <c r="N34" s="96">
        <v>0</v>
      </c>
    </row>
    <row r="35" spans="4:18" s="10" customFormat="1" ht="15.75" customHeight="1" x14ac:dyDescent="0.2">
      <c r="D35" s="75" t="s">
        <v>314</v>
      </c>
      <c r="G35" s="50" t="s">
        <v>355</v>
      </c>
      <c r="J35" s="96">
        <v>0</v>
      </c>
      <c r="K35" s="96">
        <v>0</v>
      </c>
      <c r="L35" s="96">
        <v>0</v>
      </c>
      <c r="M35" s="96">
        <v>0</v>
      </c>
      <c r="N35" s="96">
        <v>0</v>
      </c>
    </row>
    <row r="36" spans="4:18" s="10" customFormat="1" ht="15.75" customHeight="1" x14ac:dyDescent="0.2">
      <c r="D36" s="75" t="s">
        <v>315</v>
      </c>
      <c r="G36" s="50" t="s">
        <v>355</v>
      </c>
      <c r="J36" s="96">
        <v>0</v>
      </c>
      <c r="K36" s="96">
        <v>0</v>
      </c>
      <c r="L36" s="96">
        <v>0</v>
      </c>
      <c r="M36" s="96">
        <v>0</v>
      </c>
      <c r="N36" s="96">
        <v>0</v>
      </c>
    </row>
    <row r="37" spans="4:18" s="10" customFormat="1" ht="15.75" customHeight="1" x14ac:dyDescent="0.2">
      <c r="D37" s="75" t="s">
        <v>352</v>
      </c>
      <c r="G37" s="50" t="s">
        <v>355</v>
      </c>
      <c r="J37" s="96">
        <v>0</v>
      </c>
      <c r="K37" s="96">
        <v>0</v>
      </c>
      <c r="L37" s="96">
        <v>0</v>
      </c>
      <c r="M37" s="96">
        <v>0</v>
      </c>
      <c r="N37" s="96">
        <v>0</v>
      </c>
    </row>
    <row r="38" spans="4:18" s="10" customFormat="1" ht="15.75" customHeight="1" x14ac:dyDescent="0.2">
      <c r="D38" s="71" t="str">
        <f>Lang_Total_SmallLetter&amp;" "&amp;D33</f>
        <v>Total Additional Costs - Vaccine</v>
      </c>
      <c r="J38" s="416">
        <f t="shared" ref="J38:N38" si="2">SUM(J34:J37)</f>
        <v>0</v>
      </c>
      <c r="K38" s="416">
        <f t="shared" si="2"/>
        <v>0</v>
      </c>
      <c r="L38" s="416">
        <f t="shared" si="2"/>
        <v>0</v>
      </c>
      <c r="M38" s="416">
        <f t="shared" si="2"/>
        <v>0</v>
      </c>
      <c r="N38" s="416">
        <f t="shared" si="2"/>
        <v>0</v>
      </c>
    </row>
    <row r="39" spans="4:18" ht="15.75" customHeight="1" x14ac:dyDescent="0.2">
      <c r="D39" s="50" t="str">
        <f>Lang_Proportion_Of_Additional_Costs_Vaccine_Subsidized_On_Scale_Of_0_To_100</f>
        <v>Proportion of Additional Costs - Vaccine Subsidized (on scale of 0 to 100%)</v>
      </c>
      <c r="E39" s="10"/>
      <c r="F39" s="10"/>
      <c r="G39" s="10"/>
      <c r="H39" s="10"/>
      <c r="I39" s="10"/>
      <c r="J39" s="131"/>
      <c r="K39" s="131"/>
      <c r="L39" s="131"/>
      <c r="M39" s="131"/>
      <c r="N39" s="131"/>
    </row>
    <row r="40" spans="4:18" ht="15.75" customHeight="1" x14ac:dyDescent="0.2">
      <c r="D40" s="10"/>
      <c r="E40" s="10"/>
      <c r="F40" s="10"/>
      <c r="G40" s="10"/>
      <c r="H40" s="10"/>
      <c r="I40" s="10"/>
    </row>
    <row r="41" spans="4:18" s="10" customFormat="1" ht="15.75" customHeight="1" x14ac:dyDescent="0.2"/>
    <row r="42" spans="4:18" s="10" customFormat="1" ht="15.75" customHeight="1" x14ac:dyDescent="0.2">
      <c r="D42" s="99" t="str">
        <f>Lang_Additional_Costs_Injection_Syringes</f>
        <v>Additional Costs - Injection Syringes</v>
      </c>
    </row>
    <row r="43" spans="4:18" s="10" customFormat="1" ht="15.75" customHeight="1" x14ac:dyDescent="0.2">
      <c r="D43" s="62" t="s">
        <v>611</v>
      </c>
      <c r="G43" s="50" t="s">
        <v>355</v>
      </c>
      <c r="J43" s="131">
        <v>0</v>
      </c>
      <c r="K43" s="131">
        <v>0</v>
      </c>
      <c r="L43" s="131">
        <v>0</v>
      </c>
      <c r="M43" s="131">
        <v>0</v>
      </c>
      <c r="N43" s="131">
        <v>0</v>
      </c>
    </row>
    <row r="44" spans="4:18" s="10" customFormat="1" ht="15.75" customHeight="1" x14ac:dyDescent="0.2">
      <c r="D44" s="62" t="s">
        <v>314</v>
      </c>
      <c r="G44" s="50" t="s">
        <v>355</v>
      </c>
      <c r="J44" s="131">
        <v>0</v>
      </c>
      <c r="K44" s="131">
        <v>0</v>
      </c>
      <c r="L44" s="131">
        <v>0</v>
      </c>
      <c r="M44" s="131">
        <v>0</v>
      </c>
      <c r="N44" s="131">
        <v>0</v>
      </c>
    </row>
    <row r="45" spans="4:18" s="10" customFormat="1" ht="15.75" customHeight="1" x14ac:dyDescent="0.2">
      <c r="D45" s="62" t="s">
        <v>315</v>
      </c>
      <c r="G45" s="50" t="s">
        <v>355</v>
      </c>
      <c r="J45" s="131">
        <v>0</v>
      </c>
      <c r="K45" s="131">
        <v>0</v>
      </c>
      <c r="L45" s="131">
        <v>0</v>
      </c>
      <c r="M45" s="131">
        <v>0</v>
      </c>
      <c r="N45" s="131">
        <v>0</v>
      </c>
    </row>
    <row r="46" spans="4:18" s="10" customFormat="1" ht="15.75" customHeight="1" x14ac:dyDescent="0.2">
      <c r="D46" s="62" t="s">
        <v>352</v>
      </c>
      <c r="G46" s="50" t="s">
        <v>355</v>
      </c>
      <c r="J46" s="131">
        <v>0</v>
      </c>
      <c r="K46" s="131">
        <v>0</v>
      </c>
      <c r="L46" s="131">
        <v>0</v>
      </c>
      <c r="M46" s="131">
        <v>0</v>
      </c>
      <c r="N46" s="131">
        <v>0</v>
      </c>
    </row>
    <row r="47" spans="4:18" s="10" customFormat="1" ht="15.75" customHeight="1" x14ac:dyDescent="0.2">
      <c r="D47" s="71" t="str">
        <f>Lang_Total_SmallLetter&amp;" "&amp;D42</f>
        <v>Total Additional Costs - Injection Syringes</v>
      </c>
      <c r="J47" s="416">
        <f t="shared" ref="J47:N47" si="3">SUM(J43:J46)</f>
        <v>0</v>
      </c>
      <c r="K47" s="416">
        <f t="shared" si="3"/>
        <v>0</v>
      </c>
      <c r="L47" s="416">
        <f t="shared" si="3"/>
        <v>0</v>
      </c>
      <c r="M47" s="416">
        <f t="shared" si="3"/>
        <v>0</v>
      </c>
      <c r="N47" s="416">
        <f t="shared" si="3"/>
        <v>0</v>
      </c>
    </row>
    <row r="48" spans="4:18" ht="15.75" customHeight="1" x14ac:dyDescent="0.2">
      <c r="D48" s="50" t="str">
        <f>Lang_Proportion_Of_Additional_Costs_Injection_Syringes_Subsidized_On_Scale_Of_0_To_100</f>
        <v>Proportion of Additional Costs - Injection Syringes Subsidized (on scale of 0 to 100%)</v>
      </c>
      <c r="E48" s="10"/>
      <c r="F48" s="10"/>
      <c r="G48" s="10"/>
      <c r="H48" s="10"/>
      <c r="I48" s="10"/>
      <c r="J48" s="131"/>
      <c r="K48" s="131"/>
      <c r="L48" s="131"/>
      <c r="M48" s="131"/>
      <c r="N48" s="131"/>
    </row>
    <row r="49" spans="4:14" s="10" customFormat="1" ht="15.75" customHeight="1" x14ac:dyDescent="0.2"/>
    <row r="50" spans="4:14" s="10" customFormat="1" ht="15.75" customHeight="1" x14ac:dyDescent="0.2">
      <c r="D50" s="99" t="str">
        <f>Lang_Additional_Costs_Safety_Boxes</f>
        <v>Additional Costs - Safety Boxes</v>
      </c>
    </row>
    <row r="51" spans="4:14" s="10" customFormat="1" ht="15.75" customHeight="1" x14ac:dyDescent="0.2">
      <c r="D51" s="62" t="s">
        <v>611</v>
      </c>
      <c r="G51" s="50" t="s">
        <v>355</v>
      </c>
      <c r="J51" s="131">
        <v>0</v>
      </c>
      <c r="K51" s="131">
        <v>0</v>
      </c>
      <c r="L51" s="131">
        <v>0</v>
      </c>
      <c r="M51" s="131">
        <v>0</v>
      </c>
      <c r="N51" s="131">
        <v>0</v>
      </c>
    </row>
    <row r="52" spans="4:14" s="10" customFormat="1" ht="15.75" customHeight="1" x14ac:dyDescent="0.2">
      <c r="D52" s="62" t="s">
        <v>314</v>
      </c>
      <c r="G52" s="50" t="s">
        <v>355</v>
      </c>
      <c r="J52" s="131">
        <v>0</v>
      </c>
      <c r="K52" s="131">
        <v>0</v>
      </c>
      <c r="L52" s="131">
        <v>0</v>
      </c>
      <c r="M52" s="131">
        <v>0</v>
      </c>
      <c r="N52" s="131">
        <v>0</v>
      </c>
    </row>
    <row r="53" spans="4:14" s="10" customFormat="1" ht="15.75" customHeight="1" x14ac:dyDescent="0.2">
      <c r="D53" s="62" t="s">
        <v>315</v>
      </c>
      <c r="G53" s="50" t="s">
        <v>355</v>
      </c>
      <c r="J53" s="131">
        <v>0</v>
      </c>
      <c r="K53" s="131">
        <v>0</v>
      </c>
      <c r="L53" s="131">
        <v>0</v>
      </c>
      <c r="M53" s="131">
        <v>0</v>
      </c>
      <c r="N53" s="131">
        <v>0</v>
      </c>
    </row>
    <row r="54" spans="4:14" s="10" customFormat="1" ht="15.75" customHeight="1" x14ac:dyDescent="0.2">
      <c r="D54" s="62" t="s">
        <v>352</v>
      </c>
      <c r="G54" s="50" t="s">
        <v>355</v>
      </c>
      <c r="J54" s="131">
        <v>0</v>
      </c>
      <c r="K54" s="131">
        <v>0</v>
      </c>
      <c r="L54" s="131">
        <v>0</v>
      </c>
      <c r="M54" s="131">
        <v>0</v>
      </c>
      <c r="N54" s="131">
        <v>0</v>
      </c>
    </row>
    <row r="55" spans="4:14" s="10" customFormat="1" ht="15.75" customHeight="1" x14ac:dyDescent="0.2">
      <c r="D55" s="71" t="str">
        <f>Lang_Total_SmallLetter&amp;" "&amp;D50</f>
        <v>Total Additional Costs - Safety Boxes</v>
      </c>
      <c r="J55" s="416">
        <f t="shared" ref="J55:N55" si="4">SUM(J51:J54)</f>
        <v>0</v>
      </c>
      <c r="K55" s="416">
        <f t="shared" si="4"/>
        <v>0</v>
      </c>
      <c r="L55" s="416">
        <f t="shared" si="4"/>
        <v>0</v>
      </c>
      <c r="M55" s="416">
        <f t="shared" si="4"/>
        <v>0</v>
      </c>
      <c r="N55" s="416">
        <f t="shared" si="4"/>
        <v>0</v>
      </c>
    </row>
    <row r="56" spans="4:14" s="10" customFormat="1" ht="15.75" customHeight="1" x14ac:dyDescent="0.2">
      <c r="D56" s="50" t="str">
        <f>Lang_Proportion_Of_Additional_Costs_Safety_Boxes_Subsidized_On_Scale_Of_0_To_100</f>
        <v>Proportion of Additional Costs - Safety Boxes Subsidized (on scale of 0 to 100%)</v>
      </c>
      <c r="J56" s="131"/>
      <c r="K56" s="131"/>
      <c r="L56" s="131"/>
      <c r="M56" s="131"/>
      <c r="N56" s="131"/>
    </row>
    <row r="57" spans="4:14" s="10" customFormat="1" ht="15.75" customHeight="1" x14ac:dyDescent="0.2"/>
    <row r="58" spans="4:14" s="10" customFormat="1" ht="15.75" customHeight="1" x14ac:dyDescent="0.2"/>
    <row r="59" spans="4:14" s="10" customFormat="1" ht="15.75" customHeight="1" x14ac:dyDescent="0.2">
      <c r="D59" s="74" t="str">
        <f>Lang_Cost_Per_Vaccine_Dose</f>
        <v>Cost per Vaccine Dose</v>
      </c>
    </row>
    <row r="60" spans="4:14" s="10" customFormat="1" ht="15.75" customHeight="1" x14ac:dyDescent="0.2"/>
    <row r="61" spans="4:14" s="10" customFormat="1" ht="15.75" customHeight="1" x14ac:dyDescent="0.2">
      <c r="D61" s="78" t="str">
        <f>Vacc_Lu!$D$13</f>
        <v>LCU</v>
      </c>
    </row>
    <row r="62" spans="4:14" s="10" customFormat="1" ht="15.75" customHeight="1" x14ac:dyDescent="0.2">
      <c r="D62" s="50" t="str">
        <f>Lang_Fin</f>
        <v>Financial</v>
      </c>
      <c r="J62" s="51">
        <f>IF(DD_Vacc_Applied_Input_Currency=1,((J17-(J22*J27))+(J17*(J38-(J38*J39))))*Vacc_Baseline_Exchange_Rate,((J17-(J22*J27))+(J17*(J38-(J38*J39)))))</f>
        <v>0</v>
      </c>
      <c r="K62" s="51">
        <f>IF(DD_Vacc_Applied_Input_Currency=1,((K17-(K22*K27))+(K17*(K38-(K38*K39))))*Vacc_Baseline_Exchange_Rate,((K17-(K22*K27))+(K17*(K38-(K38*K39)))))</f>
        <v>0</v>
      </c>
      <c r="L62" s="51">
        <f>IF(DD_Vacc_Applied_Input_Currency=1,((L17-(L22*L27))+(L17*(L38-(L38*L39))))*Vacc_Baseline_Exchange_Rate,((L17-(L22*L27))+(L17*(L38-(L38*L39)))))</f>
        <v>0</v>
      </c>
      <c r="M62" s="51">
        <f>IF(DD_Vacc_Applied_Input_Currency=1,((M17-(M22*M27))+(M17*(M38-(M38*M39))))*Vacc_Baseline_Exchange_Rate,((M17-(M22*M27))+(M17*(M38-(M38*M39)))))</f>
        <v>0</v>
      </c>
      <c r="N62" s="51">
        <f>IF(DD_Vacc_Applied_Input_Currency=1,((N17-(N22*N27))+(N17*(N38-(N38*N39))))*Vacc_Baseline_Exchange_Rate,((N17-(N22*N27))+(N17*(N38-(N38*N39)))))</f>
        <v>0</v>
      </c>
    </row>
    <row r="63" spans="4:14" s="10" customFormat="1" ht="15.75" customHeight="1" x14ac:dyDescent="0.2">
      <c r="D63" s="50" t="str">
        <f>Lang_Econ</f>
        <v>Economic</v>
      </c>
      <c r="J63" s="51">
        <f>IF(DD_Vacc_Applied_Input_Currency=1,(J17+(J17*J38))*Vacc_Baseline_Exchange_Rate,(J17+(J17*J38)))</f>
        <v>0</v>
      </c>
      <c r="K63" s="51">
        <f>IF(DD_Vacc_Applied_Input_Currency=1,(K17+(K17*K38))*Vacc_Baseline_Exchange_Rate,(K17+(K17*K38)))</f>
        <v>0</v>
      </c>
      <c r="L63" s="51">
        <f>IF(DD_Vacc_Applied_Input_Currency=1,(L17+(L17*L38))*Vacc_Baseline_Exchange_Rate,(L17+(L17*L38)))</f>
        <v>0</v>
      </c>
      <c r="M63" s="51">
        <f>IF(DD_Vacc_Applied_Input_Currency=1,(M17+(M17*M38))*Vacc_Baseline_Exchange_Rate,(M17+(M17*M38)))</f>
        <v>0</v>
      </c>
      <c r="N63" s="51">
        <f>IF(DD_Vacc_Applied_Input_Currency=1,(N17+(N17*N38))*Vacc_Baseline_Exchange_Rate,(N17+(N17*N38)))</f>
        <v>0</v>
      </c>
    </row>
    <row r="64" spans="4:14" s="10" customFormat="1" ht="15.75" customHeight="1" x14ac:dyDescent="0.2"/>
    <row r="65" spans="4:14" s="10" customFormat="1" ht="15.75" customHeight="1" x14ac:dyDescent="0.2">
      <c r="D65" s="78" t="str">
        <f>Vacc_Lu!$D$12</f>
        <v>USD</v>
      </c>
    </row>
    <row r="66" spans="4:14" s="10" customFormat="1" ht="15.75" customHeight="1" x14ac:dyDescent="0.2">
      <c r="D66" s="50" t="str">
        <f>Lang_Fin</f>
        <v>Financial</v>
      </c>
      <c r="J66" s="407">
        <f t="shared" ref="J66:N67" si="5">J62/Vacc_Baseline_Exchange_Rate</f>
        <v>0</v>
      </c>
      <c r="K66" s="407">
        <f t="shared" si="5"/>
        <v>0</v>
      </c>
      <c r="L66" s="407">
        <f t="shared" si="5"/>
        <v>0</v>
      </c>
      <c r="M66" s="407">
        <f t="shared" si="5"/>
        <v>0</v>
      </c>
      <c r="N66" s="407">
        <f t="shared" si="5"/>
        <v>0</v>
      </c>
    </row>
    <row r="67" spans="4:14" s="10" customFormat="1" ht="15.75" customHeight="1" x14ac:dyDescent="0.2">
      <c r="D67" s="50" t="str">
        <f>Lang_Econ</f>
        <v>Economic</v>
      </c>
      <c r="J67" s="407">
        <f t="shared" si="5"/>
        <v>0</v>
      </c>
      <c r="K67" s="407">
        <f t="shared" si="5"/>
        <v>0</v>
      </c>
      <c r="L67" s="407">
        <f t="shared" si="5"/>
        <v>0</v>
      </c>
      <c r="M67" s="407">
        <f t="shared" si="5"/>
        <v>0</v>
      </c>
      <c r="N67" s="407">
        <f t="shared" si="5"/>
        <v>0</v>
      </c>
    </row>
    <row r="68" spans="4:14" s="10" customFormat="1" ht="15.75" customHeight="1" x14ac:dyDescent="0.2"/>
    <row r="69" spans="4:14" s="10" customFormat="1" ht="15.75" customHeight="1" x14ac:dyDescent="0.2"/>
    <row r="70" spans="4:14" s="10" customFormat="1" ht="15.75" customHeight="1" x14ac:dyDescent="0.2">
      <c r="D70" s="74" t="str">
        <f>Lang_Cost_Per_Injection_Syringe</f>
        <v>Cost per Injection Syringe</v>
      </c>
    </row>
    <row r="71" spans="4:14" s="10" customFormat="1" ht="15.75" customHeight="1" x14ac:dyDescent="0.2"/>
    <row r="72" spans="4:14" s="10" customFormat="1" ht="15.75" customHeight="1" x14ac:dyDescent="0.2">
      <c r="D72" s="78" t="str">
        <f>Vacc_Lu!$D$13</f>
        <v>LCU</v>
      </c>
    </row>
    <row r="73" spans="4:14" s="10" customFormat="1" ht="15.75" customHeight="1" x14ac:dyDescent="0.2">
      <c r="D73" s="50" t="str">
        <f>Lang_Fin</f>
        <v>Financial</v>
      </c>
      <c r="J73" s="51">
        <f>IF(DD_Vacc_Applied_Input_Currency=1,((J18-(J23*J28))+(J18*(J47-(J47*J48))))*Vacc_Baseline_Exchange_Rate,((J18-(J23*J28))+(J18*(J47-(J47*J48)))))</f>
        <v>0</v>
      </c>
      <c r="K73" s="51">
        <f>IF(DD_Vacc_Applied_Input_Currency=1,((K18-(K23*K28))+(K18*(K47-(K47*K48))))*Vacc_Baseline_Exchange_Rate,((K18-(K23*K28))+(K18*(K47-(K47*K48)))))</f>
        <v>0</v>
      </c>
      <c r="L73" s="51">
        <f>IF(DD_Vacc_Applied_Input_Currency=1,((L18-(L23*L28))+(L18*(L47-(L47*L48))))*Vacc_Baseline_Exchange_Rate,((L18-(L23*L28))+(L18*(L47-(L47*L48)))))</f>
        <v>0</v>
      </c>
      <c r="M73" s="51">
        <f>IF(DD_Vacc_Applied_Input_Currency=1,((M18-(M23*M28))+(M18*(M47-(M47*M48))))*Vacc_Baseline_Exchange_Rate,((M18-(M23*M28))+(M18*(M47-(M47*M48)))))</f>
        <v>0</v>
      </c>
      <c r="N73" s="51">
        <f>IF(DD_Vacc_Applied_Input_Currency=1,((N18-(N23*N28))+(N18*(N47-(N47*N48))))*Vacc_Baseline_Exchange_Rate,((N18-(N23*N28))+(N18*(N47-(N47*N48)))))</f>
        <v>0</v>
      </c>
    </row>
    <row r="74" spans="4:14" s="10" customFormat="1" ht="15.75" customHeight="1" x14ac:dyDescent="0.2">
      <c r="D74" s="50" t="str">
        <f>Lang_Econ</f>
        <v>Economic</v>
      </c>
      <c r="J74" s="51">
        <f>IF(DD_Vacc_Applied_Input_Currency=1,(J18+(J18*J47))*Vacc_Baseline_Exchange_Rate,(J18+(J18*J47)))</f>
        <v>0</v>
      </c>
      <c r="K74" s="51">
        <f>IF(DD_Vacc_Applied_Input_Currency=1,(K18+(K18*K47))*Vacc_Baseline_Exchange_Rate,(K18+(K18*K47)))</f>
        <v>0</v>
      </c>
      <c r="L74" s="51">
        <f>IF(DD_Vacc_Applied_Input_Currency=1,(L18+(L18*L47))*Vacc_Baseline_Exchange_Rate,(L18+(L18*L47)))</f>
        <v>0</v>
      </c>
      <c r="M74" s="51">
        <f>IF(DD_Vacc_Applied_Input_Currency=1,(M18+(M18*M47))*Vacc_Baseline_Exchange_Rate,(M18+(M18*M47)))</f>
        <v>0</v>
      </c>
      <c r="N74" s="51">
        <f>IF(DD_Vacc_Applied_Input_Currency=1,(N18+(N18*N47))*Vacc_Baseline_Exchange_Rate,(N18+(N18*N47)))</f>
        <v>0</v>
      </c>
    </row>
    <row r="75" spans="4:14" s="10" customFormat="1" ht="15.75" customHeight="1" x14ac:dyDescent="0.2"/>
    <row r="76" spans="4:14" s="10" customFormat="1" ht="15.75" customHeight="1" x14ac:dyDescent="0.2">
      <c r="D76" s="78" t="str">
        <f>Vacc_Lu!$D$12</f>
        <v>USD</v>
      </c>
    </row>
    <row r="77" spans="4:14" s="10" customFormat="1" ht="15.75" customHeight="1" x14ac:dyDescent="0.2">
      <c r="D77" s="50" t="str">
        <f>Lang_Fin</f>
        <v>Financial</v>
      </c>
      <c r="J77" s="407">
        <f t="shared" ref="J77:N78" si="6">J73/Vacc_Baseline_Exchange_Rate</f>
        <v>0</v>
      </c>
      <c r="K77" s="407">
        <f t="shared" si="6"/>
        <v>0</v>
      </c>
      <c r="L77" s="407">
        <f t="shared" si="6"/>
        <v>0</v>
      </c>
      <c r="M77" s="407">
        <f t="shared" si="6"/>
        <v>0</v>
      </c>
      <c r="N77" s="407">
        <f t="shared" si="6"/>
        <v>0</v>
      </c>
    </row>
    <row r="78" spans="4:14" s="10" customFormat="1" ht="15.75" customHeight="1" x14ac:dyDescent="0.2">
      <c r="D78" s="50" t="str">
        <f>Lang_Econ</f>
        <v>Economic</v>
      </c>
      <c r="J78" s="407">
        <f t="shared" si="6"/>
        <v>0</v>
      </c>
      <c r="K78" s="407">
        <f t="shared" si="6"/>
        <v>0</v>
      </c>
      <c r="L78" s="407">
        <f t="shared" si="6"/>
        <v>0</v>
      </c>
      <c r="M78" s="407">
        <f t="shared" si="6"/>
        <v>0</v>
      </c>
      <c r="N78" s="407">
        <f t="shared" si="6"/>
        <v>0</v>
      </c>
    </row>
    <row r="79" spans="4:14" s="10" customFormat="1" ht="15.75" customHeight="1" x14ac:dyDescent="0.2"/>
    <row r="80" spans="4:14" s="10" customFormat="1" ht="15.75" customHeight="1" x14ac:dyDescent="0.2"/>
    <row r="81" spans="4:14" s="10" customFormat="1" ht="15.75" customHeight="1" x14ac:dyDescent="0.2">
      <c r="D81" s="74" t="str">
        <f>Lang_Cost_Per_Safety_Box</f>
        <v>Cost per Safety Box</v>
      </c>
    </row>
    <row r="82" spans="4:14" s="10" customFormat="1" ht="15.75" customHeight="1" x14ac:dyDescent="0.2"/>
    <row r="83" spans="4:14" s="10" customFormat="1" ht="15.75" customHeight="1" x14ac:dyDescent="0.2">
      <c r="D83" s="78" t="str">
        <f>Vacc_Lu!$D$13</f>
        <v>LCU</v>
      </c>
    </row>
    <row r="84" spans="4:14" s="10" customFormat="1" ht="15.75" customHeight="1" x14ac:dyDescent="0.2">
      <c r="D84" s="50" t="str">
        <f>Lang_Fin</f>
        <v>Financial</v>
      </c>
      <c r="J84" s="51">
        <f>IF(DD_Vacc_Applied_Input_Currency=1,((J19-(J24*J29))+(J19*(J55-(J55*J56))))*Vacc_Baseline_Exchange_Rate,((J19-(J24*J29))+(J19*(J55-(J55*J56)))))</f>
        <v>0</v>
      </c>
      <c r="K84" s="51">
        <f>IF(DD_Vacc_Applied_Input_Currency=1,((K19-(K24*K29))+(K19*(K55-(K55*K56))))*Vacc_Baseline_Exchange_Rate,((K19-(K24*K29))+(K19*(K55-(K55*K56)))))</f>
        <v>0</v>
      </c>
      <c r="L84" s="51">
        <f>IF(DD_Vacc_Applied_Input_Currency=1,((L19-(L24*L29))+(L19*(L55-(L55*L56))))*Vacc_Baseline_Exchange_Rate,((L19-(L24*L29))+(L19*(L55-(L55*L56)))))</f>
        <v>0</v>
      </c>
      <c r="M84" s="51">
        <f>IF(DD_Vacc_Applied_Input_Currency=1,((M19-(M24*M29))+(M19*(M55-(M55*M56))))*Vacc_Baseline_Exchange_Rate,((M19-(M24*M29))+(M19*(M55-(M55*M56)))))</f>
        <v>0</v>
      </c>
      <c r="N84" s="51">
        <f>IF(DD_Vacc_Applied_Input_Currency=1,((N19-(N24*N29))+(N19*(N55-(N55*N56))))*Vacc_Baseline_Exchange_Rate,((N19-(N24*N29))+(N19*(N55-(N55*N56)))))</f>
        <v>0</v>
      </c>
    </row>
    <row r="85" spans="4:14" s="10" customFormat="1" ht="15.75" customHeight="1" x14ac:dyDescent="0.2">
      <c r="D85" s="50" t="str">
        <f>Lang_Econ</f>
        <v>Economic</v>
      </c>
      <c r="J85" s="51">
        <f>IF(DD_Vacc_Applied_Input_Currency=1,(J19+(J19*J55))*Vacc_Baseline_Exchange_Rate,(J19+(J19*J55)))</f>
        <v>0</v>
      </c>
      <c r="K85" s="51">
        <f>IF(DD_Vacc_Applied_Input_Currency=1,(K19+(K19*K55))*Vacc_Baseline_Exchange_Rate,(K19+(K19*K55)))</f>
        <v>0</v>
      </c>
      <c r="L85" s="51">
        <f>IF(DD_Vacc_Applied_Input_Currency=1,(L19+(L19*L55))*Vacc_Baseline_Exchange_Rate,(L19+(L19*L55)))</f>
        <v>0</v>
      </c>
      <c r="M85" s="51">
        <f>IF(DD_Vacc_Applied_Input_Currency=1,(M19+(M19*M55))*Vacc_Baseline_Exchange_Rate,(M19+(M19*M55)))</f>
        <v>0</v>
      </c>
      <c r="N85" s="51">
        <f>IF(DD_Vacc_Applied_Input_Currency=1,(N19+(N19*N55))*Vacc_Baseline_Exchange_Rate,(N19+(N19*N55)))</f>
        <v>0</v>
      </c>
    </row>
    <row r="86" spans="4:14" s="10" customFormat="1" ht="15.75" customHeight="1" x14ac:dyDescent="0.2"/>
    <row r="87" spans="4:14" s="10" customFormat="1" ht="15.75" customHeight="1" x14ac:dyDescent="0.2"/>
    <row r="88" spans="4:14" s="10" customFormat="1" ht="15.75" customHeight="1" x14ac:dyDescent="0.2">
      <c r="D88" s="78" t="str">
        <f>Vacc_Lu!$D$12</f>
        <v>USD</v>
      </c>
    </row>
    <row r="89" spans="4:14" s="10" customFormat="1" ht="15.75" customHeight="1" x14ac:dyDescent="0.2">
      <c r="D89" s="50" t="str">
        <f>Lang_Fin</f>
        <v>Financial</v>
      </c>
      <c r="J89" s="407">
        <f t="shared" ref="J89:N90" si="7">J84/Vacc_Baseline_Exchange_Rate</f>
        <v>0</v>
      </c>
      <c r="K89" s="407">
        <f t="shared" si="7"/>
        <v>0</v>
      </c>
      <c r="L89" s="407">
        <f t="shared" si="7"/>
        <v>0</v>
      </c>
      <c r="M89" s="407">
        <f t="shared" si="7"/>
        <v>0</v>
      </c>
      <c r="N89" s="407">
        <f t="shared" si="7"/>
        <v>0</v>
      </c>
    </row>
    <row r="90" spans="4:14" s="10" customFormat="1" ht="15.75" customHeight="1" x14ac:dyDescent="0.2">
      <c r="D90" s="50" t="str">
        <f>Lang_Econ</f>
        <v>Economic</v>
      </c>
      <c r="J90" s="407">
        <f t="shared" si="7"/>
        <v>0</v>
      </c>
      <c r="K90" s="407">
        <f t="shared" si="7"/>
        <v>0</v>
      </c>
      <c r="L90" s="407">
        <f t="shared" si="7"/>
        <v>0</v>
      </c>
      <c r="M90" s="407">
        <f t="shared" si="7"/>
        <v>0</v>
      </c>
      <c r="N90" s="407">
        <f t="shared" si="7"/>
        <v>0</v>
      </c>
    </row>
    <row r="91" spans="4:14" s="10" customFormat="1" ht="15.75" customHeight="1" x14ac:dyDescent="0.2"/>
    <row r="92" spans="4:14" s="10" customFormat="1" ht="15.75" customHeight="1" x14ac:dyDescent="0.2"/>
    <row r="93" spans="4:14" s="10" customFormat="1" ht="15.75" customHeight="1" x14ac:dyDescent="0.2"/>
    <row r="94" spans="4:14" s="10" customFormat="1" ht="15.75" customHeight="1" x14ac:dyDescent="0.2"/>
    <row r="95" spans="4:14" s="10" customFormat="1" ht="15.75" customHeight="1" x14ac:dyDescent="0.2">
      <c r="D95" s="74" t="str">
        <f>Lang_Source_Of_Information_Notes</f>
        <v>Notes and Sources of Information</v>
      </c>
    </row>
    <row r="96" spans="4:14" s="10" customFormat="1" ht="15.75" customHeight="1" x14ac:dyDescent="0.2">
      <c r="D96" s="492" t="s">
        <v>596</v>
      </c>
      <c r="E96" s="492"/>
      <c r="F96" s="492"/>
    </row>
    <row r="97" spans="1:18" ht="15.75" customHeight="1" x14ac:dyDescent="0.2">
      <c r="D97" s="492" t="s">
        <v>596</v>
      </c>
      <c r="E97" s="492"/>
      <c r="F97" s="492"/>
      <c r="J97" s="10"/>
      <c r="K97" s="10"/>
      <c r="L97" s="10"/>
      <c r="M97" s="10"/>
      <c r="N97" s="10"/>
      <c r="O97" s="10"/>
      <c r="P97" s="10"/>
      <c r="Q97" s="10"/>
      <c r="R97" s="10"/>
    </row>
    <row r="98" spans="1:18" s="10" customFormat="1" ht="15.75" customHeight="1" x14ac:dyDescent="0.2">
      <c r="D98" s="492" t="s">
        <v>596</v>
      </c>
      <c r="E98" s="492"/>
      <c r="F98" s="492"/>
    </row>
    <row r="99" spans="1:18" s="10" customFormat="1" ht="15.75" customHeight="1" x14ac:dyDescent="0.2">
      <c r="D99" s="492" t="s">
        <v>596</v>
      </c>
      <c r="E99" s="492"/>
      <c r="F99" s="492"/>
    </row>
    <row r="100" spans="1:18" s="10" customFormat="1" ht="15.75" customHeight="1" x14ac:dyDescent="0.2"/>
    <row r="101" spans="1:18" s="10" customFormat="1" ht="15.75" customHeight="1" x14ac:dyDescent="0.2">
      <c r="A101" s="372" t="s">
        <v>125</v>
      </c>
      <c r="B101" s="415" t="str">
        <f>Lang_Prospective_Assumptions</f>
        <v>Projection Assumptions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</row>
    <row r="102" spans="1:18" s="10" customFormat="1" ht="15.75" customHeight="1" x14ac:dyDescent="0.2"/>
    <row r="103" spans="1:18" s="10" customFormat="1" ht="15.75" customHeight="1" x14ac:dyDescent="0.2">
      <c r="C103" s="12" t="s">
        <v>8</v>
      </c>
      <c r="D103" s="74" t="str">
        <f>Lang_Number_Vaccine_Doses_To_Procure_Based_On_Pop_Coverage_Projections_And_Wastage_Rates</f>
        <v># Vaccine doses to procure (based on population, coverage projections, and wastage rates).</v>
      </c>
    </row>
    <row r="104" spans="1:18" s="10" customFormat="1" ht="15.75" customHeight="1" x14ac:dyDescent="0.2"/>
    <row r="105" spans="1:18" s="10" customFormat="1" ht="15.75" customHeight="1" x14ac:dyDescent="0.2">
      <c r="D105" s="50" t="str">
        <f>Lang_Adjustment_For_Projected_Wastage_Rate_For_Vaccines</f>
        <v>Adjustment for projected wastage rate for vaccines</v>
      </c>
      <c r="H105" s="96">
        <v>0.1</v>
      </c>
    </row>
    <row r="106" spans="1:18" s="10" customFormat="1" ht="15.75" customHeight="1" x14ac:dyDescent="0.2"/>
    <row r="107" spans="1:18" s="10" customFormat="1" ht="15.75" customHeight="1" x14ac:dyDescent="0.2">
      <c r="D107" s="74" t="str">
        <f>Lang_Total_Number_Vaccine_Doses_To_Procure_Projected_Based_On_Pop_Coverage_Projections_And_Wastage_Rates</f>
        <v>Total # Vaccine doses to procure (projected based on population, coverage projections, and wastage rates).</v>
      </c>
      <c r="H107" s="97"/>
      <c r="J107" s="51">
        <f>CALCS_COVERAGE!J99*(1/1+$H$105)</f>
        <v>208997.91000000003</v>
      </c>
      <c r="K107" s="51">
        <f>CALCS_COVERAGE!K99*(1/1+$H$105)</f>
        <v>212135.00000000003</v>
      </c>
      <c r="L107" s="51">
        <f>CALCS_COVERAGE!L99*(1/1+$H$105)</f>
        <v>215361.96000000002</v>
      </c>
      <c r="M107" s="51">
        <f>CALCS_COVERAGE!M99*(1/1+$H$105)</f>
        <v>218688.19500000004</v>
      </c>
      <c r="N107" s="51">
        <f>CALCS_COVERAGE!N99*(1/1+$H$105)</f>
        <v>222113.70500000002</v>
      </c>
    </row>
    <row r="108" spans="1:18" s="10" customFormat="1" ht="15.75" customHeight="1" x14ac:dyDescent="0.2"/>
    <row r="109" spans="1:18" s="10" customFormat="1" ht="15.75" customHeight="1" x14ac:dyDescent="0.2">
      <c r="C109" s="12" t="s">
        <v>8</v>
      </c>
      <c r="D109" s="74" t="str">
        <f>Lang_Number_Injection_Syringes_To_Procure_Based_On_Pop_Coverage_Projections_And_Wastage_Rates</f>
        <v># Injection syringes to procure (based on population, coverage projections, and wastage rates).</v>
      </c>
    </row>
    <row r="110" spans="1:18" s="10" customFormat="1" ht="15.75" customHeight="1" x14ac:dyDescent="0.2"/>
    <row r="111" spans="1:18" s="10" customFormat="1" ht="15.75" customHeight="1" x14ac:dyDescent="0.2">
      <c r="D111" s="50" t="str">
        <f>Lang_Adjustment_For_Projected_Wastage_Rate_For_Injection_Syringes</f>
        <v>Adjustment for projected wastage rate for injection syringes</v>
      </c>
      <c r="H111" s="96">
        <v>0.1</v>
      </c>
    </row>
    <row r="112" spans="1:18" s="10" customFormat="1" ht="15.75" customHeight="1" x14ac:dyDescent="0.2"/>
    <row r="113" spans="2:14" s="10" customFormat="1" ht="15.75" customHeight="1" x14ac:dyDescent="0.2">
      <c r="D113" s="74" t="str">
        <f>Lang_Total_Number_Injection_Syringes_To_Procure_Projected_Based_On_Pop_Coverage_Projections_And_Wastage_Rates</f>
        <v>Total # Injection syringes to procure (projected based on population, coverage projections, and wastage rates).</v>
      </c>
      <c r="H113" s="97"/>
      <c r="J113" s="51">
        <f>CALCS_COVERAGE!J99*(1/1+$H$111)</f>
        <v>208997.91000000003</v>
      </c>
      <c r="K113" s="51">
        <f>CALCS_COVERAGE!K99*(1/1+$H$111)</f>
        <v>212135.00000000003</v>
      </c>
      <c r="L113" s="51">
        <f>CALCS_COVERAGE!L99*(1/1+$H$111)</f>
        <v>215361.96000000002</v>
      </c>
      <c r="M113" s="51">
        <f>CALCS_COVERAGE!M99*(1/1+$H$111)</f>
        <v>218688.19500000004</v>
      </c>
      <c r="N113" s="51">
        <f>CALCS_COVERAGE!N99*(1/1+$H$111)</f>
        <v>222113.70500000002</v>
      </c>
    </row>
    <row r="114" spans="2:14" s="10" customFormat="1" ht="15.75" customHeight="1" x14ac:dyDescent="0.2"/>
    <row r="115" spans="2:14" s="10" customFormat="1" ht="15.75" customHeight="1" x14ac:dyDescent="0.2"/>
    <row r="116" spans="2:14" s="10" customFormat="1" ht="15.75" customHeight="1" x14ac:dyDescent="0.2">
      <c r="C116" s="12" t="s">
        <v>8</v>
      </c>
      <c r="D116" s="74" t="str">
        <f>Lang_Number_Safety_Boxes_To_Procure</f>
        <v># Safety boxes to procure.</v>
      </c>
    </row>
    <row r="117" spans="2:14" s="10" customFormat="1" ht="15.75" customHeight="1" x14ac:dyDescent="0.2"/>
    <row r="118" spans="2:14" s="10" customFormat="1" ht="15.75" customHeight="1" x14ac:dyDescent="0.2">
      <c r="D118" s="55" t="str">
        <f>Lang_Injection_Syringe_Capacity_Per_Safety_Box_Number</f>
        <v>Injection Syringe capacity per safety box (#)</v>
      </c>
      <c r="H118" s="80">
        <v>100</v>
      </c>
    </row>
    <row r="119" spans="2:14" s="10" customFormat="1" ht="15.75" customHeight="1" x14ac:dyDescent="0.2"/>
    <row r="120" spans="2:14" s="10" customFormat="1" ht="15.75" customHeight="1" x14ac:dyDescent="0.2">
      <c r="D120" s="55" t="str">
        <f>Lang_Adjustment_For_Projected_Wastage_Rate_For_Safety_Boxes</f>
        <v>Adjustment for projected wastage rate for safety boxes</v>
      </c>
      <c r="H120" s="96">
        <v>0.1</v>
      </c>
    </row>
    <row r="121" spans="2:14" s="10" customFormat="1" ht="15.75" customHeight="1" x14ac:dyDescent="0.2"/>
    <row r="122" spans="2:14" s="10" customFormat="1" ht="15.75" customHeight="1" x14ac:dyDescent="0.2"/>
    <row r="123" spans="2:14" s="10" customFormat="1" ht="15.75" customHeight="1" x14ac:dyDescent="0.2">
      <c r="D123" s="55" t="str">
        <f>Lang_Total_Number_Safety_Boxes_To_Procure_Projected_Based_On_Pop_Coverage_Projections_And_Wastage_Rates</f>
        <v>Total # Safety Boxes to procure (projected based on population, coverage projections, and wastage rates).</v>
      </c>
      <c r="J123" s="51">
        <f t="shared" ref="J123:N123" si="8">J113/$H$118*(1/1+$H$120)</f>
        <v>2298.9770100000005</v>
      </c>
      <c r="K123" s="51">
        <f t="shared" si="8"/>
        <v>2333.4850000000006</v>
      </c>
      <c r="L123" s="51">
        <f t="shared" si="8"/>
        <v>2368.9815600000002</v>
      </c>
      <c r="M123" s="51">
        <f t="shared" si="8"/>
        <v>2405.5701450000006</v>
      </c>
      <c r="N123" s="51">
        <f t="shared" si="8"/>
        <v>2443.2507550000005</v>
      </c>
    </row>
    <row r="124" spans="2:14" s="10" customFormat="1" ht="15.75" customHeight="1" x14ac:dyDescent="0.2"/>
    <row r="125" spans="2:14" s="10" customFormat="1" ht="15.75" customHeight="1" x14ac:dyDescent="0.2"/>
    <row r="126" spans="2:14" s="10" customFormat="1" ht="15.75" customHeight="1" x14ac:dyDescent="0.2"/>
    <row r="127" spans="2:14" s="10" customFormat="1" ht="15.75" customHeight="1" x14ac:dyDescent="0.2">
      <c r="B127" s="415" t="str">
        <f>Lang_Retrospective_Data</f>
        <v>Retrospective Data</v>
      </c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</row>
    <row r="128" spans="2:14" s="10" customFormat="1" ht="15.75" customHeight="1" x14ac:dyDescent="0.2"/>
    <row r="129" spans="3:14" s="10" customFormat="1" ht="15.75" customHeight="1" x14ac:dyDescent="0.2">
      <c r="C129" s="12" t="s">
        <v>8</v>
      </c>
      <c r="D129" s="74" t="str">
        <f>Lang_Number_Vaccine_Doses_Procured</f>
        <v># Vaccine doses procured</v>
      </c>
    </row>
    <row r="130" spans="3:14" s="10" customFormat="1" ht="15.75" customHeight="1" x14ac:dyDescent="0.2"/>
    <row r="131" spans="3:14" s="10" customFormat="1" ht="15.75" customHeight="1" x14ac:dyDescent="0.2">
      <c r="D131" s="74" t="str">
        <f>Lang_Total_Number_Vaccine_Doses_Procured_Retrospective_Data</f>
        <v>Total # Vaccine doses procured (Retrospective data)</v>
      </c>
      <c r="J131" s="77">
        <v>99</v>
      </c>
      <c r="K131" s="77">
        <v>99</v>
      </c>
      <c r="L131" s="77">
        <v>99</v>
      </c>
      <c r="M131" s="77">
        <v>99</v>
      </c>
      <c r="N131" s="77">
        <v>99</v>
      </c>
    </row>
    <row r="132" spans="3:14" s="10" customFormat="1" ht="15.75" customHeight="1" x14ac:dyDescent="0.2"/>
    <row r="133" spans="3:14" s="10" customFormat="1" ht="15.75" customHeight="1" x14ac:dyDescent="0.2">
      <c r="C133" s="12" t="s">
        <v>8</v>
      </c>
      <c r="D133" s="74" t="str">
        <f>Lang_Number_Injection_Syringes_Procured</f>
        <v># Injection syringes procured</v>
      </c>
    </row>
    <row r="134" spans="3:14" s="10" customFormat="1" ht="15.75" customHeight="1" x14ac:dyDescent="0.2"/>
    <row r="135" spans="3:14" s="10" customFormat="1" ht="15.75" customHeight="1" x14ac:dyDescent="0.2">
      <c r="D135" s="74" t="str">
        <f>Lang_Total_Number_Injection_Syringes_Procured_Retrospective_Data</f>
        <v>Total # Injection syringes procured (Retrospective data)</v>
      </c>
      <c r="J135" s="77">
        <v>99</v>
      </c>
      <c r="K135" s="77">
        <v>99</v>
      </c>
      <c r="L135" s="77">
        <v>99</v>
      </c>
      <c r="M135" s="77">
        <v>99</v>
      </c>
      <c r="N135" s="77">
        <v>99</v>
      </c>
    </row>
    <row r="136" spans="3:14" s="10" customFormat="1" ht="15.75" customHeight="1" x14ac:dyDescent="0.2"/>
    <row r="137" spans="3:14" s="10" customFormat="1" ht="15.75" customHeight="1" x14ac:dyDescent="0.2"/>
    <row r="138" spans="3:14" s="10" customFormat="1" ht="15.75" customHeight="1" x14ac:dyDescent="0.2">
      <c r="C138" s="12" t="s">
        <v>8</v>
      </c>
      <c r="D138" s="74" t="str">
        <f>Lang_Number_Safety_Boxes_Procured</f>
        <v># Safety boxes procured</v>
      </c>
    </row>
    <row r="139" spans="3:14" s="10" customFormat="1" ht="15.75" customHeight="1" x14ac:dyDescent="0.2"/>
    <row r="140" spans="3:14" s="10" customFormat="1" ht="15.75" customHeight="1" x14ac:dyDescent="0.2">
      <c r="D140" s="55" t="str">
        <f>Lang_Injection_Syringe_Capacity_Per_Safety_Box_Number</f>
        <v>Injection Syringe capacity per safety box (#)</v>
      </c>
      <c r="H140" s="80">
        <v>100</v>
      </c>
    </row>
    <row r="141" spans="3:14" s="10" customFormat="1" ht="15.75" customHeight="1" x14ac:dyDescent="0.2"/>
    <row r="142" spans="3:14" s="10" customFormat="1" ht="15.75" customHeight="1" x14ac:dyDescent="0.2">
      <c r="D142" s="74" t="str">
        <f>Lang_Total_Number_Safety_Boxes_Procured_Retrospective_Data</f>
        <v>Total # Safety boxes procured (Retrospective data)</v>
      </c>
      <c r="J142" s="77">
        <v>99</v>
      </c>
      <c r="K142" s="77">
        <v>99</v>
      </c>
      <c r="L142" s="77">
        <v>99</v>
      </c>
      <c r="M142" s="77">
        <v>99</v>
      </c>
      <c r="N142" s="77">
        <v>99</v>
      </c>
    </row>
    <row r="143" spans="3:14" s="10" customFormat="1" ht="15.75" customHeight="1" x14ac:dyDescent="0.2"/>
    <row r="144" spans="3:14" s="10" customFormat="1" ht="15.75" customHeight="1" x14ac:dyDescent="0.2">
      <c r="C144" s="74" t="str">
        <f>Lang_Source_Of_Information_Notes</f>
        <v>Notes and Sources of Information</v>
      </c>
    </row>
    <row r="145" spans="2:14" s="10" customFormat="1" ht="15.75" customHeight="1" x14ac:dyDescent="0.2">
      <c r="C145" s="492" t="s">
        <v>596</v>
      </c>
      <c r="D145" s="492"/>
      <c r="E145" s="492"/>
      <c r="F145" s="492"/>
      <c r="G145" s="492"/>
    </row>
    <row r="146" spans="2:14" s="10" customFormat="1" ht="15.75" customHeight="1" x14ac:dyDescent="0.2">
      <c r="C146" s="492" t="s">
        <v>596</v>
      </c>
      <c r="D146" s="492"/>
      <c r="E146" s="492"/>
      <c r="F146" s="492"/>
      <c r="G146" s="492"/>
    </row>
    <row r="147" spans="2:14" s="10" customFormat="1" ht="15.75" customHeight="1" x14ac:dyDescent="0.2">
      <c r="C147" s="492" t="s">
        <v>596</v>
      </c>
      <c r="D147" s="492"/>
      <c r="E147" s="492"/>
      <c r="F147" s="492"/>
      <c r="G147" s="492"/>
    </row>
    <row r="148" spans="2:14" s="10" customFormat="1" ht="15.75" customHeight="1" x14ac:dyDescent="0.2">
      <c r="C148" s="492" t="s">
        <v>596</v>
      </c>
      <c r="D148" s="492"/>
      <c r="E148" s="492"/>
      <c r="F148" s="492"/>
      <c r="G148" s="492"/>
    </row>
    <row r="149" spans="2:14" s="10" customFormat="1" ht="15.75" customHeight="1" x14ac:dyDescent="0.2"/>
    <row r="150" spans="2:14" s="10" customFormat="1" ht="15.75" customHeight="1" x14ac:dyDescent="0.2"/>
    <row r="151" spans="2:14" s="10" customFormat="1" ht="15.75" customHeight="1" x14ac:dyDescent="0.2">
      <c r="B151" s="13" t="s">
        <v>359</v>
      </c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</row>
    <row r="152" spans="2:14" s="10" customFormat="1" ht="15.75" customHeight="1" x14ac:dyDescent="0.2"/>
    <row r="153" spans="2:14" s="10" customFormat="1" ht="15.75" customHeight="1" x14ac:dyDescent="0.2"/>
    <row r="154" spans="2:14" s="10" customFormat="1" ht="15.75" customHeight="1" x14ac:dyDescent="0.2"/>
    <row r="155" spans="2:14" s="10" customFormat="1" ht="15.75" customHeight="1" x14ac:dyDescent="0.2">
      <c r="D155" s="52" t="str">
        <f>ECONOMICS!F7</f>
        <v>USD</v>
      </c>
    </row>
    <row r="156" spans="2:14" s="10" customFormat="1" ht="15.75" customHeight="1" x14ac:dyDescent="0.2">
      <c r="D156" s="52" t="str">
        <f>ECONOMICS!F8</f>
        <v>LCU</v>
      </c>
    </row>
    <row r="157" spans="2:14" s="10" customFormat="1" ht="15.75" customHeight="1" x14ac:dyDescent="0.2"/>
    <row r="158" spans="2:14" s="10" customFormat="1" ht="15.75" customHeight="1" x14ac:dyDescent="0.2">
      <c r="D158" s="407">
        <f>ECONOMICS!E13</f>
        <v>1234.5</v>
      </c>
    </row>
    <row r="159" spans="2:14" s="10" customFormat="1" ht="15.75" customHeight="1" x14ac:dyDescent="0.2"/>
    <row r="160" spans="2:14" s="10" customFormat="1" ht="15.75" customHeight="1" x14ac:dyDescent="0.2"/>
    <row r="161" s="10" customFormat="1" ht="15.75" customHeight="1" x14ac:dyDescent="0.2"/>
  </sheetData>
  <mergeCells count="8">
    <mergeCell ref="C147:G147"/>
    <mergeCell ref="C148:G148"/>
    <mergeCell ref="C145:G145"/>
    <mergeCell ref="C146:G146"/>
    <mergeCell ref="D96:F96"/>
    <mergeCell ref="D97:F97"/>
    <mergeCell ref="D98:F98"/>
    <mergeCell ref="D99:F99"/>
  </mergeCells>
  <conditionalFormatting sqref="J17:N19 J22:N24">
    <cfRule type="expression" dxfId="330" priority="1">
      <formula>$H$14=1</formula>
    </cfRule>
  </conditionalFormatting>
  <conditionalFormatting sqref="J66:N67">
    <cfRule type="expression" dxfId="329" priority="22">
      <formula>$H$14=1</formula>
    </cfRule>
  </conditionalFormatting>
  <conditionalFormatting sqref="J77:N78">
    <cfRule type="expression" dxfId="328" priority="20">
      <formula>$H$14=1</formula>
    </cfRule>
  </conditionalFormatting>
  <conditionalFormatting sqref="J89:N90">
    <cfRule type="expression" dxfId="327" priority="18">
      <formula>$H$14=1</formula>
    </cfRule>
  </conditionalFormatting>
  <dataValidations count="2">
    <dataValidation type="custom" showErrorMessage="1" errorTitle="Invalid Assumption" error="Assumption must be a number." sqref="H111 H105 D158 J39:N39 H118 H120 J131:N131 J34:N37 J27:N29 J107:N107 H140 J142:N142 J135:N135 J51:N54 J43:N46 J56:N56 J48:N48 J17:N19 J22:N24" xr:uid="{00000000-0002-0000-0E00-000000000000}">
      <formula1>NOT(ISERROR(D17/1))</formula1>
    </dataValidation>
    <dataValidation type="whole" showDropDown="1" showErrorMessage="1" errorTitle="Drop Down Box Cell Link" error="The value in a drop down box cell link must be a whole number within the control's lookup range rows." sqref="H14" xr:uid="{00000000-0002-0000-0E00-000001000000}">
      <formula1>1</formula1>
      <formula2>ROWS(LU_Vacc_Currency)</formula2>
    </dataValidation>
  </dataValidations>
  <hyperlinks>
    <hyperlink ref="A1" location="Contents!A1" tooltip="Go to Table of Contents" display="±" xr:uid="{00000000-0004-0000-0E00-000000000000}"/>
    <hyperlink ref="A3" location="$B$8" tooltip="Go to Top of Sheet" display="$B$8" xr:uid="{F3D5731C-4142-4F99-A54F-D4FA27A12D20}"/>
  </hyperlinks>
  <pageMargins left="0.7" right="0.7" top="0.75" bottom="0.75" header="0.3" footer="0.3"/>
  <pageSetup scale="58" fitToHeight="0" orientation="landscape" r:id="rId1"/>
  <headerFooter>
    <oddFooter>&amp;L&amp;B Confidential&amp;B&amp;C&amp;D&amp;RPage &amp;P</oddFooter>
  </headerFooter>
  <rowBreaks count="1" manualBreakCount="1">
    <brk id="160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2229" r:id="rId4" name="bpmDropDownVacc5">
              <controlPr defaultSize="0" autoFill="0" autoPict="0">
                <anchor moveWithCells="1" sizeWithCells="1">
                  <from>
                    <xdr:col>7</xdr:col>
                    <xdr:colOff>0</xdr:colOff>
                    <xdr:row>13</xdr:row>
                    <xdr:rowOff>0</xdr:rowOff>
                  </from>
                  <to>
                    <xdr:col>8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FFC000"/>
    <pageSetUpPr autoPageBreaks="0" fitToPage="1"/>
  </sheetPr>
  <dimension ref="A1:R331"/>
  <sheetViews>
    <sheetView showGridLines="0" zoomScaleNormal="100" workbookViewId="0">
      <pane xSplit="1" ySplit="7" topLeftCell="B8" activePane="bottomRight" state="frozen"/>
      <selection activeCell="I511" sqref="I511"/>
      <selection pane="topRight" activeCell="I511" sqref="I511"/>
      <selection pane="bottomLeft" activeCell="I511" sqref="I511"/>
      <selection pane="bottomRight" activeCell="N22" sqref="N22"/>
    </sheetView>
  </sheetViews>
  <sheetFormatPr defaultColWidth="2.7109375" defaultRowHeight="12" x14ac:dyDescent="0.2"/>
  <cols>
    <col min="1" max="2" width="3.7109375" customWidth="1"/>
    <col min="3" max="3" width="5.7109375" customWidth="1"/>
    <col min="4" max="4" width="35.7109375" customWidth="1"/>
    <col min="5" max="5" width="30.7109375" customWidth="1"/>
    <col min="6" max="6" width="15.7109375" customWidth="1"/>
    <col min="7" max="7" width="10.7109375" customWidth="1"/>
    <col min="8" max="8" width="11.7109375" customWidth="1"/>
    <col min="9" max="9" width="15.7109375" customWidth="1"/>
    <col min="10" max="14" width="20.7109375" customWidth="1"/>
  </cols>
  <sheetData>
    <row r="1" spans="1:14" ht="15" x14ac:dyDescent="0.2">
      <c r="A1" s="35" t="s">
        <v>128</v>
      </c>
      <c r="B1" s="31" t="str">
        <f>Lang_Service_Delivery_Annual_Assumptions</f>
        <v>Service Delivery -  Annual Assumptions</v>
      </c>
    </row>
    <row r="2" spans="1:14" ht="12.75" x14ac:dyDescent="0.2">
      <c r="A2" s="36"/>
      <c r="B2" s="45" t="str">
        <f ca="1">Model_Name</f>
        <v>Cervical Cancer Prevention and Control Costing (C4P) Tool (Cost Projection)</v>
      </c>
    </row>
    <row r="3" spans="1:14" s="10" customFormat="1" x14ac:dyDescent="0.2">
      <c r="A3" s="421" t="s">
        <v>5</v>
      </c>
      <c r="B3" s="90" t="str">
        <f>Lang_Year_Ending</f>
        <v>Year Ending</v>
      </c>
      <c r="C3" s="90"/>
      <c r="D3" s="90"/>
      <c r="E3" s="90"/>
      <c r="F3" s="90"/>
      <c r="G3" s="90"/>
      <c r="H3" s="90"/>
      <c r="I3" s="90"/>
      <c r="J3" s="106">
        <f t="shared" ref="J3:N3" si="0">J7</f>
        <v>2019</v>
      </c>
      <c r="K3" s="106">
        <f t="shared" si="0"/>
        <v>2020</v>
      </c>
      <c r="L3" s="106">
        <f t="shared" si="0"/>
        <v>2021</v>
      </c>
      <c r="M3" s="106">
        <f t="shared" si="0"/>
        <v>2022</v>
      </c>
      <c r="N3" s="106">
        <f t="shared" si="0"/>
        <v>2023</v>
      </c>
    </row>
    <row r="4" spans="1:14" s="10" customFormat="1" hidden="1" x14ac:dyDescent="0.2">
      <c r="B4" s="50" t="str">
        <f>Lang_Period_Start_Date</f>
        <v>Period Start Date</v>
      </c>
      <c r="J4" s="340">
        <f>EDATE(TS_Start_Date,(J6-1)*TS_Mths_In_Yr)</f>
        <v>43466</v>
      </c>
      <c r="K4" s="340">
        <f>EDATE(TS_Start_Date,(K6-1)*TS_Mths_In_Yr)</f>
        <v>43831</v>
      </c>
      <c r="L4" s="340">
        <f>EDATE(TS_Start_Date,(L6-1)*TS_Mths_In_Yr)</f>
        <v>44197</v>
      </c>
      <c r="M4" s="340">
        <f>EDATE(TS_Start_Date,(M6-1)*TS_Mths_In_Yr)</f>
        <v>44562</v>
      </c>
      <c r="N4" s="340">
        <f>EDATE(TS_Start_Date,(N6-1)*TS_Mths_In_Yr)</f>
        <v>44927</v>
      </c>
    </row>
    <row r="5" spans="1:14" s="10" customFormat="1" hidden="1" x14ac:dyDescent="0.2">
      <c r="B5" s="50" t="str">
        <f>Lang_Period_End_Date</f>
        <v>Period End Date</v>
      </c>
      <c r="J5" s="340">
        <f>EDATE(J4,TS_Mths_In_Yr)-1</f>
        <v>43830</v>
      </c>
      <c r="K5" s="340">
        <f>EDATE(K4,TS_Mths_In_Yr)-1</f>
        <v>44196</v>
      </c>
      <c r="L5" s="340">
        <f>EDATE(L4,TS_Mths_In_Yr)-1</f>
        <v>44561</v>
      </c>
      <c r="M5" s="340">
        <f>EDATE(M4,TS_Mths_In_Yr)-1</f>
        <v>44926</v>
      </c>
      <c r="N5" s="340">
        <f>EDATE(N4,TS_Mths_In_Yr)-1</f>
        <v>45291</v>
      </c>
    </row>
    <row r="6" spans="1:14" s="10" customFormat="1" hidden="1" x14ac:dyDescent="0.2">
      <c r="B6" s="50" t="str">
        <f>Lang_Counter</f>
        <v>Counter</v>
      </c>
      <c r="J6" s="42">
        <f>COLUMNS($J6:J6)</f>
        <v>1</v>
      </c>
      <c r="K6" s="42">
        <f>COLUMNS($J6:K6)</f>
        <v>2</v>
      </c>
      <c r="L6" s="42">
        <f>COLUMNS($J6:L6)</f>
        <v>3</v>
      </c>
      <c r="M6" s="42">
        <f>COLUMNS($J6:M6)</f>
        <v>4</v>
      </c>
      <c r="N6" s="42">
        <f>COLUMNS($J6:N6)</f>
        <v>5</v>
      </c>
    </row>
    <row r="7" spans="1:14" s="10" customFormat="1" hidden="1" x14ac:dyDescent="0.2">
      <c r="B7" s="91" t="str">
        <f>Lang_Financial_Year</f>
        <v>Financial Year</v>
      </c>
      <c r="C7" s="69"/>
      <c r="D7" s="69"/>
      <c r="E7" s="69"/>
      <c r="F7" s="69"/>
      <c r="G7" s="69"/>
      <c r="H7" s="69"/>
      <c r="I7" s="69"/>
      <c r="J7" s="341">
        <f t="shared" ref="J7:N7" si="1">YEAR(J5)</f>
        <v>2019</v>
      </c>
      <c r="K7" s="341">
        <f t="shared" si="1"/>
        <v>2020</v>
      </c>
      <c r="L7" s="341">
        <f t="shared" si="1"/>
        <v>2021</v>
      </c>
      <c r="M7" s="341">
        <f t="shared" si="1"/>
        <v>2022</v>
      </c>
      <c r="N7" s="341">
        <f t="shared" si="1"/>
        <v>2023</v>
      </c>
    </row>
    <row r="8" spans="1:14" s="10" customFormat="1" collapsed="1" x14ac:dyDescent="0.2"/>
    <row r="9" spans="1:14" s="10" customFormat="1" x14ac:dyDescent="0.2">
      <c r="A9" s="12" t="s">
        <v>125</v>
      </c>
      <c r="B9" s="13" t="str">
        <f>Lang_Avg_Number_Of_Vacc_Delivered_During_Service_Delivery_Activities_Prospective_Or_Retrospective</f>
        <v>Average Number of Vaccinations Delivered During Service Delivery Activities (Projection or Retrospective)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1:14" s="10" customFormat="1" x14ac:dyDescent="0.2"/>
    <row r="11" spans="1:14" s="10" customFormat="1" x14ac:dyDescent="0.2">
      <c r="C11" s="55" t="str">
        <f>Lang_Avg_Number_Of_Vacc_Delivered_During_Service_Delivery_Activities_Prospective_Or_Retrospective</f>
        <v>Average Number of Vaccinations Delivered During Service Delivery Activities (Projection or Retrospective)</v>
      </c>
    </row>
    <row r="12" spans="1:14" s="10" customFormat="1" x14ac:dyDescent="0.2"/>
    <row r="13" spans="1:14" s="10" customFormat="1" x14ac:dyDescent="0.2">
      <c r="D13" s="53" t="str">
        <f>Lang_Avg_Number_Of_Vacc_Delivered_During&amp;" "&amp;LABELS!E53&amp;" "&amp;Lang_Activity</f>
        <v>Average Number of Vaccinations Delivered During Single Vaccination Service Delivery Type 1 Activity</v>
      </c>
      <c r="J13" s="144">
        <v>1</v>
      </c>
      <c r="K13" s="144">
        <v>1</v>
      </c>
      <c r="L13" s="144">
        <v>1</v>
      </c>
      <c r="M13" s="144">
        <v>1</v>
      </c>
      <c r="N13" s="144">
        <v>1</v>
      </c>
    </row>
    <row r="14" spans="1:14" s="10" customFormat="1" x14ac:dyDescent="0.2">
      <c r="D14" s="53" t="str">
        <f>Lang_Avg_Number_Of_Vacc_Delivered_During&amp;" "&amp;LABELS!E54&amp;" "&amp;Lang_Activity</f>
        <v>Average Number of Vaccinations Delivered During Single Vaccination Service Delivery Type 2 Activity</v>
      </c>
      <c r="J14" s="144">
        <v>1</v>
      </c>
      <c r="K14" s="144">
        <v>1</v>
      </c>
      <c r="L14" s="144">
        <v>1</v>
      </c>
      <c r="M14" s="144">
        <v>1</v>
      </c>
      <c r="N14" s="144">
        <v>1</v>
      </c>
    </row>
    <row r="15" spans="1:14" s="10" customFormat="1" x14ac:dyDescent="0.2">
      <c r="D15" s="53" t="str">
        <f>Lang_Avg_Number_Of_Vacc_Delivered_During&amp;" "&amp;LABELS!E57&amp;" "&amp;Lang_Activity&amp;" ("&amp;Lang_Prospective_Or_Retrospective&amp;")"</f>
        <v>Average Number of Vaccinations Delivered During Small Group Vaccination Activity (30 people vaccinated) Activity (Projection or Retrospective)</v>
      </c>
      <c r="J15" s="80">
        <v>30</v>
      </c>
      <c r="K15" s="80">
        <v>30</v>
      </c>
      <c r="L15" s="80">
        <v>30</v>
      </c>
      <c r="M15" s="80">
        <v>30</v>
      </c>
      <c r="N15" s="80">
        <v>30</v>
      </c>
    </row>
    <row r="16" spans="1:14" s="10" customFormat="1" x14ac:dyDescent="0.2">
      <c r="D16" s="53" t="str">
        <f>Lang_Avg_Number_Of_Vacc_Delivered_During&amp;" "&amp;LABELS!E58&amp;" "&amp;Lang_Activity&amp;" ("&amp;Lang_Prospective_Or_Retrospective&amp;")"</f>
        <v>Average Number of Vaccinations Delivered During Large Group Vaccination Activity (100 people vaccinated) Activity (Projection or Retrospective)</v>
      </c>
      <c r="J16" s="80">
        <v>100</v>
      </c>
      <c r="K16" s="80">
        <v>100</v>
      </c>
      <c r="L16" s="80">
        <v>100</v>
      </c>
      <c r="M16" s="80">
        <v>100</v>
      </c>
      <c r="N16" s="80">
        <v>100</v>
      </c>
    </row>
    <row r="17" spans="1:14" s="10" customFormat="1" x14ac:dyDescent="0.2"/>
    <row r="18" spans="1:14" s="10" customFormat="1" x14ac:dyDescent="0.2">
      <c r="D18" s="74" t="str">
        <f>Lang_Source_Of_Information_Notes</f>
        <v>Notes and Sources of Information</v>
      </c>
    </row>
    <row r="19" spans="1:14" s="10" customFormat="1" x14ac:dyDescent="0.2">
      <c r="D19" s="492" t="s">
        <v>596</v>
      </c>
      <c r="E19" s="492"/>
      <c r="F19" s="492"/>
      <c r="G19" s="492"/>
      <c r="H19" s="492"/>
    </row>
    <row r="20" spans="1:14" s="10" customFormat="1" x14ac:dyDescent="0.2">
      <c r="D20" s="492" t="s">
        <v>596</v>
      </c>
      <c r="E20" s="492"/>
      <c r="F20" s="492"/>
      <c r="G20" s="492"/>
      <c r="H20" s="492"/>
    </row>
    <row r="21" spans="1:14" s="10" customFormat="1" x14ac:dyDescent="0.2">
      <c r="D21" s="492" t="s">
        <v>596</v>
      </c>
      <c r="E21" s="492"/>
      <c r="F21" s="492"/>
      <c r="G21" s="492"/>
      <c r="H21" s="492"/>
    </row>
    <row r="22" spans="1:14" s="10" customFormat="1" x14ac:dyDescent="0.2">
      <c r="D22" s="492" t="s">
        <v>596</v>
      </c>
      <c r="E22" s="492"/>
      <c r="F22" s="492"/>
      <c r="G22" s="492"/>
      <c r="H22" s="492"/>
    </row>
    <row r="23" spans="1:14" s="10" customFormat="1" x14ac:dyDescent="0.2"/>
    <row r="24" spans="1:14" s="10" customFormat="1" x14ac:dyDescent="0.2"/>
    <row r="25" spans="1:14" s="10" customFormat="1" x14ac:dyDescent="0.2"/>
    <row r="26" spans="1:14" s="10" customFormat="1" x14ac:dyDescent="0.2"/>
    <row r="27" spans="1:14" s="10" customFormat="1" x14ac:dyDescent="0.2">
      <c r="A27" s="372" t="s">
        <v>127</v>
      </c>
      <c r="B27" s="13" t="str">
        <f>Lang_Proportion_And_Number_Of_Vacc_Delivered_By_Year_And_Service_Delivery_Type_Prospective</f>
        <v>Proportion and Number of Vaccinations Delivered, by Year and Service Delivery Type (Projection)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</row>
    <row r="28" spans="1:14" s="10" customFormat="1" x14ac:dyDescent="0.2"/>
    <row r="29" spans="1:14" s="10" customFormat="1" x14ac:dyDescent="0.2">
      <c r="C29" s="55" t="str">
        <f>Lang_Proportion_Of_Vacc_Delivered_Prospective</f>
        <v>Proportion of Vaccinations Delivered (Projection)</v>
      </c>
    </row>
    <row r="30" spans="1:14" s="10" customFormat="1" x14ac:dyDescent="0.2"/>
    <row r="31" spans="1:14" s="10" customFormat="1" x14ac:dyDescent="0.2">
      <c r="C31" s="114" t="str">
        <f>Analy_Lu!$D$25</f>
        <v>HPV 1</v>
      </c>
    </row>
    <row r="32" spans="1:14" s="10" customFormat="1" x14ac:dyDescent="0.2">
      <c r="C32"/>
    </row>
    <row r="33" spans="3:18" s="10" customFormat="1" x14ac:dyDescent="0.2">
      <c r="C33" s="55" t="str">
        <f>Lang_Proportion_Administered_By_Year_And_Service_Delivery_Type</f>
        <v>Proportion Administered (by Year and Service Delivery Type)</v>
      </c>
      <c r="R33" s="10" t="s">
        <v>39</v>
      </c>
    </row>
    <row r="34" spans="3:18" s="10" customFormat="1" x14ac:dyDescent="0.2"/>
    <row r="35" spans="3:18" s="10" customFormat="1" x14ac:dyDescent="0.2">
      <c r="D35" s="55" t="str">
        <f>Lang_Service_Delivery_Activities_Providing_Vacc_To_A_Single_Person</f>
        <v>Service Delivery Activities providing Vaccinations to a Single Person</v>
      </c>
    </row>
    <row r="36" spans="3:18" s="10" customFormat="1" x14ac:dyDescent="0.2">
      <c r="D36" s="135" t="str">
        <f>LABELS!E53&amp;" ("&amp;Lang_Prospective&amp;")"</f>
        <v>Single Vaccination Service Delivery Type 1 (Projection)</v>
      </c>
      <c r="J36" s="98">
        <v>0.4</v>
      </c>
      <c r="K36" s="98">
        <v>0.4</v>
      </c>
      <c r="L36" s="98">
        <v>0.4</v>
      </c>
      <c r="M36" s="98">
        <v>0.4</v>
      </c>
      <c r="N36" s="98">
        <v>0.4</v>
      </c>
    </row>
    <row r="37" spans="3:18" s="10" customFormat="1" x14ac:dyDescent="0.2">
      <c r="D37" s="135" t="str">
        <f>LABELS!E54&amp;" ("&amp;Lang_Prospective&amp;")"</f>
        <v>Single Vaccination Service Delivery Type 2 (Projection)</v>
      </c>
      <c r="J37" s="98">
        <v>0.4</v>
      </c>
      <c r="K37" s="98">
        <v>0.4</v>
      </c>
      <c r="L37" s="98">
        <v>0.4</v>
      </c>
      <c r="M37" s="98">
        <v>0.4</v>
      </c>
      <c r="N37" s="98">
        <v>0.4</v>
      </c>
    </row>
    <row r="38" spans="3:18" s="10" customFormat="1" x14ac:dyDescent="0.2"/>
    <row r="39" spans="3:18" s="10" customFormat="1" x14ac:dyDescent="0.2">
      <c r="D39" s="105" t="str">
        <f>Lang_Proportion_Of&amp;" "&amp;D65</f>
        <v>Proportion (%) of HPV 1 Vaccinations Received by IN-SCHOOL Populations (from Coverage Assumptions)</v>
      </c>
      <c r="J39" s="371">
        <f>IFERROR(J65/COVERAGE!J121,"N/A")</f>
        <v>0.35000350003500036</v>
      </c>
      <c r="K39" s="371">
        <f>IFERROR(K65/COVERAGE!K121,"N/A")</f>
        <v>0.5</v>
      </c>
      <c r="L39" s="371">
        <f>IFERROR(L65/COVERAGE!L121,"N/A")</f>
        <v>0.40000388183688523</v>
      </c>
      <c r="M39" s="371">
        <f>IFERROR(M65/COVERAGE!M121,"N/A")</f>
        <v>0.30000334494507125</v>
      </c>
      <c r="N39" s="371">
        <f>IFERROR(N65/COVERAGE!N121,"N/A")</f>
        <v>0.57657293141816712</v>
      </c>
    </row>
    <row r="40" spans="3:18" s="10" customFormat="1" x14ac:dyDescent="0.2"/>
    <row r="41" spans="3:18" s="10" customFormat="1" x14ac:dyDescent="0.2">
      <c r="D41" s="55" t="str">
        <f>Lang_Service_Delivery_Activities_Providing_Vacc_To_A_Group</f>
        <v>Service Delivery Activities providing Vaccinations to a Group</v>
      </c>
    </row>
    <row r="42" spans="3:18" s="10" customFormat="1" x14ac:dyDescent="0.2">
      <c r="D42" s="53" t="str">
        <f>LABELS!E57&amp;" ("&amp;Lang_Prospective&amp;")"</f>
        <v>Small Group Vaccination Activity (30 people vaccinated) (Projection)</v>
      </c>
      <c r="J42" s="98">
        <v>0.1</v>
      </c>
      <c r="K42" s="98">
        <v>0.1</v>
      </c>
      <c r="L42" s="98">
        <v>0.1</v>
      </c>
      <c r="M42" s="98">
        <v>0.1</v>
      </c>
      <c r="N42" s="98">
        <v>0.1</v>
      </c>
    </row>
    <row r="43" spans="3:18" s="10" customFormat="1" x14ac:dyDescent="0.2">
      <c r="D43" s="53" t="str">
        <f>LABELS!E58&amp;" ("&amp;Lang_Prospective&amp;")"</f>
        <v>Large Group Vaccination Activity (100 people vaccinated) (Projection)</v>
      </c>
      <c r="J43" s="98">
        <v>0.1</v>
      </c>
      <c r="K43" s="98">
        <v>0.1</v>
      </c>
      <c r="L43" s="98">
        <v>0.1</v>
      </c>
      <c r="M43" s="98">
        <v>0.1</v>
      </c>
      <c r="N43" s="98">
        <v>0.1</v>
      </c>
    </row>
    <row r="44" spans="3:18" s="10" customFormat="1" x14ac:dyDescent="0.2"/>
    <row r="45" spans="3:18" s="10" customFormat="1" x14ac:dyDescent="0.2">
      <c r="D45" s="105" t="str">
        <f>Lang_Total_SmallLetter&amp;" "&amp;C$31&amp;" ("&amp;Lang_Prospective&amp;")"</f>
        <v>Total HPV 1 (Projection)</v>
      </c>
      <c r="J45" s="370">
        <f>SUM(J36,J37,J42,J43)</f>
        <v>1</v>
      </c>
      <c r="K45" s="370">
        <f>SUM(K36,K37,K42,K43)</f>
        <v>1</v>
      </c>
      <c r="L45" s="370">
        <f>SUM(L36,L37,L42,L43)</f>
        <v>1</v>
      </c>
      <c r="M45" s="370">
        <f>SUM(M36,M37,M42,M43)</f>
        <v>1</v>
      </c>
      <c r="N45" s="370">
        <f>SUM(N36,N37,N42,N43)</f>
        <v>1</v>
      </c>
    </row>
    <row r="46" spans="3:18" s="10" customFormat="1" x14ac:dyDescent="0.2">
      <c r="E46" s="50" t="str">
        <f>Lang_Error_Check_Should_Sum_To_100</f>
        <v>ERROR CHECK (SHOULD SUM TO 100%) &gt;&gt;</v>
      </c>
      <c r="G46" s="145">
        <f>IF(ISERROR(SUM(J46:N46)),1,MIN(SUM(J46:N46),1))</f>
        <v>0</v>
      </c>
      <c r="J46" s="42">
        <f t="shared" ref="J46:N46" si="2">IF(J45&lt;&gt;1,1,0)</f>
        <v>0</v>
      </c>
      <c r="K46" s="42">
        <f t="shared" si="2"/>
        <v>0</v>
      </c>
      <c r="L46" s="42">
        <f t="shared" si="2"/>
        <v>0</v>
      </c>
      <c r="M46" s="42">
        <f t="shared" si="2"/>
        <v>0</v>
      </c>
      <c r="N46" s="42">
        <f t="shared" si="2"/>
        <v>0</v>
      </c>
    </row>
    <row r="48" spans="3:18" x14ac:dyDescent="0.2">
      <c r="D48" s="48" t="str">
        <f>Lang_Source_Of_Information_Notes</f>
        <v>Notes and Sources of Information</v>
      </c>
    </row>
    <row r="49" spans="3:14" x14ac:dyDescent="0.2">
      <c r="D49" s="492" t="s">
        <v>596</v>
      </c>
      <c r="E49" s="492"/>
      <c r="F49" s="492"/>
      <c r="G49" s="492"/>
      <c r="H49" s="492"/>
    </row>
    <row r="50" spans="3:14" x14ac:dyDescent="0.2">
      <c r="D50" s="492" t="s">
        <v>596</v>
      </c>
      <c r="E50" s="492"/>
      <c r="F50" s="492"/>
      <c r="G50" s="492"/>
      <c r="H50" s="492"/>
    </row>
    <row r="51" spans="3:14" x14ac:dyDescent="0.2">
      <c r="D51" s="492" t="s">
        <v>596</v>
      </c>
      <c r="E51" s="492"/>
      <c r="F51" s="492"/>
      <c r="G51" s="492"/>
      <c r="H51" s="492"/>
    </row>
    <row r="52" spans="3:14" x14ac:dyDescent="0.2">
      <c r="D52" s="492" t="s">
        <v>596</v>
      </c>
      <c r="E52" s="492"/>
      <c r="F52" s="492"/>
      <c r="G52" s="492"/>
      <c r="H52" s="492"/>
    </row>
    <row r="55" spans="3:14" x14ac:dyDescent="0.2"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</row>
    <row r="56" spans="3:14" s="10" customFormat="1" x14ac:dyDescent="0.2"/>
    <row r="57" spans="3:14" x14ac:dyDescent="0.2">
      <c r="C57" s="65" t="str">
        <f>Lang_Results_Numbers&amp;" "&amp;C31</f>
        <v>Results (Numbers) HPV 1</v>
      </c>
    </row>
    <row r="59" spans="3:14" s="10" customFormat="1" x14ac:dyDescent="0.2">
      <c r="C59" s="55" t="str">
        <f>Lang_Number_Administered_By_Year_And_Service_Delivery_Type</f>
        <v>Number Administered (by Year and Service Delivery Type)</v>
      </c>
    </row>
    <row r="60" spans="3:14" s="10" customFormat="1" x14ac:dyDescent="0.2">
      <c r="D60" s="55" t="str">
        <f>Lang_Service_Delivery_Activities_Providing_Vacc_To_A_Single_Person</f>
        <v>Service Delivery Activities providing Vaccinations to a Single Person</v>
      </c>
    </row>
    <row r="61" spans="3:14" s="10" customFormat="1" x14ac:dyDescent="0.2">
      <c r="D61" s="369" t="str">
        <f>D36</f>
        <v>Single Vaccination Service Delivery Type 1 (Projection)</v>
      </c>
      <c r="J61" s="42">
        <f>J36*COUNTS_and_COVERAGE_Summary!J$76</f>
        <v>39999.600000000006</v>
      </c>
      <c r="K61" s="42">
        <f>K36*COUNTS_and_COVERAGE_Summary!K$76</f>
        <v>40600</v>
      </c>
      <c r="L61" s="42">
        <f>L36*COUNTS_and_COVERAGE_Summary!L$76</f>
        <v>41217.600000000006</v>
      </c>
      <c r="M61" s="42">
        <f>M36*COUNTS_and_COVERAGE_Summary!M$76</f>
        <v>41854.200000000004</v>
      </c>
      <c r="N61" s="42">
        <f>N36*COUNTS_and_COVERAGE_Summary!N$76</f>
        <v>42509.8</v>
      </c>
    </row>
    <row r="62" spans="3:14" s="10" customFormat="1" x14ac:dyDescent="0.2">
      <c r="D62" s="369" t="str">
        <f>D37</f>
        <v>Single Vaccination Service Delivery Type 2 (Projection)</v>
      </c>
      <c r="J62" s="42">
        <f>J37*COUNTS_and_COVERAGE_Summary!J$76</f>
        <v>39999.600000000006</v>
      </c>
      <c r="K62" s="42">
        <f>K37*COUNTS_and_COVERAGE_Summary!K$76</f>
        <v>40600</v>
      </c>
      <c r="L62" s="42">
        <f>L37*COUNTS_and_COVERAGE_Summary!L$76</f>
        <v>41217.600000000006</v>
      </c>
      <c r="M62" s="42">
        <f>M37*COUNTS_and_COVERAGE_Summary!M$76</f>
        <v>41854.200000000004</v>
      </c>
      <c r="N62" s="42">
        <f>N37*COUNTS_and_COVERAGE_Summary!N$76</f>
        <v>42509.8</v>
      </c>
    </row>
    <row r="63" spans="3:14" s="10" customFormat="1" x14ac:dyDescent="0.2"/>
    <row r="64" spans="3:14" s="10" customFormat="1" x14ac:dyDescent="0.2"/>
    <row r="65" spans="3:14" s="10" customFormat="1" x14ac:dyDescent="0.2">
      <c r="D65" s="71" t="str">
        <f>COVERAGE!D122&amp;" ("&amp;Lang_From_Coverage_Assumptions&amp;")"</f>
        <v>HPV 1 Vaccinations Received by IN-SCHOOL Populations (from Coverage Assumptions)</v>
      </c>
      <c r="J65" s="367">
        <f>COVERAGE!J122</f>
        <v>35000</v>
      </c>
      <c r="K65" s="367">
        <f>COVERAGE!K122</f>
        <v>50750</v>
      </c>
      <c r="L65" s="367">
        <f>COVERAGE!L122</f>
        <v>41218</v>
      </c>
      <c r="M65" s="367">
        <f>COVERAGE!M122</f>
        <v>31391</v>
      </c>
      <c r="N65" s="367">
        <f>COVERAGE!N122</f>
        <v>61275</v>
      </c>
    </row>
    <row r="66" spans="3:14" s="10" customFormat="1" x14ac:dyDescent="0.2"/>
    <row r="67" spans="3:14" s="10" customFormat="1" x14ac:dyDescent="0.2">
      <c r="D67" s="55" t="str">
        <f>Lang_Service_Delivery_Activities_Providing_Vacc_To_A_Group</f>
        <v>Service Delivery Activities providing Vaccinations to a Group</v>
      </c>
    </row>
    <row r="68" spans="3:14" s="10" customFormat="1" x14ac:dyDescent="0.2">
      <c r="D68" s="49" t="str">
        <f>D42</f>
        <v>Small Group Vaccination Activity (30 people vaccinated) (Projection)</v>
      </c>
      <c r="J68" s="42">
        <f>J42*COUNTS_and_COVERAGE_Summary!J$76</f>
        <v>9999.9000000000015</v>
      </c>
      <c r="K68" s="42">
        <f>K42*COUNTS_and_COVERAGE_Summary!K$76</f>
        <v>10150</v>
      </c>
      <c r="L68" s="42">
        <f>L42*COUNTS_and_COVERAGE_Summary!L$76</f>
        <v>10304.400000000001</v>
      </c>
      <c r="M68" s="42">
        <f>M42*COUNTS_and_COVERAGE_Summary!M$76</f>
        <v>10463.550000000001</v>
      </c>
      <c r="N68" s="42">
        <f>N42*COUNTS_and_COVERAGE_Summary!N$76</f>
        <v>10627.45</v>
      </c>
    </row>
    <row r="69" spans="3:14" s="10" customFormat="1" x14ac:dyDescent="0.2">
      <c r="D69" s="49" t="str">
        <f>D43</f>
        <v>Large Group Vaccination Activity (100 people vaccinated) (Projection)</v>
      </c>
      <c r="J69" s="42">
        <f>J43*COUNTS_and_COVERAGE_Summary!J$76</f>
        <v>9999.9000000000015</v>
      </c>
      <c r="K69" s="42">
        <f>K43*COUNTS_and_COVERAGE_Summary!K$76</f>
        <v>10150</v>
      </c>
      <c r="L69" s="42">
        <f>L43*COUNTS_and_COVERAGE_Summary!L$76</f>
        <v>10304.400000000001</v>
      </c>
      <c r="M69" s="42">
        <f>M43*COUNTS_and_COVERAGE_Summary!M$76</f>
        <v>10463.550000000001</v>
      </c>
      <c r="N69" s="42">
        <f>N43*COUNTS_and_COVERAGE_Summary!N$76</f>
        <v>10627.45</v>
      </c>
    </row>
    <row r="70" spans="3:14" s="10" customFormat="1" x14ac:dyDescent="0.2"/>
    <row r="71" spans="3:14" s="10" customFormat="1" x14ac:dyDescent="0.2">
      <c r="D71" s="105" t="str">
        <f>Lang_Total_SmallLetter&amp;" "&amp;C$31&amp;" ("&amp;Lang_Prospective&amp;")"</f>
        <v>Total HPV 1 (Projection)</v>
      </c>
      <c r="J71" s="247">
        <f>SUM(J61,J62,J68,J69)</f>
        <v>99999</v>
      </c>
      <c r="K71" s="247">
        <f>SUM(K61,K62,K68,K69)</f>
        <v>101500</v>
      </c>
      <c r="L71" s="247">
        <f>SUM(L61,L62,L68,L69)</f>
        <v>103044</v>
      </c>
      <c r="M71" s="247">
        <f>SUM(M61,M62,M68,M69)</f>
        <v>104635.50000000001</v>
      </c>
      <c r="N71" s="247">
        <f>SUM(N61,N62,N68,N69)</f>
        <v>106274.5</v>
      </c>
    </row>
    <row r="72" spans="3:14" s="10" customFormat="1" x14ac:dyDescent="0.2"/>
    <row r="73" spans="3:14" s="10" customFormat="1" x14ac:dyDescent="0.2">
      <c r="C73" s="55" t="str">
        <f>Lang_Number_Of_Activities_Required_To_Administer_This_Number_Of_Vaccines</f>
        <v>Number of Activities Required to Administer this Number of Vaccines</v>
      </c>
    </row>
    <row r="75" spans="3:14" s="10" customFormat="1" x14ac:dyDescent="0.2">
      <c r="D75" s="55" t="str">
        <f>Lang_Number_Of_Single_Vacc_Activities_Required_To_Administer_Vaccines</f>
        <v>Number of Single Vaccination Activities Required to Administer Vaccines</v>
      </c>
    </row>
    <row r="76" spans="3:14" x14ac:dyDescent="0.2">
      <c r="D76" s="136" t="str">
        <f>LABELS!E$53</f>
        <v>Single Vaccination Service Delivery Type 1</v>
      </c>
      <c r="J76" s="42">
        <f t="shared" ref="J76:N76" si="3">J61/J$13</f>
        <v>39999.600000000006</v>
      </c>
      <c r="K76" s="42">
        <f t="shared" si="3"/>
        <v>40600</v>
      </c>
      <c r="L76" s="42">
        <f t="shared" si="3"/>
        <v>41217.600000000006</v>
      </c>
      <c r="M76" s="42">
        <f t="shared" si="3"/>
        <v>41854.200000000004</v>
      </c>
      <c r="N76" s="42">
        <f t="shared" si="3"/>
        <v>42509.8</v>
      </c>
    </row>
    <row r="77" spans="3:14" x14ac:dyDescent="0.2">
      <c r="D77" s="136" t="str">
        <f>LABELS!E$54</f>
        <v>Single Vaccination Service Delivery Type 2</v>
      </c>
      <c r="J77" s="42">
        <f t="shared" ref="J77:N77" si="4">J62/J$14</f>
        <v>39999.600000000006</v>
      </c>
      <c r="K77" s="42">
        <f t="shared" si="4"/>
        <v>40600</v>
      </c>
      <c r="L77" s="42">
        <f t="shared" si="4"/>
        <v>41217.600000000006</v>
      </c>
      <c r="M77" s="42">
        <f t="shared" si="4"/>
        <v>41854.200000000004</v>
      </c>
      <c r="N77" s="42">
        <f t="shared" si="4"/>
        <v>42509.8</v>
      </c>
    </row>
    <row r="78" spans="3:14" s="10" customFormat="1" x14ac:dyDescent="0.2"/>
    <row r="79" spans="3:14" s="10" customFormat="1" x14ac:dyDescent="0.2">
      <c r="D79" s="55" t="str">
        <f>Lang_Number_Of_Group_Vacc_Activities_Required_To_Administer_Vaccines</f>
        <v>Number of Group Vaccination Activities Required to Administer Vaccines</v>
      </c>
    </row>
    <row r="80" spans="3:14" x14ac:dyDescent="0.2">
      <c r="D80" s="136" t="str">
        <f>LABELS!E$57</f>
        <v>Small Group Vaccination Activity (30 people vaccinated)</v>
      </c>
      <c r="J80" s="42">
        <f t="shared" ref="J80:N80" si="5">J68/J$15</f>
        <v>333.33000000000004</v>
      </c>
      <c r="K80" s="42">
        <f t="shared" si="5"/>
        <v>338.33333333333331</v>
      </c>
      <c r="L80" s="42">
        <f t="shared" si="5"/>
        <v>343.48000000000008</v>
      </c>
      <c r="M80" s="42">
        <f t="shared" si="5"/>
        <v>348.78500000000003</v>
      </c>
      <c r="N80" s="42">
        <f t="shared" si="5"/>
        <v>354.24833333333333</v>
      </c>
    </row>
    <row r="81" spans="3:14" s="10" customFormat="1" x14ac:dyDescent="0.2">
      <c r="D81" s="136" t="str">
        <f>LABELS!E$58</f>
        <v>Large Group Vaccination Activity (100 people vaccinated)</v>
      </c>
      <c r="J81" s="42">
        <f t="shared" ref="J81:N81" si="6">J69/J$16</f>
        <v>99.999000000000009</v>
      </c>
      <c r="K81" s="42">
        <f t="shared" si="6"/>
        <v>101.5</v>
      </c>
      <c r="L81" s="42">
        <f t="shared" si="6"/>
        <v>103.04400000000001</v>
      </c>
      <c r="M81" s="42">
        <f t="shared" si="6"/>
        <v>104.63550000000001</v>
      </c>
      <c r="N81" s="42">
        <f t="shared" si="6"/>
        <v>106.2745</v>
      </c>
    </row>
    <row r="82" spans="3:14" s="10" customFormat="1" x14ac:dyDescent="0.2"/>
    <row r="83" spans="3:14" x14ac:dyDescent="0.2"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</row>
    <row r="85" spans="3:14" s="10" customFormat="1" x14ac:dyDescent="0.2">
      <c r="C85" s="114" t="str">
        <f>Analy_Lu!$D$26</f>
        <v>HPV 2</v>
      </c>
    </row>
    <row r="86" spans="3:14" s="10" customFormat="1" x14ac:dyDescent="0.2"/>
    <row r="87" spans="3:14" s="10" customFormat="1" x14ac:dyDescent="0.2">
      <c r="C87" s="55" t="str">
        <f>Lang_Proportion_Administered_By_Year_And_Service_Delivery_Type</f>
        <v>Proportion Administered (by Year and Service Delivery Type)</v>
      </c>
    </row>
    <row r="88" spans="3:14" s="10" customFormat="1" x14ac:dyDescent="0.2">
      <c r="D88" s="55" t="str">
        <f>Lang_Service_Delivery_Activities_Providing_Vacc_To_A_Single_Person</f>
        <v>Service Delivery Activities providing Vaccinations to a Single Person</v>
      </c>
    </row>
    <row r="89" spans="3:14" s="10" customFormat="1" x14ac:dyDescent="0.2">
      <c r="D89" s="369" t="str">
        <f>D36</f>
        <v>Single Vaccination Service Delivery Type 1 (Projection)</v>
      </c>
      <c r="J89" s="98">
        <v>0.4</v>
      </c>
      <c r="K89" s="98">
        <v>0.4</v>
      </c>
      <c r="L89" s="98">
        <v>0.4</v>
      </c>
      <c r="M89" s="98">
        <v>0.4</v>
      </c>
      <c r="N89" s="98">
        <v>0.4</v>
      </c>
    </row>
    <row r="90" spans="3:14" s="10" customFormat="1" x14ac:dyDescent="0.2">
      <c r="D90" s="369" t="str">
        <f>D37</f>
        <v>Single Vaccination Service Delivery Type 2 (Projection)</v>
      </c>
      <c r="J90" s="98">
        <v>0.4</v>
      </c>
      <c r="K90" s="98">
        <v>0.4</v>
      </c>
      <c r="L90" s="98">
        <v>0.4</v>
      </c>
      <c r="M90" s="98">
        <v>0.4</v>
      </c>
      <c r="N90" s="98">
        <v>0.4</v>
      </c>
    </row>
    <row r="91" spans="3:14" s="10" customFormat="1" x14ac:dyDescent="0.2"/>
    <row r="92" spans="3:14" s="10" customFormat="1" x14ac:dyDescent="0.2">
      <c r="D92" s="71" t="str">
        <f>Lang_Proportion_Of&amp;" "&amp;D117</f>
        <v>Proportion (%) of HPV 2 Vaccinations Received by IN-SCHOOL Populations (from Coverage Assumptions)</v>
      </c>
      <c r="J92" s="368">
        <f>J117/COVERAGE!J126</f>
        <v>0.3500035000350003</v>
      </c>
      <c r="K92" s="368">
        <f>K117/COVERAGE!K126</f>
        <v>0.5</v>
      </c>
      <c r="L92" s="368">
        <f>L117/COVERAGE!L126</f>
        <v>0.40000388183688518</v>
      </c>
      <c r="M92" s="368">
        <f>M117/COVERAGE!M126</f>
        <v>0.30000334494507119</v>
      </c>
      <c r="N92" s="368">
        <f>N117/COVERAGE!N126</f>
        <v>0.57657293141816712</v>
      </c>
    </row>
    <row r="93" spans="3:14" s="10" customFormat="1" x14ac:dyDescent="0.2"/>
    <row r="94" spans="3:14" s="10" customFormat="1" x14ac:dyDescent="0.2">
      <c r="D94" s="55" t="str">
        <f>Lang_Service_Delivery_Activities_Providing_Vacc_To_A_Group</f>
        <v>Service Delivery Activities providing Vaccinations to a Group</v>
      </c>
    </row>
    <row r="95" spans="3:14" s="10" customFormat="1" x14ac:dyDescent="0.2">
      <c r="D95" s="49" t="str">
        <f>D68</f>
        <v>Small Group Vaccination Activity (30 people vaccinated) (Projection)</v>
      </c>
      <c r="J95" s="98">
        <v>0.1</v>
      </c>
      <c r="K95" s="98">
        <v>0.1</v>
      </c>
      <c r="L95" s="98">
        <v>0.1</v>
      </c>
      <c r="M95" s="98">
        <v>0.1</v>
      </c>
      <c r="N95" s="98">
        <v>0.1</v>
      </c>
    </row>
    <row r="96" spans="3:14" s="10" customFormat="1" x14ac:dyDescent="0.2">
      <c r="D96" s="49" t="str">
        <f>D69</f>
        <v>Large Group Vaccination Activity (100 people vaccinated) (Projection)</v>
      </c>
      <c r="J96" s="98">
        <v>0.1</v>
      </c>
      <c r="K96" s="98">
        <v>0.1</v>
      </c>
      <c r="L96" s="98">
        <v>0.1</v>
      </c>
      <c r="M96" s="98">
        <v>0.1</v>
      </c>
      <c r="N96" s="98">
        <v>0.1</v>
      </c>
    </row>
    <row r="97" spans="2:14" s="10" customFormat="1" x14ac:dyDescent="0.2"/>
    <row r="98" spans="2:14" s="10" customFormat="1" x14ac:dyDescent="0.2">
      <c r="D98" s="105" t="str">
        <f>Lang_Total_SmallLetter&amp;" "&amp;C$85&amp;" ("&amp;Lang_Prospective&amp;")"</f>
        <v>Total HPV 2 (Projection)</v>
      </c>
      <c r="J98" s="370">
        <f>SUM(J89,J90,J95,J96)</f>
        <v>1</v>
      </c>
      <c r="K98" s="370">
        <f>SUM(K89,K90,K95,K96)</f>
        <v>1</v>
      </c>
      <c r="L98" s="370">
        <f>SUM(L89,L90,L95,L96)</f>
        <v>1</v>
      </c>
      <c r="M98" s="370">
        <f>SUM(M89,M90,M95,M96)</f>
        <v>1</v>
      </c>
      <c r="N98" s="370">
        <f>SUM(N89,N90,N95,N96)</f>
        <v>1</v>
      </c>
    </row>
    <row r="99" spans="2:14" s="10" customFormat="1" x14ac:dyDescent="0.2">
      <c r="E99" s="50" t="str">
        <f>Lang_Error_Check_Should_Sum_To_100</f>
        <v>ERROR CHECK (SHOULD SUM TO 100%) &gt;&gt;</v>
      </c>
      <c r="G99" s="145">
        <f>IF(ISERROR(SUM(J99:N99)),1,MIN(SUM(J99:N99),1))</f>
        <v>0</v>
      </c>
      <c r="J99" s="42">
        <f t="shared" ref="J99:N99" si="7">IF(J98&lt;&gt;1,1,0)</f>
        <v>0</v>
      </c>
      <c r="K99" s="42">
        <f t="shared" si="7"/>
        <v>0</v>
      </c>
      <c r="L99" s="42">
        <f t="shared" si="7"/>
        <v>0</v>
      </c>
      <c r="M99" s="42">
        <f t="shared" si="7"/>
        <v>0</v>
      </c>
      <c r="N99" s="42">
        <f t="shared" si="7"/>
        <v>0</v>
      </c>
    </row>
    <row r="101" spans="2:14" x14ac:dyDescent="0.2">
      <c r="D101" s="48" t="str">
        <f>Lang_Source_Of_Information_Notes</f>
        <v>Notes and Sources of Information</v>
      </c>
    </row>
    <row r="102" spans="2:14" x14ac:dyDescent="0.2">
      <c r="D102" s="492" t="s">
        <v>596</v>
      </c>
      <c r="E102" s="492"/>
      <c r="F102" s="492"/>
      <c r="G102" s="492"/>
      <c r="H102" s="492"/>
    </row>
    <row r="103" spans="2:14" x14ac:dyDescent="0.2">
      <c r="D103" s="492" t="s">
        <v>596</v>
      </c>
      <c r="E103" s="492"/>
      <c r="F103" s="492"/>
      <c r="G103" s="492"/>
      <c r="H103" s="492"/>
    </row>
    <row r="104" spans="2:14" x14ac:dyDescent="0.2">
      <c r="D104" s="492" t="s">
        <v>596</v>
      </c>
      <c r="E104" s="492"/>
      <c r="F104" s="492"/>
      <c r="G104" s="492"/>
      <c r="H104" s="492"/>
    </row>
    <row r="105" spans="2:14" x14ac:dyDescent="0.2">
      <c r="D105" s="492" t="s">
        <v>596</v>
      </c>
      <c r="E105" s="492"/>
      <c r="F105" s="492"/>
      <c r="G105" s="492"/>
      <c r="H105" s="492"/>
    </row>
    <row r="107" spans="2:14" x14ac:dyDescent="0.2"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</row>
    <row r="109" spans="2:14" s="10" customFormat="1" x14ac:dyDescent="0.2">
      <c r="C109" s="65" t="str">
        <f>Lang_Results_Numbers&amp;" "&amp;C85</f>
        <v>Results (Numbers) HPV 2</v>
      </c>
    </row>
    <row r="111" spans="2:14" s="10" customFormat="1" x14ac:dyDescent="0.2">
      <c r="C111" s="55" t="str">
        <f>Lang_Number_Administered_By_Year_And_Service_Delivery_Type</f>
        <v>Number Administered (by Year and Service Delivery Type)</v>
      </c>
    </row>
    <row r="112" spans="2:14" s="10" customFormat="1" x14ac:dyDescent="0.2"/>
    <row r="113" spans="3:14" s="10" customFormat="1" x14ac:dyDescent="0.2">
      <c r="D113" s="55" t="str">
        <f>Lang_Service_Delivery_Activities_Providing_Vacc_To_A_Single_Person</f>
        <v>Service Delivery Activities providing Vaccinations to a Single Person</v>
      </c>
    </row>
    <row r="114" spans="3:14" s="10" customFormat="1" x14ac:dyDescent="0.2">
      <c r="D114" s="369" t="str">
        <f>D89</f>
        <v>Single Vaccination Service Delivery Type 1 (Projection)</v>
      </c>
      <c r="J114" s="42">
        <f>J89*COUNTS_and_COVERAGE_Summary!J$109</f>
        <v>35999.640000000007</v>
      </c>
      <c r="K114" s="42">
        <f>K89*COUNTS_and_COVERAGE_Summary!K$109</f>
        <v>36540</v>
      </c>
      <c r="L114" s="42">
        <f>L89*COUNTS_and_COVERAGE_Summary!L$109</f>
        <v>37095.840000000004</v>
      </c>
      <c r="M114" s="42">
        <f>M89*COUNTS_and_COVERAGE_Summary!M$109</f>
        <v>37668.780000000006</v>
      </c>
      <c r="N114" s="42">
        <f>N89*COUNTS_and_COVERAGE_Summary!N$109</f>
        <v>38258.82</v>
      </c>
    </row>
    <row r="115" spans="3:14" s="10" customFormat="1" x14ac:dyDescent="0.2">
      <c r="D115" s="369" t="str">
        <f>D90</f>
        <v>Single Vaccination Service Delivery Type 2 (Projection)</v>
      </c>
      <c r="J115" s="42">
        <f>J90*COUNTS_and_COVERAGE_Summary!J$109</f>
        <v>35999.640000000007</v>
      </c>
      <c r="K115" s="42">
        <f>K90*COUNTS_and_COVERAGE_Summary!K$109</f>
        <v>36540</v>
      </c>
      <c r="L115" s="42">
        <f>L90*COUNTS_and_COVERAGE_Summary!L$109</f>
        <v>37095.840000000004</v>
      </c>
      <c r="M115" s="42">
        <f>M90*COUNTS_and_COVERAGE_Summary!M$109</f>
        <v>37668.780000000006</v>
      </c>
      <c r="N115" s="42">
        <f>N90*COUNTS_and_COVERAGE_Summary!N$109</f>
        <v>38258.82</v>
      </c>
    </row>
    <row r="116" spans="3:14" s="10" customFormat="1" x14ac:dyDescent="0.2"/>
    <row r="117" spans="3:14" s="10" customFormat="1" x14ac:dyDescent="0.2">
      <c r="D117" s="71" t="str">
        <f>COVERAGE!D127&amp;" ("&amp;Lang_From_Coverage_Assumptions&amp;")"</f>
        <v>HPV 2 Vaccinations Received by IN-SCHOOL Populations (from Coverage Assumptions)</v>
      </c>
      <c r="J117" s="367">
        <f>COVERAGE!J127</f>
        <v>31500</v>
      </c>
      <c r="K117" s="367">
        <f>COVERAGE!K127</f>
        <v>45675</v>
      </c>
      <c r="L117" s="367">
        <f>COVERAGE!L127</f>
        <v>37096.199999999997</v>
      </c>
      <c r="M117" s="367">
        <f>COVERAGE!M127</f>
        <v>28251.9</v>
      </c>
      <c r="N117" s="367">
        <f>COVERAGE!N127</f>
        <v>55147.5</v>
      </c>
    </row>
    <row r="118" spans="3:14" s="10" customFormat="1" x14ac:dyDescent="0.2"/>
    <row r="119" spans="3:14" s="10" customFormat="1" x14ac:dyDescent="0.2"/>
    <row r="120" spans="3:14" s="10" customFormat="1" x14ac:dyDescent="0.2">
      <c r="D120" s="55" t="str">
        <f>Lang_Service_Delivery_Activities_Providing_Vacc_To_A_Group</f>
        <v>Service Delivery Activities providing Vaccinations to a Group</v>
      </c>
    </row>
    <row r="121" spans="3:14" s="10" customFormat="1" x14ac:dyDescent="0.2">
      <c r="D121" s="49" t="str">
        <f>D68</f>
        <v>Small Group Vaccination Activity (30 people vaccinated) (Projection)</v>
      </c>
      <c r="J121" s="42">
        <f>J95*COUNTS_and_COVERAGE_Summary!J$109</f>
        <v>8999.9100000000017</v>
      </c>
      <c r="K121" s="42">
        <f>K95*COUNTS_and_COVERAGE_Summary!K$109</f>
        <v>9135</v>
      </c>
      <c r="L121" s="42">
        <f>L95*COUNTS_and_COVERAGE_Summary!L$109</f>
        <v>9273.9600000000009</v>
      </c>
      <c r="M121" s="42">
        <f>M95*COUNTS_and_COVERAGE_Summary!M$109</f>
        <v>9417.1950000000015</v>
      </c>
      <c r="N121" s="42">
        <f>N95*COUNTS_and_COVERAGE_Summary!N$109</f>
        <v>9564.7049999999999</v>
      </c>
    </row>
    <row r="122" spans="3:14" s="10" customFormat="1" x14ac:dyDescent="0.2">
      <c r="D122" s="49" t="str">
        <f>D69</f>
        <v>Large Group Vaccination Activity (100 people vaccinated) (Projection)</v>
      </c>
      <c r="J122" s="42">
        <f>J96*COUNTS_and_COVERAGE_Summary!J$109</f>
        <v>8999.9100000000017</v>
      </c>
      <c r="K122" s="42">
        <f>K96*COUNTS_and_COVERAGE_Summary!K$109</f>
        <v>9135</v>
      </c>
      <c r="L122" s="42">
        <f>L96*COUNTS_and_COVERAGE_Summary!L$109</f>
        <v>9273.9600000000009</v>
      </c>
      <c r="M122" s="42">
        <f>M96*COUNTS_and_COVERAGE_Summary!M$109</f>
        <v>9417.1950000000015</v>
      </c>
      <c r="N122" s="42">
        <f>N96*COUNTS_and_COVERAGE_Summary!N$109</f>
        <v>9564.7049999999999</v>
      </c>
    </row>
    <row r="123" spans="3:14" s="10" customFormat="1" x14ac:dyDescent="0.2"/>
    <row r="124" spans="3:14" s="10" customFormat="1" x14ac:dyDescent="0.2">
      <c r="D124" s="105" t="str">
        <f>Lang_Total_SmallLetter&amp;" "&amp;C$85&amp;" ("&amp;Lang_Prospective&amp;")"</f>
        <v>Total HPV 2 (Projection)</v>
      </c>
      <c r="J124" s="247">
        <f t="shared" ref="J124:N124" si="8">SUM(J114,J115,J121,J122)</f>
        <v>89999.10000000002</v>
      </c>
      <c r="K124" s="247">
        <f t="shared" si="8"/>
        <v>91350</v>
      </c>
      <c r="L124" s="247">
        <f t="shared" si="8"/>
        <v>92739.60000000002</v>
      </c>
      <c r="M124" s="247">
        <f t="shared" si="8"/>
        <v>94171.950000000026</v>
      </c>
      <c r="N124" s="247">
        <f t="shared" si="8"/>
        <v>95647.05</v>
      </c>
    </row>
    <row r="126" spans="3:14" x14ac:dyDescent="0.2">
      <c r="C126" s="54" t="str">
        <f>Lang_Number_Of_Activities_Required_To_Administer_This_Number_Of_Vaccines</f>
        <v>Number of Activities Required to Administer this Number of Vaccines</v>
      </c>
    </row>
    <row r="128" spans="3:14" x14ac:dyDescent="0.2">
      <c r="D128" s="54" t="str">
        <f>Lang_Number_Of_Single_Vacc_Activities_Required_To_Administer_Vaccines</f>
        <v>Number of Single Vaccination Activities Required to Administer Vaccines</v>
      </c>
    </row>
    <row r="129" spans="2:14" x14ac:dyDescent="0.2">
      <c r="D129" s="136" t="str">
        <f>LABELS!E$53</f>
        <v>Single Vaccination Service Delivery Type 1</v>
      </c>
      <c r="J129" s="42">
        <f t="shared" ref="J129:N129" si="9">J114/J$13</f>
        <v>35999.640000000007</v>
      </c>
      <c r="K129" s="42">
        <f t="shared" si="9"/>
        <v>36540</v>
      </c>
      <c r="L129" s="42">
        <f t="shared" si="9"/>
        <v>37095.840000000004</v>
      </c>
      <c r="M129" s="42">
        <f t="shared" si="9"/>
        <v>37668.780000000006</v>
      </c>
      <c r="N129" s="42">
        <f t="shared" si="9"/>
        <v>38258.82</v>
      </c>
    </row>
    <row r="130" spans="2:14" x14ac:dyDescent="0.2">
      <c r="D130" s="136" t="str">
        <f>LABELS!E$54</f>
        <v>Single Vaccination Service Delivery Type 2</v>
      </c>
      <c r="J130" s="42">
        <f t="shared" ref="J130:N130" si="10">J115/J$14</f>
        <v>35999.640000000007</v>
      </c>
      <c r="K130" s="42">
        <f t="shared" si="10"/>
        <v>36540</v>
      </c>
      <c r="L130" s="42">
        <f t="shared" si="10"/>
        <v>37095.840000000004</v>
      </c>
      <c r="M130" s="42">
        <f t="shared" si="10"/>
        <v>37668.780000000006</v>
      </c>
      <c r="N130" s="42">
        <f t="shared" si="10"/>
        <v>38258.82</v>
      </c>
    </row>
    <row r="132" spans="2:14" x14ac:dyDescent="0.2">
      <c r="D132" s="54" t="str">
        <f>Lang_Number_Of_Group_Vacc_Activities_Required_To_Administer_Vaccines</f>
        <v>Number of Group Vaccination Activities Required to Administer Vaccines</v>
      </c>
    </row>
    <row r="133" spans="2:14" s="10" customFormat="1" x14ac:dyDescent="0.2">
      <c r="D133" s="136" t="str">
        <f>LABELS!E$57</f>
        <v>Small Group Vaccination Activity (30 people vaccinated)</v>
      </c>
      <c r="J133" s="42">
        <f t="shared" ref="J133:N133" si="11">J121/J$15</f>
        <v>299.99700000000007</v>
      </c>
      <c r="K133" s="42">
        <f t="shared" si="11"/>
        <v>304.5</v>
      </c>
      <c r="L133" s="42">
        <f t="shared" si="11"/>
        <v>309.13200000000001</v>
      </c>
      <c r="M133" s="42">
        <f t="shared" si="11"/>
        <v>313.90650000000005</v>
      </c>
      <c r="N133" s="42">
        <f t="shared" si="11"/>
        <v>318.82350000000002</v>
      </c>
    </row>
    <row r="134" spans="2:14" s="10" customFormat="1" x14ac:dyDescent="0.2">
      <c r="D134" s="136" t="str">
        <f>LABELS!E$58</f>
        <v>Large Group Vaccination Activity (100 people vaccinated)</v>
      </c>
      <c r="J134" s="42">
        <f t="shared" ref="J134:N134" si="12">J122/J$16</f>
        <v>89.999100000000013</v>
      </c>
      <c r="K134" s="42">
        <f t="shared" si="12"/>
        <v>91.35</v>
      </c>
      <c r="L134" s="42">
        <f t="shared" si="12"/>
        <v>92.73960000000001</v>
      </c>
      <c r="M134" s="42">
        <f t="shared" si="12"/>
        <v>94.17195000000001</v>
      </c>
      <c r="N134" s="42">
        <f t="shared" si="12"/>
        <v>95.647049999999993</v>
      </c>
    </row>
    <row r="135" spans="2:14" s="10" customFormat="1" x14ac:dyDescent="0.2"/>
    <row r="136" spans="2:14" s="10" customFormat="1" x14ac:dyDescent="0.2"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</row>
    <row r="137" spans="2:14" s="10" customFormat="1" x14ac:dyDescent="0.2"/>
    <row r="138" spans="2:14" s="10" customFormat="1" x14ac:dyDescent="0.2">
      <c r="C138" s="65" t="str">
        <f>Lang_Results_Numbers&amp;": "&amp;Analy_Lu!$D$25&amp;" &amp; "&amp;Analy_Lu!$D$26</f>
        <v>Results (Numbers): HPV 1 &amp; HPV 2</v>
      </c>
    </row>
    <row r="139" spans="2:14" s="10" customFormat="1" x14ac:dyDescent="0.2"/>
    <row r="140" spans="2:14" s="10" customFormat="1" x14ac:dyDescent="0.2">
      <c r="C140" s="55" t="str">
        <f>Lang_Proportion_Administered_By_Year_And_Service_Delivery_Type</f>
        <v>Proportion Administered (by Year and Service Delivery Type)</v>
      </c>
    </row>
    <row r="141" spans="2:14" s="10" customFormat="1" x14ac:dyDescent="0.2">
      <c r="D141" s="55" t="str">
        <f>Lang_Service_Delivery_Activities_Providing_Vacc_To_A_Single_Person</f>
        <v>Service Delivery Activities providing Vaccinations to a Single Person</v>
      </c>
    </row>
    <row r="142" spans="2:14" s="10" customFormat="1" x14ac:dyDescent="0.2">
      <c r="D142" s="49" t="str">
        <f>D36</f>
        <v>Single Vaccination Service Delivery Type 1 (Projection)</v>
      </c>
      <c r="J142" s="234">
        <f t="shared" ref="J142:N143" si="13">J152/J$159</f>
        <v>0.4</v>
      </c>
      <c r="K142" s="234">
        <f t="shared" si="13"/>
        <v>0.4</v>
      </c>
      <c r="L142" s="234">
        <f t="shared" si="13"/>
        <v>0.40000000000000008</v>
      </c>
      <c r="M142" s="234">
        <f t="shared" si="13"/>
        <v>0.4</v>
      </c>
      <c r="N142" s="234">
        <f t="shared" si="13"/>
        <v>0.4</v>
      </c>
    </row>
    <row r="143" spans="2:14" s="10" customFormat="1" x14ac:dyDescent="0.2">
      <c r="D143" s="49" t="str">
        <f>D37</f>
        <v>Single Vaccination Service Delivery Type 2 (Projection)</v>
      </c>
      <c r="J143" s="234">
        <f t="shared" si="13"/>
        <v>0.4</v>
      </c>
      <c r="K143" s="234">
        <f t="shared" si="13"/>
        <v>0.4</v>
      </c>
      <c r="L143" s="234">
        <f t="shared" si="13"/>
        <v>0.40000000000000008</v>
      </c>
      <c r="M143" s="234">
        <f t="shared" si="13"/>
        <v>0.4</v>
      </c>
      <c r="N143" s="234">
        <f t="shared" si="13"/>
        <v>0.4</v>
      </c>
    </row>
    <row r="144" spans="2:14" s="10" customFormat="1" x14ac:dyDescent="0.2"/>
    <row r="145" spans="3:14" s="10" customFormat="1" x14ac:dyDescent="0.2">
      <c r="D145" s="55" t="str">
        <f>Lang_Service_Delivery_Activities_Providing_Vacc_To_A_Group</f>
        <v>Service Delivery Activities providing Vaccinations to a Group</v>
      </c>
    </row>
    <row r="146" spans="3:14" s="10" customFormat="1" x14ac:dyDescent="0.2">
      <c r="D146" s="49" t="str">
        <f>D121</f>
        <v>Small Group Vaccination Activity (30 people vaccinated) (Projection)</v>
      </c>
      <c r="J146" s="234">
        <f t="shared" ref="J146:N147" si="14">J156/J$159</f>
        <v>0.1</v>
      </c>
      <c r="K146" s="234">
        <f t="shared" si="14"/>
        <v>0.1</v>
      </c>
      <c r="L146" s="234">
        <f t="shared" si="14"/>
        <v>0.10000000000000002</v>
      </c>
      <c r="M146" s="234">
        <f t="shared" si="14"/>
        <v>0.1</v>
      </c>
      <c r="N146" s="234">
        <f t="shared" si="14"/>
        <v>0.1</v>
      </c>
    </row>
    <row r="147" spans="3:14" s="10" customFormat="1" x14ac:dyDescent="0.2">
      <c r="D147" s="49" t="str">
        <f>D122</f>
        <v>Large Group Vaccination Activity (100 people vaccinated) (Projection)</v>
      </c>
      <c r="J147" s="234">
        <f t="shared" si="14"/>
        <v>0.1</v>
      </c>
      <c r="K147" s="234">
        <f t="shared" si="14"/>
        <v>0.1</v>
      </c>
      <c r="L147" s="234">
        <f t="shared" si="14"/>
        <v>0.10000000000000002</v>
      </c>
      <c r="M147" s="234">
        <f t="shared" si="14"/>
        <v>0.1</v>
      </c>
      <c r="N147" s="234">
        <f t="shared" si="14"/>
        <v>0.1</v>
      </c>
    </row>
    <row r="148" spans="3:14" s="10" customFormat="1" x14ac:dyDescent="0.2"/>
    <row r="149" spans="3:14" s="10" customFormat="1" x14ac:dyDescent="0.2"/>
    <row r="150" spans="3:14" s="10" customFormat="1" x14ac:dyDescent="0.2">
      <c r="C150" s="55" t="str">
        <f>Lang_Number_Administered_By_Year_And_Service_Delivery_Type</f>
        <v>Number Administered (by Year and Service Delivery Type)</v>
      </c>
    </row>
    <row r="151" spans="3:14" s="10" customFormat="1" x14ac:dyDescent="0.2">
      <c r="D151" s="55" t="str">
        <f>Lang_Service_Delivery_Activities_Providing_Vacc_To_A_Single_Person</f>
        <v>Service Delivery Activities providing Vaccinations to a Single Person</v>
      </c>
    </row>
    <row r="152" spans="3:14" s="10" customFormat="1" x14ac:dyDescent="0.2">
      <c r="D152" s="49" t="str">
        <f>D61</f>
        <v>Single Vaccination Service Delivery Type 1 (Projection)</v>
      </c>
      <c r="J152" s="42">
        <f t="shared" ref="J152:N153" si="15">SUM(J61,J114)</f>
        <v>75999.24000000002</v>
      </c>
      <c r="K152" s="42">
        <f t="shared" si="15"/>
        <v>77140</v>
      </c>
      <c r="L152" s="42">
        <f t="shared" si="15"/>
        <v>78313.440000000002</v>
      </c>
      <c r="M152" s="42">
        <f t="shared" si="15"/>
        <v>79522.98000000001</v>
      </c>
      <c r="N152" s="42">
        <f t="shared" si="15"/>
        <v>80768.62</v>
      </c>
    </row>
    <row r="153" spans="3:14" s="10" customFormat="1" x14ac:dyDescent="0.2">
      <c r="D153" s="49" t="str">
        <f>D62</f>
        <v>Single Vaccination Service Delivery Type 2 (Projection)</v>
      </c>
      <c r="J153" s="42">
        <f t="shared" si="15"/>
        <v>75999.24000000002</v>
      </c>
      <c r="K153" s="42">
        <f t="shared" si="15"/>
        <v>77140</v>
      </c>
      <c r="L153" s="42">
        <f t="shared" si="15"/>
        <v>78313.440000000002</v>
      </c>
      <c r="M153" s="42">
        <f t="shared" si="15"/>
        <v>79522.98000000001</v>
      </c>
      <c r="N153" s="42">
        <f t="shared" si="15"/>
        <v>80768.62</v>
      </c>
    </row>
    <row r="154" spans="3:14" s="10" customFormat="1" x14ac:dyDescent="0.2"/>
    <row r="155" spans="3:14" s="10" customFormat="1" x14ac:dyDescent="0.2">
      <c r="D155" s="55" t="str">
        <f>Lang_Service_Delivery_Activities_Providing_Vacc_To_A_Group</f>
        <v>Service Delivery Activities providing Vaccinations to a Group</v>
      </c>
    </row>
    <row r="156" spans="3:14" s="10" customFormat="1" x14ac:dyDescent="0.2">
      <c r="D156" s="49" t="str">
        <f>LABELS!E57</f>
        <v>Small Group Vaccination Activity (30 people vaccinated)</v>
      </c>
      <c r="J156" s="42">
        <f t="shared" ref="J156:N157" si="16">SUM(J68,J121)</f>
        <v>18999.810000000005</v>
      </c>
      <c r="K156" s="42">
        <f t="shared" si="16"/>
        <v>19285</v>
      </c>
      <c r="L156" s="42">
        <f t="shared" si="16"/>
        <v>19578.36</v>
      </c>
      <c r="M156" s="42">
        <f t="shared" si="16"/>
        <v>19880.745000000003</v>
      </c>
      <c r="N156" s="42">
        <f t="shared" si="16"/>
        <v>20192.154999999999</v>
      </c>
    </row>
    <row r="157" spans="3:14" s="10" customFormat="1" x14ac:dyDescent="0.2">
      <c r="D157" s="49" t="str">
        <f>LABELS!E58</f>
        <v>Large Group Vaccination Activity (100 people vaccinated)</v>
      </c>
      <c r="J157" s="42">
        <f t="shared" si="16"/>
        <v>18999.810000000005</v>
      </c>
      <c r="K157" s="42">
        <f t="shared" si="16"/>
        <v>19285</v>
      </c>
      <c r="L157" s="42">
        <f t="shared" si="16"/>
        <v>19578.36</v>
      </c>
      <c r="M157" s="42">
        <f t="shared" si="16"/>
        <v>19880.745000000003</v>
      </c>
      <c r="N157" s="42">
        <f t="shared" si="16"/>
        <v>20192.154999999999</v>
      </c>
    </row>
    <row r="158" spans="3:14" s="10" customFormat="1" x14ac:dyDescent="0.2"/>
    <row r="159" spans="3:14" s="10" customFormat="1" x14ac:dyDescent="0.2">
      <c r="D159" s="105" t="str">
        <f>Lang_Total_SmallLetter&amp;" "&amp;C$138&amp;" ("&amp;Lang_Prospective&amp;")"</f>
        <v>Total Results (Numbers): HPV 1 &amp; HPV 2 (Projection)</v>
      </c>
      <c r="J159" s="247">
        <f t="shared" ref="J159:N159" si="17">SUM(J152,J153,J156,J157)</f>
        <v>189998.10000000003</v>
      </c>
      <c r="K159" s="247">
        <f t="shared" si="17"/>
        <v>192850</v>
      </c>
      <c r="L159" s="247">
        <f t="shared" si="17"/>
        <v>195783.59999999998</v>
      </c>
      <c r="M159" s="247">
        <f t="shared" si="17"/>
        <v>198807.45</v>
      </c>
      <c r="N159" s="247">
        <f t="shared" si="17"/>
        <v>201921.55</v>
      </c>
    </row>
    <row r="160" spans="3:14" s="10" customFormat="1" x14ac:dyDescent="0.2"/>
    <row r="161" spans="1:14" s="10" customFormat="1" x14ac:dyDescent="0.2">
      <c r="C161" s="55" t="str">
        <f>Lang_Number_Of_Activities_Required_To_Administer_This_Number_Of_Vaccines</f>
        <v>Number of Activities Required to Administer this Number of Vaccines</v>
      </c>
    </row>
    <row r="162" spans="1:14" s="10" customFormat="1" x14ac:dyDescent="0.2"/>
    <row r="163" spans="1:14" s="10" customFormat="1" x14ac:dyDescent="0.2">
      <c r="D163" s="55" t="str">
        <f>Lang_Number_Of_Single_Vacc_Activities_Required_To_Administer_Vaccines</f>
        <v>Number of Single Vaccination Activities Required to Administer Vaccines</v>
      </c>
    </row>
    <row r="164" spans="1:14" s="10" customFormat="1" x14ac:dyDescent="0.2">
      <c r="D164" s="136" t="str">
        <f>LABELS!E$53</f>
        <v>Single Vaccination Service Delivery Type 1</v>
      </c>
      <c r="J164" s="42">
        <f t="shared" ref="J164:N164" si="18">J152/J$13</f>
        <v>75999.24000000002</v>
      </c>
      <c r="K164" s="42">
        <f t="shared" si="18"/>
        <v>77140</v>
      </c>
      <c r="L164" s="42">
        <f t="shared" si="18"/>
        <v>78313.440000000002</v>
      </c>
      <c r="M164" s="42">
        <f t="shared" si="18"/>
        <v>79522.98000000001</v>
      </c>
      <c r="N164" s="42">
        <f t="shared" si="18"/>
        <v>80768.62</v>
      </c>
    </row>
    <row r="165" spans="1:14" s="10" customFormat="1" x14ac:dyDescent="0.2">
      <c r="D165" s="136" t="str">
        <f>LABELS!E$54</f>
        <v>Single Vaccination Service Delivery Type 2</v>
      </c>
      <c r="J165" s="42">
        <f t="shared" ref="J165:N165" si="19">J153/J$14</f>
        <v>75999.24000000002</v>
      </c>
      <c r="K165" s="42">
        <f t="shared" si="19"/>
        <v>77140</v>
      </c>
      <c r="L165" s="42">
        <f t="shared" si="19"/>
        <v>78313.440000000002</v>
      </c>
      <c r="M165" s="42">
        <f t="shared" si="19"/>
        <v>79522.98000000001</v>
      </c>
      <c r="N165" s="42">
        <f t="shared" si="19"/>
        <v>80768.62</v>
      </c>
    </row>
    <row r="166" spans="1:14" s="10" customFormat="1" x14ac:dyDescent="0.2"/>
    <row r="167" spans="1:14" s="10" customFormat="1" x14ac:dyDescent="0.2">
      <c r="D167" s="55" t="str">
        <f>Lang_Number_Of_Group_Vacc_Activities_Required_To_Administer_Vaccines</f>
        <v>Number of Group Vaccination Activities Required to Administer Vaccines</v>
      </c>
    </row>
    <row r="168" spans="1:14" s="10" customFormat="1" x14ac:dyDescent="0.2">
      <c r="D168" s="128" t="str">
        <f>Lang_Total_SmallLetter&amp;" ("&amp;Analy_Lu!$D$25&amp;" &amp; "&amp;Analy_Lu!$D$26&amp;") "&amp;LABELS!E$57&amp;" "&amp;Lang_Activities&amp;" ("&amp;Lang_Prospective&amp;")"</f>
        <v>Total (HPV 1 &amp; HPV 2) Small Group Vaccination Activity (30 people vaccinated) Activities (Projection)</v>
      </c>
      <c r="J168" s="42">
        <f t="shared" ref="J168:N168" si="20">J156/J$15</f>
        <v>633.32700000000011</v>
      </c>
      <c r="K168" s="42">
        <f t="shared" si="20"/>
        <v>642.83333333333337</v>
      </c>
      <c r="L168" s="42">
        <f t="shared" si="20"/>
        <v>652.61199999999997</v>
      </c>
      <c r="M168" s="42">
        <f t="shared" si="20"/>
        <v>662.69150000000013</v>
      </c>
      <c r="N168" s="42">
        <f t="shared" si="20"/>
        <v>673.0718333333333</v>
      </c>
    </row>
    <row r="169" spans="1:14" s="10" customFormat="1" x14ac:dyDescent="0.2">
      <c r="D169" s="128" t="str">
        <f>Lang_Total_SmallLetter&amp;" ("&amp;Analy_Lu!$D$25&amp;" &amp; "&amp;Analy_Lu!$D$26&amp;") "&amp;LABELS!E$58&amp;" "&amp;Lang_Activities&amp;" ("&amp;Lang_Prospective&amp;")"</f>
        <v>Total (HPV 1 &amp; HPV 2) Large Group Vaccination Activity (100 people vaccinated) Activities (Projection)</v>
      </c>
      <c r="J169" s="42">
        <f t="shared" ref="J169:N169" si="21">J157/J$16</f>
        <v>189.99810000000005</v>
      </c>
      <c r="K169" s="42">
        <f t="shared" si="21"/>
        <v>192.85</v>
      </c>
      <c r="L169" s="42">
        <f t="shared" si="21"/>
        <v>195.78360000000001</v>
      </c>
      <c r="M169" s="42">
        <f t="shared" si="21"/>
        <v>198.80745000000002</v>
      </c>
      <c r="N169" s="42">
        <f t="shared" si="21"/>
        <v>201.92155</v>
      </c>
    </row>
    <row r="170" spans="1:14" s="10" customFormat="1" x14ac:dyDescent="0.2"/>
    <row r="171" spans="1:14" s="10" customFormat="1" x14ac:dyDescent="0.2"/>
    <row r="172" spans="1:14" s="10" customFormat="1" x14ac:dyDescent="0.2">
      <c r="A172" s="372" t="s">
        <v>127</v>
      </c>
      <c r="B172" s="13" t="str">
        <f>Lang_Number_Of_Vacc_Delivered_And_Activities_Completed_By_Year_And_Service_Delivery_Type_Retrospective</f>
        <v>Number of Vaccinations Delivered and Activities Completed, by Year and Service Delivery Type (Retrospective)</v>
      </c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</row>
    <row r="173" spans="1:14" s="10" customFormat="1" x14ac:dyDescent="0.2"/>
    <row r="174" spans="1:14" s="10" customFormat="1" x14ac:dyDescent="0.2">
      <c r="C174" s="358" t="str">
        <f>Analy_Lu!$D$25</f>
        <v>HPV 1</v>
      </c>
    </row>
    <row r="175" spans="1:14" s="10" customFormat="1" x14ac:dyDescent="0.2">
      <c r="D175" s="358" t="str">
        <f>COVERAGE!D253</f>
        <v>HPV 1 Vaccinations Received by All Target Populations through ANY Service Delivery Method (from Coverage Assumptions) (Retrospective)</v>
      </c>
      <c r="J175" s="142">
        <f>COVERAGE!J253</f>
        <v>49380</v>
      </c>
      <c r="K175" s="142">
        <f>COVERAGE!K253</f>
        <v>49380</v>
      </c>
      <c r="L175" s="142">
        <f>COVERAGE!L253</f>
        <v>49380</v>
      </c>
      <c r="M175" s="142">
        <f>COVERAGE!M253</f>
        <v>49380</v>
      </c>
      <c r="N175" s="142">
        <f>COVERAGE!N253</f>
        <v>49380</v>
      </c>
    </row>
    <row r="176" spans="1:14" s="10" customFormat="1" x14ac:dyDescent="0.2"/>
    <row r="177" spans="4:14" s="10" customFormat="1" x14ac:dyDescent="0.2">
      <c r="D177" s="55" t="str">
        <f>Lang_Number_Of_Service_Delivery_Activities_Providing_Vacc_To_A_Single_Person_Completed</f>
        <v>Number of Service Delivery Activities providing Vaccinations to a Single Person Completed</v>
      </c>
    </row>
    <row r="178" spans="4:14" s="10" customFormat="1" x14ac:dyDescent="0.2">
      <c r="D178" s="53" t="str">
        <f>LABELS!E53&amp;" ("&amp;Lang_Retrospective&amp;")"</f>
        <v>Single Vaccination Service Delivery Type 1 (Retrospective)</v>
      </c>
      <c r="J178" s="327">
        <v>19752</v>
      </c>
      <c r="K178" s="327">
        <v>19752</v>
      </c>
      <c r="L178" s="327">
        <v>19752</v>
      </c>
      <c r="M178" s="327">
        <v>19752</v>
      </c>
      <c r="N178" s="327">
        <v>19752</v>
      </c>
    </row>
    <row r="179" spans="4:14" s="10" customFormat="1" x14ac:dyDescent="0.2">
      <c r="D179" s="53" t="str">
        <f>LABELS!E54&amp;" ("&amp;Lang_Retrospective&amp;")"</f>
        <v>Single Vaccination Service Delivery Type 2 (Retrospective)</v>
      </c>
      <c r="J179" s="327">
        <v>19752</v>
      </c>
      <c r="K179" s="327">
        <v>19752</v>
      </c>
      <c r="L179" s="327">
        <v>19752</v>
      </c>
      <c r="M179" s="327">
        <v>19752</v>
      </c>
      <c r="N179" s="327">
        <v>19752</v>
      </c>
    </row>
    <row r="180" spans="4:14" s="10" customFormat="1" x14ac:dyDescent="0.2"/>
    <row r="181" spans="4:14" s="10" customFormat="1" x14ac:dyDescent="0.2">
      <c r="D181" s="55" t="str">
        <f>Lang_Number_Of_Vacc_Provided_Through_Vacc_To_A_Group</f>
        <v>Number of VACCINATIONS Provided through Vaccinations to a Group</v>
      </c>
    </row>
    <row r="182" spans="4:14" s="10" customFormat="1" x14ac:dyDescent="0.2">
      <c r="D182" s="53" t="str">
        <f>LABELS!E$57&amp;" ("&amp;Lang_Retrospective&amp;")"</f>
        <v>Small Group Vaccination Activity (30 people vaccinated) (Retrospective)</v>
      </c>
      <c r="J182" s="327">
        <v>4938</v>
      </c>
      <c r="K182" s="327">
        <v>4938</v>
      </c>
      <c r="L182" s="327">
        <v>4938</v>
      </c>
      <c r="M182" s="327">
        <v>4938</v>
      </c>
      <c r="N182" s="327">
        <v>4938</v>
      </c>
    </row>
    <row r="183" spans="4:14" s="10" customFormat="1" x14ac:dyDescent="0.2">
      <c r="D183" s="53" t="str">
        <f>LABELS!E$58&amp;" ("&amp;Lang_Retrospective&amp;")"</f>
        <v>Large Group Vaccination Activity (100 people vaccinated) (Retrospective)</v>
      </c>
      <c r="J183" s="327">
        <v>4938</v>
      </c>
      <c r="K183" s="327">
        <v>4938</v>
      </c>
      <c r="L183" s="327">
        <v>4938</v>
      </c>
      <c r="M183" s="327">
        <v>4938</v>
      </c>
      <c r="N183" s="327">
        <v>4938</v>
      </c>
    </row>
    <row r="184" spans="4:14" s="10" customFormat="1" x14ac:dyDescent="0.2"/>
    <row r="185" spans="4:14" s="10" customFormat="1" x14ac:dyDescent="0.2">
      <c r="D185" s="55" t="str">
        <f>Lang_Number_Of_Activities_Vacc_To_A_Group_Completed</f>
        <v>Number of ACTIVITIES (Vaccinations to a Group) Completed</v>
      </c>
    </row>
    <row r="186" spans="4:14" s="10" customFormat="1" x14ac:dyDescent="0.2">
      <c r="D186" s="53" t="str">
        <f>$C$174&amp;" "&amp;LABELS!E$57&amp;" "&amp;Lang_Number_Of_Activities&amp;" ("&amp;Lang_Retrospective&amp;")"</f>
        <v>HPV 1 Small Group Vaccination Activity (30 people vaccinated) Number of Activities (Retrospective)</v>
      </c>
      <c r="J186" s="329">
        <v>248.14070351758795</v>
      </c>
      <c r="K186" s="329">
        <v>248.14070351758795</v>
      </c>
      <c r="L186" s="329">
        <v>248.14070351758795</v>
      </c>
      <c r="M186" s="329">
        <v>248.14070351758795</v>
      </c>
      <c r="N186" s="329">
        <v>248.14070351758795</v>
      </c>
    </row>
    <row r="187" spans="4:14" s="10" customFormat="1" x14ac:dyDescent="0.2">
      <c r="D187" s="53" t="str">
        <f>$C$174&amp;" "&amp;LABELS!E$58&amp;" "&amp;Lang_Number_Of_Activities&amp;" ("&amp;Lang_Retrospective&amp;")"</f>
        <v>HPV 1 Large Group Vaccination Activity (100 people vaccinated) Number of Activities (Retrospective)</v>
      </c>
      <c r="J187" s="329">
        <v>49.878787878787875</v>
      </c>
      <c r="K187" s="329">
        <v>49.878787878787875</v>
      </c>
      <c r="L187" s="329">
        <v>49.878787878787875</v>
      </c>
      <c r="M187" s="329">
        <v>49.878787878787875</v>
      </c>
      <c r="N187" s="329">
        <v>49.878787878787875</v>
      </c>
    </row>
    <row r="188" spans="4:14" s="10" customFormat="1" x14ac:dyDescent="0.2"/>
    <row r="189" spans="4:14" s="10" customFormat="1" x14ac:dyDescent="0.2">
      <c r="D189" s="105" t="str">
        <f>Lang_Total_SmallLetter&amp;" "&amp;C$174&amp;" ("&amp;Lang_Retrospective&amp;")"</f>
        <v>Total HPV 1 (Retrospective)</v>
      </c>
      <c r="J189" s="247">
        <f>SUM(J178,J179,J182,J183)</f>
        <v>49380</v>
      </c>
      <c r="K189" s="247">
        <f>SUM(K178,K179,K182,K183)</f>
        <v>49380</v>
      </c>
      <c r="L189" s="247">
        <f>SUM(L178,L179,L182,L183)</f>
        <v>49380</v>
      </c>
      <c r="M189" s="247">
        <f>SUM(M178,M179,M182,M183)</f>
        <v>49380</v>
      </c>
      <c r="N189" s="247">
        <f>SUM(N178,N179,N182,N183)</f>
        <v>49380</v>
      </c>
    </row>
    <row r="190" spans="4:14" s="10" customFormat="1" x14ac:dyDescent="0.2">
      <c r="F190" s="133" t="str">
        <f>Lang_Alert_Check_Does_Total_Sum_To_Coverage_Total</f>
        <v>ALERT CHECK (DOES TOTAL SUM TO COVERAGE TOTAL)</v>
      </c>
      <c r="G190" s="145">
        <f>IF(ISERROR(SUM(J190:N190)),1,MIN(SUM(J190:N190),1))</f>
        <v>0</v>
      </c>
      <c r="J190" s="42">
        <f>IF(J189&lt;&gt;J175,1,0)</f>
        <v>0</v>
      </c>
      <c r="K190" s="42">
        <f>IF(K189&lt;&gt;K175,1,0)</f>
        <v>0</v>
      </c>
      <c r="L190" s="42">
        <f>IF(L189&lt;&gt;L175,1,0)</f>
        <v>0</v>
      </c>
      <c r="M190" s="42">
        <f>IF(M189&lt;&gt;M175,1,0)</f>
        <v>0</v>
      </c>
      <c r="N190" s="42">
        <f>IF(N189&lt;&gt;N175,1,0)</f>
        <v>0</v>
      </c>
    </row>
    <row r="191" spans="4:14" s="10" customFormat="1" x14ac:dyDescent="0.2"/>
    <row r="192" spans="4:14" s="10" customFormat="1" x14ac:dyDescent="0.2"/>
    <row r="193" spans="3:14" s="10" customFormat="1" x14ac:dyDescent="0.2"/>
    <row r="194" spans="3:14" s="10" customFormat="1" x14ac:dyDescent="0.2"/>
    <row r="195" spans="3:14" s="10" customFormat="1" x14ac:dyDescent="0.2">
      <c r="C195" s="114" t="str">
        <f>Analy_Lu!$D$26</f>
        <v>HPV 2</v>
      </c>
    </row>
    <row r="196" spans="3:14" s="10" customFormat="1" x14ac:dyDescent="0.2">
      <c r="D196" s="114" t="str">
        <f>COVERAGE!D257</f>
        <v>HPV 2 Vaccinations Received by All Target Populations through ANY Service Delivery Method (from Coverage Assumptions) (Retrospective)</v>
      </c>
      <c r="J196" s="142">
        <f>COVERAGE!J257</f>
        <v>44444</v>
      </c>
      <c r="K196" s="142">
        <f>COVERAGE!K257</f>
        <v>44444</v>
      </c>
      <c r="L196" s="142">
        <f>COVERAGE!L257</f>
        <v>44444</v>
      </c>
      <c r="M196" s="142">
        <f>COVERAGE!M257</f>
        <v>44444</v>
      </c>
      <c r="N196" s="142">
        <f>COVERAGE!N257</f>
        <v>44444</v>
      </c>
    </row>
    <row r="197" spans="3:14" s="10" customFormat="1" x14ac:dyDescent="0.2"/>
    <row r="198" spans="3:14" s="10" customFormat="1" x14ac:dyDescent="0.2">
      <c r="D198" s="55" t="str">
        <f>Lang_Service_Delivery_Activities_Providing_Vacc_To_A_Single_Person</f>
        <v>Service Delivery Activities providing Vaccinations to a Single Person</v>
      </c>
    </row>
    <row r="199" spans="3:14" s="10" customFormat="1" x14ac:dyDescent="0.2">
      <c r="D199" s="53" t="str">
        <f>LABELS!E53&amp;" ("&amp;Lang_Retrospective&amp;")"</f>
        <v>Single Vaccination Service Delivery Type 1 (Retrospective)</v>
      </c>
      <c r="J199" s="328">
        <v>17777.600000000002</v>
      </c>
      <c r="K199" s="328">
        <v>17777.600000000002</v>
      </c>
      <c r="L199" s="328">
        <v>17777.600000000002</v>
      </c>
      <c r="M199" s="328">
        <v>17777.600000000002</v>
      </c>
      <c r="N199" s="328">
        <v>17777.600000000002</v>
      </c>
    </row>
    <row r="200" spans="3:14" s="10" customFormat="1" x14ac:dyDescent="0.2">
      <c r="D200" s="53" t="str">
        <f>LABELS!E54&amp;" ("&amp;Lang_Retrospective&amp;")"</f>
        <v>Single Vaccination Service Delivery Type 2 (Retrospective)</v>
      </c>
      <c r="J200" s="328">
        <v>17777.600000000002</v>
      </c>
      <c r="K200" s="328">
        <v>17777.600000000002</v>
      </c>
      <c r="L200" s="328">
        <v>17777.600000000002</v>
      </c>
      <c r="M200" s="328">
        <v>17777.600000000002</v>
      </c>
      <c r="N200" s="328">
        <v>17777.600000000002</v>
      </c>
    </row>
    <row r="201" spans="3:14" s="10" customFormat="1" x14ac:dyDescent="0.2"/>
    <row r="202" spans="3:14" s="10" customFormat="1" x14ac:dyDescent="0.2">
      <c r="D202" s="55" t="str">
        <f>Lang_Number_Of_Vacc_Provided_Through_Vacc_To_A_Group</f>
        <v>Number of VACCINATIONS Provided through Vaccinations to a Group</v>
      </c>
    </row>
    <row r="203" spans="3:14" s="10" customFormat="1" x14ac:dyDescent="0.2">
      <c r="D203" s="53" t="str">
        <f>LABELS!E$57&amp;" ("&amp;Lang_Retrospective&amp;")"</f>
        <v>Small Group Vaccination Activity (30 people vaccinated) (Retrospective)</v>
      </c>
      <c r="J203" s="328">
        <v>4444.4000000000005</v>
      </c>
      <c r="K203" s="328">
        <v>4444.4000000000005</v>
      </c>
      <c r="L203" s="328">
        <v>4444.4000000000005</v>
      </c>
      <c r="M203" s="328">
        <v>4444.4000000000005</v>
      </c>
      <c r="N203" s="328">
        <v>4444.4000000000005</v>
      </c>
    </row>
    <row r="204" spans="3:14" s="10" customFormat="1" x14ac:dyDescent="0.2">
      <c r="D204" s="53" t="str">
        <f>LABELS!E$58&amp;" ("&amp;Lang_Retrospective&amp;")"</f>
        <v>Large Group Vaccination Activity (100 people vaccinated) (Retrospective)</v>
      </c>
      <c r="J204" s="328">
        <v>4444.4000000000005</v>
      </c>
      <c r="K204" s="328">
        <v>4444.4000000000005</v>
      </c>
      <c r="L204" s="328">
        <v>4444.4000000000005</v>
      </c>
      <c r="M204" s="328">
        <v>4444.4000000000005</v>
      </c>
      <c r="N204" s="328">
        <v>4444.4000000000005</v>
      </c>
    </row>
    <row r="205" spans="3:14" s="10" customFormat="1" x14ac:dyDescent="0.2"/>
    <row r="206" spans="3:14" s="10" customFormat="1" x14ac:dyDescent="0.2">
      <c r="D206" s="55" t="str">
        <f>Lang_Alert_Check_Does_Total_Sum_To_Coverage_Total</f>
        <v>ALERT CHECK (DOES TOTAL SUM TO COVERAGE TOTAL)</v>
      </c>
    </row>
    <row r="207" spans="3:14" s="10" customFormat="1" x14ac:dyDescent="0.2">
      <c r="D207" s="53" t="str">
        <f>$C$195&amp;" "&amp;LABELS!E$57&amp;" "&amp;Lang_Number_Of_Activities&amp;" ("&amp;Lang_Retrospective&amp;")"</f>
        <v>HPV 2 Small Group Vaccination Activity (30 people vaccinated) Number of Activities (Retrospective)</v>
      </c>
      <c r="J207" s="329">
        <v>223.33668341708548</v>
      </c>
      <c r="K207" s="329">
        <v>223.33668341708548</v>
      </c>
      <c r="L207" s="329">
        <v>223.33668341708548</v>
      </c>
      <c r="M207" s="329">
        <v>223.33668341708548</v>
      </c>
      <c r="N207" s="329">
        <v>223.33668341708548</v>
      </c>
    </row>
    <row r="208" spans="3:14" s="10" customFormat="1" x14ac:dyDescent="0.2">
      <c r="D208" s="53" t="str">
        <f>$C$195&amp;" "&amp;LABELS!E$58&amp;" "&amp;Lang_Number_Of_Activities&amp;" ("&amp;Lang_Retrospective&amp;")"</f>
        <v>HPV 2 Large Group Vaccination Activity (100 people vaccinated) Number of Activities (Retrospective)</v>
      </c>
      <c r="J208" s="329">
        <v>44.892929292929296</v>
      </c>
      <c r="K208" s="329">
        <v>44.892929292929296</v>
      </c>
      <c r="L208" s="329">
        <v>44.892929292929296</v>
      </c>
      <c r="M208" s="329">
        <v>44.892929292929296</v>
      </c>
      <c r="N208" s="329">
        <v>44.892929292929296</v>
      </c>
    </row>
    <row r="209" spans="3:14" s="10" customFormat="1" x14ac:dyDescent="0.2"/>
    <row r="210" spans="3:14" s="10" customFormat="1" x14ac:dyDescent="0.2"/>
    <row r="211" spans="3:14" s="10" customFormat="1" x14ac:dyDescent="0.2"/>
    <row r="212" spans="3:14" s="10" customFormat="1" x14ac:dyDescent="0.2">
      <c r="D212" s="105" t="str">
        <f>Lang_Total_SmallLetter&amp;" "&amp;C$195&amp;" ("&amp;Lang_Retrospective&amp;")"</f>
        <v>Total HPV 2 (Retrospective)</v>
      </c>
      <c r="J212" s="247">
        <f>SUM(J199,J200,J203,J204)</f>
        <v>44444.000000000007</v>
      </c>
      <c r="K212" s="247">
        <f>SUM(K199,K200,K203,K204)</f>
        <v>44444.000000000007</v>
      </c>
      <c r="L212" s="247">
        <f>SUM(L199,L200,L203,L204)</f>
        <v>44444.000000000007</v>
      </c>
      <c r="M212" s="247">
        <f>SUM(M199,M200,M203,M204)</f>
        <v>44444.000000000007</v>
      </c>
      <c r="N212" s="247">
        <f>SUM(N199,N200,N203,N204)</f>
        <v>44444.000000000007</v>
      </c>
    </row>
    <row r="213" spans="3:14" s="10" customFormat="1" x14ac:dyDescent="0.2">
      <c r="F213" s="133" t="str">
        <f>Lang_Alert_Check_Does_Total_Sum_To_Coverage_Total</f>
        <v>ALERT CHECK (DOES TOTAL SUM TO COVERAGE TOTAL)</v>
      </c>
      <c r="G213" s="145">
        <f>IF(ISERROR(SUM(J213:N213)),1,MIN(SUM(J213:N213),1))</f>
        <v>0</v>
      </c>
      <c r="J213" s="42">
        <f>IF(J212&lt;&gt;J196,1,0)</f>
        <v>0</v>
      </c>
      <c r="K213" s="42">
        <f>IF(K212&lt;&gt;K196,1,0)</f>
        <v>0</v>
      </c>
      <c r="L213" s="42">
        <f>IF(L212&lt;&gt;L196,1,0)</f>
        <v>0</v>
      </c>
      <c r="M213" s="42">
        <f>IF(M212&lt;&gt;M196,1,0)</f>
        <v>0</v>
      </c>
      <c r="N213" s="42">
        <f>IF(N212&lt;&gt;N196,1,0)</f>
        <v>0</v>
      </c>
    </row>
    <row r="214" spans="3:14" s="10" customFormat="1" x14ac:dyDescent="0.2"/>
    <row r="215" spans="3:14" s="10" customFormat="1" x14ac:dyDescent="0.2">
      <c r="C215" s="105" t="str">
        <f>Analy_Lu!$D$25&amp;" &amp; "&amp;Analy_Lu!$D$26</f>
        <v>HPV 1 &amp; HPV 2</v>
      </c>
    </row>
    <row r="216" spans="3:14" s="10" customFormat="1" x14ac:dyDescent="0.2">
      <c r="D216" s="55" t="str">
        <f>Lang_Service_Delivery_Activities_Providing_Vacc_To_A_Single_Person</f>
        <v>Service Delivery Activities providing Vaccinations to a Single Person</v>
      </c>
    </row>
    <row r="217" spans="3:14" s="10" customFormat="1" x14ac:dyDescent="0.2">
      <c r="D217" s="53" t="str">
        <f>LABELS!E53&amp;" ("&amp;Lang_Retrospective&amp;")"</f>
        <v>Single Vaccination Service Delivery Type 1 (Retrospective)</v>
      </c>
      <c r="J217" s="42">
        <f t="shared" ref="J217:N218" si="22">SUM(J178,J199)</f>
        <v>37529.600000000006</v>
      </c>
      <c r="K217" s="42">
        <f t="shared" si="22"/>
        <v>37529.600000000006</v>
      </c>
      <c r="L217" s="42">
        <f t="shared" si="22"/>
        <v>37529.600000000006</v>
      </c>
      <c r="M217" s="42">
        <f t="shared" si="22"/>
        <v>37529.600000000006</v>
      </c>
      <c r="N217" s="42">
        <f t="shared" si="22"/>
        <v>37529.600000000006</v>
      </c>
    </row>
    <row r="218" spans="3:14" s="10" customFormat="1" x14ac:dyDescent="0.2">
      <c r="D218" s="53" t="str">
        <f>LABELS!E54&amp;" ("&amp;Lang_Retrospective&amp;")"</f>
        <v>Single Vaccination Service Delivery Type 2 (Retrospective)</v>
      </c>
      <c r="J218" s="42">
        <f t="shared" si="22"/>
        <v>37529.600000000006</v>
      </c>
      <c r="K218" s="42">
        <f t="shared" si="22"/>
        <v>37529.600000000006</v>
      </c>
      <c r="L218" s="42">
        <f t="shared" si="22"/>
        <v>37529.600000000006</v>
      </c>
      <c r="M218" s="42">
        <f t="shared" si="22"/>
        <v>37529.600000000006</v>
      </c>
      <c r="N218" s="42">
        <f t="shared" si="22"/>
        <v>37529.600000000006</v>
      </c>
    </row>
    <row r="219" spans="3:14" s="10" customFormat="1" x14ac:dyDescent="0.2"/>
    <row r="220" spans="3:14" s="10" customFormat="1" x14ac:dyDescent="0.2">
      <c r="D220" s="55" t="str">
        <f>Lang_Number_Of_Vacc_Provided_Through_Vacc_To_A_Group</f>
        <v>Number of VACCINATIONS Provided through Vaccinations to a Group</v>
      </c>
    </row>
    <row r="221" spans="3:14" s="10" customFormat="1" x14ac:dyDescent="0.2">
      <c r="D221" s="53" t="str">
        <f>LABELS!E$57&amp;" ("&amp;Lang_Retrospective&amp;")"</f>
        <v>Small Group Vaccination Activity (30 people vaccinated) (Retrospective)</v>
      </c>
      <c r="J221" s="42">
        <f t="shared" ref="J221:N222" si="23">SUM(J182,J203)</f>
        <v>9382.4000000000015</v>
      </c>
      <c r="K221" s="42">
        <f t="shared" si="23"/>
        <v>9382.4000000000015</v>
      </c>
      <c r="L221" s="42">
        <f t="shared" si="23"/>
        <v>9382.4000000000015</v>
      </c>
      <c r="M221" s="42">
        <f t="shared" si="23"/>
        <v>9382.4000000000015</v>
      </c>
      <c r="N221" s="42">
        <f t="shared" si="23"/>
        <v>9382.4000000000015</v>
      </c>
    </row>
    <row r="222" spans="3:14" s="10" customFormat="1" x14ac:dyDescent="0.2">
      <c r="D222" s="53" t="str">
        <f>LABELS!E$58&amp;" ("&amp;Lang_Retrospective&amp;")"</f>
        <v>Large Group Vaccination Activity (100 people vaccinated) (Retrospective)</v>
      </c>
      <c r="J222" s="42">
        <f t="shared" si="23"/>
        <v>9382.4000000000015</v>
      </c>
      <c r="K222" s="42">
        <f t="shared" si="23"/>
        <v>9382.4000000000015</v>
      </c>
      <c r="L222" s="42">
        <f t="shared" si="23"/>
        <v>9382.4000000000015</v>
      </c>
      <c r="M222" s="42">
        <f t="shared" si="23"/>
        <v>9382.4000000000015</v>
      </c>
      <c r="N222" s="42">
        <f t="shared" si="23"/>
        <v>9382.4000000000015</v>
      </c>
    </row>
    <row r="223" spans="3:14" s="10" customFormat="1" x14ac:dyDescent="0.2"/>
    <row r="224" spans="3:14" s="10" customFormat="1" x14ac:dyDescent="0.2">
      <c r="D224" s="55" t="str">
        <f>Lang_Number_Of_Activities_Vacc_To_A_Group_Completed</f>
        <v>Number of ACTIVITIES (Vaccinations to a Group) Completed</v>
      </c>
    </row>
    <row r="225" spans="1:14" s="10" customFormat="1" x14ac:dyDescent="0.2">
      <c r="D225" s="53" t="str">
        <f>$C$215&amp;" "&amp;LABELS!E$57&amp;" "&amp;Lang_Number_Of_Activities&amp;" ("&amp;Lang_Retrospective&amp;")"</f>
        <v>HPV 1 &amp; HPV 2 Small Group Vaccination Activity (30 people vaccinated) Number of Activities (Retrospective)</v>
      </c>
      <c r="J225" s="41">
        <f t="shared" ref="J225:N225" si="24">SUM(J186,J207)</f>
        <v>471.4773869346734</v>
      </c>
      <c r="K225" s="41">
        <f t="shared" si="24"/>
        <v>471.4773869346734</v>
      </c>
      <c r="L225" s="41">
        <f t="shared" si="24"/>
        <v>471.4773869346734</v>
      </c>
      <c r="M225" s="41">
        <f t="shared" si="24"/>
        <v>471.4773869346734</v>
      </c>
      <c r="N225" s="41">
        <f t="shared" si="24"/>
        <v>471.4773869346734</v>
      </c>
    </row>
    <row r="226" spans="1:14" s="10" customFormat="1" x14ac:dyDescent="0.2">
      <c r="D226" s="53" t="str">
        <f>$C$215&amp;" "&amp;LABELS!E$58&amp;" "&amp;Lang_Number_Of_Activities&amp;" ("&amp;Lang_Retrospective&amp;")"</f>
        <v>HPV 1 &amp; HPV 2 Large Group Vaccination Activity (100 people vaccinated) Number of Activities (Retrospective)</v>
      </c>
      <c r="J226" s="41">
        <f t="shared" ref="J226:N226" si="25">SUM(J187,J208)</f>
        <v>94.771717171717171</v>
      </c>
      <c r="K226" s="41">
        <f t="shared" si="25"/>
        <v>94.771717171717171</v>
      </c>
      <c r="L226" s="41">
        <f t="shared" si="25"/>
        <v>94.771717171717171</v>
      </c>
      <c r="M226" s="41">
        <f t="shared" si="25"/>
        <v>94.771717171717171</v>
      </c>
      <c r="N226" s="41">
        <f t="shared" si="25"/>
        <v>94.771717171717171</v>
      </c>
    </row>
    <row r="227" spans="1:14" s="10" customFormat="1" x14ac:dyDescent="0.2"/>
    <row r="228" spans="1:14" s="10" customFormat="1" x14ac:dyDescent="0.2"/>
    <row r="229" spans="1:14" s="10" customFormat="1" x14ac:dyDescent="0.2"/>
    <row r="230" spans="1:14" s="10" customFormat="1" x14ac:dyDescent="0.2">
      <c r="D230" s="105" t="str">
        <f>Lang_Total_SmallLetter&amp;" "&amp;C$215&amp;" ("&amp;Lang_Retrospective&amp;")"</f>
        <v>Total HPV 1 &amp; HPV 2 (Retrospective)</v>
      </c>
      <c r="J230" s="247">
        <f t="shared" ref="J230:N230" si="26">SUM(J217,J218,J221,J222)</f>
        <v>93824</v>
      </c>
      <c r="K230" s="247">
        <f t="shared" si="26"/>
        <v>93824</v>
      </c>
      <c r="L230" s="247">
        <f t="shared" si="26"/>
        <v>93824</v>
      </c>
      <c r="M230" s="247">
        <f t="shared" si="26"/>
        <v>93824</v>
      </c>
      <c r="N230" s="247">
        <f t="shared" si="26"/>
        <v>93824</v>
      </c>
    </row>
    <row r="231" spans="1:14" s="10" customFormat="1" x14ac:dyDescent="0.2"/>
    <row r="232" spans="1:14" s="10" customFormat="1" x14ac:dyDescent="0.2"/>
    <row r="233" spans="1:14" s="10" customFormat="1" x14ac:dyDescent="0.2"/>
    <row r="234" spans="1:14" s="10" customFormat="1" x14ac:dyDescent="0.2"/>
    <row r="235" spans="1:14" s="10" customFormat="1" x14ac:dyDescent="0.2">
      <c r="A235" s="12" t="s">
        <v>125</v>
      </c>
      <c r="B235" s="13" t="str">
        <f>HL_LVL2_ACTV_6_Name&amp;" "&amp;Lang_Name</f>
        <v>Single Vaccination Service Delivery Type 1 Name</v>
      </c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</row>
    <row r="236" spans="1:14" s="10" customFormat="1" x14ac:dyDescent="0.2"/>
    <row r="237" spans="1:14" s="10" customFormat="1" x14ac:dyDescent="0.2">
      <c r="D237" s="55" t="str">
        <f>Lang_Single_HPV_Vacc_Delivery_Type_1_Of_2</f>
        <v>Single HPV Vaccination Delivery Type 1 of 2.</v>
      </c>
    </row>
    <row r="238" spans="1:14" s="10" customFormat="1" x14ac:dyDescent="0.2">
      <c r="D238" s="493" t="str">
        <f>LABELS!E53</f>
        <v>Single Vaccination Service Delivery Type 1</v>
      </c>
      <c r="E238" s="493"/>
    </row>
    <row r="239" spans="1:14" s="10" customFormat="1" x14ac:dyDescent="0.2"/>
    <row r="240" spans="1:14" s="10" customFormat="1" x14ac:dyDescent="0.2">
      <c r="A240" s="12" t="s">
        <v>125</v>
      </c>
      <c r="B240" s="13" t="str">
        <f>HL_LVL2_ACTV_6_Name&amp;" "&amp;Lang_Single_Activity_Cost_Annual_Assumptions</f>
        <v>Single Vaccination Service Delivery Type 1 Single Activity Cost - Annual Assumptions</v>
      </c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</row>
    <row r="241" spans="3:14" s="10" customFormat="1" x14ac:dyDescent="0.2"/>
    <row r="242" spans="3:14" s="10" customFormat="1" x14ac:dyDescent="0.2">
      <c r="D242" s="114" t="str">
        <f>HL_LVL2_ACTV_6_Name</f>
        <v>Single Vaccination Service Delivery Type 1</v>
      </c>
    </row>
    <row r="243" spans="3:14" s="10" customFormat="1" x14ac:dyDescent="0.2"/>
    <row r="244" spans="3:14" s="10" customFormat="1" x14ac:dyDescent="0.2">
      <c r="D244" s="50" t="str">
        <f>Lang_Select_Input_Currency</f>
        <v>Select Input Currency</v>
      </c>
      <c r="E244" s="72">
        <v>1</v>
      </c>
    </row>
    <row r="245" spans="3:14" s="10" customFormat="1" x14ac:dyDescent="0.2"/>
    <row r="246" spans="3:14" s="10" customFormat="1" x14ac:dyDescent="0.2">
      <c r="D246" s="50" t="str">
        <f>Lang_Select_Costing_Input_Method</f>
        <v>Select Costing Input Method</v>
      </c>
      <c r="E246" s="72">
        <v>1</v>
      </c>
    </row>
    <row r="247" spans="3:14" s="10" customFormat="1" x14ac:dyDescent="0.2">
      <c r="E247" s="76" t="str">
        <f>Lang_GoTo&amp;" "&amp;HL_LVL2_ACTV_6_Detailed_Costing_Worksheet</f>
        <v>Go to Single Vaccination Service Delivery Type 1 -  Detailed Activity Costing Worksheet - Instructions</v>
      </c>
    </row>
    <row r="248" spans="3:14" s="10" customFormat="1" x14ac:dyDescent="0.2">
      <c r="C248" s="55" t="s">
        <v>208</v>
      </c>
      <c r="D248" s="74" t="str">
        <f>Lang_Detailed_Costing_Worksheet_Estimate</f>
        <v>Detailed Costing Worksheet Estimate</v>
      </c>
    </row>
    <row r="249" spans="3:14" s="10" customFormat="1" x14ac:dyDescent="0.2">
      <c r="F249" s="366" t="str">
        <f>SD_Lu!$D$13</f>
        <v>LCU</v>
      </c>
      <c r="G249" s="366" t="str">
        <f>SD_Lu!$D$12</f>
        <v>USD</v>
      </c>
      <c r="J249" s="366" t="str">
        <f ca="1">OFFSET(SD_Lu!$D$11,DD_LVL2_ACTV_6_Annual_Currency_Select,0)</f>
        <v>USD</v>
      </c>
      <c r="K249" s="366" t="str">
        <f ca="1">OFFSET(SD_Lu!$D$11,DD_LVL2_ACTV_6_Annual_Currency_Select,0)</f>
        <v>USD</v>
      </c>
      <c r="L249" s="366" t="str">
        <f ca="1">OFFSET(SD_Lu!$D$11,DD_LVL2_ACTV_6_Annual_Currency_Select,0)</f>
        <v>USD</v>
      </c>
      <c r="M249" s="366" t="str">
        <f ca="1">OFFSET(SD_Lu!$D$11,DD_LVL2_ACTV_6_Annual_Currency_Select,0)</f>
        <v>USD</v>
      </c>
      <c r="N249" s="366" t="str">
        <f ca="1">OFFSET(SD_Lu!$D$11,DD_LVL2_ACTV_6_Annual_Currency_Select,0)</f>
        <v>USD</v>
      </c>
    </row>
    <row r="250" spans="3:14" s="10" customFormat="1" x14ac:dyDescent="0.2">
      <c r="D250" s="53" t="str">
        <f>SD_Lu!$D$32&amp;" "&amp;Lang_Cost_Of_A_Single&amp;" "&amp;$D$238&amp;" "&amp;Lang_Activity</f>
        <v>Financial Cost of a Single Single Vaccination Service Delivery Type 1 Activity</v>
      </c>
      <c r="F250" s="41">
        <f>COSTS_DETAILED_SUMMARY!E463</f>
        <v>0</v>
      </c>
      <c r="G250" s="116">
        <f>COSTS_DETAILED_SUMMARY!G463</f>
        <v>0</v>
      </c>
      <c r="J250" s="79">
        <f>IF(DD_LVL2_ACTV_6_Annual_Currency_Select=2,COSTS_DETAILED_SUMMARY!$E463,COSTS_DETAILED_SUMMARY!$G463)</f>
        <v>0</v>
      </c>
      <c r="K250" s="79">
        <f>IF(DD_LVL2_ACTV_6_Annual_Currency_Select=2,COSTS_DETAILED_SUMMARY!$E463,COSTS_DETAILED_SUMMARY!$G463)</f>
        <v>0</v>
      </c>
      <c r="L250" s="79">
        <f>IF(DD_LVL2_ACTV_6_Annual_Currency_Select=2,COSTS_DETAILED_SUMMARY!$E463,COSTS_DETAILED_SUMMARY!$G463)</f>
        <v>0</v>
      </c>
      <c r="M250" s="79">
        <f>IF(DD_LVL2_ACTV_6_Annual_Currency_Select=2,COSTS_DETAILED_SUMMARY!$E463,COSTS_DETAILED_SUMMARY!$G463)</f>
        <v>0</v>
      </c>
      <c r="N250" s="79">
        <f>IF(DD_LVL2_ACTV_6_Annual_Currency_Select=2,COSTS_DETAILED_SUMMARY!$E463,COSTS_DETAILED_SUMMARY!$G463)</f>
        <v>0</v>
      </c>
    </row>
    <row r="251" spans="3:14" s="10" customFormat="1" x14ac:dyDescent="0.2">
      <c r="D251" s="53" t="str">
        <f>SD_Lu!$D$33&amp;" "&amp;Lang_Cost_Of_A_Single&amp;" "&amp;$D$238&amp;" "&amp;Lang_Activity</f>
        <v>Economic Cost of a Single Single Vaccination Service Delivery Type 1 Activity</v>
      </c>
      <c r="F251" s="41">
        <f>COSTS_DETAILED_SUMMARY!F463</f>
        <v>0</v>
      </c>
      <c r="G251" s="116">
        <f>COSTS_DETAILED_SUMMARY!H463</f>
        <v>0</v>
      </c>
      <c r="J251" s="79">
        <f>IF(DD_LVL2_ACTV_6_Annual_Currency_Select=2,COSTS_DETAILED_SUMMARY!$F463,COSTS_DETAILED_SUMMARY!$H463)</f>
        <v>0</v>
      </c>
      <c r="K251" s="79">
        <f>IF(DD_LVL2_ACTV_6_Annual_Currency_Select=2,COSTS_DETAILED_SUMMARY!$F463,COSTS_DETAILED_SUMMARY!$H463)</f>
        <v>0</v>
      </c>
      <c r="L251" s="79">
        <f>IF(DD_LVL2_ACTV_6_Annual_Currency_Select=2,COSTS_DETAILED_SUMMARY!$F463,COSTS_DETAILED_SUMMARY!$H463)</f>
        <v>0</v>
      </c>
      <c r="M251" s="79">
        <f>IF(DD_LVL2_ACTV_6_Annual_Currency_Select=2,COSTS_DETAILED_SUMMARY!$F463,COSTS_DETAILED_SUMMARY!$H463)</f>
        <v>0</v>
      </c>
      <c r="N251" s="79">
        <f>IF(DD_LVL2_ACTV_6_Annual_Currency_Select=2,COSTS_DETAILED_SUMMARY!$F463,COSTS_DETAILED_SUMMARY!$H463)</f>
        <v>0</v>
      </c>
    </row>
    <row r="252" spans="3:14" s="10" customFormat="1" x14ac:dyDescent="0.2"/>
    <row r="253" spans="3:14" s="10" customFormat="1" x14ac:dyDescent="0.2"/>
    <row r="254" spans="3:14" s="10" customFormat="1" x14ac:dyDescent="0.2">
      <c r="C254" s="55" t="s">
        <v>210</v>
      </c>
      <c r="D254" s="74" t="str">
        <f>Lang_Direct_User_Entry_Cost_Estimate</f>
        <v>Direct User Entry Cost Estimate</v>
      </c>
      <c r="J254" s="366" t="str">
        <f ca="1">OFFSET(SD_Lu!$D$11,DD_LVL2_ACTV_6_Annual_Currency_Select,0)</f>
        <v>USD</v>
      </c>
      <c r="K254" s="366" t="str">
        <f ca="1">OFFSET(SD_Lu!$D$11,DD_LVL2_ACTV_6_Annual_Currency_Select,0)</f>
        <v>USD</v>
      </c>
      <c r="L254" s="366" t="str">
        <f ca="1">OFFSET(SD_Lu!$D$11,DD_LVL2_ACTV_6_Annual_Currency_Select,0)</f>
        <v>USD</v>
      </c>
      <c r="M254" s="366" t="str">
        <f ca="1">OFFSET(SD_Lu!$D$11,DD_LVL2_ACTV_6_Annual_Currency_Select,0)</f>
        <v>USD</v>
      </c>
      <c r="N254" s="366" t="str">
        <f ca="1">OFFSET(SD_Lu!$D$11,DD_LVL2_ACTV_6_Annual_Currency_Select,0)</f>
        <v>USD</v>
      </c>
    </row>
    <row r="255" spans="3:14" s="10" customFormat="1" x14ac:dyDescent="0.2">
      <c r="D255" s="53" t="str">
        <f>SD_Lu!$D$32&amp;" "&amp;Lang_Cost_Of_A_Single&amp;" "&amp;$D$238&amp;" "&amp;Lang_Activity</f>
        <v>Financial Cost of a Single Single Vaccination Service Delivery Type 1 Activity</v>
      </c>
      <c r="J255" s="80">
        <v>0</v>
      </c>
      <c r="K255" s="80">
        <v>0</v>
      </c>
      <c r="L255" s="80">
        <v>0</v>
      </c>
      <c r="M255" s="80">
        <v>0</v>
      </c>
      <c r="N255" s="80">
        <v>0</v>
      </c>
    </row>
    <row r="256" spans="3:14" s="10" customFormat="1" x14ac:dyDescent="0.2">
      <c r="D256" s="53" t="str">
        <f>SD_Lu!$D$33&amp;" "&amp;Lang_Cost_Of_A_Single&amp;" "&amp;$D$238&amp;" "&amp;Lang_Activity</f>
        <v>Economic Cost of a Single Single Vaccination Service Delivery Type 1 Activity</v>
      </c>
      <c r="J256" s="80">
        <v>0</v>
      </c>
      <c r="K256" s="80">
        <v>0</v>
      </c>
      <c r="L256" s="80">
        <v>0</v>
      </c>
      <c r="M256" s="80">
        <v>0</v>
      </c>
      <c r="N256" s="80">
        <v>0</v>
      </c>
    </row>
    <row r="257" spans="1:14" s="10" customFormat="1" x14ac:dyDescent="0.2">
      <c r="D257" s="55" t="str">
        <f>Lang_Error_Check_Checks_If_Override_Input_economic_Cost_Is_Less_Than_Financial_Cost</f>
        <v>ERROR CHECK (CHECKS IF OVERRIDE INPUT ECONOMIC COST IS LESS THAN FINANCIAL COST)</v>
      </c>
      <c r="H257" s="145">
        <f>IF(ISERROR(SUM(J257:N257)),1,MIN(SUM(J257:N257),1))</f>
        <v>0</v>
      </c>
      <c r="J257" s="42">
        <f t="shared" ref="J257:N257" si="27">IF(J256&lt;J255,1,0)</f>
        <v>0</v>
      </c>
      <c r="K257" s="42">
        <f t="shared" si="27"/>
        <v>0</v>
      </c>
      <c r="L257" s="42">
        <f t="shared" si="27"/>
        <v>0</v>
      </c>
      <c r="M257" s="42">
        <f t="shared" si="27"/>
        <v>0</v>
      </c>
      <c r="N257" s="42">
        <f t="shared" si="27"/>
        <v>0</v>
      </c>
    </row>
    <row r="258" spans="1:14" s="10" customFormat="1" x14ac:dyDescent="0.2"/>
    <row r="259" spans="1:14" s="10" customFormat="1" x14ac:dyDescent="0.2">
      <c r="A259" s="12" t="s">
        <v>125</v>
      </c>
      <c r="B259" s="13" t="str">
        <f>HL_LVL2_ACTV_12_Name&amp;" "&amp;Lang_Name</f>
        <v>Single Vaccination Service Delivery Type 2 Name</v>
      </c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</row>
    <row r="260" spans="1:14" s="10" customFormat="1" x14ac:dyDescent="0.2"/>
    <row r="261" spans="1:14" s="10" customFormat="1" x14ac:dyDescent="0.2">
      <c r="D261" s="55" t="str">
        <f>Lang_Single_HPV_Vacc_Delivery_Type_2_Of_2</f>
        <v>Single HPV Vaccination Delivery Type 2 of 2.</v>
      </c>
    </row>
    <row r="262" spans="1:14" s="10" customFormat="1" x14ac:dyDescent="0.2">
      <c r="D262" s="493" t="str">
        <f>LABELS!E54</f>
        <v>Single Vaccination Service Delivery Type 2</v>
      </c>
      <c r="E262" s="493"/>
      <c r="F262" s="493"/>
      <c r="G262" s="493"/>
    </row>
    <row r="263" spans="1:14" s="10" customFormat="1" x14ac:dyDescent="0.2"/>
    <row r="264" spans="1:14" s="10" customFormat="1" x14ac:dyDescent="0.2">
      <c r="A264" s="12" t="s">
        <v>125</v>
      </c>
      <c r="B264" s="13" t="str">
        <f>HL_LVL2_ACTV_12_Name&amp;" "&amp;Lang_Single_Activity_Cost_Annual_Assumptions</f>
        <v>Single Vaccination Service Delivery Type 2 Single Activity Cost - Annual Assumptions</v>
      </c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</row>
    <row r="265" spans="1:14" s="10" customFormat="1" x14ac:dyDescent="0.2"/>
    <row r="266" spans="1:14" s="10" customFormat="1" x14ac:dyDescent="0.2">
      <c r="D266" s="114" t="str">
        <f>HL_LVL2_ACTV_12_Name</f>
        <v>Single Vaccination Service Delivery Type 2</v>
      </c>
    </row>
    <row r="267" spans="1:14" s="10" customFormat="1" x14ac:dyDescent="0.2"/>
    <row r="268" spans="1:14" s="10" customFormat="1" x14ac:dyDescent="0.2">
      <c r="D268" s="50" t="str">
        <f>Lang_Select_Input_Currency</f>
        <v>Select Input Currency</v>
      </c>
      <c r="E268" s="72">
        <v>1</v>
      </c>
    </row>
    <row r="269" spans="1:14" s="10" customFormat="1" x14ac:dyDescent="0.2"/>
    <row r="270" spans="1:14" s="10" customFormat="1" x14ac:dyDescent="0.2">
      <c r="D270" s="50" t="str">
        <f>Lang_Select_Costing_Input_Method</f>
        <v>Select Costing Input Method</v>
      </c>
      <c r="E270" s="72">
        <v>1</v>
      </c>
    </row>
    <row r="271" spans="1:14" s="10" customFormat="1" x14ac:dyDescent="0.2">
      <c r="E271" s="76" t="str">
        <f>Lang_GoTo&amp;" "&amp;HL_LVL2_ACTV_12_Detailed_Costing_Worksheet</f>
        <v>Go to Single Vaccination Service Delivery Type 2 -  Detailed Activity Costing Worksheet - Instructions</v>
      </c>
    </row>
    <row r="272" spans="1:14" s="10" customFormat="1" x14ac:dyDescent="0.2">
      <c r="C272" s="55" t="s">
        <v>208</v>
      </c>
      <c r="D272" s="74" t="str">
        <f>Lang_Detailed_Costing_Worksheet_Estimate</f>
        <v>Detailed Costing Worksheet Estimate</v>
      </c>
    </row>
    <row r="273" spans="1:14" s="10" customFormat="1" x14ac:dyDescent="0.2">
      <c r="F273" s="366" t="str">
        <f>SD_Lu!$D$48</f>
        <v>LCU</v>
      </c>
      <c r="G273" s="366" t="str">
        <f>SD_Lu!$D$47</f>
        <v>USD</v>
      </c>
      <c r="J273" s="366" t="str">
        <f ca="1">OFFSET(SD_Lu!$D$46,DD_LVL2_ACTV_12_Annual_Currency_Select,0)</f>
        <v>USD</v>
      </c>
      <c r="K273" s="366" t="str">
        <f ca="1">OFFSET(SD_Lu!$D$46,DD_LVL2_ACTV_12_Annual_Currency_Select,0)</f>
        <v>USD</v>
      </c>
      <c r="L273" s="366" t="str">
        <f ca="1">OFFSET(SD_Lu!$D$46,DD_LVL2_ACTV_12_Annual_Currency_Select,0)</f>
        <v>USD</v>
      </c>
      <c r="M273" s="366" t="str">
        <f ca="1">OFFSET(SD_Lu!$D$46,DD_LVL2_ACTV_12_Annual_Currency_Select,0)</f>
        <v>USD</v>
      </c>
      <c r="N273" s="366" t="str">
        <f ca="1">OFFSET(SD_Lu!$D$46,DD_LVL2_ACTV_12_Annual_Currency_Select,0)</f>
        <v>USD</v>
      </c>
    </row>
    <row r="274" spans="1:14" s="10" customFormat="1" x14ac:dyDescent="0.2">
      <c r="D274" s="53" t="str">
        <f>SD_Lu!$D$67&amp;" "&amp;Lang_Cost_Of_A_Single&amp;" "&amp;$D$262&amp;" "&amp;Lang_Activity</f>
        <v>Financial Cost of a Single Single Vaccination Service Delivery Type 2 Activity</v>
      </c>
      <c r="F274" s="41">
        <f>COSTS_DETAILED_SUMMARY!E479</f>
        <v>0</v>
      </c>
      <c r="G274" s="116">
        <f>COSTS_DETAILED_SUMMARY!G479</f>
        <v>0</v>
      </c>
      <c r="J274" s="79">
        <f>IF(DD_LVL2_ACTV_12_Annual_Currency_Select=2,COSTS_DETAILED_SUMMARY!$E479,COSTS_DETAILED_SUMMARY!$G479)</f>
        <v>0</v>
      </c>
      <c r="K274" s="79">
        <f>IF(DD_LVL2_ACTV_12_Annual_Currency_Select=2,COSTS_DETAILED_SUMMARY!$E479,COSTS_DETAILED_SUMMARY!$G479)</f>
        <v>0</v>
      </c>
      <c r="L274" s="79">
        <f>IF(DD_LVL2_ACTV_12_Annual_Currency_Select=2,COSTS_DETAILED_SUMMARY!$E479,COSTS_DETAILED_SUMMARY!$G479)</f>
        <v>0</v>
      </c>
      <c r="M274" s="79">
        <f>IF(DD_LVL2_ACTV_12_Annual_Currency_Select=2,COSTS_DETAILED_SUMMARY!$E479,COSTS_DETAILED_SUMMARY!$G479)</f>
        <v>0</v>
      </c>
      <c r="N274" s="79">
        <f>IF(DD_LVL2_ACTV_12_Annual_Currency_Select=2,COSTS_DETAILED_SUMMARY!$E479,COSTS_DETAILED_SUMMARY!$G479)</f>
        <v>0</v>
      </c>
    </row>
    <row r="275" spans="1:14" s="10" customFormat="1" x14ac:dyDescent="0.2">
      <c r="D275" s="53" t="str">
        <f>SD_Lu!$D$68&amp;" "&amp;Lang_Cost_Of_A_Single&amp;" "&amp;$D$262&amp;" "&amp;Lang_Activity</f>
        <v>Economic Cost of a Single Single Vaccination Service Delivery Type 2 Activity</v>
      </c>
      <c r="F275" s="41">
        <f>COSTS_DETAILED_SUMMARY!F479</f>
        <v>0</v>
      </c>
      <c r="G275" s="116">
        <f>COSTS_DETAILED_SUMMARY!H479</f>
        <v>0</v>
      </c>
      <c r="J275" s="79">
        <f>IF(DD_LVL2_ACTV_12_Annual_Currency_Select=2,COSTS_DETAILED_SUMMARY!$F479,COSTS_DETAILED_SUMMARY!$H479)</f>
        <v>0</v>
      </c>
      <c r="K275" s="79">
        <f>IF(DD_LVL2_ACTV_12_Annual_Currency_Select=2,COSTS_DETAILED_SUMMARY!$F479,COSTS_DETAILED_SUMMARY!$H479)</f>
        <v>0</v>
      </c>
      <c r="L275" s="79">
        <f>IF(DD_LVL2_ACTV_12_Annual_Currency_Select=2,COSTS_DETAILED_SUMMARY!$F479,COSTS_DETAILED_SUMMARY!$H479)</f>
        <v>0</v>
      </c>
      <c r="M275" s="79">
        <f>IF(DD_LVL2_ACTV_12_Annual_Currency_Select=2,COSTS_DETAILED_SUMMARY!$F479,COSTS_DETAILED_SUMMARY!$H479)</f>
        <v>0</v>
      </c>
      <c r="N275" s="79">
        <f>IF(DD_LVL2_ACTV_12_Annual_Currency_Select=2,COSTS_DETAILED_SUMMARY!$F479,COSTS_DETAILED_SUMMARY!$H479)</f>
        <v>0</v>
      </c>
    </row>
    <row r="276" spans="1:14" s="10" customFormat="1" x14ac:dyDescent="0.2"/>
    <row r="277" spans="1:14" s="10" customFormat="1" x14ac:dyDescent="0.2"/>
    <row r="278" spans="1:14" s="10" customFormat="1" x14ac:dyDescent="0.2">
      <c r="C278" s="55" t="s">
        <v>210</v>
      </c>
      <c r="D278" s="74" t="str">
        <f>Lang_Direct_User_Entry_Cost_Estimate</f>
        <v>Direct User Entry Cost Estimate</v>
      </c>
      <c r="J278" s="366" t="str">
        <f ca="1">OFFSET(SD_Lu!$D$46,DD_LVL2_ACTV_12_Annual_Currency_Select,0)</f>
        <v>USD</v>
      </c>
      <c r="K278" s="366" t="str">
        <f ca="1">OFFSET(SD_Lu!$D$46,DD_LVL2_ACTV_12_Annual_Currency_Select,0)</f>
        <v>USD</v>
      </c>
      <c r="L278" s="366" t="str">
        <f ca="1">OFFSET(SD_Lu!$D$46,DD_LVL2_ACTV_12_Annual_Currency_Select,0)</f>
        <v>USD</v>
      </c>
      <c r="M278" s="366" t="str">
        <f ca="1">OFFSET(SD_Lu!$D$46,DD_LVL2_ACTV_12_Annual_Currency_Select,0)</f>
        <v>USD</v>
      </c>
      <c r="N278" s="366" t="str">
        <f ca="1">OFFSET(SD_Lu!$D$46,DD_LVL2_ACTV_12_Annual_Currency_Select,0)</f>
        <v>USD</v>
      </c>
    </row>
    <row r="279" spans="1:14" s="10" customFormat="1" x14ac:dyDescent="0.2">
      <c r="D279" s="53" t="str">
        <f>SD_Lu!$D$67&amp;" "&amp;Lang_Cost_Of_A_Single&amp;" "&amp;$D$262&amp;" "&amp;Lang_Activity</f>
        <v>Financial Cost of a Single Single Vaccination Service Delivery Type 2 Activity</v>
      </c>
      <c r="J279" s="80">
        <v>0</v>
      </c>
      <c r="K279" s="80">
        <v>0</v>
      </c>
      <c r="L279" s="80">
        <v>0</v>
      </c>
      <c r="M279" s="80">
        <v>0</v>
      </c>
      <c r="N279" s="80">
        <v>0</v>
      </c>
    </row>
    <row r="280" spans="1:14" s="10" customFormat="1" x14ac:dyDescent="0.2">
      <c r="D280" s="53" t="str">
        <f>SD_Lu!$D$68&amp;" "&amp;Lang_Cost_Of_A_Single&amp;" "&amp;$D$262&amp;" "&amp;Lang_Activity</f>
        <v>Economic Cost of a Single Single Vaccination Service Delivery Type 2 Activity</v>
      </c>
      <c r="J280" s="80">
        <v>0</v>
      </c>
      <c r="K280" s="80">
        <v>0</v>
      </c>
      <c r="L280" s="80">
        <v>0</v>
      </c>
      <c r="M280" s="80">
        <v>0</v>
      </c>
      <c r="N280" s="80">
        <v>0</v>
      </c>
    </row>
    <row r="281" spans="1:14" s="10" customFormat="1" x14ac:dyDescent="0.2">
      <c r="D281" s="55" t="str">
        <f>Lang_Error_Check_Checks_If_Override_Input_economic_Cost_Is_Less_Than_Financial_Cost</f>
        <v>ERROR CHECK (CHECKS IF OVERRIDE INPUT ECONOMIC COST IS LESS THAN FINANCIAL COST)</v>
      </c>
      <c r="H281" s="145">
        <f>IF(ISERROR(SUM(J281:N281)),1,MIN(SUM(J281:N281),1))</f>
        <v>0</v>
      </c>
      <c r="J281" s="42">
        <f t="shared" ref="J281:N281" si="28">IF(J280&lt;J279,1,0)</f>
        <v>0</v>
      </c>
      <c r="K281" s="42">
        <f t="shared" si="28"/>
        <v>0</v>
      </c>
      <c r="L281" s="42">
        <f t="shared" si="28"/>
        <v>0</v>
      </c>
      <c r="M281" s="42">
        <f t="shared" si="28"/>
        <v>0</v>
      </c>
      <c r="N281" s="42">
        <f t="shared" si="28"/>
        <v>0</v>
      </c>
    </row>
    <row r="282" spans="1:14" s="10" customFormat="1" x14ac:dyDescent="0.2"/>
    <row r="283" spans="1:14" s="10" customFormat="1" x14ac:dyDescent="0.2">
      <c r="A283" s="12" t="s">
        <v>125</v>
      </c>
      <c r="B283" s="13" t="str">
        <f>HL_LVL2_ACTV_13_Name&amp;" "&amp;Lang_Name</f>
        <v>Small Group Vaccination Activity (30 people vaccinated) Name</v>
      </c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</row>
    <row r="284" spans="1:14" s="10" customFormat="1" x14ac:dyDescent="0.2"/>
    <row r="285" spans="1:14" s="10" customFormat="1" x14ac:dyDescent="0.2">
      <c r="D285" s="55" t="str">
        <f>Lang_Group_Service_Delivery_Activity_1_Of_2_Name</f>
        <v>Group Service Delivery Activity 1 of 2 Name</v>
      </c>
    </row>
    <row r="286" spans="1:14" s="10" customFormat="1" x14ac:dyDescent="0.2">
      <c r="D286" s="493" t="str">
        <f>LABELS!E57</f>
        <v>Small Group Vaccination Activity (30 people vaccinated)</v>
      </c>
      <c r="E286" s="493"/>
      <c r="F286" s="493"/>
      <c r="G286" s="493"/>
      <c r="H286" s="493"/>
    </row>
    <row r="287" spans="1:14" s="10" customFormat="1" x14ac:dyDescent="0.2"/>
    <row r="288" spans="1:14" s="10" customFormat="1" x14ac:dyDescent="0.2">
      <c r="A288" s="12" t="s">
        <v>125</v>
      </c>
      <c r="B288" s="13" t="str">
        <f>HL_LVL2_ACTV_13_Name&amp;" "&amp;Lang_Single_Activity_Cost_Annual_Assumptions</f>
        <v>Small Group Vaccination Activity (30 people vaccinated) Single Activity Cost - Annual Assumptions</v>
      </c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</row>
    <row r="289" spans="3:14" s="10" customFormat="1" x14ac:dyDescent="0.2"/>
    <row r="290" spans="3:14" s="10" customFormat="1" x14ac:dyDescent="0.2">
      <c r="D290" s="114" t="str">
        <f>HL_LVL2_ACTV_13_Name</f>
        <v>Small Group Vaccination Activity (30 people vaccinated)</v>
      </c>
    </row>
    <row r="291" spans="3:14" s="10" customFormat="1" x14ac:dyDescent="0.2"/>
    <row r="292" spans="3:14" s="10" customFormat="1" x14ac:dyDescent="0.2">
      <c r="D292" s="50" t="str">
        <f>Lang_Select_Input_Currency</f>
        <v>Select Input Currency</v>
      </c>
      <c r="E292" s="72">
        <v>1</v>
      </c>
    </row>
    <row r="293" spans="3:14" s="10" customFormat="1" x14ac:dyDescent="0.2"/>
    <row r="294" spans="3:14" s="10" customFormat="1" x14ac:dyDescent="0.2">
      <c r="D294" s="50" t="str">
        <f>Lang_Select_Costing_Input_Method</f>
        <v>Select Costing Input Method</v>
      </c>
      <c r="E294" s="72">
        <v>1</v>
      </c>
    </row>
    <row r="295" spans="3:14" s="10" customFormat="1" x14ac:dyDescent="0.2">
      <c r="E295" s="76" t="str">
        <f>Lang_GoTo&amp;" "&amp;HL_LVL2_ACTV_13_Detailed_Costing_Worksheet</f>
        <v>Go to Small Group Vaccination Activity (30 people vaccinated) -  Detailed Activity Costing Worksheet - Instructions</v>
      </c>
    </row>
    <row r="296" spans="3:14" s="10" customFormat="1" x14ac:dyDescent="0.2">
      <c r="C296" s="55" t="s">
        <v>208</v>
      </c>
      <c r="D296" s="74" t="str">
        <f>Lang_Detailed_Costing_Worksheet_Estimate</f>
        <v>Detailed Costing Worksheet Estimate</v>
      </c>
    </row>
    <row r="297" spans="3:14" s="10" customFormat="1" x14ac:dyDescent="0.2">
      <c r="F297" s="366" t="str">
        <f>SD_Lu!$D$83</f>
        <v>LCU</v>
      </c>
      <c r="G297" s="366" t="str">
        <f>SD_Lu!$D$82</f>
        <v>USD</v>
      </c>
      <c r="J297" s="366" t="str">
        <f ca="1">OFFSET(SD_Lu!$D$81,DD_LVL2_ACTV_13_Annual_Currency_Select,0)</f>
        <v>USD</v>
      </c>
      <c r="K297" s="366" t="str">
        <f ca="1">OFFSET(SD_Lu!$D$81,DD_LVL2_ACTV_13_Annual_Currency_Select,0)</f>
        <v>USD</v>
      </c>
      <c r="L297" s="366" t="str">
        <f ca="1">OFFSET(SD_Lu!$D$81,DD_LVL2_ACTV_13_Annual_Currency_Select,0)</f>
        <v>USD</v>
      </c>
      <c r="M297" s="366" t="str">
        <f ca="1">OFFSET(SD_Lu!$D$81,DD_LVL2_ACTV_13_Annual_Currency_Select,0)</f>
        <v>USD</v>
      </c>
      <c r="N297" s="366" t="str">
        <f ca="1">OFFSET(SD_Lu!$D$81,DD_LVL2_ACTV_13_Annual_Currency_Select,0)</f>
        <v>USD</v>
      </c>
    </row>
    <row r="298" spans="3:14" s="10" customFormat="1" x14ac:dyDescent="0.2">
      <c r="D298" s="53" t="str">
        <f>SD_Lu!$D$102&amp;" "&amp;Lang_Cost_Of_A_Single&amp;" "&amp;$D$286&amp;" "&amp;Lang_Activity</f>
        <v>Financial Cost of a Single Small Group Vaccination Activity (30 people vaccinated) Activity</v>
      </c>
      <c r="F298" s="41">
        <f>COSTS_DETAILED_SUMMARY!E495</f>
        <v>0</v>
      </c>
      <c r="G298" s="116">
        <f>COSTS_DETAILED_SUMMARY!G495</f>
        <v>0</v>
      </c>
      <c r="J298" s="79">
        <f>IF(DD_LVL2_ACTV_13_Annual_Currency_Select=2,COSTS_DETAILED_SUMMARY!$E495,COSTS_DETAILED_SUMMARY!$G495)</f>
        <v>0</v>
      </c>
      <c r="K298" s="79">
        <f>IF(DD_LVL2_ACTV_13_Annual_Currency_Select=2,COSTS_DETAILED_SUMMARY!$E495,COSTS_DETAILED_SUMMARY!$G495)</f>
        <v>0</v>
      </c>
      <c r="L298" s="79">
        <f>IF(DD_LVL2_ACTV_13_Annual_Currency_Select=2,COSTS_DETAILED_SUMMARY!$E495,COSTS_DETAILED_SUMMARY!$G495)</f>
        <v>0</v>
      </c>
      <c r="M298" s="79">
        <f>IF(DD_LVL2_ACTV_13_Annual_Currency_Select=2,COSTS_DETAILED_SUMMARY!$E495,COSTS_DETAILED_SUMMARY!$G495)</f>
        <v>0</v>
      </c>
      <c r="N298" s="79">
        <f>IF(DD_LVL2_ACTV_13_Annual_Currency_Select=2,COSTS_DETAILED_SUMMARY!$E495,COSTS_DETAILED_SUMMARY!$G495)</f>
        <v>0</v>
      </c>
    </row>
    <row r="299" spans="3:14" s="10" customFormat="1" x14ac:dyDescent="0.2">
      <c r="D299" s="53" t="str">
        <f>SD_Lu!$D$103&amp;" "&amp;Lang_Cost_Of_A_Single&amp;" "&amp;$D$286&amp;" "&amp;Lang_Activity</f>
        <v>Economic Cost of a Single Small Group Vaccination Activity (30 people vaccinated) Activity</v>
      </c>
      <c r="F299" s="41">
        <f>COSTS_DETAILED_SUMMARY!F495</f>
        <v>0</v>
      </c>
      <c r="G299" s="116">
        <f>COSTS_DETAILED_SUMMARY!H495</f>
        <v>0</v>
      </c>
      <c r="J299" s="79">
        <f>IF(DD_LVL2_ACTV_13_Annual_Currency_Select=2,COSTS_DETAILED_SUMMARY!$F495,COSTS_DETAILED_SUMMARY!$H495)</f>
        <v>0</v>
      </c>
      <c r="K299" s="79">
        <f>IF(DD_LVL2_ACTV_13_Annual_Currency_Select=2,COSTS_DETAILED_SUMMARY!$F495,COSTS_DETAILED_SUMMARY!$H495)</f>
        <v>0</v>
      </c>
      <c r="L299" s="79">
        <f>IF(DD_LVL2_ACTV_13_Annual_Currency_Select=2,COSTS_DETAILED_SUMMARY!$F495,COSTS_DETAILED_SUMMARY!$H495)</f>
        <v>0</v>
      </c>
      <c r="M299" s="79">
        <f>IF(DD_LVL2_ACTV_13_Annual_Currency_Select=2,COSTS_DETAILED_SUMMARY!$F495,COSTS_DETAILED_SUMMARY!$H495)</f>
        <v>0</v>
      </c>
      <c r="N299" s="79">
        <f>IF(DD_LVL2_ACTV_13_Annual_Currency_Select=2,COSTS_DETAILED_SUMMARY!$F495,COSTS_DETAILED_SUMMARY!$H495)</f>
        <v>0</v>
      </c>
    </row>
    <row r="300" spans="3:14" s="10" customFormat="1" x14ac:dyDescent="0.2"/>
    <row r="301" spans="3:14" s="10" customFormat="1" x14ac:dyDescent="0.2"/>
    <row r="302" spans="3:14" s="10" customFormat="1" x14ac:dyDescent="0.2">
      <c r="C302" s="55" t="s">
        <v>210</v>
      </c>
      <c r="D302" s="74" t="str">
        <f>Lang_Direct_User_Entry_Cost_Estimate</f>
        <v>Direct User Entry Cost Estimate</v>
      </c>
      <c r="J302" s="366" t="str">
        <f ca="1">OFFSET(SD_Lu!$D$81,DD_LVL2_ACTV_13_Annual_Currency_Select,0)</f>
        <v>USD</v>
      </c>
      <c r="K302" s="366" t="str">
        <f ca="1">OFFSET(SD_Lu!$D$81,DD_LVL2_ACTV_13_Annual_Currency_Select,0)</f>
        <v>USD</v>
      </c>
      <c r="L302" s="366" t="str">
        <f ca="1">OFFSET(SD_Lu!$D$81,DD_LVL2_ACTV_13_Annual_Currency_Select,0)</f>
        <v>USD</v>
      </c>
      <c r="M302" s="366" t="str">
        <f ca="1">OFFSET(SD_Lu!$D$81,DD_LVL2_ACTV_13_Annual_Currency_Select,0)</f>
        <v>USD</v>
      </c>
      <c r="N302" s="366" t="str">
        <f ca="1">OFFSET(SD_Lu!$D$81,DD_LVL2_ACTV_13_Annual_Currency_Select,0)</f>
        <v>USD</v>
      </c>
    </row>
    <row r="303" spans="3:14" s="10" customFormat="1" x14ac:dyDescent="0.2">
      <c r="D303" s="53" t="str">
        <f>SD_Lu!$D$102&amp;" "&amp;Lang_Cost_Of_A_Single&amp;" "&amp;$D$286&amp;" "&amp;Lang_Activity</f>
        <v>Financial Cost of a Single Small Group Vaccination Activity (30 people vaccinated) Activity</v>
      </c>
      <c r="J303" s="80">
        <v>0</v>
      </c>
      <c r="K303" s="80">
        <v>0</v>
      </c>
      <c r="L303" s="80">
        <v>0</v>
      </c>
      <c r="M303" s="80">
        <v>0</v>
      </c>
      <c r="N303" s="80">
        <v>0</v>
      </c>
    </row>
    <row r="304" spans="3:14" s="10" customFormat="1" x14ac:dyDescent="0.2">
      <c r="D304" s="53" t="str">
        <f>SD_Lu!$D$103&amp;" "&amp;Lang_Cost_Of_A_Single&amp;" "&amp;$D$286&amp;" "&amp;Lang_Activity</f>
        <v>Economic Cost of a Single Small Group Vaccination Activity (30 people vaccinated) Activity</v>
      </c>
      <c r="J304" s="80">
        <v>0</v>
      </c>
      <c r="K304" s="80">
        <v>0</v>
      </c>
      <c r="L304" s="80">
        <v>0</v>
      </c>
      <c r="M304" s="80">
        <v>0</v>
      </c>
      <c r="N304" s="80">
        <v>0</v>
      </c>
    </row>
    <row r="305" spans="1:14" s="10" customFormat="1" x14ac:dyDescent="0.2">
      <c r="D305" s="55" t="str">
        <f>Lang_Error_Check_Checks_If_Override_Input_economic_Cost_Is_Less_Than_Financial_Cost</f>
        <v>ERROR CHECK (CHECKS IF OVERRIDE INPUT ECONOMIC COST IS LESS THAN FINANCIAL COST)</v>
      </c>
      <c r="H305" s="145">
        <f>IF(ISERROR(SUM(J305:N305)),1,MIN(SUM(J305:N305),1))</f>
        <v>0</v>
      </c>
      <c r="J305" s="42">
        <f t="shared" ref="J305:N305" si="29">IF(J304&lt;J303,1,0)</f>
        <v>0</v>
      </c>
      <c r="K305" s="42">
        <f t="shared" si="29"/>
        <v>0</v>
      </c>
      <c r="L305" s="42">
        <f t="shared" si="29"/>
        <v>0</v>
      </c>
      <c r="M305" s="42">
        <f t="shared" si="29"/>
        <v>0</v>
      </c>
      <c r="N305" s="42">
        <f t="shared" si="29"/>
        <v>0</v>
      </c>
    </row>
    <row r="306" spans="1:14" s="10" customFormat="1" x14ac:dyDescent="0.2"/>
    <row r="307" spans="1:14" s="10" customFormat="1" x14ac:dyDescent="0.2"/>
    <row r="308" spans="1:14" s="10" customFormat="1" x14ac:dyDescent="0.2">
      <c r="A308" s="12" t="s">
        <v>125</v>
      </c>
      <c r="B308" s="13" t="str">
        <f>HL_LVL2_ACTV_9_Name&amp;" "&amp;Lang_Name</f>
        <v>Large Group Vaccination Activity (100 people vaccinated) Name</v>
      </c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</row>
    <row r="309" spans="1:14" s="10" customFormat="1" x14ac:dyDescent="0.2"/>
    <row r="310" spans="1:14" s="10" customFormat="1" x14ac:dyDescent="0.2">
      <c r="D310" s="55" t="str">
        <f>Lang_Group_Service_Delivery_Activity_2_Of_2_Name</f>
        <v xml:space="preserve">Group Service Delivery Activity 2 of 2 Name </v>
      </c>
    </row>
    <row r="311" spans="1:14" s="10" customFormat="1" x14ac:dyDescent="0.2">
      <c r="D311" s="493" t="str">
        <f>LABELS!E58</f>
        <v>Large Group Vaccination Activity (100 people vaccinated)</v>
      </c>
      <c r="E311" s="493"/>
    </row>
    <row r="312" spans="1:14" s="10" customFormat="1" x14ac:dyDescent="0.2"/>
    <row r="313" spans="1:14" s="10" customFormat="1" x14ac:dyDescent="0.2">
      <c r="A313" s="12" t="s">
        <v>125</v>
      </c>
      <c r="B313" s="13" t="str">
        <f>HL_LVL2_ACTV_9_Name&amp;" "&amp;Lang_Single_Activity_Cost_Annual_Assumptions</f>
        <v>Large Group Vaccination Activity (100 people vaccinated) Single Activity Cost - Annual Assumptions</v>
      </c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</row>
    <row r="314" spans="1:14" s="10" customFormat="1" x14ac:dyDescent="0.2"/>
    <row r="315" spans="1:14" s="10" customFormat="1" x14ac:dyDescent="0.2">
      <c r="D315" s="114" t="str">
        <f>HL_LVL2_ACTV_9_Name</f>
        <v>Large Group Vaccination Activity (100 people vaccinated)</v>
      </c>
    </row>
    <row r="316" spans="1:14" s="10" customFormat="1" x14ac:dyDescent="0.2"/>
    <row r="317" spans="1:14" s="10" customFormat="1" x14ac:dyDescent="0.2">
      <c r="D317" s="50" t="str">
        <f>Lang_Select_Input_Currency</f>
        <v>Select Input Currency</v>
      </c>
      <c r="E317" s="72">
        <v>1</v>
      </c>
    </row>
    <row r="318" spans="1:14" s="10" customFormat="1" x14ac:dyDescent="0.2"/>
    <row r="319" spans="1:14" s="10" customFormat="1" x14ac:dyDescent="0.2">
      <c r="D319" s="50" t="str">
        <f>Lang_Select_Costing_Input_Method</f>
        <v>Select Costing Input Method</v>
      </c>
      <c r="E319" s="72">
        <v>1</v>
      </c>
    </row>
    <row r="320" spans="1:14" s="10" customFormat="1" x14ac:dyDescent="0.2">
      <c r="E320" s="76" t="str">
        <f>Lang_GoTo&amp;" "&amp;HL_LVL2_ACTV_9_Detailed_Costing_Worksheet</f>
        <v>Go to Large Group Vaccination Activity (100 people vaccinated) -  Detailed Activity Costing Worksheet - Instructions</v>
      </c>
    </row>
    <row r="321" spans="3:14" s="10" customFormat="1" x14ac:dyDescent="0.2">
      <c r="C321" s="55" t="s">
        <v>208</v>
      </c>
      <c r="D321" s="74" t="str">
        <f>Lang_Detailed_Costing_Worksheet_Estimate</f>
        <v>Detailed Costing Worksheet Estimate</v>
      </c>
    </row>
    <row r="322" spans="3:14" s="10" customFormat="1" x14ac:dyDescent="0.2">
      <c r="F322" s="366" t="str">
        <f>SD_Lu!$D$118</f>
        <v>LCU</v>
      </c>
      <c r="G322" s="366" t="str">
        <f>SD_Lu!$D$117</f>
        <v>USD</v>
      </c>
      <c r="J322" s="366" t="str">
        <f ca="1">OFFSET(SD_Lu!$D$116,DD_LVL2_ACTV_9_Annual_Currency_Select,0)</f>
        <v>USD</v>
      </c>
      <c r="K322" s="366" t="str">
        <f ca="1">OFFSET(SD_Lu!$D$116,DD_LVL2_ACTV_9_Annual_Currency_Select,0)</f>
        <v>USD</v>
      </c>
      <c r="L322" s="366" t="str">
        <f ca="1">OFFSET(SD_Lu!$D$116,DD_LVL2_ACTV_9_Annual_Currency_Select,0)</f>
        <v>USD</v>
      </c>
      <c r="M322" s="366" t="str">
        <f ca="1">OFFSET(SD_Lu!$D$116,DD_LVL2_ACTV_9_Annual_Currency_Select,0)</f>
        <v>USD</v>
      </c>
      <c r="N322" s="366" t="str">
        <f ca="1">OFFSET(SD_Lu!$D$116,DD_LVL2_ACTV_9_Annual_Currency_Select,0)</f>
        <v>USD</v>
      </c>
    </row>
    <row r="323" spans="3:14" s="10" customFormat="1" x14ac:dyDescent="0.2">
      <c r="D323" s="53" t="str">
        <f>SD_Lu!$D$137&amp;" "&amp;Lang_Cost_Of_A_Single&amp;" "&amp;$D$311&amp;" "&amp;Lang_Activity</f>
        <v>Financial Cost of a Single Large Group Vaccination Activity (100 people vaccinated) Activity</v>
      </c>
      <c r="F323" s="41">
        <f>COSTS_DETAILED_SUMMARY!E511</f>
        <v>0</v>
      </c>
      <c r="G323" s="116">
        <f>COSTS_DETAILED_SUMMARY!G511</f>
        <v>0</v>
      </c>
      <c r="J323" s="79">
        <f>IF(DD_LVL2_ACTV_9_Annual_Currency_Select=2,COSTS_DETAILED_SUMMARY!$E511,COSTS_DETAILED_SUMMARY!$G511)</f>
        <v>0</v>
      </c>
      <c r="K323" s="79">
        <f>IF(DD_LVL2_ACTV_9_Annual_Currency_Select=2,COSTS_DETAILED_SUMMARY!$E511,COSTS_DETAILED_SUMMARY!$G511)</f>
        <v>0</v>
      </c>
      <c r="L323" s="79">
        <f>IF(DD_LVL2_ACTV_9_Annual_Currency_Select=2,COSTS_DETAILED_SUMMARY!$E511,COSTS_DETAILED_SUMMARY!$G511)</f>
        <v>0</v>
      </c>
      <c r="M323" s="79">
        <f>IF(DD_LVL2_ACTV_9_Annual_Currency_Select=2,COSTS_DETAILED_SUMMARY!$E511,COSTS_DETAILED_SUMMARY!$G511)</f>
        <v>0</v>
      </c>
      <c r="N323" s="79">
        <f>IF(DD_LVL2_ACTV_9_Annual_Currency_Select=2,COSTS_DETAILED_SUMMARY!$E511,COSTS_DETAILED_SUMMARY!$G511)</f>
        <v>0</v>
      </c>
    </row>
    <row r="324" spans="3:14" s="10" customFormat="1" x14ac:dyDescent="0.2">
      <c r="D324" s="53" t="str">
        <f>SD_Lu!$D$138&amp;" "&amp;Lang_Cost_Of_A_Single&amp;" "&amp;$D$311&amp;" "&amp;Lang_Activity</f>
        <v>Economic Cost of a Single Large Group Vaccination Activity (100 people vaccinated) Activity</v>
      </c>
      <c r="F324" s="41">
        <f>COSTS_DETAILED_SUMMARY!F511</f>
        <v>0</v>
      </c>
      <c r="G324" s="116">
        <f>COSTS_DETAILED_SUMMARY!H511</f>
        <v>0</v>
      </c>
      <c r="J324" s="79">
        <f>IF(DD_LVL2_ACTV_9_Annual_Currency_Select=2,COSTS_DETAILED_SUMMARY!$F511,COSTS_DETAILED_SUMMARY!$H511)</f>
        <v>0</v>
      </c>
      <c r="K324" s="79">
        <f>IF(DD_LVL2_ACTV_9_Annual_Currency_Select=2,COSTS_DETAILED_SUMMARY!$F511,COSTS_DETAILED_SUMMARY!$H511)</f>
        <v>0</v>
      </c>
      <c r="L324" s="79">
        <f>IF(DD_LVL2_ACTV_9_Annual_Currency_Select=2,COSTS_DETAILED_SUMMARY!$F511,COSTS_DETAILED_SUMMARY!$H511)</f>
        <v>0</v>
      </c>
      <c r="M324" s="79">
        <f>IF(DD_LVL2_ACTV_9_Annual_Currency_Select=2,COSTS_DETAILED_SUMMARY!$F511,COSTS_DETAILED_SUMMARY!$H511)</f>
        <v>0</v>
      </c>
      <c r="N324" s="79">
        <f>IF(DD_LVL2_ACTV_9_Annual_Currency_Select=2,COSTS_DETAILED_SUMMARY!$F511,COSTS_DETAILED_SUMMARY!$H511)</f>
        <v>0</v>
      </c>
    </row>
    <row r="325" spans="3:14" s="10" customFormat="1" x14ac:dyDescent="0.2"/>
    <row r="326" spans="3:14" s="10" customFormat="1" x14ac:dyDescent="0.2"/>
    <row r="327" spans="3:14" s="10" customFormat="1" x14ac:dyDescent="0.2">
      <c r="C327" s="55" t="s">
        <v>210</v>
      </c>
      <c r="D327" s="74" t="str">
        <f>Lang_Direct_User_Entry_Cost_Estimate</f>
        <v>Direct User Entry Cost Estimate</v>
      </c>
      <c r="J327" s="366" t="str">
        <f ca="1">OFFSET(SD_Lu!$D$116,DD_LVL2_ACTV_9_Annual_Currency_Select,0)</f>
        <v>USD</v>
      </c>
      <c r="K327" s="366" t="str">
        <f ca="1">OFFSET(SD_Lu!$D$116,DD_LVL2_ACTV_9_Annual_Currency_Select,0)</f>
        <v>USD</v>
      </c>
      <c r="L327" s="366" t="str">
        <f ca="1">OFFSET(SD_Lu!$D$116,DD_LVL2_ACTV_9_Annual_Currency_Select,0)</f>
        <v>USD</v>
      </c>
      <c r="M327" s="366" t="str">
        <f ca="1">OFFSET(SD_Lu!$D$116,DD_LVL2_ACTV_9_Annual_Currency_Select,0)</f>
        <v>USD</v>
      </c>
      <c r="N327" s="366" t="str">
        <f ca="1">OFFSET(SD_Lu!$D$116,DD_LVL2_ACTV_9_Annual_Currency_Select,0)</f>
        <v>USD</v>
      </c>
    </row>
    <row r="328" spans="3:14" s="10" customFormat="1" x14ac:dyDescent="0.2">
      <c r="D328" s="53" t="str">
        <f>SD_Lu!$D$137&amp;" "&amp;Lang_Cost_Of_A_Single&amp;" "&amp;$D$311&amp;" "&amp;Lang_Activity</f>
        <v>Financial Cost of a Single Large Group Vaccination Activity (100 people vaccinated) Activity</v>
      </c>
      <c r="J328" s="80">
        <v>0</v>
      </c>
      <c r="K328" s="80">
        <v>0</v>
      </c>
      <c r="L328" s="80">
        <v>0</v>
      </c>
      <c r="M328" s="80">
        <v>0</v>
      </c>
      <c r="N328" s="80">
        <v>0</v>
      </c>
    </row>
    <row r="329" spans="3:14" s="10" customFormat="1" x14ac:dyDescent="0.2">
      <c r="D329" s="53" t="str">
        <f>SD_Lu!$D$138&amp;" "&amp;Lang_Cost_Of_A_Single&amp;" "&amp;$D$311&amp;" "&amp;Lang_Activity</f>
        <v>Economic Cost of a Single Large Group Vaccination Activity (100 people vaccinated) Activity</v>
      </c>
      <c r="J329" s="80">
        <v>0</v>
      </c>
      <c r="K329" s="80">
        <v>0</v>
      </c>
      <c r="L329" s="80">
        <v>0</v>
      </c>
      <c r="M329" s="80">
        <v>0</v>
      </c>
      <c r="N329" s="80">
        <v>0</v>
      </c>
    </row>
    <row r="330" spans="3:14" s="10" customFormat="1" x14ac:dyDescent="0.2">
      <c r="D330" s="55" t="str">
        <f>Lang_Error_Check_Checks_If_Override_Input_economic_Cost_Is_Less_Than_Financial_Cost</f>
        <v>ERROR CHECK (CHECKS IF OVERRIDE INPUT ECONOMIC COST IS LESS THAN FINANCIAL COST)</v>
      </c>
      <c r="H330" s="145">
        <f>IF(ISERROR(SUM(J330:N330)),1,MIN(SUM(J330:N330),1))</f>
        <v>0</v>
      </c>
      <c r="J330" s="42">
        <f>IF(J329&lt;J328,1,0)</f>
        <v>0</v>
      </c>
      <c r="K330" s="42">
        <f>IF(K329&lt;K328,1,0)</f>
        <v>0</v>
      </c>
      <c r="L330" s="42">
        <f>IF(L329&lt;L328,1,0)</f>
        <v>0</v>
      </c>
      <c r="M330" s="42">
        <f>IF(M329&lt;M328,1,0)</f>
        <v>0</v>
      </c>
      <c r="N330" s="42">
        <f>IF(N329&lt;N328,1,0)</f>
        <v>0</v>
      </c>
    </row>
    <row r="331" spans="3:14" s="10" customFormat="1" x14ac:dyDescent="0.2"/>
  </sheetData>
  <mergeCells count="16">
    <mergeCell ref="D311:E311"/>
    <mergeCell ref="D238:E238"/>
    <mergeCell ref="D262:G262"/>
    <mergeCell ref="D286:H286"/>
    <mergeCell ref="D19:H19"/>
    <mergeCell ref="D20:H20"/>
    <mergeCell ref="D21:H21"/>
    <mergeCell ref="D22:H22"/>
    <mergeCell ref="D49:H49"/>
    <mergeCell ref="D104:H104"/>
    <mergeCell ref="D105:H105"/>
    <mergeCell ref="D50:H50"/>
    <mergeCell ref="D51:H51"/>
    <mergeCell ref="D52:H52"/>
    <mergeCell ref="D102:H102"/>
    <mergeCell ref="D103:H103"/>
  </mergeCells>
  <conditionalFormatting sqref="G46">
    <cfRule type="cellIs" dxfId="326" priority="75" operator="notEqual">
      <formula>0</formula>
    </cfRule>
  </conditionalFormatting>
  <conditionalFormatting sqref="G99">
    <cfRule type="cellIs" dxfId="325" priority="73" operator="notEqual">
      <formula>0</formula>
    </cfRule>
  </conditionalFormatting>
  <conditionalFormatting sqref="G190">
    <cfRule type="cellIs" dxfId="324" priority="72" operator="notEqual">
      <formula>0</formula>
    </cfRule>
  </conditionalFormatting>
  <conditionalFormatting sqref="G213">
    <cfRule type="cellIs" dxfId="323" priority="71" operator="notEqual">
      <formula>0</formula>
    </cfRule>
  </conditionalFormatting>
  <conditionalFormatting sqref="H257">
    <cfRule type="cellIs" dxfId="322" priority="65" operator="notEqual">
      <formula>0</formula>
    </cfRule>
  </conditionalFormatting>
  <conditionalFormatting sqref="H281">
    <cfRule type="cellIs" dxfId="321" priority="64" operator="notEqual">
      <formula>0</formula>
    </cfRule>
  </conditionalFormatting>
  <conditionalFormatting sqref="H305">
    <cfRule type="cellIs" dxfId="320" priority="63" operator="notEqual">
      <formula>0</formula>
    </cfRule>
  </conditionalFormatting>
  <conditionalFormatting sqref="H330">
    <cfRule type="cellIs" dxfId="319" priority="62" operator="notEqual">
      <formula>0</formula>
    </cfRule>
  </conditionalFormatting>
  <conditionalFormatting sqref="J46:N46">
    <cfRule type="cellIs" dxfId="318" priority="70" operator="notEqual">
      <formula>0</formula>
    </cfRule>
  </conditionalFormatting>
  <conditionalFormatting sqref="J68:N69">
    <cfRule type="cellIs" dxfId="317" priority="68" operator="greaterThan">
      <formula>J$65</formula>
    </cfRule>
  </conditionalFormatting>
  <conditionalFormatting sqref="J99:N99">
    <cfRule type="cellIs" dxfId="316" priority="69" operator="notEqual">
      <formula>0</formula>
    </cfRule>
  </conditionalFormatting>
  <conditionalFormatting sqref="J190:N190">
    <cfRule type="cellIs" dxfId="315" priority="67" operator="notEqual">
      <formula>0</formula>
    </cfRule>
  </conditionalFormatting>
  <conditionalFormatting sqref="J213:N213">
    <cfRule type="cellIs" dxfId="314" priority="66" operator="notEqual">
      <formula>0</formula>
    </cfRule>
  </conditionalFormatting>
  <conditionalFormatting sqref="J250:N251 J255:N256">
    <cfRule type="expression" dxfId="313" priority="3">
      <formula>$E$244=1</formula>
    </cfRule>
  </conditionalFormatting>
  <conditionalFormatting sqref="J257:N257">
    <cfRule type="cellIs" dxfId="312" priority="61" operator="notEqual">
      <formula>0</formula>
    </cfRule>
  </conditionalFormatting>
  <conditionalFormatting sqref="J274:N275 J279:N280">
    <cfRule type="expression" dxfId="311" priority="2">
      <formula>$E$268=1</formula>
    </cfRule>
  </conditionalFormatting>
  <conditionalFormatting sqref="J281:N281">
    <cfRule type="cellIs" dxfId="310" priority="60" operator="notEqual">
      <formula>0</formula>
    </cfRule>
  </conditionalFormatting>
  <conditionalFormatting sqref="J305:N305">
    <cfRule type="cellIs" dxfId="309" priority="59" operator="notEqual">
      <formula>0</formula>
    </cfRule>
  </conditionalFormatting>
  <conditionalFormatting sqref="J323:N324 J328:N329">
    <cfRule type="expression" dxfId="308" priority="1">
      <formula>$E$317=1</formula>
    </cfRule>
  </conditionalFormatting>
  <conditionalFormatting sqref="J330:N330">
    <cfRule type="cellIs" dxfId="307" priority="58" operator="notEqual">
      <formula>0</formula>
    </cfRule>
  </conditionalFormatting>
  <dataValidations count="9">
    <dataValidation type="whole" showDropDown="1" showErrorMessage="1" errorTitle="Drop Down Box Cell Link" error="The value in a drop down box cell link must be a whole number within the control's lookup range rows." sqref="E244" xr:uid="{00000000-0002-0000-0F00-000000000000}">
      <formula1>1</formula1>
      <formula2>ROWS(LU_LVL2_ACTV_6_Currencies)</formula2>
    </dataValidation>
    <dataValidation type="whole" showDropDown="1" showErrorMessage="1" errorTitle="Drop Down Box Cell Link" error="The value in a drop down box cell link must be a whole number within the control's lookup range rows." sqref="E246" xr:uid="{00000000-0002-0000-0F00-000001000000}">
      <formula1>1</formula1>
      <formula2>ROWS(LU_LVL2_ACTV_6_Detail_or_Freeform)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292" xr:uid="{00000000-0002-0000-0F00-000002000000}">
      <formula1>1</formula1>
      <formula2>ROWS(LU_LVL2_ACTV_13_Currencies)</formula2>
    </dataValidation>
    <dataValidation type="whole" showDropDown="1" showErrorMessage="1" errorTitle="Drop Down Box Cell Link" error="The value in a drop down box cell link must be a whole number within the control's lookup range rows." sqref="E294" xr:uid="{00000000-0002-0000-0F00-000003000000}">
      <formula1>1</formula1>
      <formula2>ROWS(LU_LVL2_ACTV_13_Detail_or_Freeform)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268" xr:uid="{00000000-0002-0000-0F00-000004000000}">
      <formula1>1</formula1>
      <formula2>ROWS(LU_LVL2_ACTV_12_Currencies)</formula2>
    </dataValidation>
    <dataValidation type="whole" showDropDown="1" showErrorMessage="1" errorTitle="Drop Down Box Cell Link" error="The value in a drop down box cell link must be a whole number within the control's lookup range rows." sqref="E270" xr:uid="{00000000-0002-0000-0F00-000005000000}">
      <formula1>1</formula1>
      <formula2>ROWS(LU_LVL2_ACTV_12_Detail_or_Freeform)</formula2>
    </dataValidation>
    <dataValidation type="custom" showErrorMessage="1" errorTitle="Invalid Assumption" error="Assumption must be a number." sqref="J303:N304 J255:N256 J328:N329 J279:N280 J186:N187 J178:N179 J36:N37 J95:N96 J182:N183 J42:N43 J207:N208 J203:N204 J199:N200 J89:N90 J15:N16" xr:uid="{00000000-0002-0000-0F00-000006000000}">
      <formula1>NOT(ISERROR(J15/1))</formula1>
    </dataValidation>
    <dataValidation type="whole" showDropDown="1" showErrorMessage="1" errorTitle="Drop Down Box Cell Link" error="The value in a drop down box cell link must be a whole number within the control's lookup range rows." sqref="E317" xr:uid="{00000000-0002-0000-0F00-000007000000}">
      <formula1>1</formula1>
      <formula2>ROWS(LU_LVL2_ACTV_9_Currencies)</formula2>
    </dataValidation>
    <dataValidation type="whole" showDropDown="1" showErrorMessage="1" errorTitle="Drop Down Box Cell Link" error="The value in a drop down box cell link must be a whole number within the control's lookup range rows." sqref="E319" xr:uid="{00000000-0002-0000-0F00-000008000000}">
      <formula1>1</formula1>
      <formula2>ROWS(LU_LVL2_ACTV_9_Detail_or_Freeform)</formula2>
    </dataValidation>
  </dataValidations>
  <hyperlinks>
    <hyperlink ref="E247" location="HL_LVL2_ACTV_6_Detailed_Costing_Worksheet" tooltip="Click to follow hyperlink." display="HL_LVL2_ACTV_6_Detailed_Costing_Worksheet" xr:uid="{00000000-0004-0000-0F00-000000000000}"/>
    <hyperlink ref="A235" location="HL_LVL2_ACTV_6_Single_Activity_Cost_Assumptions_Annual" tooltip="Click to follow hyperlink." display="HL_LVL2_ACTV_6_Single_Activity_Cost_Assumptions_Annual" xr:uid="{00000000-0004-0000-0F00-000001000000}"/>
    <hyperlink ref="A259" location="HL_LVL2_ACTV_12_Single_Activity_Cost_Assumptions_Annual" tooltip="Click to follow hyperlink." display="HL_LVL2_ACTV_12_Single_Activity_Cost_Assumptions_Annual" xr:uid="{00000000-0004-0000-0F00-000002000000}"/>
    <hyperlink ref="A283" location="HL_LVL2_ACTV_13_Single_Activity_Cost_Assumptions_Annual" tooltip="Click to follow hyperlink." display="HL_LVL2_ACTV_13_Single_Activity_Cost_Assumptions_Annual" xr:uid="{00000000-0004-0000-0F00-000003000000}"/>
    <hyperlink ref="E295" location="HL_LVL2_ACTV_13_Detailed_Costing_Worksheet" tooltip="Click to follow hyperlink." display="HL_LVL2_ACTV_13_Detailed_Costing_Worksheet" xr:uid="{00000000-0004-0000-0F00-000004000000}"/>
    <hyperlink ref="E271" location="HL_LVL2_ACTV_12_Detailed_Costing_Worksheet" tooltip="Click to follow hyperlink." display="HL_LVL2_ACTV_12_Detailed_Costing_Worksheet" xr:uid="{00000000-0004-0000-0F00-000005000000}"/>
    <hyperlink ref="A308" location="HL_LVL2_ACTV_9_Single_Activity_Cost_Assumptions_Annual" tooltip="Click to follow hyperlink." display="HL_LVL2_ACTV_9_Single_Activity_Cost_Assumptions_Annual" xr:uid="{00000000-0004-0000-0F00-000006000000}"/>
    <hyperlink ref="E320" location="HL_LVL2_ACTV_9_Detailed_Costing_Worksheet" tooltip="Click to follow hyperlink." display="HL_LVL2_ACTV_9_Detailed_Costing_Worksheet" xr:uid="{00000000-0004-0000-0F00-000007000000}"/>
    <hyperlink ref="A9" location="HL_Analy_Ass_A" tooltip="Click to follow hyperlink." display="HL_Analy_Ass_A" xr:uid="{00000000-0004-0000-0F00-000008000000}"/>
    <hyperlink ref="A1" location="Contents!A1" tooltip="Go to Table of Contents" display="±" xr:uid="{00000000-0004-0000-0F00-000009000000}"/>
    <hyperlink ref="A3" location="$B$8" tooltip="Go to Top of Sheet" display="$B$8" xr:uid="{E0393993-BCE5-4CD6-8907-3A5BF13FF34C}"/>
  </hyperlinks>
  <pageMargins left="0.7" right="0.7" top="0.75" bottom="0.75" header="0.3" footer="0.3"/>
  <pageSetup scale="50" fitToHeight="0" orientation="landscape" r:id="rId1"/>
  <headerFooter>
    <oddFooter>&amp;L&amp;B Confidential&amp;B&amp;C&amp;D&amp;RPage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7653" r:id="rId4" name="bpmDropDownLVL2_ACTV_62">
              <controlPr defaultSize="0" autoFill="0" autoPict="0">
                <anchor moveWithCells="1" sizeWithCells="1">
                  <from>
                    <xdr:col>4</xdr:col>
                    <xdr:colOff>0</xdr:colOff>
                    <xdr:row>243</xdr:row>
                    <xdr:rowOff>0</xdr:rowOff>
                  </from>
                  <to>
                    <xdr:col>5</xdr:col>
                    <xdr:colOff>0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654" r:id="rId5" name="bpmDropDownLVL2_ACTV_63">
              <controlPr defaultSize="0" autoFill="0" autoPict="0">
                <anchor moveWithCells="1" sizeWithCells="1">
                  <from>
                    <xdr:col>4</xdr:col>
                    <xdr:colOff>0</xdr:colOff>
                    <xdr:row>245</xdr:row>
                    <xdr:rowOff>0</xdr:rowOff>
                  </from>
                  <to>
                    <xdr:col>5</xdr:col>
                    <xdr:colOff>0</xdr:colOff>
                    <xdr:row>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656" r:id="rId6" name="bpmDropDownLVL2_ACTV_132">
              <controlPr defaultSize="0" autoFill="0" autoPict="0">
                <anchor moveWithCells="1" sizeWithCells="1">
                  <from>
                    <xdr:col>4</xdr:col>
                    <xdr:colOff>0</xdr:colOff>
                    <xdr:row>291</xdr:row>
                    <xdr:rowOff>0</xdr:rowOff>
                  </from>
                  <to>
                    <xdr:col>5</xdr:col>
                    <xdr:colOff>0</xdr:colOff>
                    <xdr:row>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657" r:id="rId7" name="bpmDropDownLVL2_ACTV_133">
              <controlPr defaultSize="0" autoFill="0" autoPict="0">
                <anchor moveWithCells="1" sizeWithCells="1">
                  <from>
                    <xdr:col>4</xdr:col>
                    <xdr:colOff>0</xdr:colOff>
                    <xdr:row>293</xdr:row>
                    <xdr:rowOff>0</xdr:rowOff>
                  </from>
                  <to>
                    <xdr:col>5</xdr:col>
                    <xdr:colOff>0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659" r:id="rId8" name="bpmDropDownLVL2_ACTV_122">
              <controlPr defaultSize="0" autoFill="0" autoPict="0">
                <anchor moveWithCells="1" sizeWithCells="1">
                  <from>
                    <xdr:col>4</xdr:col>
                    <xdr:colOff>0</xdr:colOff>
                    <xdr:row>267</xdr:row>
                    <xdr:rowOff>0</xdr:rowOff>
                  </from>
                  <to>
                    <xdr:col>5</xdr:col>
                    <xdr:colOff>0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660" r:id="rId9" name="bpmDropDownLVL2_ACTV_123">
              <controlPr defaultSize="0" autoFill="0" autoPict="0">
                <anchor moveWithCells="1" sizeWithCells="1">
                  <from>
                    <xdr:col>4</xdr:col>
                    <xdr:colOff>0</xdr:colOff>
                    <xdr:row>269</xdr:row>
                    <xdr:rowOff>0</xdr:rowOff>
                  </from>
                  <to>
                    <xdr:col>5</xdr:col>
                    <xdr:colOff>0</xdr:colOff>
                    <xdr:row>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662" r:id="rId10" name="bpmDropDownLVL2_ACTV_92">
              <controlPr defaultSize="0" autoFill="0" autoPict="0">
                <anchor moveWithCells="1" sizeWithCells="1">
                  <from>
                    <xdr:col>4</xdr:col>
                    <xdr:colOff>0</xdr:colOff>
                    <xdr:row>316</xdr:row>
                    <xdr:rowOff>0</xdr:rowOff>
                  </from>
                  <to>
                    <xdr:col>5</xdr:col>
                    <xdr:colOff>0</xdr:colOff>
                    <xdr:row>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663" r:id="rId11" name="bpmDropDownLVL2_ACTV_93">
              <controlPr defaultSize="0" autoFill="0" autoPict="0">
                <anchor moveWithCells="1" sizeWithCells="1">
                  <from>
                    <xdr:col>4</xdr:col>
                    <xdr:colOff>0</xdr:colOff>
                    <xdr:row>318</xdr:row>
                    <xdr:rowOff>0</xdr:rowOff>
                  </from>
                  <to>
                    <xdr:col>5</xdr:col>
                    <xdr:colOff>0</xdr:colOff>
                    <xdr:row>319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>
    <tabColor rgb="FFFFC000"/>
    <pageSetUpPr autoPageBreaks="0" fitToPage="1"/>
  </sheetPr>
  <dimension ref="A1:R167"/>
  <sheetViews>
    <sheetView showGridLines="0" zoomScaleNormal="100" workbookViewId="0">
      <pane xSplit="1" ySplit="7" topLeftCell="B8" activePane="bottomRight" state="frozen"/>
      <selection activeCell="I511" sqref="I511"/>
      <selection pane="topRight" activeCell="I511" sqref="I511"/>
      <selection pane="bottomLeft" activeCell="I511" sqref="I511"/>
      <selection pane="bottomRight" activeCell="D12" sqref="D12"/>
    </sheetView>
  </sheetViews>
  <sheetFormatPr defaultColWidth="11.7109375" defaultRowHeight="12" x14ac:dyDescent="0.2"/>
  <cols>
    <col min="1" max="2" width="3.7109375" customWidth="1"/>
    <col min="3" max="3" width="5.7109375" customWidth="1"/>
    <col min="4" max="4" width="35.7109375" customWidth="1"/>
    <col min="5" max="5" width="30.7109375" customWidth="1"/>
    <col min="6" max="6" width="15.7109375" customWidth="1"/>
    <col min="7" max="7" width="10.7109375" customWidth="1"/>
    <col min="9" max="9" width="15.7109375" customWidth="1"/>
    <col min="10" max="14" width="20.7109375" customWidth="1"/>
  </cols>
  <sheetData>
    <row r="1" spans="1:14" ht="15" x14ac:dyDescent="0.2">
      <c r="A1" s="35" t="s">
        <v>128</v>
      </c>
      <c r="B1" s="31" t="str">
        <f>Lang_Microplanning_Activities_Annual_Assumptions</f>
        <v>Microplanning Activities - Annual Assumptions</v>
      </c>
    </row>
    <row r="2" spans="1:14" ht="12.75" x14ac:dyDescent="0.2">
      <c r="A2" s="36"/>
      <c r="B2" s="45" t="str">
        <f ca="1">Model_Name</f>
        <v>Cervical Cancer Prevention and Control Costing (C4P) Tool (Cost Projection)</v>
      </c>
    </row>
    <row r="3" spans="1:14" s="10" customFormat="1" x14ac:dyDescent="0.2">
      <c r="A3" s="421" t="s">
        <v>5</v>
      </c>
      <c r="B3" s="90" t="str">
        <f>Lang_Year_Ending</f>
        <v>Year Ending</v>
      </c>
      <c r="C3" s="90"/>
      <c r="D3" s="90"/>
      <c r="E3" s="90"/>
      <c r="F3" s="90"/>
      <c r="G3" s="90"/>
      <c r="H3" s="90"/>
      <c r="I3" s="90"/>
      <c r="J3" s="106">
        <f t="shared" ref="J3:N3" si="0">J7</f>
        <v>2019</v>
      </c>
      <c r="K3" s="106">
        <f t="shared" si="0"/>
        <v>2020</v>
      </c>
      <c r="L3" s="106">
        <f t="shared" si="0"/>
        <v>2021</v>
      </c>
      <c r="M3" s="106">
        <f t="shared" si="0"/>
        <v>2022</v>
      </c>
      <c r="N3" s="106">
        <f t="shared" si="0"/>
        <v>2023</v>
      </c>
    </row>
    <row r="4" spans="1:14" s="10" customFormat="1" hidden="1" x14ac:dyDescent="0.2">
      <c r="B4" s="50" t="str">
        <f>Lang_Period_Start_Date</f>
        <v>Period Start Date</v>
      </c>
      <c r="J4" s="340">
        <f>EDATE(TS_Start_Date,(J6-1)*TS_Mths_In_Yr)</f>
        <v>43466</v>
      </c>
      <c r="K4" s="340">
        <f>EDATE(TS_Start_Date,(K6-1)*TS_Mths_In_Yr)</f>
        <v>43831</v>
      </c>
      <c r="L4" s="340">
        <f>EDATE(TS_Start_Date,(L6-1)*TS_Mths_In_Yr)</f>
        <v>44197</v>
      </c>
      <c r="M4" s="340">
        <f>EDATE(TS_Start_Date,(M6-1)*TS_Mths_In_Yr)</f>
        <v>44562</v>
      </c>
      <c r="N4" s="340">
        <f>EDATE(TS_Start_Date,(N6-1)*TS_Mths_In_Yr)</f>
        <v>44927</v>
      </c>
    </row>
    <row r="5" spans="1:14" s="10" customFormat="1" hidden="1" x14ac:dyDescent="0.2">
      <c r="B5" s="50" t="str">
        <f>Lang_Period_End_Date</f>
        <v>Period End Date</v>
      </c>
      <c r="J5" s="340">
        <f>EDATE(J4,TS_Mths_In_Yr)-1</f>
        <v>43830</v>
      </c>
      <c r="K5" s="340">
        <f>EDATE(K4,TS_Mths_In_Yr)-1</f>
        <v>44196</v>
      </c>
      <c r="L5" s="340">
        <f>EDATE(L4,TS_Mths_In_Yr)-1</f>
        <v>44561</v>
      </c>
      <c r="M5" s="340">
        <f>EDATE(M4,TS_Mths_In_Yr)-1</f>
        <v>44926</v>
      </c>
      <c r="N5" s="340">
        <f>EDATE(N4,TS_Mths_In_Yr)-1</f>
        <v>45291</v>
      </c>
    </row>
    <row r="6" spans="1:14" s="10" customFormat="1" hidden="1" x14ac:dyDescent="0.2">
      <c r="B6" s="50" t="str">
        <f>Lang_Counter</f>
        <v>Counter</v>
      </c>
      <c r="J6" s="42">
        <f>COLUMNS($J6:J6)</f>
        <v>1</v>
      </c>
      <c r="K6" s="42">
        <f>COLUMNS($J6:K6)</f>
        <v>2</v>
      </c>
      <c r="L6" s="42">
        <f>COLUMNS($J6:L6)</f>
        <v>3</v>
      </c>
      <c r="M6" s="42">
        <f>COLUMNS($J6:M6)</f>
        <v>4</v>
      </c>
      <c r="N6" s="42">
        <f>COLUMNS($J6:N6)</f>
        <v>5</v>
      </c>
    </row>
    <row r="7" spans="1:14" s="10" customFormat="1" hidden="1" x14ac:dyDescent="0.2">
      <c r="B7" s="91" t="str">
        <f>Lang_Financial_Year</f>
        <v>Financial Year</v>
      </c>
      <c r="C7" s="69"/>
      <c r="D7" s="69"/>
      <c r="E7" s="69"/>
      <c r="F7" s="69"/>
      <c r="G7" s="69"/>
      <c r="H7" s="69"/>
      <c r="I7" s="69"/>
      <c r="J7" s="341">
        <f t="shared" ref="J7:N7" si="1">YEAR(J5)</f>
        <v>2019</v>
      </c>
      <c r="K7" s="341">
        <f t="shared" si="1"/>
        <v>2020</v>
      </c>
      <c r="L7" s="341">
        <f t="shared" si="1"/>
        <v>2021</v>
      </c>
      <c r="M7" s="341">
        <f t="shared" si="1"/>
        <v>2022</v>
      </c>
      <c r="N7" s="341">
        <f t="shared" si="1"/>
        <v>2023</v>
      </c>
    </row>
    <row r="8" spans="1:14" s="10" customFormat="1" collapsed="1" x14ac:dyDescent="0.2"/>
    <row r="9" spans="1:14" s="10" customFormat="1" x14ac:dyDescent="0.2">
      <c r="A9" s="12" t="s">
        <v>125</v>
      </c>
      <c r="B9" s="13" t="str">
        <f>HL_TOP_ACTV_Name&amp;" "&amp;Lang_Name</f>
        <v>Microplanning Activity #1 (Not in Use) Name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1:14" s="10" customFormat="1" x14ac:dyDescent="0.2"/>
    <row r="11" spans="1:14" s="10" customFormat="1" x14ac:dyDescent="0.2">
      <c r="D11" s="55" t="str">
        <f>Lang_Microplanning_Activity_Name</f>
        <v>Microplanning Activity Name</v>
      </c>
    </row>
    <row r="12" spans="1:14" s="10" customFormat="1" x14ac:dyDescent="0.2">
      <c r="D12" s="75" t="s">
        <v>612</v>
      </c>
    </row>
    <row r="13" spans="1:14" s="10" customFormat="1" x14ac:dyDescent="0.2"/>
    <row r="14" spans="1:14" s="10" customFormat="1" x14ac:dyDescent="0.2">
      <c r="A14" s="12" t="s">
        <v>125</v>
      </c>
      <c r="B14" s="13" t="str">
        <f>HL_TOP_ACTV_Name&amp;" "&amp;Lang_Single_Activity_Cost_Annual_Assumptions_Projected_Or_Retrospective</f>
        <v>Microplanning Activity #1 (Not in Use) Single Activity Cost - Annual Assumptions (Projected or Retrospective)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</row>
    <row r="15" spans="1:14" s="10" customFormat="1" x14ac:dyDescent="0.2"/>
    <row r="16" spans="1:14" s="10" customFormat="1" x14ac:dyDescent="0.2">
      <c r="D16" s="50" t="str">
        <f>Lang_Select_Input_Currency</f>
        <v>Select Input Currency</v>
      </c>
      <c r="E16" s="72">
        <v>1</v>
      </c>
    </row>
    <row r="17" spans="3:14" s="10" customFormat="1" x14ac:dyDescent="0.2"/>
    <row r="18" spans="3:14" s="10" customFormat="1" x14ac:dyDescent="0.2">
      <c r="D18" s="50" t="str">
        <f>Lang_Select_Costing_Input_Method</f>
        <v>Select Costing Input Method</v>
      </c>
      <c r="E18" s="72">
        <v>2</v>
      </c>
    </row>
    <row r="19" spans="3:14" s="10" customFormat="1" x14ac:dyDescent="0.2">
      <c r="E19" s="76" t="str">
        <f>Lang_GoTo&amp;" "&amp;HL_TOP_ACTV_Detailed_Costing_Worksheet</f>
        <v>Go to Microplanning Activity #1 (Not in Use) -  Detailed Activity Costing Worksheet - Instructions</v>
      </c>
    </row>
    <row r="20" spans="3:14" s="10" customFormat="1" x14ac:dyDescent="0.2">
      <c r="C20" s="55" t="s">
        <v>208</v>
      </c>
      <c r="D20" s="74" t="str">
        <f>Lang_Detailed_Costing_Worksheet_Estimate</f>
        <v>Detailed Costing Worksheet Estimate</v>
      </c>
    </row>
    <row r="21" spans="3:14" s="10" customFormat="1" x14ac:dyDescent="0.2">
      <c r="F21" s="366" t="str">
        <f>MICRO_Lu!$D$11</f>
        <v>LCU</v>
      </c>
      <c r="G21" s="366" t="str">
        <f>MICRO_Lu!$D$10</f>
        <v>USD</v>
      </c>
      <c r="J21" s="366" t="str">
        <f ca="1">OFFSET(MICRO_Lu!$D$9,DD_TOP_ACTV_Annual_Currency_Used,0)</f>
        <v>USD</v>
      </c>
      <c r="K21" s="366" t="str">
        <f ca="1">OFFSET(MICRO_Lu!$D$9,DD_TOP_ACTV_Annual_Currency_Used,0)</f>
        <v>USD</v>
      </c>
      <c r="L21" s="366" t="str">
        <f ca="1">OFFSET(MICRO_Lu!$D$9,DD_TOP_ACTV_Annual_Currency_Used,0)</f>
        <v>USD</v>
      </c>
      <c r="M21" s="366" t="str">
        <f ca="1">OFFSET(MICRO_Lu!$D$9,DD_TOP_ACTV_Annual_Currency_Used,0)</f>
        <v>USD</v>
      </c>
      <c r="N21" s="366" t="str">
        <f ca="1">OFFSET(MICRO_Lu!$D$9,DD_TOP_ACTV_Annual_Currency_Used,0)</f>
        <v>USD</v>
      </c>
    </row>
    <row r="22" spans="3:14" s="10" customFormat="1" x14ac:dyDescent="0.2">
      <c r="D22" s="53" t="str">
        <f>MICRO_Lu!$D$30&amp;" "&amp;Lang_Cost_Of_A_Single&amp;" "&amp;MICROPLANNING!$D$12&amp;" "&amp;Lang_Activity</f>
        <v>Financial Cost of a Single Microplanning Activity #1 (Not in Use) Activity</v>
      </c>
      <c r="F22" s="41">
        <f>COSTS_DETAILED_SUMMARY!E13</f>
        <v>0</v>
      </c>
      <c r="G22" s="116">
        <f>COSTS_DETAILED_SUMMARY!G13</f>
        <v>0</v>
      </c>
      <c r="J22" s="79">
        <f>IF(DD_TOP_ACTV_Annual_Currency_Used=2,COSTS_DETAILED_SUMMARY!$E13,COSTS_DETAILED_SUMMARY!$G13)</f>
        <v>0</v>
      </c>
      <c r="K22" s="79">
        <f>IF(DD_TOP_ACTV_Annual_Currency_Used=2,COSTS_DETAILED_SUMMARY!$E13,COSTS_DETAILED_SUMMARY!$G13)</f>
        <v>0</v>
      </c>
      <c r="L22" s="79">
        <f>IF(DD_TOP_ACTV_Annual_Currency_Used=2,COSTS_DETAILED_SUMMARY!$E13,COSTS_DETAILED_SUMMARY!$G13)</f>
        <v>0</v>
      </c>
      <c r="M22" s="79">
        <f>IF(DD_TOP_ACTV_Annual_Currency_Used=2,COSTS_DETAILED_SUMMARY!$E13,COSTS_DETAILED_SUMMARY!$G13)</f>
        <v>0</v>
      </c>
      <c r="N22" s="79">
        <f>IF(DD_TOP_ACTV_Annual_Currency_Used=2,COSTS_DETAILED_SUMMARY!$E13,COSTS_DETAILED_SUMMARY!$G13)</f>
        <v>0</v>
      </c>
    </row>
    <row r="23" spans="3:14" s="10" customFormat="1" x14ac:dyDescent="0.2">
      <c r="D23" s="53" t="str">
        <f>MICRO_Lu!$D$31&amp;" "&amp;Lang_Cost_Of_A_Single&amp;" "&amp;MICROPLANNING!$D$12&amp;" "&amp;Lang_Activity</f>
        <v>Economic Cost of a Single Microplanning Activity #1 (Not in Use) Activity</v>
      </c>
      <c r="F23" s="41">
        <f>COSTS_DETAILED_SUMMARY!F13</f>
        <v>0</v>
      </c>
      <c r="G23" s="116">
        <f>COSTS_DETAILED_SUMMARY!H13</f>
        <v>0</v>
      </c>
      <c r="J23" s="79">
        <f>IF(DD_TOP_ACTV_Annual_Currency_Used=2,COSTS_DETAILED_SUMMARY!$F13,COSTS_DETAILED_SUMMARY!$H13)</f>
        <v>0</v>
      </c>
      <c r="K23" s="79">
        <f>IF(DD_TOP_ACTV_Annual_Currency_Used=2,COSTS_DETAILED_SUMMARY!$F13,COSTS_DETAILED_SUMMARY!$H13)</f>
        <v>0</v>
      </c>
      <c r="L23" s="79">
        <f>IF(DD_TOP_ACTV_Annual_Currency_Used=2,COSTS_DETAILED_SUMMARY!$F13,COSTS_DETAILED_SUMMARY!$H13)</f>
        <v>0</v>
      </c>
      <c r="M23" s="79">
        <f>IF(DD_TOP_ACTV_Annual_Currency_Used=2,COSTS_DETAILED_SUMMARY!$F13,COSTS_DETAILED_SUMMARY!$H13)</f>
        <v>0</v>
      </c>
      <c r="N23" s="79">
        <f>IF(DD_TOP_ACTV_Annual_Currency_Used=2,COSTS_DETAILED_SUMMARY!$F13,COSTS_DETAILED_SUMMARY!$H13)</f>
        <v>0</v>
      </c>
    </row>
    <row r="24" spans="3:14" s="10" customFormat="1" x14ac:dyDescent="0.2"/>
    <row r="25" spans="3:14" s="10" customFormat="1" x14ac:dyDescent="0.2"/>
    <row r="26" spans="3:14" s="10" customFormat="1" x14ac:dyDescent="0.2">
      <c r="C26" s="55" t="s">
        <v>210</v>
      </c>
      <c r="D26" s="74" t="str">
        <f>Lang_Direct_User_Entry_Cost_Estimate</f>
        <v>Direct User Entry Cost Estimate</v>
      </c>
      <c r="J26" s="366" t="str">
        <f ca="1">OFFSET(MICRO_Lu!$D$9,DD_TOP_ACTV_Annual_Currency_Used,0)</f>
        <v>USD</v>
      </c>
      <c r="K26" s="366" t="str">
        <f ca="1">OFFSET(MICRO_Lu!$D$9,DD_TOP_ACTV_Annual_Currency_Used,0)</f>
        <v>USD</v>
      </c>
      <c r="L26" s="366" t="str">
        <f ca="1">OFFSET(MICRO_Lu!$D$9,DD_TOP_ACTV_Annual_Currency_Used,0)</f>
        <v>USD</v>
      </c>
      <c r="M26" s="366" t="str">
        <f ca="1">OFFSET(MICRO_Lu!$D$9,DD_TOP_ACTV_Annual_Currency_Used,0)</f>
        <v>USD</v>
      </c>
      <c r="N26" s="366" t="str">
        <f ca="1">OFFSET(MICRO_Lu!$D$9,DD_TOP_ACTV_Annual_Currency_Used,0)</f>
        <v>USD</v>
      </c>
    </row>
    <row r="27" spans="3:14" s="10" customFormat="1" x14ac:dyDescent="0.2">
      <c r="D27" s="53" t="str">
        <f>MICRO_Lu!$D$30&amp;" "&amp;Lang_Cost_Of_A_Single&amp;" "&amp;MICROPLANNING!$D$12&amp;" "&amp;Lang_Activity</f>
        <v>Financial Cost of a Single Microplanning Activity #1 (Not in Use) Activity</v>
      </c>
      <c r="J27" s="80">
        <v>0</v>
      </c>
      <c r="K27" s="80">
        <v>0</v>
      </c>
      <c r="L27" s="80">
        <v>0</v>
      </c>
      <c r="M27" s="80">
        <v>0</v>
      </c>
      <c r="N27" s="80">
        <v>0</v>
      </c>
    </row>
    <row r="28" spans="3:14" s="10" customFormat="1" x14ac:dyDescent="0.2">
      <c r="D28" s="53" t="str">
        <f>MICRO_Lu!$D$31&amp;" "&amp;Lang_Cost_Of_A_Single&amp;" "&amp;MICROPLANNING!$D$12&amp;" "&amp;Lang_Activity</f>
        <v>Economic Cost of a Single Microplanning Activity #1 (Not in Use) Activity</v>
      </c>
      <c r="J28" s="80">
        <v>0</v>
      </c>
      <c r="K28" s="80">
        <v>0</v>
      </c>
      <c r="L28" s="80">
        <v>0</v>
      </c>
      <c r="M28" s="80">
        <v>0</v>
      </c>
      <c r="N28" s="80">
        <v>0</v>
      </c>
    </row>
    <row r="29" spans="3:14" s="10" customFormat="1" x14ac:dyDescent="0.2">
      <c r="D29" s="55" t="str">
        <f>Lang_Error_Check_Checks_If_Override_Input_economic_Cost_Is_Less_Than_Financial_Cost</f>
        <v>ERROR CHECK (CHECKS IF OVERRIDE INPUT ECONOMIC COST IS LESS THAN FINANCIAL COST)</v>
      </c>
      <c r="H29" s="145">
        <f>IF(ISERROR(SUM(J29:N29)),1,MIN(SUM(J29:N29),1))</f>
        <v>0</v>
      </c>
      <c r="J29" s="42">
        <f t="shared" ref="J29:N29" si="2">IF(J28&lt;J27,1,0)</f>
        <v>0</v>
      </c>
      <c r="K29" s="42">
        <f t="shared" si="2"/>
        <v>0</v>
      </c>
      <c r="L29" s="42">
        <f t="shared" si="2"/>
        <v>0</v>
      </c>
      <c r="M29" s="42">
        <f t="shared" si="2"/>
        <v>0</v>
      </c>
      <c r="N29" s="42">
        <f t="shared" si="2"/>
        <v>0</v>
      </c>
    </row>
    <row r="30" spans="3:14" s="10" customFormat="1" x14ac:dyDescent="0.2"/>
    <row r="31" spans="3:14" s="10" customFormat="1" x14ac:dyDescent="0.2">
      <c r="D31" s="74" t="str">
        <f>Lang_Source_Of_Information_Notes</f>
        <v>Notes and Sources of Information</v>
      </c>
    </row>
    <row r="32" spans="3:14" s="10" customFormat="1" x14ac:dyDescent="0.2">
      <c r="D32" s="482" t="s">
        <v>596</v>
      </c>
      <c r="E32" s="482"/>
    </row>
    <row r="33" spans="1:18" s="10" customFormat="1" x14ac:dyDescent="0.2">
      <c r="D33" s="482" t="s">
        <v>596</v>
      </c>
      <c r="E33" s="482"/>
      <c r="R33" s="10" t="s">
        <v>39</v>
      </c>
    </row>
    <row r="34" spans="1:18" s="10" customFormat="1" x14ac:dyDescent="0.2">
      <c r="D34" s="482" t="s">
        <v>596</v>
      </c>
      <c r="E34" s="482"/>
    </row>
    <row r="35" spans="1:18" s="10" customFormat="1" x14ac:dyDescent="0.2"/>
    <row r="36" spans="1:18" s="10" customFormat="1" x14ac:dyDescent="0.2">
      <c r="A36" s="12" t="s">
        <v>125</v>
      </c>
      <c r="B36" s="13" t="str">
        <f>Lang_Number_Of&amp;" "&amp;MICROPLANNING!$D$12&amp;" "&amp;Lang_Activities_Annual_Assumptions_Projected_Or_Retrospective</f>
        <v>Number of Microplanning Activity #1 (Not in Use) Activities - Annual Assumptions (Projected or Retrospective)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</row>
    <row r="37" spans="1:18" s="10" customFormat="1" x14ac:dyDescent="0.2"/>
    <row r="38" spans="1:18" s="10" customFormat="1" x14ac:dyDescent="0.2">
      <c r="D38" s="105" t="str">
        <f>MICROPLANNING!$D$12&amp;" - "&amp;Lang_Number_Of_Activities_Per_Year&amp;" ("&amp;Lang_Projected_Or_Retrospective&amp;")"</f>
        <v>Microplanning Activity #1 (Not in Use) - Number of Activities per Year (Projected or Retrospective)</v>
      </c>
      <c r="J38" s="80">
        <v>0</v>
      </c>
      <c r="K38" s="80">
        <v>0</v>
      </c>
      <c r="L38" s="80">
        <v>0</v>
      </c>
      <c r="M38" s="80">
        <v>0</v>
      </c>
      <c r="N38" s="80">
        <v>0</v>
      </c>
    </row>
    <row r="39" spans="1:18" s="10" customFormat="1" x14ac:dyDescent="0.2"/>
    <row r="40" spans="1:18" s="10" customFormat="1" x14ac:dyDescent="0.2">
      <c r="D40" s="74" t="str">
        <f>Lang_Source_Of_Information_Notes</f>
        <v>Notes and Sources of Information</v>
      </c>
    </row>
    <row r="41" spans="1:18" s="10" customFormat="1" x14ac:dyDescent="0.2">
      <c r="D41" s="482" t="s">
        <v>596</v>
      </c>
      <c r="E41" s="482"/>
    </row>
    <row r="42" spans="1:18" s="10" customFormat="1" x14ac:dyDescent="0.2">
      <c r="D42" s="482" t="s">
        <v>596</v>
      </c>
      <c r="E42" s="482"/>
    </row>
    <row r="43" spans="1:18" s="10" customFormat="1" x14ac:dyDescent="0.2">
      <c r="D43" s="482" t="s">
        <v>596</v>
      </c>
      <c r="E43" s="482"/>
    </row>
    <row r="44" spans="1:18" s="10" customFormat="1" x14ac:dyDescent="0.2">
      <c r="D44" s="76" t="str">
        <f>Lang_GoTo&amp;" "&amp;HL_TOP_ACTV_Activity_Summary_Costs_Annual</f>
        <v>Go to Microplanning Activity #1 (Not in Use) - Summary Costs (Annual)</v>
      </c>
    </row>
    <row r="45" spans="1:18" s="10" customFormat="1" x14ac:dyDescent="0.2"/>
    <row r="46" spans="1:18" s="10" customFormat="1" x14ac:dyDescent="0.2">
      <c r="A46" s="12" t="s">
        <v>125</v>
      </c>
      <c r="B46" s="13" t="str">
        <f>HL_TOP_ACTV_7_Name&amp;" "&amp;Lang_Name</f>
        <v>Microplanning Activity #2 (Not in Use) Name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</row>
    <row r="47" spans="1:18" s="10" customFormat="1" x14ac:dyDescent="0.2"/>
    <row r="48" spans="1:18" s="10" customFormat="1" x14ac:dyDescent="0.2">
      <c r="D48" s="55" t="str">
        <f>Lang_Microplanning_Activity_Name</f>
        <v>Microplanning Activity Name</v>
      </c>
    </row>
    <row r="49" spans="1:14" s="10" customFormat="1" x14ac:dyDescent="0.2">
      <c r="D49" s="75" t="s">
        <v>478</v>
      </c>
    </row>
    <row r="50" spans="1:14" s="10" customFormat="1" x14ac:dyDescent="0.2"/>
    <row r="51" spans="1:14" s="10" customFormat="1" x14ac:dyDescent="0.2">
      <c r="A51" s="12" t="s">
        <v>125</v>
      </c>
      <c r="B51" s="13" t="str">
        <f>HL_TOP_ACTV_7_Name&amp;" "&amp;Lang_Single_Activity_Cost_Annual_Assumptions_Projected_Or_Retrospective</f>
        <v>Microplanning Activity #2 (Not in Use) Single Activity Cost - Annual Assumptions (Projected or Retrospective)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</row>
    <row r="52" spans="1:14" s="10" customFormat="1" x14ac:dyDescent="0.2"/>
    <row r="53" spans="1:14" s="10" customFormat="1" x14ac:dyDescent="0.2">
      <c r="D53" s="50" t="str">
        <f>Lang_Select_Input_Currency</f>
        <v>Select Input Currency</v>
      </c>
      <c r="E53" s="72">
        <v>1</v>
      </c>
    </row>
    <row r="54" spans="1:14" s="10" customFormat="1" x14ac:dyDescent="0.2"/>
    <row r="55" spans="1:14" s="10" customFormat="1" x14ac:dyDescent="0.2">
      <c r="D55" s="50" t="str">
        <f>Lang_Select_Costing_Input_Method</f>
        <v>Select Costing Input Method</v>
      </c>
      <c r="E55" s="72">
        <v>2</v>
      </c>
    </row>
    <row r="56" spans="1:14" s="10" customFormat="1" x14ac:dyDescent="0.2">
      <c r="E56" s="76" t="str">
        <f>Lang_GoTo&amp;" "&amp;HL_TOP_ACTV_7_Detailed_Costing_Worksheet</f>
        <v>Go to Microplanning Activity #2 (Not in Use) -  Detailed Activity Costing Worksheet - Instructions</v>
      </c>
    </row>
    <row r="57" spans="1:14" s="10" customFormat="1" x14ac:dyDescent="0.2">
      <c r="C57" s="55" t="s">
        <v>208</v>
      </c>
      <c r="D57" s="74" t="str">
        <f>Lang_Detailed_Costing_Worksheet_Estimate</f>
        <v>Detailed Costing Worksheet Estimate</v>
      </c>
    </row>
    <row r="58" spans="1:14" s="10" customFormat="1" x14ac:dyDescent="0.2">
      <c r="F58" s="366" t="str">
        <f>MICRO_Lu!$D$46</f>
        <v>LCU</v>
      </c>
      <c r="G58" s="366" t="str">
        <f>MICRO_Lu!$D$45</f>
        <v>USD</v>
      </c>
      <c r="J58" s="366" t="str">
        <f ca="1">OFFSET(MICRO_Lu!$D$44,DD_TOP_ACTV_7_Annual_Currency_Used,0)</f>
        <v>USD</v>
      </c>
      <c r="K58" s="366" t="str">
        <f ca="1">OFFSET(MICRO_Lu!$D$44,DD_TOP_ACTV_7_Annual_Currency_Used,0)</f>
        <v>USD</v>
      </c>
      <c r="L58" s="366" t="str">
        <f ca="1">OFFSET(MICRO_Lu!$D$44,DD_TOP_ACTV_7_Annual_Currency_Used,0)</f>
        <v>USD</v>
      </c>
      <c r="M58" s="366" t="str">
        <f ca="1">OFFSET(MICRO_Lu!$D$44,DD_TOP_ACTV_7_Annual_Currency_Used,0)</f>
        <v>USD</v>
      </c>
      <c r="N58" s="366" t="str">
        <f ca="1">OFFSET(MICRO_Lu!$D$44,DD_TOP_ACTV_7_Annual_Currency_Used,0)</f>
        <v>USD</v>
      </c>
    </row>
    <row r="59" spans="1:14" s="10" customFormat="1" x14ac:dyDescent="0.2">
      <c r="D59" s="53" t="str">
        <f>MICRO_Lu!$D$65&amp;" "&amp;Lang_Cost_Of_A_Single&amp;" "&amp;$D$49&amp;" "&amp;Lang_Activity</f>
        <v>Financial Cost of a Single Microplanning Activity #2 (Not in Use) Activity</v>
      </c>
      <c r="F59" s="41">
        <f>COSTS_DETAILED_SUMMARY!E28</f>
        <v>0</v>
      </c>
      <c r="G59" s="116">
        <f>COSTS_DETAILED_SUMMARY!G28</f>
        <v>0</v>
      </c>
      <c r="J59" s="79">
        <f>IF(DD_TOP_ACTV_7_Annual_Currency_Used=2,COSTS_DETAILED_SUMMARY!$E28,COSTS_DETAILED_SUMMARY!$G28)</f>
        <v>0</v>
      </c>
      <c r="K59" s="79">
        <f>IF(DD_TOP_ACTV_7_Annual_Currency_Used=2,COSTS_DETAILED_SUMMARY!$E28,COSTS_DETAILED_SUMMARY!$G28)</f>
        <v>0</v>
      </c>
      <c r="L59" s="79">
        <f>IF(DD_TOP_ACTV_7_Annual_Currency_Used=2,COSTS_DETAILED_SUMMARY!$E28,COSTS_DETAILED_SUMMARY!$G28)</f>
        <v>0</v>
      </c>
      <c r="M59" s="79">
        <f>IF(DD_TOP_ACTV_7_Annual_Currency_Used=2,COSTS_DETAILED_SUMMARY!$E28,COSTS_DETAILED_SUMMARY!$G28)</f>
        <v>0</v>
      </c>
      <c r="N59" s="79">
        <f>IF(DD_TOP_ACTV_7_Annual_Currency_Used=2,COSTS_DETAILED_SUMMARY!$E28,COSTS_DETAILED_SUMMARY!$G28)</f>
        <v>0</v>
      </c>
    </row>
    <row r="60" spans="1:14" s="10" customFormat="1" x14ac:dyDescent="0.2">
      <c r="D60" s="53" t="str">
        <f>MICRO_Lu!$D$66&amp;" "&amp;Lang_Cost_Of_A_Single&amp;" "&amp;$D$49&amp;" "&amp;Lang_Activity</f>
        <v>Economic Cost of a Single Microplanning Activity #2 (Not in Use) Activity</v>
      </c>
      <c r="F60" s="41">
        <f>COSTS_DETAILED_SUMMARY!F28</f>
        <v>0</v>
      </c>
      <c r="G60" s="116">
        <f>COSTS_DETAILED_SUMMARY!H28</f>
        <v>0</v>
      </c>
      <c r="J60" s="79">
        <f>IF(DD_TOP_ACTV_7_Annual_Currency_Used=2,COSTS_DETAILED_SUMMARY!$F28,COSTS_DETAILED_SUMMARY!$H28)</f>
        <v>0</v>
      </c>
      <c r="K60" s="79">
        <f>IF(DD_TOP_ACTV_7_Annual_Currency_Used=2,COSTS_DETAILED_SUMMARY!$F28,COSTS_DETAILED_SUMMARY!$H28)</f>
        <v>0</v>
      </c>
      <c r="L60" s="79">
        <f>IF(DD_TOP_ACTV_7_Annual_Currency_Used=2,COSTS_DETAILED_SUMMARY!$F28,COSTS_DETAILED_SUMMARY!$H28)</f>
        <v>0</v>
      </c>
      <c r="M60" s="79">
        <f>IF(DD_TOP_ACTV_7_Annual_Currency_Used=2,COSTS_DETAILED_SUMMARY!$F28,COSTS_DETAILED_SUMMARY!$H28)</f>
        <v>0</v>
      </c>
      <c r="N60" s="79">
        <f>IF(DD_TOP_ACTV_7_Annual_Currency_Used=2,COSTS_DETAILED_SUMMARY!$F28,COSTS_DETAILED_SUMMARY!$H28)</f>
        <v>0</v>
      </c>
    </row>
    <row r="61" spans="1:14" s="10" customFormat="1" x14ac:dyDescent="0.2"/>
    <row r="62" spans="1:14" s="10" customFormat="1" x14ac:dyDescent="0.2"/>
    <row r="63" spans="1:14" s="10" customFormat="1" x14ac:dyDescent="0.2">
      <c r="C63" s="55" t="s">
        <v>210</v>
      </c>
      <c r="D63" s="74" t="str">
        <f>Lang_Direct_User_Entry_Cost_Estimate</f>
        <v>Direct User Entry Cost Estimate</v>
      </c>
      <c r="J63" s="366" t="str">
        <f ca="1">OFFSET(MICRO_Lu!$D$44,DD_TOP_ACTV_7_Annual_Currency_Used,0)</f>
        <v>USD</v>
      </c>
      <c r="K63" s="366" t="str">
        <f ca="1">OFFSET(MICRO_Lu!$D$44,DD_TOP_ACTV_7_Annual_Currency_Used,0)</f>
        <v>USD</v>
      </c>
      <c r="L63" s="366" t="str">
        <f ca="1">OFFSET(MICRO_Lu!$D$44,DD_TOP_ACTV_7_Annual_Currency_Used,0)</f>
        <v>USD</v>
      </c>
      <c r="M63" s="366" t="str">
        <f ca="1">OFFSET(MICRO_Lu!$D$44,DD_TOP_ACTV_7_Annual_Currency_Used,0)</f>
        <v>USD</v>
      </c>
      <c r="N63" s="366" t="str">
        <f ca="1">OFFSET(MICRO_Lu!$D$44,DD_TOP_ACTV_7_Annual_Currency_Used,0)</f>
        <v>USD</v>
      </c>
    </row>
    <row r="64" spans="1:14" s="10" customFormat="1" x14ac:dyDescent="0.2">
      <c r="D64" s="53" t="str">
        <f>MICRO_Lu!$D$65&amp;" "&amp;Lang_Cost_Of_A_Single&amp;" "&amp;$D$49&amp;" "&amp;Lang_Activity</f>
        <v>Financial Cost of a Single Microplanning Activity #2 (Not in Use) Activity</v>
      </c>
      <c r="J64" s="80">
        <v>0</v>
      </c>
      <c r="K64" s="80">
        <v>0</v>
      </c>
      <c r="L64" s="80">
        <v>0</v>
      </c>
      <c r="M64" s="80">
        <v>0</v>
      </c>
      <c r="N64" s="80">
        <v>0</v>
      </c>
    </row>
    <row r="65" spans="1:14" s="10" customFormat="1" x14ac:dyDescent="0.2">
      <c r="D65" s="53" t="str">
        <f>MICRO_Lu!$D$66&amp;" "&amp;Lang_Cost_Of_A_Single&amp;" "&amp;$D$49&amp;" "&amp;Lang_Activity</f>
        <v>Economic Cost of a Single Microplanning Activity #2 (Not in Use) Activity</v>
      </c>
      <c r="J65" s="80">
        <v>0</v>
      </c>
      <c r="K65" s="80">
        <v>0</v>
      </c>
      <c r="L65" s="80">
        <v>0</v>
      </c>
      <c r="M65" s="80">
        <v>0</v>
      </c>
      <c r="N65" s="80">
        <v>0</v>
      </c>
    </row>
    <row r="66" spans="1:14" s="10" customFormat="1" x14ac:dyDescent="0.2">
      <c r="D66" s="55" t="str">
        <f>Lang_Error_Check_Checks_If_Override_Input_economic_Cost_Is_Less_Than_Financial_Cost</f>
        <v>ERROR CHECK (CHECKS IF OVERRIDE INPUT ECONOMIC COST IS LESS THAN FINANCIAL COST)</v>
      </c>
      <c r="H66" s="145">
        <f>IF(ISERROR(SUM(J66:N66)),1,MIN(SUM(J66:N66),1))</f>
        <v>0</v>
      </c>
      <c r="J66" s="42">
        <f t="shared" ref="J66:N66" si="3">IF(J65&lt;J64,1,0)</f>
        <v>0</v>
      </c>
      <c r="K66" s="42">
        <f t="shared" si="3"/>
        <v>0</v>
      </c>
      <c r="L66" s="42">
        <f t="shared" si="3"/>
        <v>0</v>
      </c>
      <c r="M66" s="42">
        <f t="shared" si="3"/>
        <v>0</v>
      </c>
      <c r="N66" s="42">
        <f t="shared" si="3"/>
        <v>0</v>
      </c>
    </row>
    <row r="67" spans="1:14" s="10" customFormat="1" x14ac:dyDescent="0.2"/>
    <row r="68" spans="1:14" s="10" customFormat="1" x14ac:dyDescent="0.2">
      <c r="D68" s="74" t="str">
        <f>Lang_Source_Of_Information_Notes</f>
        <v>Notes and Sources of Information</v>
      </c>
    </row>
    <row r="69" spans="1:14" s="10" customFormat="1" x14ac:dyDescent="0.2">
      <c r="D69" s="482" t="s">
        <v>596</v>
      </c>
      <c r="E69" s="482"/>
    </row>
    <row r="70" spans="1:14" s="10" customFormat="1" x14ac:dyDescent="0.2">
      <c r="D70" s="482" t="s">
        <v>596</v>
      </c>
      <c r="E70" s="482"/>
    </row>
    <row r="71" spans="1:14" s="10" customFormat="1" x14ac:dyDescent="0.2">
      <c r="D71" s="482" t="s">
        <v>596</v>
      </c>
      <c r="E71" s="482"/>
    </row>
    <row r="72" spans="1:14" s="10" customFormat="1" x14ac:dyDescent="0.2"/>
    <row r="73" spans="1:14" s="10" customFormat="1" x14ac:dyDescent="0.2">
      <c r="A73" s="12" t="s">
        <v>125</v>
      </c>
      <c r="B73" s="13" t="str">
        <f>Lang_Number_Of&amp;" "&amp;$D$49&amp;" "&amp;Lang_Activities_Annual_Assumptions_Projected_Or_Retrospective</f>
        <v>Number of Microplanning Activity #2 (Not in Use) Activities - Annual Assumptions (Projected or Retrospective)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</row>
    <row r="74" spans="1:14" s="10" customFormat="1" x14ac:dyDescent="0.2"/>
    <row r="75" spans="1:14" s="10" customFormat="1" x14ac:dyDescent="0.2">
      <c r="D75" s="105" t="str">
        <f>$D$49&amp;" - "&amp;Lang_Number_Of_Activities_Per_Year&amp;" ("&amp;Lang_Projected_Or_Retrospective&amp;")"</f>
        <v>Microplanning Activity #2 (Not in Use) - Number of Activities per Year (Projected or Retrospective)</v>
      </c>
      <c r="J75" s="80">
        <v>0</v>
      </c>
      <c r="K75" s="80">
        <v>0</v>
      </c>
      <c r="L75" s="80">
        <v>0</v>
      </c>
      <c r="M75" s="80">
        <v>0</v>
      </c>
      <c r="N75" s="80">
        <v>0</v>
      </c>
    </row>
    <row r="76" spans="1:14" s="10" customFormat="1" x14ac:dyDescent="0.2"/>
    <row r="77" spans="1:14" s="10" customFormat="1" x14ac:dyDescent="0.2">
      <c r="D77" s="74" t="str">
        <f>Lang_Source_Of_Information_Notes</f>
        <v>Notes and Sources of Information</v>
      </c>
    </row>
    <row r="78" spans="1:14" s="10" customFormat="1" x14ac:dyDescent="0.2">
      <c r="D78" s="482" t="s">
        <v>596</v>
      </c>
      <c r="E78" s="482"/>
    </row>
    <row r="79" spans="1:14" s="10" customFormat="1" x14ac:dyDescent="0.2">
      <c r="D79" s="482" t="s">
        <v>596</v>
      </c>
      <c r="E79" s="482"/>
    </row>
    <row r="80" spans="1:14" s="10" customFormat="1" x14ac:dyDescent="0.2">
      <c r="D80" s="482" t="s">
        <v>596</v>
      </c>
      <c r="E80" s="482"/>
    </row>
    <row r="81" spans="1:14" s="10" customFormat="1" x14ac:dyDescent="0.2">
      <c r="D81" s="76" t="str">
        <f>Lang_GoTo&amp;" "&amp;HL_TOP_ACTV_7_Activity_Summary_Costs_Annual</f>
        <v>Go to Microplanning Activity #2 (Not in Use) - Summary Costs (Annual)</v>
      </c>
    </row>
    <row r="82" spans="1:14" s="10" customFormat="1" x14ac:dyDescent="0.2"/>
    <row r="83" spans="1:14" s="10" customFormat="1" x14ac:dyDescent="0.2">
      <c r="A83" s="12" t="s">
        <v>125</v>
      </c>
      <c r="B83" s="13" t="str">
        <f>HL_LVL2_ACTV_Name&amp;" "&amp;Lang_Name</f>
        <v>Microplanning Activity #3 (Not in Use) Name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</row>
    <row r="84" spans="1:14" s="10" customFormat="1" x14ac:dyDescent="0.2"/>
    <row r="85" spans="1:14" s="10" customFormat="1" x14ac:dyDescent="0.2">
      <c r="D85" s="55" t="str">
        <f>Lang_Microplanning_Activity_Name</f>
        <v>Microplanning Activity Name</v>
      </c>
    </row>
    <row r="86" spans="1:14" s="10" customFormat="1" x14ac:dyDescent="0.2">
      <c r="D86" s="75" t="s">
        <v>477</v>
      </c>
    </row>
    <row r="87" spans="1:14" s="10" customFormat="1" x14ac:dyDescent="0.2"/>
    <row r="88" spans="1:14" s="10" customFormat="1" x14ac:dyDescent="0.2">
      <c r="A88" s="12" t="s">
        <v>125</v>
      </c>
      <c r="B88" s="13" t="str">
        <f>HL_LVL2_ACTV_Name&amp;" "&amp;Lang_Single_Activity_Cost_Annual_Assumptions_Projected_Or_Retrospective</f>
        <v>Microplanning Activity #3 (Not in Use) Single Activity Cost - Annual Assumptions (Projected or Retrospective)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10" customFormat="1" x14ac:dyDescent="0.2"/>
    <row r="90" spans="1:14" s="10" customFormat="1" x14ac:dyDescent="0.2">
      <c r="D90" s="114" t="str">
        <f>HL_LVL2_ACTV_Name</f>
        <v>Microplanning Activity #3 (Not in Use)</v>
      </c>
    </row>
    <row r="91" spans="1:14" s="10" customFormat="1" x14ac:dyDescent="0.2"/>
    <row r="92" spans="1:14" s="10" customFormat="1" x14ac:dyDescent="0.2">
      <c r="D92" s="50" t="str">
        <f>Lang_Select_Input_Currency</f>
        <v>Select Input Currency</v>
      </c>
      <c r="E92" s="72">
        <v>1</v>
      </c>
    </row>
    <row r="93" spans="1:14" s="10" customFormat="1" x14ac:dyDescent="0.2"/>
    <row r="94" spans="1:14" s="10" customFormat="1" x14ac:dyDescent="0.2">
      <c r="D94" s="50" t="str">
        <f>Lang_Select_Costing_Input_Method</f>
        <v>Select Costing Input Method</v>
      </c>
      <c r="E94" s="72">
        <v>2</v>
      </c>
    </row>
    <row r="95" spans="1:14" s="10" customFormat="1" x14ac:dyDescent="0.2">
      <c r="E95" s="76" t="str">
        <f>Lang_GoTo&amp;" "&amp;HL_LVL2_ACTV_Detailed_Costing_Worksheet</f>
        <v>Go to Microplanning Activity #3 (Not in Use) -  Detailed Activity Costing Worksheet - Instructions</v>
      </c>
    </row>
    <row r="96" spans="1:14" s="10" customFormat="1" x14ac:dyDescent="0.2">
      <c r="C96" s="55" t="s">
        <v>208</v>
      </c>
      <c r="D96" s="74" t="str">
        <f>Lang_Detailed_Costing_Worksheet_Estimate</f>
        <v>Detailed Costing Worksheet Estimate</v>
      </c>
    </row>
    <row r="97" spans="1:14" s="10" customFormat="1" x14ac:dyDescent="0.2">
      <c r="F97" s="366" t="str">
        <f>MICRO_Lu!$D$81</f>
        <v>LCU</v>
      </c>
      <c r="G97" s="366" t="str">
        <f>MICRO_Lu!$D$80</f>
        <v>USD</v>
      </c>
      <c r="J97" s="366" t="str">
        <f ca="1">OFFSET(MICRO_Lu!$D$79,DD_LVL2_ACTV_Annual_Currency_Select,0)</f>
        <v>USD</v>
      </c>
      <c r="K97" s="366" t="str">
        <f ca="1">OFFSET(MICRO_Lu!$D$79,DD_LVL2_ACTV_Annual_Currency_Select,0)</f>
        <v>USD</v>
      </c>
      <c r="L97" s="366" t="str">
        <f ca="1">OFFSET(MICRO_Lu!$D$79,DD_LVL2_ACTV_Annual_Currency_Select,0)</f>
        <v>USD</v>
      </c>
      <c r="M97" s="366" t="str">
        <f ca="1">OFFSET(MICRO_Lu!$D$79,DD_LVL2_ACTV_Annual_Currency_Select,0)</f>
        <v>USD</v>
      </c>
      <c r="N97" s="366" t="str">
        <f ca="1">OFFSET(MICRO_Lu!$D$79,DD_LVL2_ACTV_Annual_Currency_Select,0)</f>
        <v>USD</v>
      </c>
    </row>
    <row r="98" spans="1:14" s="10" customFormat="1" x14ac:dyDescent="0.2">
      <c r="D98" s="53" t="str">
        <f>MICRO_Lu!$D$100&amp;" "&amp;Lang_Cost_Of_A_Single&amp;" "&amp;MICROPLANNING!$D$86&amp;" "&amp;Lang_Activity</f>
        <v>Financial Cost of a Single Microplanning Activity #3 (Not in Use) Activity</v>
      </c>
      <c r="F98" s="41">
        <f>COSTS_DETAILED_SUMMARY!E44</f>
        <v>0</v>
      </c>
      <c r="G98" s="116">
        <f>COSTS_DETAILED_SUMMARY!G44</f>
        <v>0</v>
      </c>
      <c r="J98" s="79">
        <f>IF(DD_LVL2_ACTV_Annual_Currency_Select=2,COSTS_DETAILED_SUMMARY!$E44,COSTS_DETAILED_SUMMARY!$G44)</f>
        <v>0</v>
      </c>
      <c r="K98" s="79">
        <f>IF(DD_LVL2_ACTV_Annual_Currency_Select=2,COSTS_DETAILED_SUMMARY!$E44,COSTS_DETAILED_SUMMARY!$G44)</f>
        <v>0</v>
      </c>
      <c r="L98" s="79">
        <f>IF(DD_LVL2_ACTV_Annual_Currency_Select=2,COSTS_DETAILED_SUMMARY!$E44,COSTS_DETAILED_SUMMARY!$G44)</f>
        <v>0</v>
      </c>
      <c r="M98" s="79">
        <f>IF(DD_LVL2_ACTV_Annual_Currency_Select=2,COSTS_DETAILED_SUMMARY!$E44,COSTS_DETAILED_SUMMARY!$G44)</f>
        <v>0</v>
      </c>
      <c r="N98" s="79">
        <f>IF(DD_LVL2_ACTV_Annual_Currency_Select=2,COSTS_DETAILED_SUMMARY!$E44,COSTS_DETAILED_SUMMARY!$G44)</f>
        <v>0</v>
      </c>
    </row>
    <row r="99" spans="1:14" s="10" customFormat="1" x14ac:dyDescent="0.2">
      <c r="D99" s="53" t="str">
        <f>MICRO_Lu!$D$101&amp;" "&amp;Lang_Cost_Of_A_Single&amp;" "&amp;MICROPLANNING!$D$86&amp;" "&amp;Lang_Activity</f>
        <v>Economic Cost of a Single Microplanning Activity #3 (Not in Use) Activity</v>
      </c>
      <c r="F99" s="41">
        <f>COSTS_DETAILED_SUMMARY!F44</f>
        <v>0</v>
      </c>
      <c r="G99" s="116">
        <f>COSTS_DETAILED_SUMMARY!H44</f>
        <v>0</v>
      </c>
      <c r="J99" s="79">
        <f>IF(DD_LVL2_ACTV_Annual_Currency_Select=2,COSTS_DETAILED_SUMMARY!$F44,COSTS_DETAILED_SUMMARY!$H44)</f>
        <v>0</v>
      </c>
      <c r="K99" s="79">
        <f>IF(DD_LVL2_ACTV_Annual_Currency_Select=2,COSTS_DETAILED_SUMMARY!$F44,COSTS_DETAILED_SUMMARY!$H44)</f>
        <v>0</v>
      </c>
      <c r="L99" s="79">
        <f>IF(DD_LVL2_ACTV_Annual_Currency_Select=2,COSTS_DETAILED_SUMMARY!$F44,COSTS_DETAILED_SUMMARY!$H44)</f>
        <v>0</v>
      </c>
      <c r="M99" s="79">
        <f>IF(DD_LVL2_ACTV_Annual_Currency_Select=2,COSTS_DETAILED_SUMMARY!$F44,COSTS_DETAILED_SUMMARY!$H44)</f>
        <v>0</v>
      </c>
      <c r="N99" s="79">
        <f>IF(DD_LVL2_ACTV_Annual_Currency_Select=2,COSTS_DETAILED_SUMMARY!$F44,COSTS_DETAILED_SUMMARY!$H44)</f>
        <v>0</v>
      </c>
    </row>
    <row r="100" spans="1:14" s="10" customFormat="1" x14ac:dyDescent="0.2"/>
    <row r="101" spans="1:14" s="10" customFormat="1" x14ac:dyDescent="0.2"/>
    <row r="102" spans="1:14" s="10" customFormat="1" x14ac:dyDescent="0.2">
      <c r="C102" s="55" t="s">
        <v>210</v>
      </c>
      <c r="D102" s="74" t="str">
        <f>Lang_Direct_User_Entry_Cost_Estimate</f>
        <v>Direct User Entry Cost Estimate</v>
      </c>
      <c r="J102" s="366" t="str">
        <f ca="1">OFFSET(MICRO_Lu!$D$79,DD_LVL2_ACTV_Annual_Currency_Select,0)</f>
        <v>USD</v>
      </c>
      <c r="K102" s="366" t="str">
        <f ca="1">OFFSET(MICRO_Lu!$D$79,DD_LVL2_ACTV_Annual_Currency_Select,0)</f>
        <v>USD</v>
      </c>
      <c r="L102" s="366" t="str">
        <f ca="1">OFFSET(MICRO_Lu!$D$79,DD_LVL2_ACTV_Annual_Currency_Select,0)</f>
        <v>USD</v>
      </c>
      <c r="M102" s="366" t="str">
        <f ca="1">OFFSET(MICRO_Lu!$D$79,DD_LVL2_ACTV_Annual_Currency_Select,0)</f>
        <v>USD</v>
      </c>
      <c r="N102" s="366" t="str">
        <f ca="1">OFFSET(MICRO_Lu!$D$79,DD_LVL2_ACTV_Annual_Currency_Select,0)</f>
        <v>USD</v>
      </c>
    </row>
    <row r="103" spans="1:14" s="10" customFormat="1" x14ac:dyDescent="0.2">
      <c r="D103" s="53" t="str">
        <f>MICRO_Lu!$D$100&amp;" "&amp;Lang_Cost_Of_A_Single&amp;" "&amp;MICROPLANNING!$D$86&amp;" "&amp;Lang_Activity</f>
        <v>Financial Cost of a Single Microplanning Activity #3 (Not in Use) Activity</v>
      </c>
      <c r="J103" s="80">
        <v>0</v>
      </c>
      <c r="K103" s="80">
        <v>0</v>
      </c>
      <c r="L103" s="80">
        <v>0</v>
      </c>
      <c r="M103" s="80">
        <v>0</v>
      </c>
      <c r="N103" s="80">
        <v>0</v>
      </c>
    </row>
    <row r="104" spans="1:14" s="10" customFormat="1" x14ac:dyDescent="0.2">
      <c r="D104" s="53" t="str">
        <f>MICRO_Lu!$D$101&amp;" "&amp;Lang_Cost_Of_A_Single&amp;" "&amp;MICROPLANNING!$D$86&amp;" "&amp;Lang_Activity</f>
        <v>Economic Cost of a Single Microplanning Activity #3 (Not in Use) Activity</v>
      </c>
      <c r="J104" s="80">
        <v>0</v>
      </c>
      <c r="K104" s="80">
        <v>0</v>
      </c>
      <c r="L104" s="80">
        <v>0</v>
      </c>
      <c r="M104" s="80">
        <v>0</v>
      </c>
      <c r="N104" s="80">
        <v>0</v>
      </c>
    </row>
    <row r="105" spans="1:14" s="10" customFormat="1" x14ac:dyDescent="0.2">
      <c r="D105" s="55" t="str">
        <f>Lang_Error_Check_Checks_If_Override_Input_economic_Cost_Is_Less_Than_Financial_Cost</f>
        <v>ERROR CHECK (CHECKS IF OVERRIDE INPUT ECONOMIC COST IS LESS THAN FINANCIAL COST)</v>
      </c>
      <c r="H105" s="145">
        <f>IF(ISERROR(SUM(J105:N105)),1,MIN(SUM(J105:N105),1))</f>
        <v>0</v>
      </c>
      <c r="J105" s="42">
        <f t="shared" ref="J105:N105" si="4">IF(J104&lt;J103,1,0)</f>
        <v>0</v>
      </c>
      <c r="K105" s="42">
        <f t="shared" si="4"/>
        <v>0</v>
      </c>
      <c r="L105" s="42">
        <f t="shared" si="4"/>
        <v>0</v>
      </c>
      <c r="M105" s="42">
        <f t="shared" si="4"/>
        <v>0</v>
      </c>
      <c r="N105" s="42">
        <f t="shared" si="4"/>
        <v>0</v>
      </c>
    </row>
    <row r="106" spans="1:14" s="10" customFormat="1" x14ac:dyDescent="0.2"/>
    <row r="107" spans="1:14" s="10" customFormat="1" x14ac:dyDescent="0.2">
      <c r="D107" s="74" t="str">
        <f>Lang_Source_Of_Information_Notes</f>
        <v>Notes and Sources of Information</v>
      </c>
    </row>
    <row r="108" spans="1:14" s="10" customFormat="1" x14ac:dyDescent="0.2">
      <c r="D108" s="482" t="s">
        <v>596</v>
      </c>
      <c r="E108" s="482"/>
    </row>
    <row r="109" spans="1:14" s="10" customFormat="1" x14ac:dyDescent="0.2">
      <c r="D109" s="482" t="s">
        <v>596</v>
      </c>
      <c r="E109" s="482"/>
    </row>
    <row r="110" spans="1:14" s="10" customFormat="1" x14ac:dyDescent="0.2">
      <c r="D110" s="482" t="s">
        <v>596</v>
      </c>
      <c r="E110" s="482"/>
    </row>
    <row r="111" spans="1:14" s="10" customFormat="1" x14ac:dyDescent="0.2"/>
    <row r="112" spans="1:14" s="10" customFormat="1" x14ac:dyDescent="0.2">
      <c r="A112" s="12" t="s">
        <v>125</v>
      </c>
      <c r="B112" s="13" t="str">
        <f>Lang_Number_Of&amp;" "&amp;MICROPLANNING!$D$86&amp;" "&amp;Lang_Activities_Annual_Assumptions_Projected_Or_Retrospective</f>
        <v>Number of Microplanning Activity #3 (Not in Use) Activities - Annual Assumptions (Projected or Retrospective)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</row>
    <row r="113" spans="1:14" s="10" customFormat="1" x14ac:dyDescent="0.2"/>
    <row r="114" spans="1:14" s="10" customFormat="1" x14ac:dyDescent="0.2">
      <c r="D114" s="71" t="str">
        <f>HL_LVL2_ACTV_Name&amp;" - "&amp;Lang_Number_Of_Activities_Per_Year&amp;" ("&amp;Lang_Projected_Or_Retrospective&amp;")"</f>
        <v>Microplanning Activity #3 (Not in Use) - Number of Activities per Year (Projected or Retrospective)</v>
      </c>
    </row>
    <row r="115" spans="1:14" s="10" customFormat="1" x14ac:dyDescent="0.2"/>
    <row r="116" spans="1:14" s="10" customFormat="1" x14ac:dyDescent="0.2">
      <c r="D116" s="55" t="str">
        <f>Lang_Number_Of_Activities</f>
        <v>Number of Activities</v>
      </c>
      <c r="J116" s="324">
        <v>0</v>
      </c>
      <c r="K116" s="324">
        <v>0</v>
      </c>
      <c r="L116" s="324">
        <v>0</v>
      </c>
      <c r="M116" s="324">
        <v>0</v>
      </c>
      <c r="N116" s="324">
        <v>0</v>
      </c>
    </row>
    <row r="117" spans="1:14" s="10" customFormat="1" x14ac:dyDescent="0.2">
      <c r="D117" s="71" t="str">
        <f>D114</f>
        <v>Microplanning Activity #3 (Not in Use) - Number of Activities per Year (Projected or Retrospective)</v>
      </c>
      <c r="J117" s="42">
        <f t="shared" ref="J117:N117" si="5">SUM(J116:J116)</f>
        <v>0</v>
      </c>
      <c r="K117" s="42">
        <f t="shared" si="5"/>
        <v>0</v>
      </c>
      <c r="L117" s="42">
        <f t="shared" si="5"/>
        <v>0</v>
      </c>
      <c r="M117" s="42">
        <f t="shared" si="5"/>
        <v>0</v>
      </c>
      <c r="N117" s="42">
        <f t="shared" si="5"/>
        <v>0</v>
      </c>
    </row>
    <row r="118" spans="1:14" s="10" customFormat="1" x14ac:dyDescent="0.2"/>
    <row r="119" spans="1:14" s="10" customFormat="1" x14ac:dyDescent="0.2">
      <c r="D119" s="74" t="str">
        <f>Lang_Source_Of_Information_Notes</f>
        <v>Notes and Sources of Information</v>
      </c>
    </row>
    <row r="120" spans="1:14" s="10" customFormat="1" x14ac:dyDescent="0.2">
      <c r="D120" s="482" t="s">
        <v>596</v>
      </c>
      <c r="E120" s="482"/>
    </row>
    <row r="121" spans="1:14" s="10" customFormat="1" x14ac:dyDescent="0.2">
      <c r="D121" s="482" t="s">
        <v>596</v>
      </c>
      <c r="E121" s="482"/>
    </row>
    <row r="122" spans="1:14" s="10" customFormat="1" x14ac:dyDescent="0.2">
      <c r="D122" s="482" t="s">
        <v>596</v>
      </c>
      <c r="E122" s="482"/>
    </row>
    <row r="123" spans="1:14" s="10" customFormat="1" x14ac:dyDescent="0.2"/>
    <row r="124" spans="1:14" s="10" customFormat="1" x14ac:dyDescent="0.2">
      <c r="D124" s="76" t="str">
        <f>Lang_GoTo&amp;" "&amp;HL_LVL2_ACTV_Activity_Summary_Costs_Annual</f>
        <v>Go to Microplanning Activity #3 (Not in Use) - Summary Costs (Annual)</v>
      </c>
    </row>
    <row r="125" spans="1:14" s="10" customFormat="1" x14ac:dyDescent="0.2"/>
    <row r="126" spans="1:14" s="10" customFormat="1" x14ac:dyDescent="0.2">
      <c r="A126" s="12" t="s">
        <v>125</v>
      </c>
      <c r="B126" s="13" t="str">
        <f>HL_LVL2_ACTV_20_Name&amp;" "&amp;Lang_Name</f>
        <v>Microplanning Activity #4 (Not in Use) Name</v>
      </c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</row>
    <row r="127" spans="1:14" s="10" customFormat="1" x14ac:dyDescent="0.2"/>
    <row r="128" spans="1:14" s="10" customFormat="1" x14ac:dyDescent="0.2">
      <c r="D128" s="55" t="str">
        <f>Lang_Microplanning_Activity_Name</f>
        <v>Microplanning Activity Name</v>
      </c>
    </row>
    <row r="129" spans="1:14" s="10" customFormat="1" x14ac:dyDescent="0.2">
      <c r="D129" s="75" t="s">
        <v>476</v>
      </c>
    </row>
    <row r="130" spans="1:14" s="10" customFormat="1" x14ac:dyDescent="0.2"/>
    <row r="131" spans="1:14" s="10" customFormat="1" x14ac:dyDescent="0.2">
      <c r="A131" s="12" t="s">
        <v>125</v>
      </c>
      <c r="B131" s="13" t="str">
        <f>HL_LVL2_ACTV_20_Name&amp;" "&amp;Lang_Single_Activity_Cost_Annual_Assumptions_Projected_Or_Retrospective</f>
        <v>Microplanning Activity #4 (Not in Use) Single Activity Cost - Annual Assumptions (Projected or Retrospective)</v>
      </c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</row>
    <row r="132" spans="1:14" s="10" customFormat="1" x14ac:dyDescent="0.2"/>
    <row r="133" spans="1:14" s="10" customFormat="1" x14ac:dyDescent="0.2">
      <c r="D133" s="114" t="str">
        <f>HL_LVL2_ACTV_20_Name</f>
        <v>Microplanning Activity #4 (Not in Use)</v>
      </c>
    </row>
    <row r="134" spans="1:14" s="10" customFormat="1" x14ac:dyDescent="0.2"/>
    <row r="135" spans="1:14" s="10" customFormat="1" x14ac:dyDescent="0.2">
      <c r="D135" s="50" t="str">
        <f>Lang_Select_Input_Currency</f>
        <v>Select Input Currency</v>
      </c>
      <c r="E135" s="72">
        <v>1</v>
      </c>
    </row>
    <row r="136" spans="1:14" s="10" customFormat="1" x14ac:dyDescent="0.2"/>
    <row r="137" spans="1:14" s="10" customFormat="1" x14ac:dyDescent="0.2">
      <c r="D137" s="50" t="str">
        <f>Lang_Select_Costing_Input_Method</f>
        <v>Select Costing Input Method</v>
      </c>
      <c r="E137" s="72">
        <v>2</v>
      </c>
    </row>
    <row r="138" spans="1:14" s="10" customFormat="1" x14ac:dyDescent="0.2">
      <c r="E138" s="76" t="str">
        <f>Lang_GoTo&amp;" "&amp;HL_LVL2_ACTV_20_Detailed_Costing_Worksheet</f>
        <v>Go to Microplanning Activity #4 (Not in Use) -  Detailed Activity Costing Worksheet - Instructions</v>
      </c>
    </row>
    <row r="139" spans="1:14" s="10" customFormat="1" x14ac:dyDescent="0.2">
      <c r="C139" s="55" t="s">
        <v>208</v>
      </c>
      <c r="D139" s="74" t="str">
        <f>Lang_Detailed_Costing_Worksheet_Estimate</f>
        <v>Detailed Costing Worksheet Estimate</v>
      </c>
    </row>
    <row r="140" spans="1:14" s="10" customFormat="1" x14ac:dyDescent="0.2">
      <c r="F140" s="366" t="str">
        <f>MICRO_Lu!$D$116</f>
        <v>LCU</v>
      </c>
      <c r="G140" s="366" t="str">
        <f>MICRO_Lu!$D$115</f>
        <v>USD</v>
      </c>
      <c r="J140" s="366" t="str">
        <f ca="1">OFFSET(MICRO_Lu!$D$114,DD_LVL2_ACTV_20_Annual_Currency_Select,0)</f>
        <v>USD</v>
      </c>
      <c r="K140" s="366" t="str">
        <f ca="1">OFFSET(MICRO_Lu!$D$114,DD_LVL2_ACTV_20_Annual_Currency_Select,0)</f>
        <v>USD</v>
      </c>
      <c r="L140" s="366" t="str">
        <f ca="1">OFFSET(MICRO_Lu!$D$114,DD_LVL2_ACTV_20_Annual_Currency_Select,0)</f>
        <v>USD</v>
      </c>
      <c r="M140" s="366" t="str">
        <f ca="1">OFFSET(MICRO_Lu!$D$114,DD_LVL2_ACTV_20_Annual_Currency_Select,0)</f>
        <v>USD</v>
      </c>
      <c r="N140" s="366" t="str">
        <f ca="1">OFFSET(MICRO_Lu!$D$114,DD_LVL2_ACTV_20_Annual_Currency_Select,0)</f>
        <v>USD</v>
      </c>
    </row>
    <row r="141" spans="1:14" s="10" customFormat="1" x14ac:dyDescent="0.2">
      <c r="D141" s="53" t="str">
        <f>MICRO_Lu!$D$135&amp;" "&amp;Lang_Cost_Of_A_Single&amp;" "&amp;$D$129&amp;" "&amp;Lang_Activity</f>
        <v>Financial Cost of a Single Microplanning Activity #4 (Not in Use) Activity</v>
      </c>
      <c r="F141" s="41">
        <f>COSTS_DETAILED_SUMMARY!E60</f>
        <v>0</v>
      </c>
      <c r="G141" s="116">
        <f>COSTS_DETAILED_SUMMARY!G60</f>
        <v>0</v>
      </c>
      <c r="J141" s="79">
        <f>IF(DD_LVL2_ACTV_20_Annual_Currency_Select=2,COSTS_DETAILED_SUMMARY!$E60,COSTS_DETAILED_SUMMARY!$G60)</f>
        <v>0</v>
      </c>
      <c r="K141" s="79">
        <f>IF(DD_LVL2_ACTV_20_Annual_Currency_Select=2,COSTS_DETAILED_SUMMARY!$E60,COSTS_DETAILED_SUMMARY!$G60)</f>
        <v>0</v>
      </c>
      <c r="L141" s="79">
        <f>IF(DD_LVL2_ACTV_20_Annual_Currency_Select=2,COSTS_DETAILED_SUMMARY!$E60,COSTS_DETAILED_SUMMARY!$G60)</f>
        <v>0</v>
      </c>
      <c r="M141" s="79">
        <f>IF(DD_LVL2_ACTV_20_Annual_Currency_Select=2,COSTS_DETAILED_SUMMARY!$E60,COSTS_DETAILED_SUMMARY!$G60)</f>
        <v>0</v>
      </c>
      <c r="N141" s="79">
        <f>IF(DD_LVL2_ACTV_20_Annual_Currency_Select=2,COSTS_DETAILED_SUMMARY!$E60,COSTS_DETAILED_SUMMARY!$G60)</f>
        <v>0</v>
      </c>
    </row>
    <row r="142" spans="1:14" s="10" customFormat="1" x14ac:dyDescent="0.2">
      <c r="D142" s="53" t="str">
        <f>MICRO_Lu!$D$136&amp;" "&amp;Lang_Cost_Of_A_Single&amp;" "&amp;$D$129&amp;" "&amp;Lang_Activity</f>
        <v>Economic Cost of a Single Microplanning Activity #4 (Not in Use) Activity</v>
      </c>
      <c r="F142" s="41">
        <f>COSTS_DETAILED_SUMMARY!F60</f>
        <v>0</v>
      </c>
      <c r="G142" s="116">
        <f>COSTS_DETAILED_SUMMARY!H60</f>
        <v>0</v>
      </c>
      <c r="J142" s="79">
        <f>IF(DD_LVL2_ACTV_20_Annual_Currency_Select=2,COSTS_DETAILED_SUMMARY!$F60,COSTS_DETAILED_SUMMARY!$H60)</f>
        <v>0</v>
      </c>
      <c r="K142" s="79">
        <f>IF(DD_LVL2_ACTV_20_Annual_Currency_Select=2,COSTS_DETAILED_SUMMARY!$F60,COSTS_DETAILED_SUMMARY!$H60)</f>
        <v>0</v>
      </c>
      <c r="L142" s="79">
        <f>IF(DD_LVL2_ACTV_20_Annual_Currency_Select=2,COSTS_DETAILED_SUMMARY!$F60,COSTS_DETAILED_SUMMARY!$H60)</f>
        <v>0</v>
      </c>
      <c r="M142" s="79">
        <f>IF(DD_LVL2_ACTV_20_Annual_Currency_Select=2,COSTS_DETAILED_SUMMARY!$F60,COSTS_DETAILED_SUMMARY!$H60)</f>
        <v>0</v>
      </c>
      <c r="N142" s="79">
        <f>IF(DD_LVL2_ACTV_20_Annual_Currency_Select=2,COSTS_DETAILED_SUMMARY!$F60,COSTS_DETAILED_SUMMARY!$H60)</f>
        <v>0</v>
      </c>
    </row>
    <row r="143" spans="1:14" s="10" customFormat="1" x14ac:dyDescent="0.2"/>
    <row r="144" spans="1:14" s="10" customFormat="1" x14ac:dyDescent="0.2"/>
    <row r="145" spans="1:14" s="10" customFormat="1" x14ac:dyDescent="0.2">
      <c r="C145" s="55" t="s">
        <v>210</v>
      </c>
      <c r="D145" s="74" t="str">
        <f>Lang_Direct_User_Entry_Cost_Estimate</f>
        <v>Direct User Entry Cost Estimate</v>
      </c>
      <c r="J145" s="366" t="str">
        <f ca="1">OFFSET(MICRO_Lu!$D$114,DD_LVL2_ACTV_20_Annual_Currency_Select,0)</f>
        <v>USD</v>
      </c>
      <c r="K145" s="366" t="str">
        <f ca="1">OFFSET(MICRO_Lu!$D$114,DD_LVL2_ACTV_20_Annual_Currency_Select,0)</f>
        <v>USD</v>
      </c>
      <c r="L145" s="366" t="str">
        <f ca="1">OFFSET(MICRO_Lu!$D$114,DD_LVL2_ACTV_20_Annual_Currency_Select,0)</f>
        <v>USD</v>
      </c>
      <c r="M145" s="366" t="str">
        <f ca="1">OFFSET(MICRO_Lu!$D$114,DD_LVL2_ACTV_20_Annual_Currency_Select,0)</f>
        <v>USD</v>
      </c>
      <c r="N145" s="366" t="str">
        <f ca="1">OFFSET(MICRO_Lu!$D$114,DD_LVL2_ACTV_20_Annual_Currency_Select,0)</f>
        <v>USD</v>
      </c>
    </row>
    <row r="146" spans="1:14" s="10" customFormat="1" x14ac:dyDescent="0.2">
      <c r="D146" s="53" t="str">
        <f>MICRO_Lu!$D$135&amp;" "&amp;Lang_Cost_Of_A_Single&amp;" "&amp;$D$129&amp;" "&amp;Lang_Activity</f>
        <v>Financial Cost of a Single Microplanning Activity #4 (Not in Use) Activity</v>
      </c>
      <c r="J146" s="80">
        <v>0</v>
      </c>
      <c r="K146" s="80">
        <v>0</v>
      </c>
      <c r="L146" s="80">
        <v>0</v>
      </c>
      <c r="M146" s="80">
        <v>0</v>
      </c>
      <c r="N146" s="80">
        <v>0</v>
      </c>
    </row>
    <row r="147" spans="1:14" s="10" customFormat="1" x14ac:dyDescent="0.2">
      <c r="D147" s="53" t="str">
        <f>MICRO_Lu!$D$136&amp;" "&amp;Lang_Cost_Of_A_Single&amp;" "&amp;$D$129&amp;" "&amp;Lang_Activity</f>
        <v>Economic Cost of a Single Microplanning Activity #4 (Not in Use) Activity</v>
      </c>
      <c r="J147" s="80">
        <v>0</v>
      </c>
      <c r="K147" s="80">
        <v>0</v>
      </c>
      <c r="L147" s="80">
        <v>0</v>
      </c>
      <c r="M147" s="80">
        <v>0</v>
      </c>
      <c r="N147" s="80">
        <v>0</v>
      </c>
    </row>
    <row r="148" spans="1:14" s="10" customFormat="1" x14ac:dyDescent="0.2">
      <c r="D148" s="55" t="str">
        <f>Lang_Error_Check_Checks_If_Override_Input_economic_Cost_Is_Less_Than_Financial_Cost</f>
        <v>ERROR CHECK (CHECKS IF OVERRIDE INPUT ECONOMIC COST IS LESS THAN FINANCIAL COST)</v>
      </c>
      <c r="H148" s="145">
        <f>IF(ISERROR(SUM(J148:N148)),1,MIN(SUM(J148:N148),1))</f>
        <v>0</v>
      </c>
      <c r="J148" s="42">
        <f t="shared" ref="J148:N148" si="6">IF(J147&lt;J146,1,0)</f>
        <v>0</v>
      </c>
      <c r="K148" s="42">
        <f t="shared" si="6"/>
        <v>0</v>
      </c>
      <c r="L148" s="42">
        <f t="shared" si="6"/>
        <v>0</v>
      </c>
      <c r="M148" s="42">
        <f t="shared" si="6"/>
        <v>0</v>
      </c>
      <c r="N148" s="42">
        <f t="shared" si="6"/>
        <v>0</v>
      </c>
    </row>
    <row r="149" spans="1:14" s="10" customFormat="1" x14ac:dyDescent="0.2"/>
    <row r="150" spans="1:14" s="10" customFormat="1" x14ac:dyDescent="0.2">
      <c r="D150" s="74" t="str">
        <f>Lang_Source_Of_Information_Notes</f>
        <v>Notes and Sources of Information</v>
      </c>
    </row>
    <row r="151" spans="1:14" s="10" customFormat="1" x14ac:dyDescent="0.2">
      <c r="D151" s="482" t="s">
        <v>596</v>
      </c>
      <c r="E151" s="482"/>
    </row>
    <row r="152" spans="1:14" s="10" customFormat="1" x14ac:dyDescent="0.2">
      <c r="D152" s="482" t="s">
        <v>596</v>
      </c>
      <c r="E152" s="482"/>
    </row>
    <row r="153" spans="1:14" s="10" customFormat="1" x14ac:dyDescent="0.2">
      <c r="D153" s="482" t="s">
        <v>596</v>
      </c>
      <c r="E153" s="482"/>
    </row>
    <row r="154" spans="1:14" s="10" customFormat="1" x14ac:dyDescent="0.2"/>
    <row r="155" spans="1:14" s="10" customFormat="1" x14ac:dyDescent="0.2">
      <c r="A155" s="12" t="s">
        <v>125</v>
      </c>
      <c r="B155" s="13" t="str">
        <f>Lang_Number_Of&amp;" "&amp;$D$129&amp;" "&amp;Lang_Activities_Annual_Assumptions_Projected_Or_Retrospective</f>
        <v>Number of Microplanning Activity #4 (Not in Use) Activities - Annual Assumptions (Projected or Retrospective)</v>
      </c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</row>
    <row r="156" spans="1:14" s="10" customFormat="1" x14ac:dyDescent="0.2"/>
    <row r="157" spans="1:14" s="10" customFormat="1" x14ac:dyDescent="0.2">
      <c r="D157" s="71" t="str">
        <f>HL_LVL2_ACTV_20_Name&amp;" - "&amp;Lang_Number_Of_Activities_Per_Year&amp;" ("&amp;Lang_Projected_Or_Retrospective&amp;")"</f>
        <v>Microplanning Activity #4 (Not in Use) - Number of Activities per Year (Projected or Retrospective)</v>
      </c>
    </row>
    <row r="158" spans="1:14" s="10" customFormat="1" x14ac:dyDescent="0.2"/>
    <row r="159" spans="1:14" s="10" customFormat="1" x14ac:dyDescent="0.2">
      <c r="D159" s="50" t="str">
        <f>Lang_Number_Of_Activities_Per_Year</f>
        <v>Number of Activities per Year</v>
      </c>
      <c r="J159" s="324">
        <v>0</v>
      </c>
      <c r="K159" s="324">
        <v>0</v>
      </c>
      <c r="L159" s="324">
        <v>0</v>
      </c>
      <c r="M159" s="324">
        <v>0</v>
      </c>
      <c r="N159" s="324">
        <v>0</v>
      </c>
    </row>
    <row r="160" spans="1:14" s="10" customFormat="1" x14ac:dyDescent="0.2">
      <c r="D160" s="71" t="str">
        <f>D157</f>
        <v>Microplanning Activity #4 (Not in Use) - Number of Activities per Year (Projected or Retrospective)</v>
      </c>
      <c r="J160" s="41">
        <f t="shared" ref="J160:N160" si="7">SUM(J159:J159)</f>
        <v>0</v>
      </c>
      <c r="K160" s="41">
        <f t="shared" si="7"/>
        <v>0</v>
      </c>
      <c r="L160" s="41">
        <f t="shared" si="7"/>
        <v>0</v>
      </c>
      <c r="M160" s="41">
        <f t="shared" si="7"/>
        <v>0</v>
      </c>
      <c r="N160" s="41">
        <f t="shared" si="7"/>
        <v>0</v>
      </c>
    </row>
    <row r="161" spans="4:5" s="10" customFormat="1" x14ac:dyDescent="0.2"/>
    <row r="162" spans="4:5" s="10" customFormat="1" x14ac:dyDescent="0.2">
      <c r="D162" s="74" t="str">
        <f>Lang_Source_Of_Information_Notes</f>
        <v>Notes and Sources of Information</v>
      </c>
    </row>
    <row r="163" spans="4:5" s="10" customFormat="1" x14ac:dyDescent="0.2">
      <c r="D163" s="482" t="s">
        <v>596</v>
      </c>
      <c r="E163" s="482"/>
    </row>
    <row r="164" spans="4:5" s="10" customFormat="1" x14ac:dyDescent="0.2">
      <c r="D164" s="482" t="s">
        <v>596</v>
      </c>
      <c r="E164" s="482"/>
    </row>
    <row r="165" spans="4:5" s="10" customFormat="1" x14ac:dyDescent="0.2">
      <c r="D165" s="482" t="s">
        <v>596</v>
      </c>
      <c r="E165" s="482"/>
    </row>
    <row r="166" spans="4:5" s="10" customFormat="1" x14ac:dyDescent="0.2"/>
    <row r="167" spans="4:5" s="10" customFormat="1" x14ac:dyDescent="0.2">
      <c r="D167" s="76" t="str">
        <f>Lang_GoTo&amp;" "&amp;HL_LVL2_ACTV_20_Activity_Summary_Costs_Annual</f>
        <v>Go to Microplanning Activity #4 (Not in Use) - Summary Costs (Annual)</v>
      </c>
    </row>
  </sheetData>
  <mergeCells count="24">
    <mergeCell ref="D80:E80"/>
    <mergeCell ref="D69:E69"/>
    <mergeCell ref="D70:E70"/>
    <mergeCell ref="D71:E71"/>
    <mergeCell ref="D78:E78"/>
    <mergeCell ref="D79:E79"/>
    <mergeCell ref="D108:E108"/>
    <mergeCell ref="D109:E109"/>
    <mergeCell ref="D110:E110"/>
    <mergeCell ref="D120:E120"/>
    <mergeCell ref="D121:E121"/>
    <mergeCell ref="D122:E122"/>
    <mergeCell ref="D163:E163"/>
    <mergeCell ref="D164:E164"/>
    <mergeCell ref="D165:E165"/>
    <mergeCell ref="D151:E151"/>
    <mergeCell ref="D152:E152"/>
    <mergeCell ref="D153:E153"/>
    <mergeCell ref="D43:E43"/>
    <mergeCell ref="D32:E32"/>
    <mergeCell ref="D33:E33"/>
    <mergeCell ref="D34:E34"/>
    <mergeCell ref="D41:E41"/>
    <mergeCell ref="D42:E42"/>
  </mergeCells>
  <conditionalFormatting sqref="H29">
    <cfRule type="cellIs" dxfId="306" priority="36" operator="notEqual">
      <formula>0</formula>
    </cfRule>
  </conditionalFormatting>
  <conditionalFormatting sqref="H66">
    <cfRule type="cellIs" dxfId="305" priority="35" operator="notEqual">
      <formula>0</formula>
    </cfRule>
  </conditionalFormatting>
  <conditionalFormatting sqref="H105">
    <cfRule type="cellIs" dxfId="304" priority="34" operator="notEqual">
      <formula>0</formula>
    </cfRule>
  </conditionalFormatting>
  <conditionalFormatting sqref="H148">
    <cfRule type="cellIs" dxfId="303" priority="33" operator="notEqual">
      <formula>0</formula>
    </cfRule>
  </conditionalFormatting>
  <conditionalFormatting sqref="J22:N23 J27:N28">
    <cfRule type="expression" dxfId="302" priority="4">
      <formula>$E$16=1</formula>
    </cfRule>
  </conditionalFormatting>
  <conditionalFormatting sqref="J29:N29">
    <cfRule type="cellIs" dxfId="301" priority="32" operator="notEqual">
      <formula>0</formula>
    </cfRule>
  </conditionalFormatting>
  <conditionalFormatting sqref="J59:N60 J64:N65">
    <cfRule type="expression" dxfId="300" priority="3">
      <formula>$E$53=1</formula>
    </cfRule>
  </conditionalFormatting>
  <conditionalFormatting sqref="J66:N66">
    <cfRule type="cellIs" dxfId="299" priority="31" operator="notEqual">
      <formula>0</formula>
    </cfRule>
  </conditionalFormatting>
  <conditionalFormatting sqref="J98:N99 J103:N104">
    <cfRule type="expression" dxfId="298" priority="2">
      <formula>$E$92=1</formula>
    </cfRule>
  </conditionalFormatting>
  <conditionalFormatting sqref="J105:N105">
    <cfRule type="cellIs" dxfId="297" priority="30" operator="notEqual">
      <formula>0</formula>
    </cfRule>
  </conditionalFormatting>
  <conditionalFormatting sqref="J141:N142 J146:N147">
    <cfRule type="expression" dxfId="296" priority="1">
      <formula>$E$135=1</formula>
    </cfRule>
  </conditionalFormatting>
  <conditionalFormatting sqref="J148:N148">
    <cfRule type="cellIs" dxfId="295" priority="29" operator="notEqual">
      <formula>0</formula>
    </cfRule>
  </conditionalFormatting>
  <dataValidations count="9">
    <dataValidation type="whole" showDropDown="1" showErrorMessage="1" errorTitle="Drop Down Box Cell Link" error="The value in a drop down box cell link must be a whole number within the control's lookup range rows." sqref="E16" xr:uid="{00000000-0002-0000-1000-000000000000}">
      <formula1>1</formula1>
      <formula2>ROWS(LU_TOP_ACTV_Currencies)</formula2>
    </dataValidation>
    <dataValidation type="whole" showDropDown="1" showErrorMessage="1" errorTitle="Drop Down Box Cell Link" error="The value in a drop down box cell link must be a whole number within the control's lookup range rows." sqref="E18" xr:uid="{00000000-0002-0000-1000-000001000000}">
      <formula1>1</formula1>
      <formula2>ROWS(LU_TOP_ACTV_Detail_or_Freeform)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92" xr:uid="{00000000-0002-0000-1000-000002000000}">
      <formula1>1</formula1>
      <formula2>ROWS(LU_LVL2_ACTV_Currencies)</formula2>
    </dataValidation>
    <dataValidation type="whole" showDropDown="1" showErrorMessage="1" errorTitle="Drop Down Box Cell Link" error="The value in a drop down box cell link must be a whole number within the control's lookup range rows." sqref="E94" xr:uid="{00000000-0002-0000-1000-000003000000}">
      <formula1>1</formula1>
      <formula2>ROWS(LU_LVL2_ACTV_Detail_or_Freeform)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53" xr:uid="{00000000-0002-0000-1000-000004000000}">
      <formula1>1</formula1>
      <formula2>ROWS(LU_TOP_ACTV_7_Currencies)</formula2>
    </dataValidation>
    <dataValidation type="whole" showDropDown="1" showErrorMessage="1" errorTitle="Drop Down Box Cell Link" error="The value in a drop down box cell link must be a whole number within the control's lookup range rows." sqref="E55" xr:uid="{00000000-0002-0000-1000-000005000000}">
      <formula1>1</formula1>
      <formula2>ROWS(LU_TOP_ACTV_7_Detail_or_Freeform)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135" xr:uid="{00000000-0002-0000-1000-000006000000}">
      <formula1>1</formula1>
      <formula2>ROWS(LU_LVL2_ACTV_20_Currencies)</formula2>
    </dataValidation>
    <dataValidation type="whole" showDropDown="1" showErrorMessage="1" errorTitle="Drop Down Box Cell Link" error="The value in a drop down box cell link must be a whole number within the control's lookup range rows." sqref="E137" xr:uid="{00000000-0002-0000-1000-000007000000}">
      <formula1>1</formula1>
      <formula2>ROWS(LU_LVL2_ACTV_20_Detail_or_Freeform)</formula2>
    </dataValidation>
    <dataValidation type="custom" showErrorMessage="1" errorTitle="Invalid Assumption" error="Assumption must be a number." sqref="J159:N159 J27:N28 J103:N104 J75:N75 J64:N65 J38:N38 J116:N116 J146:N147" xr:uid="{00000000-0002-0000-1000-000008000000}">
      <formula1>NOT(ISERROR(J27/1))</formula1>
    </dataValidation>
  </dataValidations>
  <hyperlinks>
    <hyperlink ref="D44" location="HL_TOP_ACTV_Activity_Summary_Costs_Annual" tooltip="Click to follow hyperlink." display="HL_TOP_ACTV_Activity_Summary_Costs_Annual" xr:uid="{00000000-0004-0000-1000-000000000000}"/>
    <hyperlink ref="E19" location="HL_TOP_ACTV_Detailed_Costing_Worksheet" tooltip="Click to follow hyperlink." display="HL_TOP_ACTV_Detailed_Costing_Worksheet" xr:uid="{00000000-0004-0000-1000-000001000000}"/>
    <hyperlink ref="D124" location="HL_LVL2_ACTV_Activity_Summary_Costs_Annual" tooltip="Click to follow hyperlink." display="HL_LVL2_ACTV_Activity_Summary_Costs_Annual" xr:uid="{00000000-0004-0000-1000-000002000000}"/>
    <hyperlink ref="E95" location="HL_LVL2_ACTV_Detailed_Costing_Worksheet" tooltip="Click to follow hyperlink." display="HL_LVL2_ACTV_Detailed_Costing_Worksheet" xr:uid="{00000000-0004-0000-1000-000003000000}"/>
    <hyperlink ref="A9" location="HL_TOP_ACTV_Single_Activity_Cost_Assumptions_Annual" tooltip="Click to follow hyperlink." display="HL_TOP_ACTV_Single_Activity_Cost_Assumptions_Annual" xr:uid="{00000000-0004-0000-1000-000004000000}"/>
    <hyperlink ref="A83" location="HL_LVL2_ACTV_Single_Activity_Cost_Assumptions_Annual" tooltip="Click to follow hyperlink." display="HL_LVL2_ACTV_Single_Activity_Cost_Assumptions_Annual" xr:uid="{00000000-0004-0000-1000-000005000000}"/>
    <hyperlink ref="A46" location="HL_TOP_ACTV_7_Single_Activity_Cost_Assumptions_Annual" tooltip="Click to follow hyperlink." display="HL_TOP_ACTV_7_Single_Activity_Cost_Assumptions_Annual" xr:uid="{00000000-0004-0000-1000-000006000000}"/>
    <hyperlink ref="D81" location="HL_TOP_ACTV_7_Activity_Summary_Costs_Annual" tooltip="Click to follow hyperlink." display="HL_TOP_ACTV_7_Activity_Summary_Costs_Annual" xr:uid="{00000000-0004-0000-1000-000007000000}"/>
    <hyperlink ref="E56" location="HL_TOP_ACTV_7_Detailed_Costing_Worksheet" tooltip="Click to follow hyperlink." display="HL_TOP_ACTV_7_Detailed_Costing_Worksheet" xr:uid="{00000000-0004-0000-1000-000008000000}"/>
    <hyperlink ref="A126" location="HL_LVL2_ACTV_20_Single_Activity_Cost_Assumptions_Annual" tooltip="Click to follow hyperlink." display="HL_LVL2_ACTV_20_Single_Activity_Cost_Assumptions_Annual" xr:uid="{00000000-0004-0000-1000-000009000000}"/>
    <hyperlink ref="D167" location="HL_LVL2_ACTV_20_Activity_Summary_Costs_Annual" tooltip="Click to follow hyperlink." display="HL_LVL2_ACTV_20_Activity_Summary_Costs_Annual" xr:uid="{00000000-0004-0000-1000-00000A000000}"/>
    <hyperlink ref="E138" location="HL_LVL2_ACTV_20_Detailed_Costing_Worksheet" tooltip="Click to follow hyperlink." display="HL_LVL2_ACTV_20_Detailed_Costing_Worksheet" xr:uid="{00000000-0004-0000-1000-00000B000000}"/>
    <hyperlink ref="A1" location="Contents!A1" tooltip="Go to Table of Contents" display="±" xr:uid="{00000000-0004-0000-1000-00000C000000}"/>
    <hyperlink ref="A3" location="$B$8" tooltip="Go to Top of Sheet" display="$B$8" xr:uid="{664FB1A2-6920-4277-9C98-02C9353B6E4D}"/>
  </hyperlinks>
  <pageMargins left="0.7" right="0.7" top="0.75" bottom="0.75" header="0.3" footer="0.3"/>
  <pageSetup scale="50" fitToHeight="0" orientation="landscape" r:id="rId1"/>
  <headerFooter>
    <oddFooter>&amp;L&amp;B Confidential&amp;B&amp;C&amp;D&amp;RPage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1266" r:id="rId4" name="bpmDropDownTOP_ACTV6">
              <controlPr defaultSize="0" autoFill="0" autoPict="0">
                <anchor moveWithCells="1" sizeWithCells="1">
                  <from>
                    <xdr:col>4</xdr:col>
                    <xdr:colOff>0</xdr:colOff>
                    <xdr:row>15</xdr:row>
                    <xdr:rowOff>0</xdr:rowOff>
                  </from>
                  <to>
                    <xdr:col>5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267" r:id="rId5" name="bpmDropDownTOP_ACTV7">
              <controlPr defaultSize="0" autoFill="0" autoPict="0">
                <anchor moveWithCells="1" sizeWithCells="1">
                  <from>
                    <xdr:col>4</xdr:col>
                    <xdr:colOff>0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269" r:id="rId6" name="bpmDropDownLVL2_ACTV2">
              <controlPr defaultSize="0" autoFill="0" autoPict="0">
                <anchor moveWithCells="1" sizeWithCells="1">
                  <from>
                    <xdr:col>4</xdr:col>
                    <xdr:colOff>0</xdr:colOff>
                    <xdr:row>91</xdr:row>
                    <xdr:rowOff>0</xdr:rowOff>
                  </from>
                  <to>
                    <xdr:col>5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270" r:id="rId7" name="bpmDropDownLVL2_ACTV3">
              <controlPr defaultSize="0" autoFill="0" autoPict="0">
                <anchor moveWithCells="1" sizeWithCells="1">
                  <from>
                    <xdr:col>4</xdr:col>
                    <xdr:colOff>0</xdr:colOff>
                    <xdr:row>93</xdr:row>
                    <xdr:rowOff>0</xdr:rowOff>
                  </from>
                  <to>
                    <xdr:col>5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281" r:id="rId8" name="bpmDropDownTOP_ACTV_72">
              <controlPr defaultSize="0" autoFill="0" autoPict="0">
                <anchor moveWithCells="1" sizeWithCells="1">
                  <from>
                    <xdr:col>4</xdr:col>
                    <xdr:colOff>0</xdr:colOff>
                    <xdr:row>52</xdr:row>
                    <xdr:rowOff>0</xdr:rowOff>
                  </from>
                  <to>
                    <xdr:col>5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282" r:id="rId9" name="bpmDropDownTOP_ACTV_73">
              <controlPr defaultSize="0" autoFill="0" autoPict="0">
                <anchor moveWithCells="1" sizeWithCells="1">
                  <from>
                    <xdr:col>4</xdr:col>
                    <xdr:colOff>0</xdr:colOff>
                    <xdr:row>54</xdr:row>
                    <xdr:rowOff>0</xdr:rowOff>
                  </from>
                  <to>
                    <xdr:col>5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284" r:id="rId10" name="bpmDropDownLVL2_ACTV_202">
              <controlPr defaultSize="0" autoFill="0" autoPict="0">
                <anchor moveWithCells="1" sizeWithCells="1">
                  <from>
                    <xdr:col>4</xdr:col>
                    <xdr:colOff>0</xdr:colOff>
                    <xdr:row>134</xdr:row>
                    <xdr:rowOff>0</xdr:rowOff>
                  </from>
                  <to>
                    <xdr:col>5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285" r:id="rId11" name="bpmDropDownLVL2_ACTV_203">
              <controlPr defaultSize="0" autoFill="0" autoPict="0">
                <anchor moveWithCells="1" sizeWithCells="1">
                  <from>
                    <xdr:col>4</xdr:col>
                    <xdr:colOff>0</xdr:colOff>
                    <xdr:row>136</xdr:row>
                    <xdr:rowOff>0</xdr:rowOff>
                  </from>
                  <to>
                    <xdr:col>5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>
    <tabColor rgb="FFFFC000"/>
    <pageSetUpPr autoPageBreaks="0" fitToPage="1"/>
  </sheetPr>
  <dimension ref="A1:R162"/>
  <sheetViews>
    <sheetView showGridLines="0" zoomScaleNormal="100" workbookViewId="0">
      <pane xSplit="1" ySplit="7" topLeftCell="B107" activePane="bottomRight" state="frozen"/>
      <selection activeCell="I511" sqref="I511"/>
      <selection pane="topRight" activeCell="I511" sqref="I511"/>
      <selection pane="bottomLeft" activeCell="I511" sqref="I511"/>
      <selection pane="bottomRight" activeCell="J27" sqref="J27:N28"/>
    </sheetView>
  </sheetViews>
  <sheetFormatPr defaultColWidth="11.7109375" defaultRowHeight="12" x14ac:dyDescent="0.2"/>
  <cols>
    <col min="1" max="2" width="3.7109375" customWidth="1"/>
    <col min="3" max="3" width="5.7109375" customWidth="1"/>
    <col min="4" max="4" width="35.7109375" customWidth="1"/>
    <col min="5" max="5" width="30.7109375" customWidth="1"/>
    <col min="6" max="6" width="15.7109375" customWidth="1"/>
    <col min="7" max="7" width="10.7109375" customWidth="1"/>
    <col min="9" max="9" width="15.7109375" customWidth="1"/>
    <col min="10" max="14" width="20.7109375" customWidth="1"/>
  </cols>
  <sheetData>
    <row r="1" spans="1:14" ht="15" x14ac:dyDescent="0.2">
      <c r="A1" s="35" t="s">
        <v>128</v>
      </c>
      <c r="B1" s="31" t="str">
        <f>Lang_Training_Activities_Annual_Assumptions</f>
        <v>Training Activities - Annual Assumptions</v>
      </c>
    </row>
    <row r="2" spans="1:14" ht="12.75" x14ac:dyDescent="0.2">
      <c r="A2" s="36"/>
      <c r="B2" s="45" t="str">
        <f ca="1">Model_Name</f>
        <v>Cervical Cancer Prevention and Control Costing (C4P) Tool (Cost Projection)</v>
      </c>
    </row>
    <row r="3" spans="1:14" s="10" customFormat="1" x14ac:dyDescent="0.2">
      <c r="A3" s="421" t="s">
        <v>5</v>
      </c>
      <c r="B3" s="90" t="str">
        <f>Lang_Year_Ending</f>
        <v>Year Ending</v>
      </c>
      <c r="C3" s="90"/>
      <c r="D3" s="90"/>
      <c r="E3" s="90"/>
      <c r="F3" s="90"/>
      <c r="G3" s="90"/>
      <c r="H3" s="90"/>
      <c r="I3" s="90"/>
      <c r="J3" s="106">
        <f t="shared" ref="J3:N3" si="0">J7</f>
        <v>2019</v>
      </c>
      <c r="K3" s="106">
        <f t="shared" si="0"/>
        <v>2020</v>
      </c>
      <c r="L3" s="106">
        <f t="shared" si="0"/>
        <v>2021</v>
      </c>
      <c r="M3" s="106">
        <f t="shared" si="0"/>
        <v>2022</v>
      </c>
      <c r="N3" s="106">
        <f t="shared" si="0"/>
        <v>2023</v>
      </c>
    </row>
    <row r="4" spans="1:14" s="10" customFormat="1" hidden="1" x14ac:dyDescent="0.2">
      <c r="B4" s="50" t="str">
        <f>Lang_Period_Start_Date</f>
        <v>Period Start Date</v>
      </c>
      <c r="J4" s="340">
        <f>EDATE(TS_Start_Date,(J6-1)*TS_Mths_In_Yr)</f>
        <v>43466</v>
      </c>
      <c r="K4" s="340">
        <f>EDATE(TS_Start_Date,(K6-1)*TS_Mths_In_Yr)</f>
        <v>43831</v>
      </c>
      <c r="L4" s="340">
        <f>EDATE(TS_Start_Date,(L6-1)*TS_Mths_In_Yr)</f>
        <v>44197</v>
      </c>
      <c r="M4" s="340">
        <f>EDATE(TS_Start_Date,(M6-1)*TS_Mths_In_Yr)</f>
        <v>44562</v>
      </c>
      <c r="N4" s="340">
        <f>EDATE(TS_Start_Date,(N6-1)*TS_Mths_In_Yr)</f>
        <v>44927</v>
      </c>
    </row>
    <row r="5" spans="1:14" s="10" customFormat="1" hidden="1" x14ac:dyDescent="0.2">
      <c r="B5" s="50" t="str">
        <f>Lang_Period_End_Date</f>
        <v>Period End Date</v>
      </c>
      <c r="J5" s="340">
        <f>EDATE(J4,TS_Mths_In_Yr)-1</f>
        <v>43830</v>
      </c>
      <c r="K5" s="340">
        <f>EDATE(K4,TS_Mths_In_Yr)-1</f>
        <v>44196</v>
      </c>
      <c r="L5" s="340">
        <f>EDATE(L4,TS_Mths_In_Yr)-1</f>
        <v>44561</v>
      </c>
      <c r="M5" s="340">
        <f>EDATE(M4,TS_Mths_In_Yr)-1</f>
        <v>44926</v>
      </c>
      <c r="N5" s="340">
        <f>EDATE(N4,TS_Mths_In_Yr)-1</f>
        <v>45291</v>
      </c>
    </row>
    <row r="6" spans="1:14" s="10" customFormat="1" hidden="1" x14ac:dyDescent="0.2">
      <c r="B6" s="50" t="str">
        <f>Lang_Counter</f>
        <v>Counter</v>
      </c>
      <c r="J6" s="42">
        <f>COLUMNS($J6:J6)</f>
        <v>1</v>
      </c>
      <c r="K6" s="42">
        <f>COLUMNS($J6:K6)</f>
        <v>2</v>
      </c>
      <c r="L6" s="42">
        <f>COLUMNS($J6:L6)</f>
        <v>3</v>
      </c>
      <c r="M6" s="42">
        <f>COLUMNS($J6:M6)</f>
        <v>4</v>
      </c>
      <c r="N6" s="42">
        <f>COLUMNS($J6:N6)</f>
        <v>5</v>
      </c>
    </row>
    <row r="7" spans="1:14" s="10" customFormat="1" hidden="1" x14ac:dyDescent="0.2">
      <c r="B7" s="91" t="str">
        <f>Lang_Financial_Year</f>
        <v>Financial Year</v>
      </c>
      <c r="C7" s="69"/>
      <c r="D7" s="69"/>
      <c r="E7" s="69"/>
      <c r="F7" s="69"/>
      <c r="G7" s="69"/>
      <c r="H7" s="69"/>
      <c r="I7" s="69"/>
      <c r="J7" s="341">
        <f t="shared" ref="J7:N7" si="1">YEAR(J5)</f>
        <v>2019</v>
      </c>
      <c r="K7" s="341">
        <f t="shared" si="1"/>
        <v>2020</v>
      </c>
      <c r="L7" s="341">
        <f t="shared" si="1"/>
        <v>2021</v>
      </c>
      <c r="M7" s="341">
        <f t="shared" si="1"/>
        <v>2022</v>
      </c>
      <c r="N7" s="341">
        <f t="shared" si="1"/>
        <v>2023</v>
      </c>
    </row>
    <row r="8" spans="1:14" s="10" customFormat="1" collapsed="1" x14ac:dyDescent="0.2"/>
    <row r="9" spans="1:14" s="10" customFormat="1" x14ac:dyDescent="0.2">
      <c r="A9" s="12" t="s">
        <v>125</v>
      </c>
      <c r="B9" s="13" t="str">
        <f>HL_TOP_ACTV_2_Name&amp;" "&amp;Lang_Name</f>
        <v>Training Activity #1 (Not in Use) Name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1:14" s="10" customFormat="1" x14ac:dyDescent="0.2"/>
    <row r="11" spans="1:14" s="10" customFormat="1" x14ac:dyDescent="0.2">
      <c r="D11" s="55" t="str">
        <f>Lang_Training_Activity_Name</f>
        <v>Training Activity Name</v>
      </c>
    </row>
    <row r="12" spans="1:14" s="10" customFormat="1" x14ac:dyDescent="0.2">
      <c r="D12" s="75" t="s">
        <v>613</v>
      </c>
    </row>
    <row r="13" spans="1:14" s="10" customFormat="1" x14ac:dyDescent="0.2"/>
    <row r="14" spans="1:14" s="10" customFormat="1" x14ac:dyDescent="0.2">
      <c r="A14" s="12" t="s">
        <v>125</v>
      </c>
      <c r="B14" s="13" t="str">
        <f>HL_TOP_ACTV_2_Name&amp;" "&amp;Lang_Single_Activity_Cost_Annual_Assumptions_Projected_Or_Retrospective</f>
        <v>Training Activity #1 (Not in Use) Single Activity Cost - Annual Assumptions (Projected or Retrospective)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</row>
    <row r="15" spans="1:14" s="10" customFormat="1" x14ac:dyDescent="0.2"/>
    <row r="16" spans="1:14" s="10" customFormat="1" x14ac:dyDescent="0.2">
      <c r="D16" s="50" t="str">
        <f>Lang_Select_Input_Currency</f>
        <v>Select Input Currency</v>
      </c>
      <c r="E16" s="72">
        <v>1</v>
      </c>
    </row>
    <row r="17" spans="3:14" s="10" customFormat="1" x14ac:dyDescent="0.2"/>
    <row r="18" spans="3:14" s="10" customFormat="1" x14ac:dyDescent="0.2">
      <c r="D18" s="50" t="str">
        <f>Lang_Select_Costing_Input_Method</f>
        <v>Select Costing Input Method</v>
      </c>
      <c r="E18" s="72">
        <v>1</v>
      </c>
    </row>
    <row r="19" spans="3:14" s="10" customFormat="1" x14ac:dyDescent="0.2">
      <c r="E19" s="76" t="str">
        <f>Lang_GoTo&amp;" "&amp;HL_TOP_ACTV_2_Detailed_Costing_Worksheet</f>
        <v>Go to Training Activity #1 (Not in Use) -  Detailed Activity Costing Worksheet - Instructions</v>
      </c>
    </row>
    <row r="20" spans="3:14" s="10" customFormat="1" x14ac:dyDescent="0.2">
      <c r="C20" s="55" t="s">
        <v>208</v>
      </c>
      <c r="D20" s="74" t="str">
        <f>Lang_Detailed_Costing_Worksheet_Estimate</f>
        <v>Detailed Costing Worksheet Estimate</v>
      </c>
    </row>
    <row r="21" spans="3:14" s="10" customFormat="1" x14ac:dyDescent="0.2">
      <c r="F21" s="366" t="str">
        <f>TRAIN_Lu!$D$11</f>
        <v>LCU</v>
      </c>
      <c r="G21" s="366" t="str">
        <f>TRAIN_Lu!$D$10</f>
        <v>USD</v>
      </c>
      <c r="J21" s="366" t="str">
        <f ca="1">OFFSET(TRAIN_Lu!$D$9,DD_TOP_ACTV_2_Annual_Currency_Used,0)</f>
        <v>USD</v>
      </c>
      <c r="K21" s="366" t="str">
        <f ca="1">OFFSET(TRAIN_Lu!$D$9,DD_TOP_ACTV_2_Annual_Currency_Used,0)</f>
        <v>USD</v>
      </c>
      <c r="L21" s="366" t="str">
        <f ca="1">OFFSET(TRAIN_Lu!$D$9,DD_TOP_ACTV_2_Annual_Currency_Used,0)</f>
        <v>USD</v>
      </c>
      <c r="M21" s="366" t="str">
        <f ca="1">OFFSET(TRAIN_Lu!$D$9,DD_TOP_ACTV_2_Annual_Currency_Used,0)</f>
        <v>USD</v>
      </c>
      <c r="N21" s="366" t="str">
        <f ca="1">OFFSET(TRAIN_Lu!$D$9,DD_TOP_ACTV_2_Annual_Currency_Used,0)</f>
        <v>USD</v>
      </c>
    </row>
    <row r="22" spans="3:14" s="10" customFormat="1" x14ac:dyDescent="0.2">
      <c r="D22" s="53" t="str">
        <f>TRAIN_Lu!$D$30&amp;" "&amp;Lang_Cost_Of_A_Single&amp;" "&amp;TRAINING!$D$12&amp;" "&amp;Lang_Activity</f>
        <v>Financial Cost of a Single Training Activity #1 (Not in Use) Activity</v>
      </c>
      <c r="F22" s="42">
        <f>COSTS_DETAILED_SUMMARY!E75</f>
        <v>0</v>
      </c>
      <c r="G22" s="119">
        <f>COSTS_DETAILED_SUMMARY!G75</f>
        <v>0</v>
      </c>
      <c r="J22" s="417">
        <f>IF(DD_TOP_ACTV_2_Annual_Currency_Used=2,COSTS_DETAILED_SUMMARY!$E75,COSTS_DETAILED_SUMMARY!$G75)</f>
        <v>0</v>
      </c>
      <c r="K22" s="417">
        <f>IF(DD_TOP_ACTV_2_Annual_Currency_Used=2,COSTS_DETAILED_SUMMARY!$E75,COSTS_DETAILED_SUMMARY!$G75)</f>
        <v>0</v>
      </c>
      <c r="L22" s="417">
        <f>IF(DD_TOP_ACTV_2_Annual_Currency_Used=2,COSTS_DETAILED_SUMMARY!$E75,COSTS_DETAILED_SUMMARY!$G75)</f>
        <v>0</v>
      </c>
      <c r="M22" s="417">
        <f>IF(DD_TOP_ACTV_2_Annual_Currency_Used=2,COSTS_DETAILED_SUMMARY!$E75,COSTS_DETAILED_SUMMARY!$G75)</f>
        <v>0</v>
      </c>
      <c r="N22" s="417">
        <f>IF(DD_TOP_ACTV_2_Annual_Currency_Used=2,COSTS_DETAILED_SUMMARY!$E75,COSTS_DETAILED_SUMMARY!$G75)</f>
        <v>0</v>
      </c>
    </row>
    <row r="23" spans="3:14" s="10" customFormat="1" x14ac:dyDescent="0.2">
      <c r="D23" s="53" t="str">
        <f>TRAIN_Lu!$D$31&amp;" "&amp;Lang_Cost_Of_A_Single&amp;" "&amp;TRAINING!$D$12&amp;" "&amp;Lang_Activity</f>
        <v>Economic Cost of a Single Training Activity #1 (Not in Use) Activity</v>
      </c>
      <c r="F23" s="42">
        <f>COSTS_DETAILED_SUMMARY!F75</f>
        <v>0</v>
      </c>
      <c r="G23" s="119">
        <f>COSTS_DETAILED_SUMMARY!H75</f>
        <v>0</v>
      </c>
      <c r="J23" s="417">
        <f>IF(DD_TOP_ACTV_2_Annual_Currency_Used=2,COSTS_DETAILED_SUMMARY!$F75,COSTS_DETAILED_SUMMARY!$H75)</f>
        <v>0</v>
      </c>
      <c r="K23" s="417">
        <f>IF(DD_TOP_ACTV_2_Annual_Currency_Used=2,COSTS_DETAILED_SUMMARY!$F75,COSTS_DETAILED_SUMMARY!$H75)</f>
        <v>0</v>
      </c>
      <c r="L23" s="417">
        <f>IF(DD_TOP_ACTV_2_Annual_Currency_Used=2,COSTS_DETAILED_SUMMARY!$F75,COSTS_DETAILED_SUMMARY!$H75)</f>
        <v>0</v>
      </c>
      <c r="M23" s="417">
        <f>IF(DD_TOP_ACTV_2_Annual_Currency_Used=2,COSTS_DETAILED_SUMMARY!$F75,COSTS_DETAILED_SUMMARY!$H75)</f>
        <v>0</v>
      </c>
      <c r="N23" s="417">
        <f>IF(DD_TOP_ACTV_2_Annual_Currency_Used=2,COSTS_DETAILED_SUMMARY!$F75,COSTS_DETAILED_SUMMARY!$H75)</f>
        <v>0</v>
      </c>
    </row>
    <row r="24" spans="3:14" s="10" customFormat="1" x14ac:dyDescent="0.2"/>
    <row r="25" spans="3:14" s="10" customFormat="1" x14ac:dyDescent="0.2"/>
    <row r="26" spans="3:14" s="10" customFormat="1" x14ac:dyDescent="0.2">
      <c r="C26" s="55" t="s">
        <v>210</v>
      </c>
      <c r="D26" s="74" t="str">
        <f>Lang_Direct_User_Entry_Cost_Estimate</f>
        <v>Direct User Entry Cost Estimate</v>
      </c>
      <c r="J26" s="366" t="str">
        <f ca="1">OFFSET(TRAIN_Lu!$D$9,DD_TOP_ACTV_2_Annual_Currency_Used,0)</f>
        <v>USD</v>
      </c>
      <c r="K26" s="366" t="str">
        <f ca="1">OFFSET(TRAIN_Lu!$D$9,DD_TOP_ACTV_2_Annual_Currency_Used,0)</f>
        <v>USD</v>
      </c>
      <c r="L26" s="366" t="str">
        <f ca="1">OFFSET(TRAIN_Lu!$D$9,DD_TOP_ACTV_2_Annual_Currency_Used,0)</f>
        <v>USD</v>
      </c>
      <c r="M26" s="366" t="str">
        <f ca="1">OFFSET(TRAIN_Lu!$D$9,DD_TOP_ACTV_2_Annual_Currency_Used,0)</f>
        <v>USD</v>
      </c>
      <c r="N26" s="366" t="str">
        <f ca="1">OFFSET(TRAIN_Lu!$D$9,DD_TOP_ACTV_2_Annual_Currency_Used,0)</f>
        <v>USD</v>
      </c>
    </row>
    <row r="27" spans="3:14" s="10" customFormat="1" x14ac:dyDescent="0.2">
      <c r="D27" s="53" t="str">
        <f>TRAIN_Lu!$D$30&amp;" "&amp;Lang_Cost_Of_A_Single&amp;" "&amp;TRAINING!$D$12&amp;" "&amp;Lang_Activity</f>
        <v>Financial Cost of a Single Training Activity #1 (Not in Use) Activity</v>
      </c>
      <c r="J27" s="80">
        <v>0</v>
      </c>
      <c r="K27" s="80">
        <v>0</v>
      </c>
      <c r="L27" s="80">
        <v>0</v>
      </c>
      <c r="M27" s="80">
        <v>0</v>
      </c>
      <c r="N27" s="80">
        <v>0</v>
      </c>
    </row>
    <row r="28" spans="3:14" s="10" customFormat="1" x14ac:dyDescent="0.2">
      <c r="D28" s="53" t="str">
        <f>TRAIN_Lu!$D$31&amp;" "&amp;Lang_Cost_Of_A_Single&amp;" "&amp;TRAINING!$D$12&amp;" "&amp;Lang_Activity</f>
        <v>Economic Cost of a Single Training Activity #1 (Not in Use) Activity</v>
      </c>
      <c r="J28" s="80">
        <v>0</v>
      </c>
      <c r="K28" s="80">
        <v>0</v>
      </c>
      <c r="L28" s="80">
        <v>0</v>
      </c>
      <c r="M28" s="80">
        <v>0</v>
      </c>
      <c r="N28" s="80">
        <v>0</v>
      </c>
    </row>
    <row r="29" spans="3:14" s="10" customFormat="1" x14ac:dyDescent="0.2">
      <c r="D29" s="55" t="str">
        <f>Lang_Error_Check_Checks_If_Override_Input_economic_Cost_Is_Less_Than_Financial_Cost</f>
        <v>ERROR CHECK (CHECKS IF OVERRIDE INPUT ECONOMIC COST IS LESS THAN FINANCIAL COST)</v>
      </c>
      <c r="H29" s="145">
        <f>IF(ISERROR(SUM(J29:N29)),1,MIN(SUM(J29:N29),1))</f>
        <v>0</v>
      </c>
      <c r="J29" s="42">
        <f t="shared" ref="J29:N29" si="2">IF(J28&lt;J27,1,0)</f>
        <v>0</v>
      </c>
      <c r="K29" s="42">
        <f t="shared" si="2"/>
        <v>0</v>
      </c>
      <c r="L29" s="42">
        <f t="shared" si="2"/>
        <v>0</v>
      </c>
      <c r="M29" s="42">
        <f t="shared" si="2"/>
        <v>0</v>
      </c>
      <c r="N29" s="42">
        <f t="shared" si="2"/>
        <v>0</v>
      </c>
    </row>
    <row r="30" spans="3:14" s="10" customFormat="1" x14ac:dyDescent="0.2"/>
    <row r="31" spans="3:14" s="10" customFormat="1" x14ac:dyDescent="0.2">
      <c r="D31" s="74" t="str">
        <f>Lang_Source_Of_Information_Notes</f>
        <v>Notes and Sources of Information</v>
      </c>
    </row>
    <row r="32" spans="3:14" s="10" customFormat="1" x14ac:dyDescent="0.2">
      <c r="D32" s="482" t="s">
        <v>596</v>
      </c>
      <c r="E32" s="482"/>
    </row>
    <row r="33" spans="1:18" s="10" customFormat="1" x14ac:dyDescent="0.2">
      <c r="D33" s="482" t="s">
        <v>596</v>
      </c>
      <c r="E33" s="482"/>
      <c r="R33" s="10" t="s">
        <v>39</v>
      </c>
    </row>
    <row r="34" spans="1:18" s="10" customFormat="1" x14ac:dyDescent="0.2">
      <c r="D34" s="482" t="s">
        <v>596</v>
      </c>
      <c r="E34" s="482"/>
    </row>
    <row r="35" spans="1:18" s="10" customFormat="1" x14ac:dyDescent="0.2"/>
    <row r="36" spans="1:18" s="10" customFormat="1" x14ac:dyDescent="0.2">
      <c r="A36" s="12" t="s">
        <v>125</v>
      </c>
      <c r="B36" s="13" t="str">
        <f>Lang_Number_Of&amp;" "&amp;TRAINING!$D$12&amp;" "&amp;Lang_Activities_Annual_Assumptions_Projected_Or_Retrospective</f>
        <v>Number of Training Activity #1 (Not in Use) Activities - Annual Assumptions (Projected or Retrospective)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</row>
    <row r="37" spans="1:18" s="10" customFormat="1" x14ac:dyDescent="0.2"/>
    <row r="38" spans="1:18" s="10" customFormat="1" x14ac:dyDescent="0.2">
      <c r="D38" s="53" t="str">
        <f>HL_TOP_ACTV_2_Name&amp;" - "&amp;Lang_Number_Of_Activities_Per_Year&amp;" ("&amp;Lang_Projected_Or_Retrospective&amp;")"</f>
        <v>Training Activity #1 (Not in Use) - Number of Activities per Year (Projected or Retrospective)</v>
      </c>
      <c r="J38" s="80">
        <v>0</v>
      </c>
      <c r="K38" s="80">
        <v>0</v>
      </c>
      <c r="L38" s="80">
        <v>0</v>
      </c>
      <c r="M38" s="80">
        <v>0</v>
      </c>
      <c r="N38" s="80">
        <v>0</v>
      </c>
    </row>
    <row r="39" spans="1:18" s="10" customFormat="1" x14ac:dyDescent="0.2"/>
    <row r="40" spans="1:18" s="10" customFormat="1" x14ac:dyDescent="0.2">
      <c r="D40" s="74" t="str">
        <f>Lang_Source_Of_Information_Notes</f>
        <v>Notes and Sources of Information</v>
      </c>
    </row>
    <row r="41" spans="1:18" s="10" customFormat="1" x14ac:dyDescent="0.2">
      <c r="D41" s="482" t="s">
        <v>596</v>
      </c>
      <c r="E41" s="482"/>
    </row>
    <row r="42" spans="1:18" s="10" customFormat="1" x14ac:dyDescent="0.2">
      <c r="D42" s="482" t="s">
        <v>596</v>
      </c>
      <c r="E42" s="482"/>
    </row>
    <row r="43" spans="1:18" s="10" customFormat="1" x14ac:dyDescent="0.2">
      <c r="D43" s="482" t="s">
        <v>596</v>
      </c>
      <c r="E43" s="482"/>
    </row>
    <row r="44" spans="1:18" s="10" customFormat="1" x14ac:dyDescent="0.2">
      <c r="D44" s="76" t="str">
        <f>Lang_GoTo&amp;" "&amp;HL_TOP_ACTV_2_Activity_Summary_Costs_Annual</f>
        <v>Go to Training Activity #1 (Not in Use) - Summary Costs (Annual)</v>
      </c>
    </row>
    <row r="45" spans="1:18" s="10" customFormat="1" x14ac:dyDescent="0.2"/>
    <row r="46" spans="1:18" s="10" customFormat="1" x14ac:dyDescent="0.2">
      <c r="A46" s="12" t="s">
        <v>125</v>
      </c>
      <c r="B46" s="13" t="str">
        <f>HL_TOP_ACTV_13_Name&amp;" "&amp;Lang_Name</f>
        <v>Training Activity #2 (Not in Use) Name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</row>
    <row r="47" spans="1:18" s="10" customFormat="1" x14ac:dyDescent="0.2"/>
    <row r="48" spans="1:18" s="10" customFormat="1" x14ac:dyDescent="0.2">
      <c r="D48" s="55" t="str">
        <f>Lang_Training_Activity_Name</f>
        <v>Training Activity Name</v>
      </c>
    </row>
    <row r="49" spans="1:14" s="10" customFormat="1" x14ac:dyDescent="0.2">
      <c r="D49" s="75" t="s">
        <v>617</v>
      </c>
    </row>
    <row r="50" spans="1:14" s="10" customFormat="1" x14ac:dyDescent="0.2"/>
    <row r="51" spans="1:14" s="10" customFormat="1" x14ac:dyDescent="0.2">
      <c r="A51" s="12" t="s">
        <v>125</v>
      </c>
      <c r="B51" s="13" t="str">
        <f>HL_TOP_ACTV_13_Name&amp;" "&amp;Lang_Single_Activity_Cost_Annual_Assumptions_Projected_Or_Retrospective</f>
        <v>Training Activity #2 (Not in Use) Single Activity Cost - Annual Assumptions (Projected or Retrospective)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</row>
    <row r="52" spans="1:14" s="10" customFormat="1" x14ac:dyDescent="0.2"/>
    <row r="53" spans="1:14" s="10" customFormat="1" x14ac:dyDescent="0.2">
      <c r="D53" s="50" t="str">
        <f>Lang_Select_Input_Currency</f>
        <v>Select Input Currency</v>
      </c>
      <c r="E53" s="72">
        <v>1</v>
      </c>
    </row>
    <row r="54" spans="1:14" s="10" customFormat="1" x14ac:dyDescent="0.2"/>
    <row r="55" spans="1:14" s="10" customFormat="1" x14ac:dyDescent="0.2">
      <c r="D55" s="50" t="str">
        <f>Lang_Select_Costing_Input_Method</f>
        <v>Select Costing Input Method</v>
      </c>
      <c r="E55" s="72">
        <v>1</v>
      </c>
    </row>
    <row r="56" spans="1:14" s="10" customFormat="1" x14ac:dyDescent="0.2">
      <c r="E56" s="76" t="str">
        <f>Lang_GoTo&amp;" "&amp;HL_TOP_ACTV_13_Detailed_Costing_Worksheet</f>
        <v>Go to Training Activity #2 (Not in Use) -  Detailed Activity Costing Worksheet - Instructions</v>
      </c>
    </row>
    <row r="57" spans="1:14" s="10" customFormat="1" x14ac:dyDescent="0.2">
      <c r="C57" s="55" t="s">
        <v>208</v>
      </c>
      <c r="D57" s="74" t="str">
        <f>Lang_Detailed_Costing_Worksheet_Estimate</f>
        <v>Detailed Costing Worksheet Estimate</v>
      </c>
    </row>
    <row r="58" spans="1:14" s="10" customFormat="1" x14ac:dyDescent="0.2">
      <c r="F58" s="366" t="str">
        <f>TRAIN_Lu!$D$46</f>
        <v>LCU</v>
      </c>
      <c r="G58" s="366" t="str">
        <f>TRAIN_Lu!$D$45</f>
        <v>USD</v>
      </c>
      <c r="J58" s="366" t="str">
        <f ca="1">OFFSET(TRAIN_Lu!$D$44,DD_TOP_ACTV_13_Annual_Currency_Used,0)</f>
        <v>USD</v>
      </c>
      <c r="K58" s="366" t="str">
        <f ca="1">OFFSET(TRAIN_Lu!$D$44,DD_TOP_ACTV_13_Annual_Currency_Used,0)</f>
        <v>USD</v>
      </c>
      <c r="L58" s="366" t="str">
        <f ca="1">OFFSET(TRAIN_Lu!$D$44,DD_TOP_ACTV_13_Annual_Currency_Used,0)</f>
        <v>USD</v>
      </c>
      <c r="M58" s="366" t="str">
        <f ca="1">OFFSET(TRAIN_Lu!$D$44,DD_TOP_ACTV_13_Annual_Currency_Used,0)</f>
        <v>USD</v>
      </c>
      <c r="N58" s="366" t="str">
        <f ca="1">OFFSET(TRAIN_Lu!$D$44,DD_TOP_ACTV_13_Annual_Currency_Used,0)</f>
        <v>USD</v>
      </c>
    </row>
    <row r="59" spans="1:14" s="10" customFormat="1" x14ac:dyDescent="0.2">
      <c r="D59" s="53" t="str">
        <f>TRAIN_Lu!$D$65&amp;" "&amp;Lang_Cost_Of_A_Single&amp;" "&amp;$D$49&amp;" "&amp;Lang_Activity</f>
        <v>Financial Cost of a Single Training Activity #2 (Not in Use) Activity</v>
      </c>
      <c r="F59" s="41">
        <f>COSTS_DETAILED_SUMMARY!E90</f>
        <v>0</v>
      </c>
      <c r="G59" s="116">
        <f>COSTS_DETAILED_SUMMARY!G90</f>
        <v>0</v>
      </c>
      <c r="J59" s="79">
        <f>IF(DD_TOP_ACTV_13_Annual_Currency_Used=2,COSTS_DETAILED_SUMMARY!$E90,COSTS_DETAILED_SUMMARY!$G90)</f>
        <v>0</v>
      </c>
      <c r="K59" s="79">
        <f>IF(DD_TOP_ACTV_13_Annual_Currency_Used=2,COSTS_DETAILED_SUMMARY!$E90,COSTS_DETAILED_SUMMARY!$G90)</f>
        <v>0</v>
      </c>
      <c r="L59" s="79">
        <f>IF(DD_TOP_ACTV_13_Annual_Currency_Used=2,COSTS_DETAILED_SUMMARY!$E90,COSTS_DETAILED_SUMMARY!$G90)</f>
        <v>0</v>
      </c>
      <c r="M59" s="79">
        <f>IF(DD_TOP_ACTV_13_Annual_Currency_Used=2,COSTS_DETAILED_SUMMARY!$E90,COSTS_DETAILED_SUMMARY!$G90)</f>
        <v>0</v>
      </c>
      <c r="N59" s="79">
        <f>IF(DD_TOP_ACTV_13_Annual_Currency_Used=2,COSTS_DETAILED_SUMMARY!$E90,COSTS_DETAILED_SUMMARY!$G90)</f>
        <v>0</v>
      </c>
    </row>
    <row r="60" spans="1:14" s="10" customFormat="1" x14ac:dyDescent="0.2">
      <c r="D60" s="53" t="str">
        <f>TRAIN_Lu!$D$66&amp;" "&amp;Lang_Cost_Of_A_Single&amp;" "&amp;$D$49&amp;" "&amp;Lang_Activity</f>
        <v>Economic Cost of a Single Training Activity #2 (Not in Use) Activity</v>
      </c>
      <c r="F60" s="41">
        <f>COSTS_DETAILED_SUMMARY!F90</f>
        <v>0</v>
      </c>
      <c r="G60" s="116">
        <f>COSTS_DETAILED_SUMMARY!H90</f>
        <v>0</v>
      </c>
      <c r="J60" s="79">
        <f>IF(DD_TOP_ACTV_13_Annual_Currency_Used=2,COSTS_DETAILED_SUMMARY!$F90,COSTS_DETAILED_SUMMARY!$H90)</f>
        <v>0</v>
      </c>
      <c r="K60" s="79">
        <f>IF(DD_TOP_ACTV_13_Annual_Currency_Used=2,COSTS_DETAILED_SUMMARY!$F90,COSTS_DETAILED_SUMMARY!$H90)</f>
        <v>0</v>
      </c>
      <c r="L60" s="79">
        <f>IF(DD_TOP_ACTV_13_Annual_Currency_Used=2,COSTS_DETAILED_SUMMARY!$F90,COSTS_DETAILED_SUMMARY!$H90)</f>
        <v>0</v>
      </c>
      <c r="M60" s="79">
        <f>IF(DD_TOP_ACTV_13_Annual_Currency_Used=2,COSTS_DETAILED_SUMMARY!$F90,COSTS_DETAILED_SUMMARY!$H90)</f>
        <v>0</v>
      </c>
      <c r="N60" s="79">
        <f>IF(DD_TOP_ACTV_13_Annual_Currency_Used=2,COSTS_DETAILED_SUMMARY!$F90,COSTS_DETAILED_SUMMARY!$H90)</f>
        <v>0</v>
      </c>
    </row>
    <row r="61" spans="1:14" s="10" customFormat="1" x14ac:dyDescent="0.2"/>
    <row r="62" spans="1:14" s="10" customFormat="1" x14ac:dyDescent="0.2"/>
    <row r="63" spans="1:14" s="10" customFormat="1" x14ac:dyDescent="0.2">
      <c r="C63" s="55" t="s">
        <v>210</v>
      </c>
      <c r="D63" s="74" t="str">
        <f>Lang_Direct_User_Entry_Cost_Estimate</f>
        <v>Direct User Entry Cost Estimate</v>
      </c>
      <c r="J63" s="366" t="str">
        <f ca="1">OFFSET(TRAIN_Lu!$D$44,DD_TOP_ACTV_13_Annual_Currency_Used,0)</f>
        <v>USD</v>
      </c>
      <c r="K63" s="366" t="str">
        <f ca="1">OFFSET(TRAIN_Lu!$D$44,DD_TOP_ACTV_13_Annual_Currency_Used,0)</f>
        <v>USD</v>
      </c>
      <c r="L63" s="366" t="str">
        <f ca="1">OFFSET(TRAIN_Lu!$D$44,DD_TOP_ACTV_13_Annual_Currency_Used,0)</f>
        <v>USD</v>
      </c>
      <c r="M63" s="366" t="str">
        <f ca="1">OFFSET(TRAIN_Lu!$D$44,DD_TOP_ACTV_13_Annual_Currency_Used,0)</f>
        <v>USD</v>
      </c>
      <c r="N63" s="366" t="str">
        <f ca="1">OFFSET(TRAIN_Lu!$D$44,DD_TOP_ACTV_13_Annual_Currency_Used,0)</f>
        <v>USD</v>
      </c>
    </row>
    <row r="64" spans="1:14" s="10" customFormat="1" x14ac:dyDescent="0.2">
      <c r="D64" s="53" t="str">
        <f>TRAIN_Lu!$D$65&amp;" "&amp;Lang_Cost_Of_A_Single&amp;" "&amp;$D$49&amp;" "&amp;Lang_Activity</f>
        <v>Financial Cost of a Single Training Activity #2 (Not in Use) Activity</v>
      </c>
      <c r="J64" s="80">
        <v>0</v>
      </c>
      <c r="K64" s="80">
        <v>0</v>
      </c>
      <c r="L64" s="80">
        <v>0</v>
      </c>
      <c r="M64" s="80">
        <v>0</v>
      </c>
      <c r="N64" s="80">
        <v>0</v>
      </c>
    </row>
    <row r="65" spans="1:14" s="10" customFormat="1" x14ac:dyDescent="0.2">
      <c r="D65" s="53" t="str">
        <f>TRAIN_Lu!$D$66&amp;" "&amp;Lang_Cost_Of_A_Single&amp;" "&amp;$D$49&amp;" "&amp;Lang_Activity</f>
        <v>Economic Cost of a Single Training Activity #2 (Not in Use) Activity</v>
      </c>
      <c r="J65" s="80">
        <v>0</v>
      </c>
      <c r="K65" s="80">
        <v>0</v>
      </c>
      <c r="L65" s="80">
        <v>0</v>
      </c>
      <c r="M65" s="80">
        <v>0</v>
      </c>
      <c r="N65" s="80">
        <v>0</v>
      </c>
    </row>
    <row r="66" spans="1:14" s="10" customFormat="1" x14ac:dyDescent="0.2">
      <c r="D66" s="55" t="str">
        <f>Lang_Error_Check_Checks_If_Override_Input_economic_Cost_Is_Less_Than_Financial_Cost</f>
        <v>ERROR CHECK (CHECKS IF OVERRIDE INPUT ECONOMIC COST IS LESS THAN FINANCIAL COST)</v>
      </c>
      <c r="H66" s="145">
        <f>IF(ISERROR(SUM(J66:N66)),1,MIN(SUM(J66:N66),1))</f>
        <v>0</v>
      </c>
      <c r="J66" s="42">
        <f t="shared" ref="J66:N66" si="3">IF(J65&lt;J64,1,0)</f>
        <v>0</v>
      </c>
      <c r="K66" s="42">
        <f t="shared" si="3"/>
        <v>0</v>
      </c>
      <c r="L66" s="42">
        <f t="shared" si="3"/>
        <v>0</v>
      </c>
      <c r="M66" s="42">
        <f t="shared" si="3"/>
        <v>0</v>
      </c>
      <c r="N66" s="42">
        <f t="shared" si="3"/>
        <v>0</v>
      </c>
    </row>
    <row r="67" spans="1:14" s="10" customFormat="1" x14ac:dyDescent="0.2"/>
    <row r="68" spans="1:14" s="10" customFormat="1" x14ac:dyDescent="0.2">
      <c r="D68" s="74" t="str">
        <f>Lang_Source_Of_Information_Notes</f>
        <v>Notes and Sources of Information</v>
      </c>
    </row>
    <row r="69" spans="1:14" s="10" customFormat="1" x14ac:dyDescent="0.2">
      <c r="D69" s="482" t="s">
        <v>596</v>
      </c>
      <c r="E69" s="482"/>
    </row>
    <row r="70" spans="1:14" s="10" customFormat="1" x14ac:dyDescent="0.2">
      <c r="D70" s="482" t="s">
        <v>596</v>
      </c>
      <c r="E70" s="482"/>
    </row>
    <row r="71" spans="1:14" s="10" customFormat="1" x14ac:dyDescent="0.2">
      <c r="D71" s="482" t="s">
        <v>596</v>
      </c>
      <c r="E71" s="482"/>
    </row>
    <row r="72" spans="1:14" s="10" customFormat="1" x14ac:dyDescent="0.2"/>
    <row r="73" spans="1:14" s="10" customFormat="1" x14ac:dyDescent="0.2">
      <c r="A73" s="12" t="s">
        <v>125</v>
      </c>
      <c r="B73" s="13" t="str">
        <f>Lang_Number_Of&amp;" "&amp;$D$49&amp;" "&amp;Lang_Activities_Annual_Assumptions_Projected_Or_Retrospective</f>
        <v>Number of Training Activity #2 (Not in Use) Activities - Annual Assumptions (Projected or Retrospective)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</row>
    <row r="74" spans="1:14" s="10" customFormat="1" x14ac:dyDescent="0.2"/>
    <row r="75" spans="1:14" s="10" customFormat="1" x14ac:dyDescent="0.2">
      <c r="D75" s="53" t="str">
        <f>HL_TOP_ACTV_13_Name&amp;" - "&amp;Lang_Number_Of_Activities_Per_Year&amp;" ("&amp;Lang_Projected_Or_Retrospective&amp;")"</f>
        <v>Training Activity #2 (Not in Use) - Number of Activities per Year (Projected or Retrospective)</v>
      </c>
      <c r="J75" s="80">
        <v>0</v>
      </c>
      <c r="K75" s="80">
        <v>0</v>
      </c>
      <c r="L75" s="80">
        <v>0</v>
      </c>
      <c r="M75" s="80">
        <v>0</v>
      </c>
      <c r="N75" s="80">
        <v>0</v>
      </c>
    </row>
    <row r="76" spans="1:14" s="10" customFormat="1" x14ac:dyDescent="0.2"/>
    <row r="77" spans="1:14" s="10" customFormat="1" x14ac:dyDescent="0.2">
      <c r="D77" s="74" t="str">
        <f>Lang_Source_Of_Information_Notes</f>
        <v>Notes and Sources of Information</v>
      </c>
    </row>
    <row r="78" spans="1:14" s="10" customFormat="1" x14ac:dyDescent="0.2">
      <c r="D78" s="482" t="s">
        <v>596</v>
      </c>
      <c r="E78" s="482"/>
    </row>
    <row r="79" spans="1:14" s="10" customFormat="1" x14ac:dyDescent="0.2">
      <c r="D79" s="482" t="s">
        <v>596</v>
      </c>
      <c r="E79" s="482"/>
    </row>
    <row r="80" spans="1:14" s="10" customFormat="1" x14ac:dyDescent="0.2">
      <c r="D80" s="482" t="s">
        <v>596</v>
      </c>
      <c r="E80" s="482"/>
    </row>
    <row r="81" spans="1:14" s="10" customFormat="1" x14ac:dyDescent="0.2">
      <c r="D81" s="76" t="str">
        <f>Lang_GoTo&amp;" "&amp;HL_TOP_ACTV_13_Activity_Summary_Costs_Annual</f>
        <v>Go to Training Activity #2 (Not in Use) - Summary Costs (Annual)</v>
      </c>
    </row>
    <row r="82" spans="1:14" s="10" customFormat="1" x14ac:dyDescent="0.2"/>
    <row r="83" spans="1:14" s="10" customFormat="1" x14ac:dyDescent="0.2">
      <c r="A83" s="12" t="s">
        <v>125</v>
      </c>
      <c r="B83" s="13" t="str">
        <f>HL_TOP_ACTV_14_Name&amp;" "&amp;Lang_Name</f>
        <v>Training Activity #3 (Not in Use) Name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</row>
    <row r="84" spans="1:14" s="10" customFormat="1" x14ac:dyDescent="0.2"/>
    <row r="85" spans="1:14" s="10" customFormat="1" x14ac:dyDescent="0.2">
      <c r="D85" s="55" t="str">
        <f>Lang_Training_Activity_Name</f>
        <v>Training Activity Name</v>
      </c>
    </row>
    <row r="86" spans="1:14" s="10" customFormat="1" x14ac:dyDescent="0.2">
      <c r="D86" s="75" t="s">
        <v>479</v>
      </c>
    </row>
    <row r="87" spans="1:14" s="10" customFormat="1" x14ac:dyDescent="0.2"/>
    <row r="88" spans="1:14" s="10" customFormat="1" x14ac:dyDescent="0.2">
      <c r="A88" s="12" t="s">
        <v>125</v>
      </c>
      <c r="B88" s="13" t="str">
        <f>HL_TOP_ACTV_14_Name&amp;" "&amp;Lang_Single_Activity_Cost_Annual_Assumptions_Projected_Or_Retrospective</f>
        <v>Training Activity #3 (Not in Use) Single Activity Cost - Annual Assumptions (Projected or Retrospective)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10" customFormat="1" x14ac:dyDescent="0.2"/>
    <row r="90" spans="1:14" s="10" customFormat="1" x14ac:dyDescent="0.2">
      <c r="D90" s="50" t="str">
        <f>Lang_Select_Input_Currency</f>
        <v>Select Input Currency</v>
      </c>
      <c r="E90" s="72">
        <v>1</v>
      </c>
    </row>
    <row r="91" spans="1:14" s="10" customFormat="1" x14ac:dyDescent="0.2"/>
    <row r="92" spans="1:14" s="10" customFormat="1" x14ac:dyDescent="0.2">
      <c r="D92" s="50" t="str">
        <f>Lang_Select_Costing_Input_Method</f>
        <v>Select Costing Input Method</v>
      </c>
      <c r="E92" s="72">
        <v>2</v>
      </c>
    </row>
    <row r="93" spans="1:14" s="10" customFormat="1" x14ac:dyDescent="0.2">
      <c r="E93" s="76" t="str">
        <f>Lang_GoTo&amp;" "&amp;HL_TOP_ACTV_14_Detailed_Costing_Worksheet</f>
        <v>Go to Training Activity #3 (Not in Use) -  Detailed Activity Costing Worksheet - Instructions</v>
      </c>
    </row>
    <row r="94" spans="1:14" s="10" customFormat="1" x14ac:dyDescent="0.2">
      <c r="C94" s="55" t="s">
        <v>208</v>
      </c>
      <c r="D94" s="74" t="str">
        <f>Lang_Detailed_Costing_Worksheet_Estimate</f>
        <v>Detailed Costing Worksheet Estimate</v>
      </c>
    </row>
    <row r="95" spans="1:14" s="10" customFormat="1" x14ac:dyDescent="0.2">
      <c r="F95" s="366" t="str">
        <f>TRAIN_Lu!$D$81</f>
        <v>LCU</v>
      </c>
      <c r="G95" s="366" t="str">
        <f>TRAIN_Lu!$D$80</f>
        <v>USD</v>
      </c>
      <c r="J95" s="366" t="str">
        <f ca="1">OFFSET(TRAIN_Lu!$D$79,DD_TOP_ACTV_14_Annual_Currency_Used,0)</f>
        <v>USD</v>
      </c>
      <c r="K95" s="366" t="str">
        <f ca="1">OFFSET(TRAIN_Lu!$D$79,DD_TOP_ACTV_14_Annual_Currency_Used,0)</f>
        <v>USD</v>
      </c>
      <c r="L95" s="366" t="str">
        <f ca="1">OFFSET(TRAIN_Lu!$D$79,DD_TOP_ACTV_14_Annual_Currency_Used,0)</f>
        <v>USD</v>
      </c>
      <c r="M95" s="366" t="str">
        <f ca="1">OFFSET(TRAIN_Lu!$D$79,DD_TOP_ACTV_14_Annual_Currency_Used,0)</f>
        <v>USD</v>
      </c>
      <c r="N95" s="366" t="str">
        <f ca="1">OFFSET(TRAIN_Lu!$D$79,DD_TOP_ACTV_14_Annual_Currency_Used,0)</f>
        <v>USD</v>
      </c>
    </row>
    <row r="96" spans="1:14" s="10" customFormat="1" x14ac:dyDescent="0.2">
      <c r="D96" s="53" t="str">
        <f>TRAIN_Lu!$D$100&amp;" "&amp;Lang_Cost_Of_A_Single&amp;" "&amp;$D$86&amp;" "&amp;Lang_Activity</f>
        <v>Financial Cost of a Single Training Activity #3 (Not in Use) Activity</v>
      </c>
      <c r="F96" s="41">
        <f>COSTS_DETAILED_SUMMARY!E105</f>
        <v>0</v>
      </c>
      <c r="G96" s="116">
        <f>COSTS_DETAILED_SUMMARY!G105</f>
        <v>0</v>
      </c>
      <c r="J96" s="79">
        <f>IF(DD_TOP_ACTV_14_Annual_Currency_Used=2,COSTS_DETAILED_SUMMARY!$E105,COSTS_DETAILED_SUMMARY!$G105)</f>
        <v>0</v>
      </c>
      <c r="K96" s="79">
        <f>IF(DD_TOP_ACTV_14_Annual_Currency_Used=2,COSTS_DETAILED_SUMMARY!$E105,COSTS_DETAILED_SUMMARY!$G105)</f>
        <v>0</v>
      </c>
      <c r="L96" s="79">
        <f>IF(DD_TOP_ACTV_14_Annual_Currency_Used=2,COSTS_DETAILED_SUMMARY!$E105,COSTS_DETAILED_SUMMARY!$G105)</f>
        <v>0</v>
      </c>
      <c r="M96" s="79">
        <f>IF(DD_TOP_ACTV_14_Annual_Currency_Used=2,COSTS_DETAILED_SUMMARY!$E105,COSTS_DETAILED_SUMMARY!$G105)</f>
        <v>0</v>
      </c>
      <c r="N96" s="79">
        <f>IF(DD_TOP_ACTV_14_Annual_Currency_Used=2,COSTS_DETAILED_SUMMARY!$E105,COSTS_DETAILED_SUMMARY!$G105)</f>
        <v>0</v>
      </c>
    </row>
    <row r="97" spans="1:14" s="10" customFormat="1" x14ac:dyDescent="0.2">
      <c r="D97" s="53" t="str">
        <f>TRAIN_Lu!$D$101&amp;" "&amp;Lang_Cost_Of_A_Single&amp;" "&amp;$D$86&amp;" "&amp;Lang_Activity</f>
        <v>Economic Cost of a Single Training Activity #3 (Not in Use) Activity</v>
      </c>
      <c r="F97" s="41">
        <f>COSTS_DETAILED_SUMMARY!F105</f>
        <v>0</v>
      </c>
      <c r="G97" s="116">
        <f>COSTS_DETAILED_SUMMARY!H105</f>
        <v>0</v>
      </c>
      <c r="J97" s="79">
        <f>IF(DD_TOP_ACTV_14_Annual_Currency_Used=2,COSTS_DETAILED_SUMMARY!$F105,COSTS_DETAILED_SUMMARY!$H105)</f>
        <v>0</v>
      </c>
      <c r="K97" s="79">
        <f>IF(DD_TOP_ACTV_14_Annual_Currency_Used=2,COSTS_DETAILED_SUMMARY!$F105,COSTS_DETAILED_SUMMARY!$H105)</f>
        <v>0</v>
      </c>
      <c r="L97" s="79">
        <f>IF(DD_TOP_ACTV_14_Annual_Currency_Used=2,COSTS_DETAILED_SUMMARY!$F105,COSTS_DETAILED_SUMMARY!$H105)</f>
        <v>0</v>
      </c>
      <c r="M97" s="79">
        <f>IF(DD_TOP_ACTV_14_Annual_Currency_Used=2,COSTS_DETAILED_SUMMARY!$F105,COSTS_DETAILED_SUMMARY!$H105)</f>
        <v>0</v>
      </c>
      <c r="N97" s="79">
        <f>IF(DD_TOP_ACTV_14_Annual_Currency_Used=2,COSTS_DETAILED_SUMMARY!$F105,COSTS_DETAILED_SUMMARY!$H105)</f>
        <v>0</v>
      </c>
    </row>
    <row r="98" spans="1:14" s="10" customFormat="1" x14ac:dyDescent="0.2"/>
    <row r="99" spans="1:14" s="10" customFormat="1" x14ac:dyDescent="0.2"/>
    <row r="100" spans="1:14" s="10" customFormat="1" x14ac:dyDescent="0.2">
      <c r="C100" s="55" t="s">
        <v>210</v>
      </c>
      <c r="D100" s="74" t="str">
        <f>Lang_Direct_User_Entry_Cost_Estimate</f>
        <v>Direct User Entry Cost Estimate</v>
      </c>
      <c r="J100" s="366" t="str">
        <f ca="1">OFFSET(TRAIN_Lu!$D$79,DD_TOP_ACTV_14_Annual_Currency_Used,0)</f>
        <v>USD</v>
      </c>
      <c r="K100" s="366" t="str">
        <f ca="1">OFFSET(TRAIN_Lu!$D$79,DD_TOP_ACTV_14_Annual_Currency_Used,0)</f>
        <v>USD</v>
      </c>
      <c r="L100" s="366" t="str">
        <f ca="1">OFFSET(TRAIN_Lu!$D$79,DD_TOP_ACTV_14_Annual_Currency_Used,0)</f>
        <v>USD</v>
      </c>
      <c r="M100" s="366" t="str">
        <f ca="1">OFFSET(TRAIN_Lu!$D$79,DD_TOP_ACTV_14_Annual_Currency_Used,0)</f>
        <v>USD</v>
      </c>
      <c r="N100" s="366" t="str">
        <f ca="1">OFFSET(TRAIN_Lu!$D$79,DD_TOP_ACTV_14_Annual_Currency_Used,0)</f>
        <v>USD</v>
      </c>
    </row>
    <row r="101" spans="1:14" s="10" customFormat="1" x14ac:dyDescent="0.2">
      <c r="D101" s="53" t="str">
        <f>TRAIN_Lu!$D$100&amp;" "&amp;Lang_Cost_Of_A_Single&amp;" "&amp;$D$86&amp;" "&amp;Lang_Activity</f>
        <v>Financial Cost of a Single Training Activity #3 (Not in Use) Activity</v>
      </c>
      <c r="J101" s="80">
        <v>0</v>
      </c>
      <c r="K101" s="80">
        <v>0</v>
      </c>
      <c r="L101" s="80">
        <v>0</v>
      </c>
      <c r="M101" s="80">
        <v>0</v>
      </c>
      <c r="N101" s="80">
        <v>0</v>
      </c>
    </row>
    <row r="102" spans="1:14" s="10" customFormat="1" x14ac:dyDescent="0.2">
      <c r="D102" s="53" t="str">
        <f>TRAIN_Lu!$D$101&amp;" "&amp;Lang_Cost_Of_A_Single&amp;" "&amp;$D$86&amp;" "&amp;Lang_Activity</f>
        <v>Economic Cost of a Single Training Activity #3 (Not in Use) Activity</v>
      </c>
      <c r="J102" s="80">
        <v>0</v>
      </c>
      <c r="K102" s="80">
        <v>0</v>
      </c>
      <c r="L102" s="80">
        <v>0</v>
      </c>
      <c r="M102" s="80">
        <v>0</v>
      </c>
      <c r="N102" s="80">
        <v>0</v>
      </c>
    </row>
    <row r="103" spans="1:14" s="10" customFormat="1" x14ac:dyDescent="0.2">
      <c r="D103" s="55" t="str">
        <f>Lang_Error_Check_Checks_If_Override_Input_economic_Cost_Is_Less_Than_Financial_Cost</f>
        <v>ERROR CHECK (CHECKS IF OVERRIDE INPUT ECONOMIC COST IS LESS THAN FINANCIAL COST)</v>
      </c>
      <c r="H103" s="145">
        <f>IF(ISERROR(SUM(J103:N103)),1,MIN(SUM(J103:N103),1))</f>
        <v>0</v>
      </c>
      <c r="J103" s="42">
        <f t="shared" ref="J103:N103" si="4">IF(J102&lt;J101,1,0)</f>
        <v>0</v>
      </c>
      <c r="K103" s="42">
        <f t="shared" si="4"/>
        <v>0</v>
      </c>
      <c r="L103" s="42">
        <f t="shared" si="4"/>
        <v>0</v>
      </c>
      <c r="M103" s="42">
        <f t="shared" si="4"/>
        <v>0</v>
      </c>
      <c r="N103" s="42">
        <f t="shared" si="4"/>
        <v>0</v>
      </c>
    </row>
    <row r="104" spans="1:14" s="10" customFormat="1" x14ac:dyDescent="0.2"/>
    <row r="105" spans="1:14" s="10" customFormat="1" x14ac:dyDescent="0.2">
      <c r="D105" s="74" t="str">
        <f>Lang_Source_Of_Information_Notes</f>
        <v>Notes and Sources of Information</v>
      </c>
    </row>
    <row r="106" spans="1:14" s="10" customFormat="1" x14ac:dyDescent="0.2">
      <c r="D106" s="482" t="s">
        <v>596</v>
      </c>
      <c r="E106" s="482"/>
    </row>
    <row r="107" spans="1:14" s="10" customFormat="1" x14ac:dyDescent="0.2">
      <c r="D107" s="482" t="s">
        <v>596</v>
      </c>
      <c r="E107" s="482"/>
    </row>
    <row r="108" spans="1:14" s="10" customFormat="1" x14ac:dyDescent="0.2">
      <c r="D108" s="482" t="s">
        <v>596</v>
      </c>
      <c r="E108" s="482"/>
    </row>
    <row r="109" spans="1:14" s="10" customFormat="1" x14ac:dyDescent="0.2"/>
    <row r="110" spans="1:14" s="10" customFormat="1" x14ac:dyDescent="0.2">
      <c r="A110" s="12" t="s">
        <v>125</v>
      </c>
      <c r="B110" s="13" t="str">
        <f>Lang_Number_Of&amp;" "&amp;$D$86&amp;" "&amp;Lang_Activities_Annual_Assumptions_Projected_Or_Retrospective</f>
        <v>Number of Training Activity #3 (Not in Use) Activities - Annual Assumptions (Projected or Retrospective)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</row>
    <row r="111" spans="1:14" s="10" customFormat="1" x14ac:dyDescent="0.2"/>
    <row r="112" spans="1:14" s="10" customFormat="1" x14ac:dyDescent="0.2">
      <c r="D112" s="53" t="str">
        <f>HL_TOP_ACTV_14_Name&amp;" - "&amp;Lang_Number_Of_Activities_Per_Year&amp;" ("&amp;Lang_Projected_Or_Retrospective&amp;")"</f>
        <v>Training Activity #3 (Not in Use) - Number of Activities per Year (Projected or Retrospective)</v>
      </c>
      <c r="J112" s="80">
        <v>0</v>
      </c>
      <c r="K112" s="80">
        <v>0</v>
      </c>
      <c r="L112" s="80">
        <v>0</v>
      </c>
      <c r="M112" s="80">
        <v>0</v>
      </c>
      <c r="N112" s="80">
        <v>0</v>
      </c>
    </row>
    <row r="113" spans="1:14" s="10" customFormat="1" x14ac:dyDescent="0.2"/>
    <row r="114" spans="1:14" s="10" customFormat="1" x14ac:dyDescent="0.2">
      <c r="D114" s="74" t="str">
        <f>Lang_Source_Of_Information_Notes</f>
        <v>Notes and Sources of Information</v>
      </c>
    </row>
    <row r="115" spans="1:14" s="10" customFormat="1" x14ac:dyDescent="0.2">
      <c r="D115" s="482" t="s">
        <v>596</v>
      </c>
      <c r="E115" s="482"/>
    </row>
    <row r="116" spans="1:14" s="10" customFormat="1" x14ac:dyDescent="0.2">
      <c r="D116" s="482" t="s">
        <v>596</v>
      </c>
      <c r="E116" s="482"/>
    </row>
    <row r="117" spans="1:14" s="10" customFormat="1" x14ac:dyDescent="0.2">
      <c r="D117" s="482" t="s">
        <v>596</v>
      </c>
      <c r="E117" s="482"/>
    </row>
    <row r="118" spans="1:14" s="10" customFormat="1" x14ac:dyDescent="0.2">
      <c r="D118" s="76" t="str">
        <f>Lang_GoTo&amp;" "&amp;HL_TOP_ACTV_14_Activity_Summary_Costs_Annual</f>
        <v>Go to Training Activity #3 (Not in Use) - Summary Costs (Annual)</v>
      </c>
    </row>
    <row r="119" spans="1:14" s="10" customFormat="1" x14ac:dyDescent="0.2"/>
    <row r="120" spans="1:14" s="10" customFormat="1" x14ac:dyDescent="0.2">
      <c r="A120" s="12" t="s">
        <v>125</v>
      </c>
      <c r="B120" s="13" t="str">
        <f>HL_LVL2_ACTV_2_Name&amp;" "&amp;Lang_Name</f>
        <v>Training Activity #4 (Not in Use) Name</v>
      </c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</row>
    <row r="121" spans="1:14" s="10" customFormat="1" x14ac:dyDescent="0.2"/>
    <row r="122" spans="1:14" s="10" customFormat="1" x14ac:dyDescent="0.2">
      <c r="D122" s="55" t="str">
        <f>Lang_Training_Activity_Name</f>
        <v>Training Activity Name</v>
      </c>
    </row>
    <row r="123" spans="1:14" s="10" customFormat="1" x14ac:dyDescent="0.2">
      <c r="D123" s="75" t="s">
        <v>480</v>
      </c>
    </row>
    <row r="124" spans="1:14" s="10" customFormat="1" x14ac:dyDescent="0.2"/>
    <row r="125" spans="1:14" s="10" customFormat="1" x14ac:dyDescent="0.2">
      <c r="A125" s="12" t="s">
        <v>125</v>
      </c>
      <c r="B125" s="13" t="str">
        <f>HL_LVL2_ACTV_2_Name&amp;" "&amp;Lang_Single_Activity_Cost_Annual_Assumptions_Projected_Or_Retrospective</f>
        <v>Training Activity #4 (Not in Use) Single Activity Cost - Annual Assumptions (Projected or Retrospective)</v>
      </c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</row>
    <row r="126" spans="1:14" s="10" customFormat="1" x14ac:dyDescent="0.2"/>
    <row r="127" spans="1:14" s="10" customFormat="1" x14ac:dyDescent="0.2">
      <c r="D127" s="114" t="str">
        <f>HL_LVL2_ACTV_2_Name</f>
        <v>Training Activity #4 (Not in Use)</v>
      </c>
    </row>
    <row r="128" spans="1:14" s="10" customFormat="1" x14ac:dyDescent="0.2"/>
    <row r="129" spans="3:14" s="10" customFormat="1" x14ac:dyDescent="0.2">
      <c r="D129" s="50" t="str">
        <f>Lang_Select_Input_Currency</f>
        <v>Select Input Currency</v>
      </c>
      <c r="E129" s="72">
        <v>1</v>
      </c>
    </row>
    <row r="130" spans="3:14" s="10" customFormat="1" x14ac:dyDescent="0.2"/>
    <row r="131" spans="3:14" s="10" customFormat="1" x14ac:dyDescent="0.2">
      <c r="D131" s="50" t="str">
        <f>Lang_Select_Costing_Input_Method</f>
        <v>Select Costing Input Method</v>
      </c>
      <c r="E131" s="72">
        <v>1</v>
      </c>
    </row>
    <row r="132" spans="3:14" s="10" customFormat="1" x14ac:dyDescent="0.2">
      <c r="E132" s="76" t="str">
        <f>Lang_GoTo&amp;" "&amp;HL_LVL2_ACTV_2_Detailed_Costing_Worksheet</f>
        <v>Go to Training Activity #4 (Not in Use) -  Detailed Activity Costing Worksheet - Instructions</v>
      </c>
    </row>
    <row r="133" spans="3:14" s="10" customFormat="1" x14ac:dyDescent="0.2">
      <c r="C133" s="55" t="s">
        <v>208</v>
      </c>
      <c r="D133" s="74" t="str">
        <f>Lang_Detailed_Costing_Worksheet_Estimate</f>
        <v>Detailed Costing Worksheet Estimate</v>
      </c>
    </row>
    <row r="134" spans="3:14" s="10" customFormat="1" x14ac:dyDescent="0.2">
      <c r="F134" s="366" t="str">
        <f>TRAIN_Lu!$D$116</f>
        <v>LCU</v>
      </c>
      <c r="G134" s="366" t="str">
        <f>TRAIN_Lu!$D$115</f>
        <v>USD</v>
      </c>
      <c r="J134" s="366" t="str">
        <f ca="1">OFFSET(TRAIN_Lu!$D$114,DD_LVL2_ACTV_2_Annual_Currency_Select,0)</f>
        <v>USD</v>
      </c>
      <c r="K134" s="366" t="str">
        <f ca="1">OFFSET(TRAIN_Lu!$D$114,DD_LVL2_ACTV_2_Annual_Currency_Select,0)</f>
        <v>USD</v>
      </c>
      <c r="L134" s="366" t="str">
        <f ca="1">OFFSET(TRAIN_Lu!$D$114,DD_LVL2_ACTV_2_Annual_Currency_Select,0)</f>
        <v>USD</v>
      </c>
      <c r="M134" s="366" t="str">
        <f ca="1">OFFSET(TRAIN_Lu!$D$114,DD_LVL2_ACTV_2_Annual_Currency_Select,0)</f>
        <v>USD</v>
      </c>
      <c r="N134" s="366" t="str">
        <f ca="1">OFFSET(TRAIN_Lu!$D$114,DD_LVL2_ACTV_2_Annual_Currency_Select,0)</f>
        <v>USD</v>
      </c>
    </row>
    <row r="135" spans="3:14" s="10" customFormat="1" x14ac:dyDescent="0.2">
      <c r="D135" s="53" t="str">
        <f>TRAIN_Lu!$D$135&amp;" "&amp;Lang_Cost_Of_A_Single&amp;" "&amp;TRAINING!$D$123&amp;" "&amp;Lang_Activity</f>
        <v>Financial Cost of a Single Training Activity #4 (Not in Use) Activity</v>
      </c>
      <c r="F135" s="42">
        <f>COSTS_DETAILED_SUMMARY!E121</f>
        <v>0</v>
      </c>
      <c r="G135" s="119">
        <f>COSTS_DETAILED_SUMMARY!G121</f>
        <v>0</v>
      </c>
      <c r="J135" s="108">
        <f>IF(DD_LVL2_ACTV_2_Annual_Currency_Select=2,COSTS_DETAILED_SUMMARY!$E121,COSTS_DETAILED_SUMMARY!$G121)</f>
        <v>0</v>
      </c>
      <c r="K135" s="108">
        <f>IF(DD_LVL2_ACTV_2_Annual_Currency_Select=2,COSTS_DETAILED_SUMMARY!$E121,COSTS_DETAILED_SUMMARY!$G121)</f>
        <v>0</v>
      </c>
      <c r="L135" s="108">
        <f>IF(DD_LVL2_ACTV_2_Annual_Currency_Select=2,COSTS_DETAILED_SUMMARY!$E121,COSTS_DETAILED_SUMMARY!$G121)</f>
        <v>0</v>
      </c>
      <c r="M135" s="108">
        <f>IF(DD_LVL2_ACTV_2_Annual_Currency_Select=2,COSTS_DETAILED_SUMMARY!$E121,COSTS_DETAILED_SUMMARY!$G121)</f>
        <v>0</v>
      </c>
      <c r="N135" s="108">
        <f>IF(DD_LVL2_ACTV_2_Annual_Currency_Select=2,COSTS_DETAILED_SUMMARY!$E121,COSTS_DETAILED_SUMMARY!$G121)</f>
        <v>0</v>
      </c>
    </row>
    <row r="136" spans="3:14" s="10" customFormat="1" x14ac:dyDescent="0.2">
      <c r="D136" s="53" t="str">
        <f>TRAIN_Lu!$D$136&amp;" "&amp;Lang_Cost_Of_A_Single&amp;" "&amp;TRAINING!$D$123&amp;" "&amp;Lang_Activity</f>
        <v>Economic Cost of a Single Training Activity #4 (Not in Use) Activity</v>
      </c>
      <c r="F136" s="42">
        <f>COSTS_DETAILED_SUMMARY!F121</f>
        <v>0</v>
      </c>
      <c r="G136" s="119">
        <f>COSTS_DETAILED_SUMMARY!H121</f>
        <v>0</v>
      </c>
      <c r="J136" s="108">
        <f>IF(DD_LVL2_ACTV_2_Annual_Currency_Select=2,COSTS_DETAILED_SUMMARY!$F121,COSTS_DETAILED_SUMMARY!$H121)</f>
        <v>0</v>
      </c>
      <c r="K136" s="108">
        <f>IF(DD_LVL2_ACTV_2_Annual_Currency_Select=2,COSTS_DETAILED_SUMMARY!$F121,COSTS_DETAILED_SUMMARY!$H121)</f>
        <v>0</v>
      </c>
      <c r="L136" s="108">
        <f>IF(DD_LVL2_ACTV_2_Annual_Currency_Select=2,COSTS_DETAILED_SUMMARY!$F121,COSTS_DETAILED_SUMMARY!$H121)</f>
        <v>0</v>
      </c>
      <c r="M136" s="108">
        <f>IF(DD_LVL2_ACTV_2_Annual_Currency_Select=2,COSTS_DETAILED_SUMMARY!$F121,COSTS_DETAILED_SUMMARY!$H121)</f>
        <v>0</v>
      </c>
      <c r="N136" s="108">
        <f>IF(DD_LVL2_ACTV_2_Annual_Currency_Select=2,COSTS_DETAILED_SUMMARY!$F121,COSTS_DETAILED_SUMMARY!$H121)</f>
        <v>0</v>
      </c>
    </row>
    <row r="137" spans="3:14" s="10" customFormat="1" x14ac:dyDescent="0.2"/>
    <row r="138" spans="3:14" s="10" customFormat="1" x14ac:dyDescent="0.2"/>
    <row r="139" spans="3:14" s="10" customFormat="1" x14ac:dyDescent="0.2">
      <c r="C139" s="55" t="s">
        <v>210</v>
      </c>
      <c r="D139" s="74" t="str">
        <f>Lang_Direct_User_Entry_Cost_Estimate</f>
        <v>Direct User Entry Cost Estimate</v>
      </c>
      <c r="J139" s="366" t="str">
        <f ca="1">OFFSET(TRAIN_Lu!$D$114,DD_LVL2_ACTV_2_Annual_Currency_Select,0)</f>
        <v>USD</v>
      </c>
      <c r="K139" s="366" t="str">
        <f ca="1">OFFSET(TRAIN_Lu!$D$114,DD_LVL2_ACTV_2_Annual_Currency_Select,0)</f>
        <v>USD</v>
      </c>
      <c r="L139" s="366" t="str">
        <f ca="1">OFFSET(TRAIN_Lu!$D$114,DD_LVL2_ACTV_2_Annual_Currency_Select,0)</f>
        <v>USD</v>
      </c>
      <c r="M139" s="366" t="str">
        <f ca="1">OFFSET(TRAIN_Lu!$D$114,DD_LVL2_ACTV_2_Annual_Currency_Select,0)</f>
        <v>USD</v>
      </c>
      <c r="N139" s="366" t="str">
        <f ca="1">OFFSET(TRAIN_Lu!$D$114,DD_LVL2_ACTV_2_Annual_Currency_Select,0)</f>
        <v>USD</v>
      </c>
    </row>
    <row r="140" spans="3:14" s="10" customFormat="1" x14ac:dyDescent="0.2">
      <c r="D140" s="53" t="str">
        <f>TRAIN_Lu!$D$135&amp;" "&amp;Lang_Cost_Of_A_Single&amp;" "&amp;TRAINING!$D$123&amp;" "&amp;Lang_Activity</f>
        <v>Financial Cost of a Single Training Activity #4 (Not in Use) Activity</v>
      </c>
      <c r="J140" s="77">
        <v>0</v>
      </c>
      <c r="K140" s="77">
        <v>0</v>
      </c>
      <c r="L140" s="77">
        <v>0</v>
      </c>
      <c r="M140" s="77">
        <v>0</v>
      </c>
      <c r="N140" s="77">
        <v>0</v>
      </c>
    </row>
    <row r="141" spans="3:14" s="10" customFormat="1" x14ac:dyDescent="0.2">
      <c r="D141" s="53" t="str">
        <f>TRAIN_Lu!$D$136&amp;" "&amp;Lang_Cost_Of_A_Single&amp;" "&amp;TRAINING!$D$123&amp;" "&amp;Lang_Activity</f>
        <v>Economic Cost of a Single Training Activity #4 (Not in Use) Activity</v>
      </c>
      <c r="J141" s="77">
        <v>0</v>
      </c>
      <c r="K141" s="77">
        <v>0</v>
      </c>
      <c r="L141" s="77">
        <v>0</v>
      </c>
      <c r="M141" s="77">
        <v>0</v>
      </c>
      <c r="N141" s="77">
        <v>0</v>
      </c>
    </row>
    <row r="142" spans="3:14" s="10" customFormat="1" x14ac:dyDescent="0.2">
      <c r="D142" s="55" t="str">
        <f>Lang_Error_Check_Checks_If_Override_Input_economic_Cost_Is_Less_Than_Financial_Cost</f>
        <v>ERROR CHECK (CHECKS IF OVERRIDE INPUT ECONOMIC COST IS LESS THAN FINANCIAL COST)</v>
      </c>
      <c r="H142" s="145">
        <f>IF(ISERROR(SUM(J142:N142)),1,MIN(SUM(J142:N142),1))</f>
        <v>0</v>
      </c>
      <c r="J142" s="42">
        <f t="shared" ref="J142:N142" si="5">IF(J141&lt;J140,1,0)</f>
        <v>0</v>
      </c>
      <c r="K142" s="42">
        <f t="shared" si="5"/>
        <v>0</v>
      </c>
      <c r="L142" s="42">
        <f t="shared" si="5"/>
        <v>0</v>
      </c>
      <c r="M142" s="42">
        <f t="shared" si="5"/>
        <v>0</v>
      </c>
      <c r="N142" s="42">
        <f t="shared" si="5"/>
        <v>0</v>
      </c>
    </row>
    <row r="143" spans="3:14" s="10" customFormat="1" x14ac:dyDescent="0.2"/>
    <row r="144" spans="3:14" s="10" customFormat="1" x14ac:dyDescent="0.2">
      <c r="D144" s="74" t="str">
        <f>Lang_Source_Of_Information_Notes</f>
        <v>Notes and Sources of Information</v>
      </c>
    </row>
    <row r="145" spans="1:14" s="10" customFormat="1" x14ac:dyDescent="0.2">
      <c r="D145" s="482" t="s">
        <v>596</v>
      </c>
      <c r="E145" s="482"/>
    </row>
    <row r="146" spans="1:14" s="10" customFormat="1" x14ac:dyDescent="0.2">
      <c r="D146" s="482" t="s">
        <v>596</v>
      </c>
      <c r="E146" s="482"/>
    </row>
    <row r="147" spans="1:14" s="10" customFormat="1" x14ac:dyDescent="0.2">
      <c r="D147" s="482" t="s">
        <v>596</v>
      </c>
      <c r="E147" s="482"/>
    </row>
    <row r="148" spans="1:14" s="10" customFormat="1" x14ac:dyDescent="0.2"/>
    <row r="149" spans="1:14" s="10" customFormat="1" x14ac:dyDescent="0.2">
      <c r="A149" s="12" t="s">
        <v>125</v>
      </c>
      <c r="B149" s="13" t="str">
        <f>Lang_Number_Of&amp;" "&amp;TRAINING!$D$123&amp;" "&amp;Lang_Activities_Annual_Assumptions_Projected_Or_Retrospective</f>
        <v>Number of Training Activity #4 (Not in Use) Activities - Annual Assumptions (Projected or Retrospective)</v>
      </c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</row>
    <row r="150" spans="1:14" s="10" customFormat="1" x14ac:dyDescent="0.2"/>
    <row r="151" spans="1:14" s="10" customFormat="1" x14ac:dyDescent="0.2">
      <c r="D151" s="71" t="str">
        <f>HL_LVL2_ACTV_2_Name&amp;" - "&amp;Lang_Number_Of_Activities_Per_Year&amp;" ("&amp;Lang_Projected_Or_Retrospective&amp;")"</f>
        <v>Training Activity #4 (Not in Use) - Number of Activities per Year (Projected or Retrospective)</v>
      </c>
    </row>
    <row r="152" spans="1:14" s="10" customFormat="1" x14ac:dyDescent="0.2"/>
    <row r="153" spans="1:14" s="10" customFormat="1" x14ac:dyDescent="0.2">
      <c r="D153" s="55" t="str">
        <f>Lang_Area_Name</f>
        <v>Area Name</v>
      </c>
    </row>
    <row r="154" spans="1:14" s="10" customFormat="1" x14ac:dyDescent="0.2">
      <c r="D154" s="50" t="str">
        <f>Lang_Number_Of_Activities</f>
        <v>Number of Activities</v>
      </c>
      <c r="J154" s="324">
        <v>0</v>
      </c>
      <c r="K154" s="324">
        <v>0</v>
      </c>
      <c r="L154" s="324">
        <v>0</v>
      </c>
      <c r="M154" s="324">
        <v>0</v>
      </c>
      <c r="N154" s="324">
        <v>0</v>
      </c>
    </row>
    <row r="155" spans="1:14" s="10" customFormat="1" hidden="1" x14ac:dyDescent="0.2">
      <c r="D155" s="71" t="str">
        <f>D151</f>
        <v>Training Activity #4 (Not in Use) - Number of Activities per Year (Projected or Retrospective)</v>
      </c>
      <c r="J155" s="41">
        <f t="shared" ref="J155:N155" si="6">SUM(J154:J154)</f>
        <v>0</v>
      </c>
      <c r="K155" s="41">
        <f t="shared" si="6"/>
        <v>0</v>
      </c>
      <c r="L155" s="41">
        <f t="shared" si="6"/>
        <v>0</v>
      </c>
      <c r="M155" s="41">
        <f t="shared" si="6"/>
        <v>0</v>
      </c>
      <c r="N155" s="41">
        <f t="shared" si="6"/>
        <v>0</v>
      </c>
    </row>
    <row r="156" spans="1:14" s="10" customFormat="1" x14ac:dyDescent="0.2"/>
    <row r="157" spans="1:14" s="10" customFormat="1" x14ac:dyDescent="0.2">
      <c r="D157" s="74" t="str">
        <f>Lang_Source_Of_Information_Notes</f>
        <v>Notes and Sources of Information</v>
      </c>
    </row>
    <row r="158" spans="1:14" s="10" customFormat="1" x14ac:dyDescent="0.2">
      <c r="D158" s="482" t="s">
        <v>596</v>
      </c>
      <c r="E158" s="482"/>
    </row>
    <row r="159" spans="1:14" s="10" customFormat="1" x14ac:dyDescent="0.2">
      <c r="D159" s="482" t="s">
        <v>596</v>
      </c>
      <c r="E159" s="482"/>
    </row>
    <row r="160" spans="1:14" s="10" customFormat="1" x14ac:dyDescent="0.2">
      <c r="D160" s="482" t="s">
        <v>596</v>
      </c>
      <c r="E160" s="482"/>
    </row>
    <row r="161" spans="4:4" s="10" customFormat="1" x14ac:dyDescent="0.2"/>
    <row r="162" spans="4:4" s="10" customFormat="1" x14ac:dyDescent="0.2">
      <c r="D162" s="76" t="str">
        <f>Lang_GoTo&amp;" "&amp;HL_LVL2_ACTV_2_Activity_Summary_Costs_Annual</f>
        <v>Go to Training Activity #4 (Not in Use) - Summary Costs (Annual)</v>
      </c>
    </row>
  </sheetData>
  <mergeCells count="24">
    <mergeCell ref="D79:E79"/>
    <mergeCell ref="D116:E116"/>
    <mergeCell ref="D117:E117"/>
    <mergeCell ref="D80:E80"/>
    <mergeCell ref="D106:E106"/>
    <mergeCell ref="D107:E107"/>
    <mergeCell ref="D108:E108"/>
    <mergeCell ref="D115:E115"/>
    <mergeCell ref="D160:E160"/>
    <mergeCell ref="D43:E43"/>
    <mergeCell ref="D32:E32"/>
    <mergeCell ref="D33:E33"/>
    <mergeCell ref="D34:E34"/>
    <mergeCell ref="D41:E41"/>
    <mergeCell ref="D42:E42"/>
    <mergeCell ref="D145:E145"/>
    <mergeCell ref="D146:E146"/>
    <mergeCell ref="D147:E147"/>
    <mergeCell ref="D158:E158"/>
    <mergeCell ref="D159:E159"/>
    <mergeCell ref="D69:E69"/>
    <mergeCell ref="D70:E70"/>
    <mergeCell ref="D71:E71"/>
    <mergeCell ref="D78:E78"/>
  </mergeCells>
  <conditionalFormatting sqref="H29">
    <cfRule type="cellIs" dxfId="294" priority="37" operator="notEqual">
      <formula>0</formula>
    </cfRule>
  </conditionalFormatting>
  <conditionalFormatting sqref="H66">
    <cfRule type="cellIs" dxfId="293" priority="36" operator="notEqual">
      <formula>0</formula>
    </cfRule>
  </conditionalFormatting>
  <conditionalFormatting sqref="H103">
    <cfRule type="cellIs" dxfId="292" priority="35" operator="notEqual">
      <formula>0</formula>
    </cfRule>
  </conditionalFormatting>
  <conditionalFormatting sqref="H142">
    <cfRule type="cellIs" dxfId="291" priority="34" operator="notEqual">
      <formula>0</formula>
    </cfRule>
  </conditionalFormatting>
  <conditionalFormatting sqref="J22:N23">
    <cfRule type="expression" dxfId="290" priority="3">
      <formula>DD_TOP_ACTV_2_Annual_Currency_Used=1</formula>
    </cfRule>
  </conditionalFormatting>
  <conditionalFormatting sqref="J27:N28">
    <cfRule type="expression" dxfId="289" priority="5">
      <formula>DD_TOP_ACTV_2_Annual_Currency_Used=1</formula>
    </cfRule>
  </conditionalFormatting>
  <conditionalFormatting sqref="J29:N29">
    <cfRule type="cellIs" dxfId="288" priority="33" operator="notEqual">
      <formula>0</formula>
    </cfRule>
  </conditionalFormatting>
  <conditionalFormatting sqref="J59:N60 J64:N65">
    <cfRule type="expression" dxfId="287" priority="4">
      <formula>DD_TOP_ACTV_13_Annual_Currency_Used=1</formula>
    </cfRule>
  </conditionalFormatting>
  <conditionalFormatting sqref="J66:N66">
    <cfRule type="cellIs" dxfId="286" priority="32" operator="notEqual">
      <formula>0</formula>
    </cfRule>
  </conditionalFormatting>
  <conditionalFormatting sqref="J96:N97 J101:N102">
    <cfRule type="expression" dxfId="285" priority="2">
      <formula>$E$90=1</formula>
    </cfRule>
  </conditionalFormatting>
  <conditionalFormatting sqref="J103:N103">
    <cfRule type="cellIs" dxfId="284" priority="31" operator="notEqual">
      <formula>0</formula>
    </cfRule>
  </conditionalFormatting>
  <conditionalFormatting sqref="J135:N136 J140:N141">
    <cfRule type="expression" dxfId="283" priority="1">
      <formula>$E$129=1</formula>
    </cfRule>
  </conditionalFormatting>
  <conditionalFormatting sqref="J142:N142">
    <cfRule type="cellIs" dxfId="282" priority="30" operator="notEqual">
      <formula>0</formula>
    </cfRule>
  </conditionalFormatting>
  <dataValidations count="9">
    <dataValidation type="whole" showDropDown="1" showErrorMessage="1" errorTitle="Drop Down Box Cell Link" error="The value in a drop down box cell link must be a whole number within the control's lookup range rows." sqref="E16" xr:uid="{00000000-0002-0000-1100-000000000000}">
      <formula1>1</formula1>
      <formula2>ROWS(LU_TOP_ACTV_2_Currencies)</formula2>
    </dataValidation>
    <dataValidation type="whole" showDropDown="1" showErrorMessage="1" errorTitle="Drop Down Box Cell Link" error="The value in a drop down box cell link must be a whole number within the control's lookup range rows." sqref="E18" xr:uid="{00000000-0002-0000-1100-000001000000}">
      <formula1>1</formula1>
      <formula2>ROWS(LU_TOP_ACTV_2_Detail_or_Freeform)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129" xr:uid="{00000000-0002-0000-1100-000002000000}">
      <formula1>1</formula1>
      <formula2>ROWS(LU_LVL2_ACTV_2_Currencies)</formula2>
    </dataValidation>
    <dataValidation type="whole" showDropDown="1" showErrorMessage="1" errorTitle="Drop Down Box Cell Link" error="The value in a drop down box cell link must be a whole number within the control's lookup range rows." sqref="E131" xr:uid="{00000000-0002-0000-1100-000003000000}">
      <formula1>1</formula1>
      <formula2>ROWS(LU_LVL2_ACTV_2_Detail_or_Freeform)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90" xr:uid="{00000000-0002-0000-1100-000004000000}">
      <formula1>1</formula1>
      <formula2>ROWS(LU_TOP_ACTV_14_Currencies)</formula2>
    </dataValidation>
    <dataValidation type="whole" showDropDown="1" showErrorMessage="1" errorTitle="Drop Down Box Cell Link" error="The value in a drop down box cell link must be a whole number within the control's lookup range rows." sqref="E92" xr:uid="{00000000-0002-0000-1100-000005000000}">
      <formula1>1</formula1>
      <formula2>ROWS(LU_TOP_ACTV_14_Detail_or_Freeform)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53" xr:uid="{00000000-0002-0000-1100-000006000000}">
      <formula1>1</formula1>
      <formula2>ROWS(LU_TOP_ACTV_13_Currencies)</formula2>
    </dataValidation>
    <dataValidation type="whole" showDropDown="1" showErrorMessage="1" errorTitle="Drop Down Box Cell Link" error="The value in a drop down box cell link must be a whole number within the control's lookup range rows." sqref="E55" xr:uid="{00000000-0002-0000-1100-000007000000}">
      <formula1>1</formula1>
      <formula2>ROWS(LU_TOP_ACTV_13_Detail_or_Freeform)</formula2>
    </dataValidation>
    <dataValidation type="custom" showErrorMessage="1" errorTitle="Invalid Assumption" error="Assumption must be a number." sqref="J101:N102 J140:N141 J112:N112 J154:N154 J75:N75 J64:N65 J38:N38 J27:N28" xr:uid="{00000000-0002-0000-1100-000008000000}">
      <formula1>NOT(ISERROR(J27/1))</formula1>
    </dataValidation>
  </dataValidations>
  <hyperlinks>
    <hyperlink ref="D44" location="HL_TOP_ACTV_2_Activity_Summary_Costs_Annual" tooltip="Click to follow hyperlink." display="HL_TOP_ACTV_2_Activity_Summary_Costs_Annual" xr:uid="{00000000-0004-0000-1100-000000000000}"/>
    <hyperlink ref="E19" location="HL_TOP_ACTV_2_Detailed_Costing_Worksheet" tooltip="Click to follow hyperlink." display="HL_TOP_ACTV_2_Detailed_Costing_Worksheet" xr:uid="{00000000-0004-0000-1100-000001000000}"/>
    <hyperlink ref="E132" location="HL_LVL2_ACTV_2_Detailed_Costing_Worksheet" tooltip="Click to follow hyperlink." display="HL_LVL2_ACTV_2_Detailed_Costing_Worksheet" xr:uid="{00000000-0004-0000-1100-000002000000}"/>
    <hyperlink ref="D162" location="HL_LVL2_ACTV_2_Activity_Summary_Costs_Annual" tooltip="Click to follow hyperlink." display="HL_LVL2_ACTV_2_Activity_Summary_Costs_Annual" xr:uid="{00000000-0004-0000-1100-000003000000}"/>
    <hyperlink ref="A9" location="HL_TOP_ACTV_2_Single_Activity_Cost_Assumptions_Annual" tooltip="Click to follow hyperlink." display="HL_TOP_ACTV_2_Single_Activity_Cost_Assumptions_Annual" xr:uid="{00000000-0004-0000-1100-000004000000}"/>
    <hyperlink ref="A120" location="HL_LVL2_ACTV_2_Single_Activity_Cost_Assumptions_Annual" tooltip="Click to follow hyperlink." display="HL_LVL2_ACTV_2_Single_Activity_Cost_Assumptions_Annual" xr:uid="{00000000-0004-0000-1100-000005000000}"/>
    <hyperlink ref="A46" location="HL_TOP_ACTV_13_Single_Activity_Cost_Assumptions_Annual" tooltip="Click to follow hyperlink." display="HL_TOP_ACTV_13_Single_Activity_Cost_Assumptions_Annual" xr:uid="{00000000-0004-0000-1100-000006000000}"/>
    <hyperlink ref="D81" location="HL_TOP_ACTV_13_Activity_Summary_Costs_Annual" tooltip="Click to follow hyperlink." display="HL_TOP_ACTV_13_Activity_Summary_Costs_Annual" xr:uid="{00000000-0004-0000-1100-000007000000}"/>
    <hyperlink ref="A83" location="HL_TOP_ACTV_14_Single_Activity_Cost_Assumptions_Annual" tooltip="Click to follow hyperlink." display="HL_TOP_ACTV_14_Single_Activity_Cost_Assumptions_Annual" xr:uid="{00000000-0004-0000-1100-000008000000}"/>
    <hyperlink ref="D118" location="HL_TOP_ACTV_14_Activity_Summary_Costs_Annual" tooltip="Click to follow hyperlink." display="HL_TOP_ACTV_14_Activity_Summary_Costs_Annual" xr:uid="{00000000-0004-0000-1100-000009000000}"/>
    <hyperlink ref="E93" location="HL_TOP_ACTV_14_Detailed_Costing_Worksheet" tooltip="Click to follow hyperlink." display="HL_TOP_ACTV_14_Detailed_Costing_Worksheet" xr:uid="{00000000-0004-0000-1100-00000A000000}"/>
    <hyperlink ref="E56" location="HL_TOP_ACTV_13_Detailed_Costing_Worksheet" tooltip="Click to follow hyperlink." display="HL_TOP_ACTV_13_Detailed_Costing_Worksheet" xr:uid="{00000000-0004-0000-1100-00000B000000}"/>
    <hyperlink ref="A1" location="Contents!A1" tooltip="Go to Table of Contents" display="±" xr:uid="{00000000-0004-0000-1100-00000C000000}"/>
    <hyperlink ref="A3" location="$B$8" tooltip="Go to Top of Sheet" display="$B$8" xr:uid="{0DC1AF9E-6C10-4B88-A580-74218BDD175A}"/>
  </hyperlinks>
  <pageMargins left="0.7" right="0.7" top="0.75" bottom="0.75" header="0.3" footer="0.3"/>
  <pageSetup scale="50" fitToHeight="0" orientation="landscape" r:id="rId1"/>
  <headerFooter>
    <oddFooter>&amp;L&amp;B Confidential&amp;B&amp;C&amp;D&amp;RPage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2290" r:id="rId4" name="bpmDropDownTOP_ACTV_22">
              <controlPr defaultSize="0" autoFill="0" autoPict="0">
                <anchor moveWithCells="1" sizeWithCells="1">
                  <from>
                    <xdr:col>4</xdr:col>
                    <xdr:colOff>0</xdr:colOff>
                    <xdr:row>15</xdr:row>
                    <xdr:rowOff>0</xdr:rowOff>
                  </from>
                  <to>
                    <xdr:col>5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91" r:id="rId5" name="bpmDropDownTOP_ACTV_23">
              <controlPr defaultSize="0" autoFill="0" autoPict="0">
                <anchor moveWithCells="1" sizeWithCells="1">
                  <from>
                    <xdr:col>4</xdr:col>
                    <xdr:colOff>0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93" r:id="rId6" name="bpmDropDownLVL2_ACTV_22">
              <controlPr defaultSize="0" autoFill="0" autoPict="0">
                <anchor moveWithCells="1" sizeWithCells="1">
                  <from>
                    <xdr:col>4</xdr:col>
                    <xdr:colOff>0</xdr:colOff>
                    <xdr:row>128</xdr:row>
                    <xdr:rowOff>0</xdr:rowOff>
                  </from>
                  <to>
                    <xdr:col>5</xdr:col>
                    <xdr:colOff>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94" r:id="rId7" name="bpmDropDownLVL2_ACTV_23">
              <controlPr defaultSize="0" autoFill="0" autoPict="0">
                <anchor moveWithCells="1" sizeWithCells="1">
                  <from>
                    <xdr:col>4</xdr:col>
                    <xdr:colOff>0</xdr:colOff>
                    <xdr:row>130</xdr:row>
                    <xdr:rowOff>0</xdr:rowOff>
                  </from>
                  <to>
                    <xdr:col>5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99" r:id="rId8" name="bpmDropDownTOP_ACTV_142">
              <controlPr defaultSize="0" autoFill="0" autoPict="0">
                <anchor moveWithCells="1" sizeWithCells="1">
                  <from>
                    <xdr:col>4</xdr:col>
                    <xdr:colOff>0</xdr:colOff>
                    <xdr:row>89</xdr:row>
                    <xdr:rowOff>0</xdr:rowOff>
                  </from>
                  <to>
                    <xdr:col>5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00" r:id="rId9" name="bpmDropDownTOP_ACTV_143">
              <controlPr defaultSize="0" autoFill="0" autoPict="0">
                <anchor moveWithCells="1" sizeWithCells="1">
                  <from>
                    <xdr:col>4</xdr:col>
                    <xdr:colOff>0</xdr:colOff>
                    <xdr:row>91</xdr:row>
                    <xdr:rowOff>0</xdr:rowOff>
                  </from>
                  <to>
                    <xdr:col>5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08" r:id="rId10" name="bpmDropDownTOP_ACTV_132">
              <controlPr defaultSize="0" autoFill="0" autoPict="0">
                <anchor moveWithCells="1" sizeWithCells="1">
                  <from>
                    <xdr:col>4</xdr:col>
                    <xdr:colOff>0</xdr:colOff>
                    <xdr:row>52</xdr:row>
                    <xdr:rowOff>0</xdr:rowOff>
                  </from>
                  <to>
                    <xdr:col>5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09" r:id="rId11" name="bpmDropDownTOP_ACTV_133">
              <controlPr defaultSize="0" autoFill="0" autoPict="0">
                <anchor moveWithCells="1" sizeWithCells="1">
                  <from>
                    <xdr:col>4</xdr:col>
                    <xdr:colOff>0</xdr:colOff>
                    <xdr:row>54</xdr:row>
                    <xdr:rowOff>0</xdr:rowOff>
                  </from>
                  <to>
                    <xdr:col>5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>
    <tabColor rgb="FFFFC000"/>
    <pageSetUpPr autoPageBreaks="0" fitToPage="1"/>
  </sheetPr>
  <dimension ref="A1:R250"/>
  <sheetViews>
    <sheetView showGridLines="0" zoomScaleNormal="100" workbookViewId="0">
      <pane xSplit="1" ySplit="7" topLeftCell="B8" activePane="bottomRight" state="frozen"/>
      <selection activeCell="I511" sqref="I511"/>
      <selection pane="topRight" activeCell="I511" sqref="I511"/>
      <selection pane="bottomLeft" activeCell="I511" sqref="I511"/>
      <selection pane="bottomRight" activeCell="H60" sqref="H60"/>
    </sheetView>
  </sheetViews>
  <sheetFormatPr defaultColWidth="11.7109375" defaultRowHeight="12" zeroHeight="1" x14ac:dyDescent="0.2"/>
  <cols>
    <col min="1" max="2" width="3.7109375" customWidth="1"/>
    <col min="3" max="3" width="5.7109375" customWidth="1"/>
    <col min="4" max="4" width="35.7109375" customWidth="1"/>
    <col min="5" max="5" width="30.7109375" customWidth="1"/>
    <col min="6" max="6" width="15.7109375" customWidth="1"/>
    <col min="7" max="7" width="10.7109375" customWidth="1"/>
    <col min="9" max="9" width="15.7109375" customWidth="1"/>
    <col min="10" max="14" width="20.7109375" customWidth="1"/>
  </cols>
  <sheetData>
    <row r="1" spans="1:14" ht="15" x14ac:dyDescent="0.2">
      <c r="A1" s="35" t="s">
        <v>128</v>
      </c>
      <c r="B1" s="31" t="str">
        <f>Lang_Sensitisation_Activities_Annual_Assumptions</f>
        <v>Sensitisation Activities - Annual Assumptions</v>
      </c>
    </row>
    <row r="2" spans="1:14" ht="12.75" x14ac:dyDescent="0.2">
      <c r="A2" s="36"/>
      <c r="B2" s="45" t="str">
        <f ca="1">Model_Name</f>
        <v>Cervical Cancer Prevention and Control Costing (C4P) Tool (Cost Projection)</v>
      </c>
    </row>
    <row r="3" spans="1:14" s="10" customFormat="1" x14ac:dyDescent="0.2">
      <c r="A3" s="421" t="s">
        <v>5</v>
      </c>
      <c r="B3" s="90" t="str">
        <f>Lang_Year_Ending</f>
        <v>Year Ending</v>
      </c>
      <c r="C3" s="90"/>
      <c r="D3" s="90"/>
      <c r="E3" s="90"/>
      <c r="F3" s="90"/>
      <c r="G3" s="90"/>
      <c r="H3" s="90"/>
      <c r="I3" s="90"/>
      <c r="J3" s="106">
        <f t="shared" ref="J3:N3" si="0">J7</f>
        <v>2019</v>
      </c>
      <c r="K3" s="106">
        <f t="shared" si="0"/>
        <v>2020</v>
      </c>
      <c r="L3" s="106">
        <f t="shared" si="0"/>
        <v>2021</v>
      </c>
      <c r="M3" s="106">
        <f t="shared" si="0"/>
        <v>2022</v>
      </c>
      <c r="N3" s="106">
        <f t="shared" si="0"/>
        <v>2023</v>
      </c>
    </row>
    <row r="4" spans="1:14" s="10" customFormat="1" hidden="1" x14ac:dyDescent="0.2">
      <c r="B4" s="50" t="str">
        <f>Lang_Period_Start_Date</f>
        <v>Period Start Date</v>
      </c>
      <c r="J4" s="340">
        <f>EDATE(TS_Start_Date,(J6-1)*TS_Mths_In_Yr)</f>
        <v>43466</v>
      </c>
      <c r="K4" s="340">
        <f>EDATE(TS_Start_Date,(K6-1)*TS_Mths_In_Yr)</f>
        <v>43831</v>
      </c>
      <c r="L4" s="340">
        <f>EDATE(TS_Start_Date,(L6-1)*TS_Mths_In_Yr)</f>
        <v>44197</v>
      </c>
      <c r="M4" s="340">
        <f>EDATE(TS_Start_Date,(M6-1)*TS_Mths_In_Yr)</f>
        <v>44562</v>
      </c>
      <c r="N4" s="340">
        <f>EDATE(TS_Start_Date,(N6-1)*TS_Mths_In_Yr)</f>
        <v>44927</v>
      </c>
    </row>
    <row r="5" spans="1:14" s="10" customFormat="1" hidden="1" x14ac:dyDescent="0.2">
      <c r="B5" s="50" t="str">
        <f>Lang_Period_End_Date</f>
        <v>Period End Date</v>
      </c>
      <c r="J5" s="340">
        <f>EDATE(J4,TS_Mths_In_Yr)-1</f>
        <v>43830</v>
      </c>
      <c r="K5" s="340">
        <f>EDATE(K4,TS_Mths_In_Yr)-1</f>
        <v>44196</v>
      </c>
      <c r="L5" s="340">
        <f>EDATE(L4,TS_Mths_In_Yr)-1</f>
        <v>44561</v>
      </c>
      <c r="M5" s="340">
        <f>EDATE(M4,TS_Mths_In_Yr)-1</f>
        <v>44926</v>
      </c>
      <c r="N5" s="340">
        <f>EDATE(N4,TS_Mths_In_Yr)-1</f>
        <v>45291</v>
      </c>
    </row>
    <row r="6" spans="1:14" s="10" customFormat="1" hidden="1" x14ac:dyDescent="0.2">
      <c r="B6" s="50" t="str">
        <f>Lang_Counter</f>
        <v>Counter</v>
      </c>
      <c r="J6" s="42">
        <f>COLUMNS($J6:J6)</f>
        <v>1</v>
      </c>
      <c r="K6" s="42">
        <f>COLUMNS($J6:K6)</f>
        <v>2</v>
      </c>
      <c r="L6" s="42">
        <f>COLUMNS($J6:L6)</f>
        <v>3</v>
      </c>
      <c r="M6" s="42">
        <f>COLUMNS($J6:M6)</f>
        <v>4</v>
      </c>
      <c r="N6" s="42">
        <f>COLUMNS($J6:N6)</f>
        <v>5</v>
      </c>
    </row>
    <row r="7" spans="1:14" s="10" customFormat="1" hidden="1" x14ac:dyDescent="0.2">
      <c r="B7" s="91" t="str">
        <f>Lang_Financial_Year</f>
        <v>Financial Year</v>
      </c>
      <c r="C7" s="69"/>
      <c r="D7" s="69"/>
      <c r="E7" s="69"/>
      <c r="F7" s="69"/>
      <c r="G7" s="69"/>
      <c r="H7" s="69"/>
      <c r="I7" s="69"/>
      <c r="J7" s="341">
        <f t="shared" ref="J7:N7" si="1">YEAR(J5)</f>
        <v>2019</v>
      </c>
      <c r="K7" s="341">
        <f t="shared" si="1"/>
        <v>2020</v>
      </c>
      <c r="L7" s="341">
        <f t="shared" si="1"/>
        <v>2021</v>
      </c>
      <c r="M7" s="341">
        <f t="shared" si="1"/>
        <v>2022</v>
      </c>
      <c r="N7" s="341">
        <f t="shared" si="1"/>
        <v>2023</v>
      </c>
    </row>
    <row r="8" spans="1:14" s="10" customFormat="1" collapsed="1" x14ac:dyDescent="0.2"/>
    <row r="9" spans="1:14" s="10" customFormat="1" x14ac:dyDescent="0.2">
      <c r="A9" s="12" t="s">
        <v>125</v>
      </c>
      <c r="B9" s="13" t="str">
        <f>HL_TOP_ACTV_3_Name&amp;" "&amp;Lang_Name</f>
        <v xml:space="preserve"> Sensitisation Activity # 1 (Not in Use) Name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1:14" s="10" customFormat="1" x14ac:dyDescent="0.2"/>
    <row r="11" spans="1:14" s="10" customFormat="1" x14ac:dyDescent="0.2">
      <c r="D11" s="55" t="str">
        <f>Lang_Senistisation_Activity_Name</f>
        <v>Senistisation Activity Name</v>
      </c>
    </row>
    <row r="12" spans="1:14" s="10" customFormat="1" x14ac:dyDescent="0.2">
      <c r="D12" s="75" t="s">
        <v>614</v>
      </c>
    </row>
    <row r="13" spans="1:14" s="10" customFormat="1" x14ac:dyDescent="0.2"/>
    <row r="14" spans="1:14" s="10" customFormat="1" x14ac:dyDescent="0.2">
      <c r="A14" s="12" t="s">
        <v>125</v>
      </c>
      <c r="B14" s="13" t="str">
        <f>HL_TOP_ACTV_3_Name&amp;" "&amp;Lang_Single_Activity_Cost_Annual_Assumptions_Projected_Or_Retrospective</f>
        <v xml:space="preserve"> Sensitisation Activity # 1 (Not in Use) Single Activity Cost - Annual Assumptions (Projected or Retrospective)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</row>
    <row r="15" spans="1:14" s="10" customFormat="1" x14ac:dyDescent="0.2"/>
    <row r="16" spans="1:14" s="10" customFormat="1" x14ac:dyDescent="0.2">
      <c r="D16" s="50" t="str">
        <f>Lang_Select_Input_Currency</f>
        <v>Select Input Currency</v>
      </c>
      <c r="E16" s="72">
        <v>1</v>
      </c>
    </row>
    <row r="17" spans="3:14" s="10" customFormat="1" x14ac:dyDescent="0.2"/>
    <row r="18" spans="3:14" s="10" customFormat="1" x14ac:dyDescent="0.2">
      <c r="D18" s="50" t="str">
        <f>Lang_Select_Costing_Input_Method</f>
        <v>Select Costing Input Method</v>
      </c>
      <c r="E18" s="72">
        <v>2</v>
      </c>
    </row>
    <row r="19" spans="3:14" s="10" customFormat="1" x14ac:dyDescent="0.2">
      <c r="E19" s="76" t="str">
        <f>Lang_GoTo&amp;" "&amp;HL_TOP_ACTV_3_Detailed_Costing_Worksheet</f>
        <v>Go to  Sensitisation Activity # 1 (Not in Use) -  Detailed Activity Costing Worksheet - Instructions</v>
      </c>
    </row>
    <row r="20" spans="3:14" s="10" customFormat="1" x14ac:dyDescent="0.2">
      <c r="C20" s="55" t="s">
        <v>208</v>
      </c>
      <c r="D20" s="74" t="str">
        <f>Lang_Detailed_Costing_Worksheet_Estimate</f>
        <v>Detailed Costing Worksheet Estimate</v>
      </c>
    </row>
    <row r="21" spans="3:14" s="10" customFormat="1" x14ac:dyDescent="0.2">
      <c r="F21" s="366" t="str">
        <f>SENS_Lu!$D$13</f>
        <v>LCU</v>
      </c>
      <c r="G21" s="366" t="str">
        <f>SENS_Lu!$D$12</f>
        <v>USD</v>
      </c>
      <c r="J21" s="366" t="str">
        <f ca="1">OFFSET(SENS_Lu!$D$11,DD_TOP_ACTV_3_Annual_Currency_Used,0)</f>
        <v>USD</v>
      </c>
      <c r="K21" s="366" t="str">
        <f ca="1">OFFSET(SENS_Lu!$D$11,DD_TOP_ACTV_3_Annual_Currency_Used,0)</f>
        <v>USD</v>
      </c>
      <c r="L21" s="366" t="str">
        <f ca="1">OFFSET(SENS_Lu!$D$11,DD_TOP_ACTV_3_Annual_Currency_Used,0)</f>
        <v>USD</v>
      </c>
      <c r="M21" s="366" t="str">
        <f ca="1">OFFSET(SENS_Lu!$D$11,DD_TOP_ACTV_3_Annual_Currency_Used,0)</f>
        <v>USD</v>
      </c>
      <c r="N21" s="366" t="str">
        <f ca="1">OFFSET(SENS_Lu!$D$11,DD_TOP_ACTV_3_Annual_Currency_Used,0)</f>
        <v>USD</v>
      </c>
    </row>
    <row r="22" spans="3:14" s="10" customFormat="1" x14ac:dyDescent="0.2">
      <c r="D22" s="53" t="str">
        <f>SENS_Lu!$D$32&amp;" "&amp;Lang_Cost_Of_A_Single&amp;" "&amp;SENSITISATION!$D$12&amp;" "&amp;Lang_Activity</f>
        <v>Financial Cost of a Single  Sensitisation Activity # 1 (Not in Use) Activity</v>
      </c>
      <c r="F22" s="41">
        <f>COSTS_DETAILED_SUMMARY!E136</f>
        <v>0</v>
      </c>
      <c r="G22" s="116">
        <f>COSTS_DETAILED_SUMMARY!G136</f>
        <v>0</v>
      </c>
      <c r="J22" s="79">
        <f>IF(DD_TOP_ACTV_3_Annual_Currency_Used=2,COSTS_DETAILED_SUMMARY!$E136,COSTS_DETAILED_SUMMARY!$G136)</f>
        <v>0</v>
      </c>
      <c r="K22" s="79">
        <f>IF(DD_TOP_ACTV_3_Annual_Currency_Used=2,COSTS_DETAILED_SUMMARY!$E136,COSTS_DETAILED_SUMMARY!$G136)</f>
        <v>0</v>
      </c>
      <c r="L22" s="79">
        <f>IF(DD_TOP_ACTV_3_Annual_Currency_Used=2,COSTS_DETAILED_SUMMARY!$E136,COSTS_DETAILED_SUMMARY!$G136)</f>
        <v>0</v>
      </c>
      <c r="M22" s="79">
        <f>IF(DD_TOP_ACTV_3_Annual_Currency_Used=2,COSTS_DETAILED_SUMMARY!$E136,COSTS_DETAILED_SUMMARY!$G136)</f>
        <v>0</v>
      </c>
      <c r="N22" s="79">
        <f>IF(DD_TOP_ACTV_3_Annual_Currency_Used=2,COSTS_DETAILED_SUMMARY!$E136,COSTS_DETAILED_SUMMARY!$G136)</f>
        <v>0</v>
      </c>
    </row>
    <row r="23" spans="3:14" s="10" customFormat="1" x14ac:dyDescent="0.2">
      <c r="D23" s="53" t="str">
        <f>SENS_Lu!$D$33&amp;" "&amp;Lang_Cost_Of_A_Single&amp;" "&amp;SENSITISATION!$D$12&amp;" "&amp;Lang_Activity</f>
        <v>Economic Cost of a Single  Sensitisation Activity # 1 (Not in Use) Activity</v>
      </c>
      <c r="F23" s="41">
        <f>COSTS_DETAILED_SUMMARY!F136</f>
        <v>0</v>
      </c>
      <c r="G23" s="116">
        <f>COSTS_DETAILED_SUMMARY!H136</f>
        <v>0</v>
      </c>
      <c r="J23" s="79">
        <f>IF(DD_TOP_ACTV_3_Annual_Currency_Used=2,COSTS_DETAILED_SUMMARY!$F136,COSTS_DETAILED_SUMMARY!$H136)</f>
        <v>0</v>
      </c>
      <c r="K23" s="79">
        <f>IF(DD_TOP_ACTV_3_Annual_Currency_Used=2,COSTS_DETAILED_SUMMARY!$F136,COSTS_DETAILED_SUMMARY!$H136)</f>
        <v>0</v>
      </c>
      <c r="L23" s="79">
        <f>IF(DD_TOP_ACTV_3_Annual_Currency_Used=2,COSTS_DETAILED_SUMMARY!$F136,COSTS_DETAILED_SUMMARY!$H136)</f>
        <v>0</v>
      </c>
      <c r="M23" s="79">
        <f>IF(DD_TOP_ACTV_3_Annual_Currency_Used=2,COSTS_DETAILED_SUMMARY!$F136,COSTS_DETAILED_SUMMARY!$H136)</f>
        <v>0</v>
      </c>
      <c r="N23" s="79">
        <f>IF(DD_TOP_ACTV_3_Annual_Currency_Used=2,COSTS_DETAILED_SUMMARY!$F136,COSTS_DETAILED_SUMMARY!$H136)</f>
        <v>0</v>
      </c>
    </row>
    <row r="24" spans="3:14" s="10" customFormat="1" x14ac:dyDescent="0.2"/>
    <row r="25" spans="3:14" s="10" customFormat="1" x14ac:dyDescent="0.2"/>
    <row r="26" spans="3:14" s="10" customFormat="1" x14ac:dyDescent="0.2">
      <c r="C26" s="55" t="s">
        <v>210</v>
      </c>
      <c r="D26" s="74" t="str">
        <f>Lang_Direct_User_Entry_Cost_Estimate</f>
        <v>Direct User Entry Cost Estimate</v>
      </c>
      <c r="J26" s="366" t="str">
        <f ca="1">OFFSET(SENS_Lu!$D$11,DD_TOP_ACTV_3_Annual_Currency_Used,0)</f>
        <v>USD</v>
      </c>
      <c r="K26" s="366" t="str">
        <f ca="1">OFFSET(SENS_Lu!$D$11,DD_TOP_ACTV_3_Annual_Currency_Used,0)</f>
        <v>USD</v>
      </c>
      <c r="L26" s="366" t="str">
        <f ca="1">OFFSET(SENS_Lu!$D$11,DD_TOP_ACTV_3_Annual_Currency_Used,0)</f>
        <v>USD</v>
      </c>
      <c r="M26" s="366" t="str">
        <f ca="1">OFFSET(SENS_Lu!$D$11,DD_TOP_ACTV_3_Annual_Currency_Used,0)</f>
        <v>USD</v>
      </c>
      <c r="N26" s="366" t="str">
        <f ca="1">OFFSET(SENS_Lu!$D$11,DD_TOP_ACTV_3_Annual_Currency_Used,0)</f>
        <v>USD</v>
      </c>
    </row>
    <row r="27" spans="3:14" s="10" customFormat="1" x14ac:dyDescent="0.2">
      <c r="D27" s="53" t="str">
        <f>SENS_Lu!$D$32&amp;" "&amp;Lang_Cost_Of_A_Single&amp;" "&amp;SENSITISATION!$D$12&amp;" "&amp;Lang_Activity</f>
        <v>Financial Cost of a Single  Sensitisation Activity # 1 (Not in Use) Activity</v>
      </c>
      <c r="J27" s="80">
        <v>0</v>
      </c>
      <c r="K27" s="80">
        <v>0</v>
      </c>
      <c r="L27" s="80">
        <v>0</v>
      </c>
      <c r="M27" s="80">
        <v>0</v>
      </c>
      <c r="N27" s="80">
        <v>0</v>
      </c>
    </row>
    <row r="28" spans="3:14" s="10" customFormat="1" x14ac:dyDescent="0.2">
      <c r="D28" s="53" t="str">
        <f>SENS_Lu!$D$33&amp;" "&amp;Lang_Cost_Of_A_Single&amp;" "&amp;SENSITISATION!$D$12&amp;" "&amp;Lang_Activity</f>
        <v>Economic Cost of a Single  Sensitisation Activity # 1 (Not in Use) Activity</v>
      </c>
      <c r="J28" s="80">
        <v>0</v>
      </c>
      <c r="K28" s="80">
        <v>0</v>
      </c>
      <c r="L28" s="80">
        <v>0</v>
      </c>
      <c r="M28" s="80">
        <v>0</v>
      </c>
      <c r="N28" s="80">
        <v>0</v>
      </c>
    </row>
    <row r="29" spans="3:14" s="10" customFormat="1" x14ac:dyDescent="0.2">
      <c r="D29" s="55" t="str">
        <f>Lang_Error_Check_Checks_If_Override_Input_economic_Cost_Is_Less_Than_Financial_Cost</f>
        <v>ERROR CHECK (CHECKS IF OVERRIDE INPUT ECONOMIC COST IS LESS THAN FINANCIAL COST)</v>
      </c>
      <c r="H29" s="145">
        <f>IF(ISERROR(SUM(J29:N29)),1,MIN(SUM(J29:N29),1))</f>
        <v>0</v>
      </c>
      <c r="J29" s="42">
        <f t="shared" ref="J29:N29" si="2">IF(J28&lt;J27,1,0)</f>
        <v>0</v>
      </c>
      <c r="K29" s="42">
        <f t="shared" si="2"/>
        <v>0</v>
      </c>
      <c r="L29" s="42">
        <f t="shared" si="2"/>
        <v>0</v>
      </c>
      <c r="M29" s="42">
        <f t="shared" si="2"/>
        <v>0</v>
      </c>
      <c r="N29" s="42">
        <f t="shared" si="2"/>
        <v>0</v>
      </c>
    </row>
    <row r="30" spans="3:14" s="10" customFormat="1" x14ac:dyDescent="0.2"/>
    <row r="31" spans="3:14" s="10" customFormat="1" x14ac:dyDescent="0.2">
      <c r="D31" s="74" t="str">
        <f>Lang_Source_Of_Information_Notes</f>
        <v>Notes and Sources of Information</v>
      </c>
    </row>
    <row r="32" spans="3:14" s="10" customFormat="1" x14ac:dyDescent="0.2">
      <c r="D32" s="482" t="s">
        <v>596</v>
      </c>
      <c r="E32" s="482"/>
    </row>
    <row r="33" spans="1:18" s="10" customFormat="1" x14ac:dyDescent="0.2">
      <c r="D33" s="482" t="s">
        <v>596</v>
      </c>
      <c r="E33" s="482"/>
      <c r="R33" s="10" t="s">
        <v>39</v>
      </c>
    </row>
    <row r="34" spans="1:18" s="10" customFormat="1" x14ac:dyDescent="0.2">
      <c r="D34" s="482" t="s">
        <v>596</v>
      </c>
      <c r="E34" s="482"/>
    </row>
    <row r="35" spans="1:18" s="10" customFormat="1" x14ac:dyDescent="0.2"/>
    <row r="36" spans="1:18" s="10" customFormat="1" x14ac:dyDescent="0.2">
      <c r="A36" s="12" t="s">
        <v>125</v>
      </c>
      <c r="B36" s="13" t="str">
        <f>Lang_Number_Of&amp;" "&amp;SENSITISATION!$D$12&amp;" "&amp;Lang_Activities_Annual_Assumptions_Projected_Or_Retrospective</f>
        <v>Number of  Sensitisation Activity # 1 (Not in Use) Activities - Annual Assumptions (Projected or Retrospective)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</row>
    <row r="37" spans="1:18" s="10" customFormat="1" x14ac:dyDescent="0.2"/>
    <row r="38" spans="1:18" s="10" customFormat="1" x14ac:dyDescent="0.2">
      <c r="D38" s="53" t="str">
        <f>$D$12&amp;" - "&amp;Lang_Number_Of_Activities_Per_Year&amp;" ("&amp;Lang_Projected_Or_Retrospective&amp;")"</f>
        <v xml:space="preserve"> Sensitisation Activity # 1 (Not in Use) - Number of Activities per Year (Projected or Retrospective)</v>
      </c>
      <c r="J38" s="80">
        <v>0</v>
      </c>
      <c r="K38" s="80">
        <v>0</v>
      </c>
      <c r="L38" s="80">
        <v>0</v>
      </c>
      <c r="M38" s="80">
        <v>0</v>
      </c>
      <c r="N38" s="80">
        <v>0</v>
      </c>
    </row>
    <row r="39" spans="1:18" s="10" customFormat="1" x14ac:dyDescent="0.2"/>
    <row r="40" spans="1:18" s="10" customFormat="1" x14ac:dyDescent="0.2">
      <c r="D40" s="74" t="str">
        <f>Lang_Source_Of_Information_Notes</f>
        <v>Notes and Sources of Information</v>
      </c>
    </row>
    <row r="41" spans="1:18" s="10" customFormat="1" x14ac:dyDescent="0.2">
      <c r="D41" s="482" t="s">
        <v>596</v>
      </c>
      <c r="E41" s="482"/>
    </row>
    <row r="42" spans="1:18" s="10" customFormat="1" x14ac:dyDescent="0.2">
      <c r="D42" s="482" t="s">
        <v>596</v>
      </c>
      <c r="E42" s="482"/>
    </row>
    <row r="43" spans="1:18" s="10" customFormat="1" x14ac:dyDescent="0.2">
      <c r="D43" s="482" t="s">
        <v>596</v>
      </c>
      <c r="E43" s="482"/>
    </row>
    <row r="44" spans="1:18" s="10" customFormat="1" x14ac:dyDescent="0.2">
      <c r="D44" s="76" t="str">
        <f>Lang_GoTo&amp;" "&amp;HL_TOP_ACTV_3_Activity_Summary_Costs_Annual</f>
        <v>Go to  Sensitisation Activity # 1 (Not in Use) - Summary Costs (Annual)</v>
      </c>
    </row>
    <row r="45" spans="1:18" s="10" customFormat="1" x14ac:dyDescent="0.2"/>
    <row r="46" spans="1:18" s="10" customFormat="1" x14ac:dyDescent="0.2">
      <c r="A46" s="12" t="s">
        <v>125</v>
      </c>
      <c r="B46" s="13" t="str">
        <f>HL_TOP_ACTV_10_Name&amp;" "&amp;Lang_Name</f>
        <v xml:space="preserve"> Sensitisation Activity # 2 (Not in Use) Name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</row>
    <row r="47" spans="1:18" s="10" customFormat="1" x14ac:dyDescent="0.2"/>
    <row r="48" spans="1:18" s="10" customFormat="1" x14ac:dyDescent="0.2">
      <c r="D48" s="55" t="str">
        <f>Lang_Senistisation_Activity_Name</f>
        <v>Senistisation Activity Name</v>
      </c>
    </row>
    <row r="49" spans="1:14" s="10" customFormat="1" x14ac:dyDescent="0.2">
      <c r="D49" s="75" t="s">
        <v>481</v>
      </c>
    </row>
    <row r="50" spans="1:14" s="10" customFormat="1" x14ac:dyDescent="0.2"/>
    <row r="51" spans="1:14" s="10" customFormat="1" x14ac:dyDescent="0.2">
      <c r="A51" s="12" t="s">
        <v>125</v>
      </c>
      <c r="B51" s="13" t="str">
        <f>HL_TOP_ACTV_10_Name&amp;" "&amp;Lang_Single_Activity_Cost_Annual_Assumptions_Projected_Or_Retrospective</f>
        <v xml:space="preserve"> Sensitisation Activity # 2 (Not in Use) Single Activity Cost - Annual Assumptions (Projected or Retrospective)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</row>
    <row r="52" spans="1:14" s="10" customFormat="1" x14ac:dyDescent="0.2"/>
    <row r="53" spans="1:14" s="10" customFormat="1" x14ac:dyDescent="0.2">
      <c r="D53" s="50" t="str">
        <f>Lang_Select_Input_Currency</f>
        <v>Select Input Currency</v>
      </c>
      <c r="E53" s="72">
        <v>1</v>
      </c>
    </row>
    <row r="54" spans="1:14" s="10" customFormat="1" x14ac:dyDescent="0.2"/>
    <row r="55" spans="1:14" s="10" customFormat="1" x14ac:dyDescent="0.2">
      <c r="D55" s="50" t="str">
        <f>Lang_Select_Costing_Input_Method</f>
        <v>Select Costing Input Method</v>
      </c>
      <c r="E55" s="72">
        <v>2</v>
      </c>
    </row>
    <row r="56" spans="1:14" s="10" customFormat="1" x14ac:dyDescent="0.2">
      <c r="E56" s="76" t="str">
        <f>Lang_GoTo&amp;" "&amp;HL_TOP_ACTV_10_Detailed_Costing_Worksheet</f>
        <v>Go to  Sensitisation Activity # 2 (Not in Use) -  Detailed Activity Costing Worksheet - Instructions</v>
      </c>
    </row>
    <row r="57" spans="1:14" s="10" customFormat="1" x14ac:dyDescent="0.2">
      <c r="C57" s="55" t="s">
        <v>208</v>
      </c>
      <c r="D57" s="74" t="str">
        <f>Lang_Detailed_Costing_Worksheet_Estimate</f>
        <v>Detailed Costing Worksheet Estimate</v>
      </c>
    </row>
    <row r="58" spans="1:14" s="10" customFormat="1" x14ac:dyDescent="0.2">
      <c r="F58" s="366" t="str">
        <f>SENS_Lu!$D$48</f>
        <v>LCU</v>
      </c>
      <c r="G58" s="366" t="str">
        <f>SENS_Lu!$D$47</f>
        <v>USD</v>
      </c>
      <c r="J58" s="366" t="str">
        <f ca="1">OFFSET(SENS_Lu!$D$46,DD_TOP_ACTV_10_Annual_Currency_Used,0)</f>
        <v>USD</v>
      </c>
      <c r="K58" s="366" t="str">
        <f ca="1">OFFSET(SENS_Lu!$D$46,DD_TOP_ACTV_10_Annual_Currency_Used,0)</f>
        <v>USD</v>
      </c>
      <c r="L58" s="366" t="str">
        <f ca="1">OFFSET(SENS_Lu!$D$46,DD_TOP_ACTV_10_Annual_Currency_Used,0)</f>
        <v>USD</v>
      </c>
      <c r="M58" s="366" t="str">
        <f ca="1">OFFSET(SENS_Lu!$D$46,DD_TOP_ACTV_10_Annual_Currency_Used,0)</f>
        <v>USD</v>
      </c>
      <c r="N58" s="366" t="str">
        <f ca="1">OFFSET(SENS_Lu!$D$46,DD_TOP_ACTV_10_Annual_Currency_Used,0)</f>
        <v>USD</v>
      </c>
    </row>
    <row r="59" spans="1:14" s="10" customFormat="1" x14ac:dyDescent="0.2">
      <c r="D59" s="53" t="str">
        <f>SENS_Lu!$D$67&amp;" "&amp;Lang_Cost_Of_A_Single&amp;" "&amp;$D$49&amp;" "&amp;Lang_Activity</f>
        <v>Financial Cost of a Single  Sensitisation Activity # 2 (Not in Use) Activity</v>
      </c>
      <c r="F59" s="41">
        <f>COSTS_DETAILED_SUMMARY!E151</f>
        <v>0</v>
      </c>
      <c r="G59" s="116">
        <f>COSTS_DETAILED_SUMMARY!G151</f>
        <v>0</v>
      </c>
      <c r="J59" s="79">
        <f>IF(DD_TOP_ACTV_10_Annual_Currency_Used=2,COSTS_DETAILED_SUMMARY!$E151,COSTS_DETAILED_SUMMARY!$G151)</f>
        <v>0</v>
      </c>
      <c r="K59" s="79">
        <f>IF(DD_TOP_ACTV_10_Annual_Currency_Used=2,COSTS_DETAILED_SUMMARY!$E151,COSTS_DETAILED_SUMMARY!$G151)</f>
        <v>0</v>
      </c>
      <c r="L59" s="79">
        <f>IF(DD_TOP_ACTV_10_Annual_Currency_Used=2,COSTS_DETAILED_SUMMARY!$E151,COSTS_DETAILED_SUMMARY!$G151)</f>
        <v>0</v>
      </c>
      <c r="M59" s="79">
        <f>IF(DD_TOP_ACTV_10_Annual_Currency_Used=2,COSTS_DETAILED_SUMMARY!$E151,COSTS_DETAILED_SUMMARY!$G151)</f>
        <v>0</v>
      </c>
      <c r="N59" s="79">
        <f>IF(DD_TOP_ACTV_10_Annual_Currency_Used=2,COSTS_DETAILED_SUMMARY!$E151,COSTS_DETAILED_SUMMARY!$G151)</f>
        <v>0</v>
      </c>
    </row>
    <row r="60" spans="1:14" s="10" customFormat="1" x14ac:dyDescent="0.2">
      <c r="D60" s="53" t="str">
        <f>SENS_Lu!$D$68&amp;" "&amp;Lang_Cost_Of_A_Single&amp;" "&amp;$D$49&amp;" "&amp;Lang_Activity</f>
        <v>Economic Cost of a Single  Sensitisation Activity # 2 (Not in Use) Activity</v>
      </c>
      <c r="F60" s="41">
        <f>COSTS_DETAILED_SUMMARY!F151</f>
        <v>0</v>
      </c>
      <c r="G60" s="116">
        <f>COSTS_DETAILED_SUMMARY!H151</f>
        <v>0</v>
      </c>
      <c r="J60" s="79">
        <f>IF(DD_TOP_ACTV_10_Annual_Currency_Used=2,COSTS_DETAILED_SUMMARY!$F151,COSTS_DETAILED_SUMMARY!$H151)</f>
        <v>0</v>
      </c>
      <c r="K60" s="79">
        <f>IF(DD_TOP_ACTV_10_Annual_Currency_Used=2,COSTS_DETAILED_SUMMARY!$F151,COSTS_DETAILED_SUMMARY!$H151)</f>
        <v>0</v>
      </c>
      <c r="L60" s="79">
        <f>IF(DD_TOP_ACTV_10_Annual_Currency_Used=2,COSTS_DETAILED_SUMMARY!$F151,COSTS_DETAILED_SUMMARY!$H151)</f>
        <v>0</v>
      </c>
      <c r="M60" s="79">
        <f>IF(DD_TOP_ACTV_10_Annual_Currency_Used=2,COSTS_DETAILED_SUMMARY!$F151,COSTS_DETAILED_SUMMARY!$H151)</f>
        <v>0</v>
      </c>
      <c r="N60" s="79">
        <f>IF(DD_TOP_ACTV_10_Annual_Currency_Used=2,COSTS_DETAILED_SUMMARY!$F151,COSTS_DETAILED_SUMMARY!$H151)</f>
        <v>0</v>
      </c>
    </row>
    <row r="61" spans="1:14" s="10" customFormat="1" x14ac:dyDescent="0.2"/>
    <row r="62" spans="1:14" s="10" customFormat="1" x14ac:dyDescent="0.2"/>
    <row r="63" spans="1:14" s="10" customFormat="1" x14ac:dyDescent="0.2">
      <c r="C63" s="55" t="s">
        <v>210</v>
      </c>
      <c r="D63" s="74" t="str">
        <f>Lang_Direct_User_Entry_Cost_Estimate</f>
        <v>Direct User Entry Cost Estimate</v>
      </c>
      <c r="J63" s="366" t="str">
        <f ca="1">OFFSET(SENS_Lu!$D$46,DD_TOP_ACTV_10_Annual_Currency_Used,0)</f>
        <v>USD</v>
      </c>
      <c r="K63" s="366" t="str">
        <f ca="1">OFFSET(SENS_Lu!$D$46,DD_TOP_ACTV_10_Annual_Currency_Used,0)</f>
        <v>USD</v>
      </c>
      <c r="L63" s="366" t="str">
        <f ca="1">OFFSET(SENS_Lu!$D$46,DD_TOP_ACTV_10_Annual_Currency_Used,0)</f>
        <v>USD</v>
      </c>
      <c r="M63" s="366" t="str">
        <f ca="1">OFFSET(SENS_Lu!$D$46,DD_TOP_ACTV_10_Annual_Currency_Used,0)</f>
        <v>USD</v>
      </c>
      <c r="N63" s="366" t="str">
        <f ca="1">OFFSET(SENS_Lu!$D$46,DD_TOP_ACTV_10_Annual_Currency_Used,0)</f>
        <v>USD</v>
      </c>
    </row>
    <row r="64" spans="1:14" s="10" customFormat="1" x14ac:dyDescent="0.2">
      <c r="D64" s="53" t="str">
        <f>SENS_Lu!$D$67&amp;" "&amp;Lang_Cost_Of_A_Single&amp;" "&amp;$D$49&amp;" "&amp;Lang_Activity</f>
        <v>Financial Cost of a Single  Sensitisation Activity # 2 (Not in Use) Activity</v>
      </c>
      <c r="J64" s="80">
        <v>0</v>
      </c>
      <c r="K64" s="80">
        <v>0</v>
      </c>
      <c r="L64" s="80">
        <v>0</v>
      </c>
      <c r="M64" s="80">
        <v>0</v>
      </c>
      <c r="N64" s="80">
        <v>0</v>
      </c>
    </row>
    <row r="65" spans="1:14" s="10" customFormat="1" x14ac:dyDescent="0.2">
      <c r="D65" s="53" t="str">
        <f>SENS_Lu!$D$68&amp;" "&amp;Lang_Cost_Of_A_Single&amp;" "&amp;$D$49&amp;" "&amp;Lang_Activity</f>
        <v>Economic Cost of a Single  Sensitisation Activity # 2 (Not in Use) Activity</v>
      </c>
      <c r="J65" s="80">
        <v>0</v>
      </c>
      <c r="K65" s="80">
        <v>0</v>
      </c>
      <c r="L65" s="80">
        <v>0</v>
      </c>
      <c r="M65" s="80">
        <v>0</v>
      </c>
      <c r="N65" s="80">
        <v>0</v>
      </c>
    </row>
    <row r="66" spans="1:14" s="10" customFormat="1" x14ac:dyDescent="0.2">
      <c r="D66" s="55" t="str">
        <f>Lang_Error_Check_Checks_If_Override_Input_economic_Cost_Is_Less_Than_Financial_Cost</f>
        <v>ERROR CHECK (CHECKS IF OVERRIDE INPUT ECONOMIC COST IS LESS THAN FINANCIAL COST)</v>
      </c>
      <c r="H66" s="145">
        <f>IF(ISERROR(SUM(J66:N66)),1,MIN(SUM(J66:N66),1))</f>
        <v>0</v>
      </c>
      <c r="J66" s="42">
        <f t="shared" ref="J66:N66" si="3">IF(J65&lt;J64,1,0)</f>
        <v>0</v>
      </c>
      <c r="K66" s="42">
        <f t="shared" si="3"/>
        <v>0</v>
      </c>
      <c r="L66" s="42">
        <f t="shared" si="3"/>
        <v>0</v>
      </c>
      <c r="M66" s="42">
        <f t="shared" si="3"/>
        <v>0</v>
      </c>
      <c r="N66" s="42">
        <f t="shared" si="3"/>
        <v>0</v>
      </c>
    </row>
    <row r="67" spans="1:14" s="10" customFormat="1" x14ac:dyDescent="0.2"/>
    <row r="68" spans="1:14" s="10" customFormat="1" x14ac:dyDescent="0.2">
      <c r="D68" s="74" t="str">
        <f>Lang_Source_Of_Information_Notes</f>
        <v>Notes and Sources of Information</v>
      </c>
    </row>
    <row r="69" spans="1:14" s="10" customFormat="1" x14ac:dyDescent="0.2">
      <c r="D69" s="482" t="s">
        <v>596</v>
      </c>
      <c r="E69" s="482"/>
    </row>
    <row r="70" spans="1:14" s="10" customFormat="1" x14ac:dyDescent="0.2">
      <c r="D70" s="482" t="s">
        <v>596</v>
      </c>
      <c r="E70" s="482"/>
    </row>
    <row r="71" spans="1:14" s="10" customFormat="1" x14ac:dyDescent="0.2">
      <c r="D71" s="482" t="s">
        <v>596</v>
      </c>
      <c r="E71" s="482"/>
    </row>
    <row r="72" spans="1:14" s="10" customFormat="1" x14ac:dyDescent="0.2"/>
    <row r="73" spans="1:14" s="10" customFormat="1" x14ac:dyDescent="0.2">
      <c r="A73" s="12" t="s">
        <v>125</v>
      </c>
      <c r="B73" s="13" t="str">
        <f>Lang_Number_Of&amp;" "&amp;$D$49&amp;" "&amp;Lang_Activities_Annual_Assumptions_Projected_Or_Retrospective</f>
        <v>Number of  Sensitisation Activity # 2 (Not in Use) Activities - Annual Assumptions (Projected or Retrospective)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</row>
    <row r="74" spans="1:14" s="10" customFormat="1" x14ac:dyDescent="0.2"/>
    <row r="75" spans="1:14" s="10" customFormat="1" x14ac:dyDescent="0.2">
      <c r="D75" s="53" t="str">
        <f>$D$49&amp;" - "&amp;Lang_Number_Of_Activities_Per_Year&amp;" ("&amp;Lang_Projected_Or_Retrospective&amp;")"</f>
        <v xml:space="preserve"> Sensitisation Activity # 2 (Not in Use) - Number of Activities per Year (Projected or Retrospective)</v>
      </c>
      <c r="J75" s="80">
        <v>0</v>
      </c>
      <c r="K75" s="80">
        <v>0</v>
      </c>
      <c r="L75" s="80">
        <v>0</v>
      </c>
      <c r="M75" s="80">
        <v>0</v>
      </c>
      <c r="N75" s="80">
        <v>0</v>
      </c>
    </row>
    <row r="76" spans="1:14" s="10" customFormat="1" x14ac:dyDescent="0.2"/>
    <row r="77" spans="1:14" s="10" customFormat="1" x14ac:dyDescent="0.2">
      <c r="D77" s="74" t="str">
        <f>Lang_Source_Of_Information_Notes</f>
        <v>Notes and Sources of Information</v>
      </c>
    </row>
    <row r="78" spans="1:14" s="10" customFormat="1" x14ac:dyDescent="0.2">
      <c r="D78" s="482" t="s">
        <v>596</v>
      </c>
      <c r="E78" s="482"/>
    </row>
    <row r="79" spans="1:14" s="10" customFormat="1" x14ac:dyDescent="0.2">
      <c r="D79" s="482" t="s">
        <v>596</v>
      </c>
      <c r="E79" s="482"/>
    </row>
    <row r="80" spans="1:14" s="10" customFormat="1" x14ac:dyDescent="0.2">
      <c r="D80" s="482" t="s">
        <v>596</v>
      </c>
      <c r="E80" s="482"/>
    </row>
    <row r="81" spans="1:14" s="10" customFormat="1" x14ac:dyDescent="0.2">
      <c r="D81" s="76" t="str">
        <f>Lang_GoTo&amp;" "&amp;HL_TOP_ACTV_10_Activity_Summary_Costs_Annual</f>
        <v>Go to  Sensitisation Activity # 2 (Not in Use) - Summary Costs (Annual)</v>
      </c>
    </row>
    <row r="82" spans="1:14" s="10" customFormat="1" x14ac:dyDescent="0.2"/>
    <row r="83" spans="1:14" s="10" customFormat="1" x14ac:dyDescent="0.2">
      <c r="A83" s="12" t="s">
        <v>125</v>
      </c>
      <c r="B83" s="13" t="str">
        <f>HL_TOP_ACTV_11_Name&amp;" "&amp;Lang_Name</f>
        <v xml:space="preserve"> Sensitisation Activity # 3 (Not in Use) Name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</row>
    <row r="84" spans="1:14" s="10" customFormat="1" x14ac:dyDescent="0.2"/>
    <row r="85" spans="1:14" s="10" customFormat="1" x14ac:dyDescent="0.2">
      <c r="D85" s="55" t="str">
        <f>Lang_Senistisation_Activity_Name</f>
        <v>Senistisation Activity Name</v>
      </c>
    </row>
    <row r="86" spans="1:14" s="10" customFormat="1" x14ac:dyDescent="0.2">
      <c r="D86" s="75" t="s">
        <v>482</v>
      </c>
    </row>
    <row r="87" spans="1:14" s="10" customFormat="1" x14ac:dyDescent="0.2"/>
    <row r="88" spans="1:14" s="10" customFormat="1" x14ac:dyDescent="0.2">
      <c r="A88" s="12" t="s">
        <v>125</v>
      </c>
      <c r="B88" s="13" t="str">
        <f>HL_TOP_ACTV_11_Name&amp;" "&amp;Lang_Single_Activity_Cost_Annual_Assumptions_Projected_Or_Retrospective</f>
        <v xml:space="preserve"> Sensitisation Activity # 3 (Not in Use) Single Activity Cost - Annual Assumptions (Projected or Retrospective)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10" customFormat="1" x14ac:dyDescent="0.2"/>
    <row r="90" spans="1:14" s="10" customFormat="1" x14ac:dyDescent="0.2">
      <c r="D90" s="50" t="str">
        <f>Lang_Select_Input_Currency</f>
        <v>Select Input Currency</v>
      </c>
      <c r="E90" s="72">
        <v>1</v>
      </c>
    </row>
    <row r="91" spans="1:14" s="10" customFormat="1" x14ac:dyDescent="0.2"/>
    <row r="92" spans="1:14" s="10" customFormat="1" x14ac:dyDescent="0.2">
      <c r="D92" s="50" t="str">
        <f>Lang_Select_Costing_Input_Method</f>
        <v>Select Costing Input Method</v>
      </c>
      <c r="E92" s="72">
        <v>2</v>
      </c>
    </row>
    <row r="93" spans="1:14" s="10" customFormat="1" x14ac:dyDescent="0.2">
      <c r="E93" s="76" t="str">
        <f>Lang_GoTo&amp;" "&amp;HL_TOP_ACTV_11_Detailed_Costing_Worksheet</f>
        <v>Go to  Sensitisation Activity # 3 (Not in Use) -  Detailed Activity Costing Worksheet - Instructions</v>
      </c>
    </row>
    <row r="94" spans="1:14" s="10" customFormat="1" x14ac:dyDescent="0.2">
      <c r="C94" s="55" t="s">
        <v>208</v>
      </c>
      <c r="D94" s="74" t="str">
        <f>Lang_Detailed_Costing_Worksheet_Estimate</f>
        <v>Detailed Costing Worksheet Estimate</v>
      </c>
    </row>
    <row r="95" spans="1:14" s="10" customFormat="1" x14ac:dyDescent="0.2">
      <c r="F95" s="366" t="str">
        <f>SENS_Lu!$D$83</f>
        <v>LCU</v>
      </c>
      <c r="G95" s="366" t="str">
        <f>SENS_Lu!$D$82</f>
        <v>USD</v>
      </c>
      <c r="J95" s="366" t="str">
        <f ca="1">OFFSET(SENS_Lu!$D$81,DD_TOP_ACTV_11_Annual_Currency_Used,0)</f>
        <v>USD</v>
      </c>
      <c r="K95" s="366" t="str">
        <f ca="1">OFFSET(SENS_Lu!$D$81,DD_TOP_ACTV_11_Annual_Currency_Used,0)</f>
        <v>USD</v>
      </c>
      <c r="L95" s="366" t="str">
        <f ca="1">OFFSET(SENS_Lu!$D$81,DD_TOP_ACTV_11_Annual_Currency_Used,0)</f>
        <v>USD</v>
      </c>
      <c r="M95" s="366" t="str">
        <f ca="1">OFFSET(SENS_Lu!$D$81,DD_TOP_ACTV_11_Annual_Currency_Used,0)</f>
        <v>USD</v>
      </c>
      <c r="N95" s="366" t="str">
        <f ca="1">OFFSET(SENS_Lu!$D$81,DD_TOP_ACTV_11_Annual_Currency_Used,0)</f>
        <v>USD</v>
      </c>
    </row>
    <row r="96" spans="1:14" s="10" customFormat="1" x14ac:dyDescent="0.2">
      <c r="D96" s="53" t="str">
        <f>SENS_Lu!$D$102&amp;" "&amp;Lang_Cost_Of_A_Single&amp;" "&amp;$D$86&amp;" "&amp;Lang_Activity</f>
        <v>Financial Cost of a Single  Sensitisation Activity # 3 (Not in Use) Activity</v>
      </c>
      <c r="F96" s="41">
        <f>COSTS_DETAILED_SUMMARY!E166</f>
        <v>0</v>
      </c>
      <c r="G96" s="116">
        <f>COSTS_DETAILED_SUMMARY!G166</f>
        <v>0</v>
      </c>
      <c r="J96" s="79">
        <f>IF(DD_TOP_ACTV_11_Annual_Currency_Used=2,COSTS_DETAILED_SUMMARY!$E166,COSTS_DETAILED_SUMMARY!$G166)</f>
        <v>0</v>
      </c>
      <c r="K96" s="79">
        <f>IF(DD_TOP_ACTV_11_Annual_Currency_Used=2,COSTS_DETAILED_SUMMARY!$E166,COSTS_DETAILED_SUMMARY!$G166)</f>
        <v>0</v>
      </c>
      <c r="L96" s="79">
        <f>IF(DD_TOP_ACTV_11_Annual_Currency_Used=2,COSTS_DETAILED_SUMMARY!$E166,COSTS_DETAILED_SUMMARY!$G166)</f>
        <v>0</v>
      </c>
      <c r="M96" s="79">
        <f>IF(DD_TOP_ACTV_11_Annual_Currency_Used=2,COSTS_DETAILED_SUMMARY!$E166,COSTS_DETAILED_SUMMARY!$G166)</f>
        <v>0</v>
      </c>
      <c r="N96" s="79">
        <f>IF(DD_TOP_ACTV_11_Annual_Currency_Used=2,COSTS_DETAILED_SUMMARY!$E166,COSTS_DETAILED_SUMMARY!$G166)</f>
        <v>0</v>
      </c>
    </row>
    <row r="97" spans="1:14" s="10" customFormat="1" x14ac:dyDescent="0.2">
      <c r="D97" s="53" t="str">
        <f>SENS_Lu!$D$103&amp;" "&amp;Lang_Cost_Of_A_Single&amp;" "&amp;$D$86&amp;" "&amp;Lang_Activity</f>
        <v>Economic Cost of a Single  Sensitisation Activity # 3 (Not in Use) Activity</v>
      </c>
      <c r="F97" s="41">
        <f>COSTS_DETAILED_SUMMARY!F166</f>
        <v>0</v>
      </c>
      <c r="G97" s="116">
        <f>COSTS_DETAILED_SUMMARY!H166</f>
        <v>0</v>
      </c>
      <c r="J97" s="79">
        <f>IF(DD_TOP_ACTV_11_Annual_Currency_Used=2,COSTS_DETAILED_SUMMARY!$F166,COSTS_DETAILED_SUMMARY!$H166)</f>
        <v>0</v>
      </c>
      <c r="K97" s="79">
        <f>IF(DD_TOP_ACTV_11_Annual_Currency_Used=2,COSTS_DETAILED_SUMMARY!$F166,COSTS_DETAILED_SUMMARY!$H166)</f>
        <v>0</v>
      </c>
      <c r="L97" s="79">
        <f>IF(DD_TOP_ACTV_11_Annual_Currency_Used=2,COSTS_DETAILED_SUMMARY!$F166,COSTS_DETAILED_SUMMARY!$H166)</f>
        <v>0</v>
      </c>
      <c r="M97" s="79">
        <f>IF(DD_TOP_ACTV_11_Annual_Currency_Used=2,COSTS_DETAILED_SUMMARY!$F166,COSTS_DETAILED_SUMMARY!$H166)</f>
        <v>0</v>
      </c>
      <c r="N97" s="79">
        <f>IF(DD_TOP_ACTV_11_Annual_Currency_Used=2,COSTS_DETAILED_SUMMARY!$F166,COSTS_DETAILED_SUMMARY!$H166)</f>
        <v>0</v>
      </c>
    </row>
    <row r="98" spans="1:14" s="10" customFormat="1" x14ac:dyDescent="0.2"/>
    <row r="99" spans="1:14" s="10" customFormat="1" x14ac:dyDescent="0.2"/>
    <row r="100" spans="1:14" s="10" customFormat="1" x14ac:dyDescent="0.2">
      <c r="C100" s="55" t="s">
        <v>210</v>
      </c>
      <c r="D100" s="74" t="str">
        <f>Lang_Direct_User_Entry_Cost_Estimate</f>
        <v>Direct User Entry Cost Estimate</v>
      </c>
      <c r="J100" s="366" t="str">
        <f ca="1">OFFSET(SENS_Lu!$D$81,DD_TOP_ACTV_11_Annual_Currency_Used,0)</f>
        <v>USD</v>
      </c>
      <c r="K100" s="366" t="str">
        <f ca="1">OFFSET(SENS_Lu!$D$81,DD_TOP_ACTV_11_Annual_Currency_Used,0)</f>
        <v>USD</v>
      </c>
      <c r="L100" s="366" t="str">
        <f ca="1">OFFSET(SENS_Lu!$D$81,DD_TOP_ACTV_11_Annual_Currency_Used,0)</f>
        <v>USD</v>
      </c>
      <c r="M100" s="366" t="str">
        <f ca="1">OFFSET(SENS_Lu!$D$81,DD_TOP_ACTV_11_Annual_Currency_Used,0)</f>
        <v>USD</v>
      </c>
      <c r="N100" s="366" t="str">
        <f ca="1">OFFSET(SENS_Lu!$D$81,DD_TOP_ACTV_11_Annual_Currency_Used,0)</f>
        <v>USD</v>
      </c>
    </row>
    <row r="101" spans="1:14" s="10" customFormat="1" x14ac:dyDescent="0.2">
      <c r="D101" s="53" t="str">
        <f>SENS_Lu!$D$102&amp;" "&amp;Lang_Cost_Of_A_Single&amp;" "&amp;$D$86&amp;" "&amp;Lang_Activity</f>
        <v>Financial Cost of a Single  Sensitisation Activity # 3 (Not in Use) Activity</v>
      </c>
      <c r="J101" s="80">
        <v>0</v>
      </c>
      <c r="K101" s="80">
        <v>0</v>
      </c>
      <c r="L101" s="80">
        <v>0</v>
      </c>
      <c r="M101" s="80">
        <v>0</v>
      </c>
      <c r="N101" s="80">
        <v>0</v>
      </c>
    </row>
    <row r="102" spans="1:14" s="10" customFormat="1" x14ac:dyDescent="0.2">
      <c r="D102" s="53" t="str">
        <f>SENS_Lu!$D$103&amp;" "&amp;Lang_Cost_Of_A_Single&amp;" "&amp;$D$86&amp;" "&amp;Lang_Activity</f>
        <v>Economic Cost of a Single  Sensitisation Activity # 3 (Not in Use) Activity</v>
      </c>
      <c r="J102" s="80">
        <v>0</v>
      </c>
      <c r="K102" s="80">
        <v>0</v>
      </c>
      <c r="L102" s="80">
        <v>0</v>
      </c>
      <c r="M102" s="80">
        <v>0</v>
      </c>
      <c r="N102" s="80">
        <v>0</v>
      </c>
    </row>
    <row r="103" spans="1:14" s="10" customFormat="1" x14ac:dyDescent="0.2">
      <c r="D103" s="55" t="str">
        <f>Lang_Error_Check_Checks_If_Override_Input_economic_Cost_Is_Less_Than_Financial_Cost</f>
        <v>ERROR CHECK (CHECKS IF OVERRIDE INPUT ECONOMIC COST IS LESS THAN FINANCIAL COST)</v>
      </c>
      <c r="H103" s="145">
        <f>IF(ISERROR(SUM(J103:N103)),1,MIN(SUM(J103:N103),1))</f>
        <v>0</v>
      </c>
      <c r="J103" s="42">
        <f t="shared" ref="J103:N103" si="4">IF(J102&lt;J101,1,0)</f>
        <v>0</v>
      </c>
      <c r="K103" s="42">
        <f t="shared" si="4"/>
        <v>0</v>
      </c>
      <c r="L103" s="42">
        <f t="shared" si="4"/>
        <v>0</v>
      </c>
      <c r="M103" s="42">
        <f t="shared" si="4"/>
        <v>0</v>
      </c>
      <c r="N103" s="42">
        <f t="shared" si="4"/>
        <v>0</v>
      </c>
    </row>
    <row r="104" spans="1:14" s="10" customFormat="1" x14ac:dyDescent="0.2"/>
    <row r="105" spans="1:14" s="10" customFormat="1" x14ac:dyDescent="0.2">
      <c r="D105" s="74" t="str">
        <f>Lang_Source_Of_Information_Notes</f>
        <v>Notes and Sources of Information</v>
      </c>
    </row>
    <row r="106" spans="1:14" s="10" customFormat="1" x14ac:dyDescent="0.2">
      <c r="D106" s="482" t="s">
        <v>596</v>
      </c>
      <c r="E106" s="482"/>
    </row>
    <row r="107" spans="1:14" s="10" customFormat="1" x14ac:dyDescent="0.2">
      <c r="D107" s="482" t="s">
        <v>596</v>
      </c>
      <c r="E107" s="482"/>
    </row>
    <row r="108" spans="1:14" s="10" customFormat="1" x14ac:dyDescent="0.2">
      <c r="D108" s="482" t="s">
        <v>596</v>
      </c>
      <c r="E108" s="482"/>
    </row>
    <row r="109" spans="1:14" s="10" customFormat="1" x14ac:dyDescent="0.2"/>
    <row r="110" spans="1:14" s="10" customFormat="1" x14ac:dyDescent="0.2">
      <c r="A110" s="12" t="s">
        <v>125</v>
      </c>
      <c r="B110" s="13" t="str">
        <f>Lang_Number_Of&amp;" "&amp;$D$86&amp;" "&amp;Lang_Activities_Annual_Assumptions_Projected_Or_Retrospective</f>
        <v>Number of  Sensitisation Activity # 3 (Not in Use) Activities - Annual Assumptions (Projected or Retrospective)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</row>
    <row r="111" spans="1:14" s="10" customFormat="1" x14ac:dyDescent="0.2"/>
    <row r="112" spans="1:14" s="10" customFormat="1" x14ac:dyDescent="0.2">
      <c r="D112" s="53" t="str">
        <f>$D$86&amp;" - "&amp;Lang_Number_Of_Activities_Per_Year&amp;" ("&amp;Lang_Projected_Or_Retrospective&amp;")"</f>
        <v xml:space="preserve"> Sensitisation Activity # 3 (Not in Use) - Number of Activities per Year (Projected or Retrospective)</v>
      </c>
      <c r="J112" s="80">
        <v>0</v>
      </c>
      <c r="K112" s="80">
        <v>0</v>
      </c>
      <c r="L112" s="80">
        <v>0</v>
      </c>
      <c r="M112" s="80">
        <v>0</v>
      </c>
      <c r="N112" s="80">
        <v>0</v>
      </c>
    </row>
    <row r="113" spans="1:14" s="10" customFormat="1" x14ac:dyDescent="0.2"/>
    <row r="114" spans="1:14" s="10" customFormat="1" x14ac:dyDescent="0.2">
      <c r="D114" s="74" t="str">
        <f>Lang_Source_Of_Information_Notes</f>
        <v>Notes and Sources of Information</v>
      </c>
    </row>
    <row r="115" spans="1:14" s="10" customFormat="1" x14ac:dyDescent="0.2">
      <c r="D115" s="482" t="s">
        <v>596</v>
      </c>
      <c r="E115" s="482"/>
    </row>
    <row r="116" spans="1:14" s="10" customFormat="1" x14ac:dyDescent="0.2">
      <c r="D116" s="482" t="s">
        <v>596</v>
      </c>
      <c r="E116" s="482"/>
    </row>
    <row r="117" spans="1:14" s="10" customFormat="1" x14ac:dyDescent="0.2">
      <c r="D117" s="482" t="s">
        <v>596</v>
      </c>
      <c r="E117" s="482"/>
    </row>
    <row r="118" spans="1:14" s="10" customFormat="1" x14ac:dyDescent="0.2">
      <c r="D118" s="76" t="str">
        <f>Lang_GoTo&amp;" "&amp;HL_TOP_ACTV_11_Activity_Summary_Costs_Annual</f>
        <v>Go to  Sensitisation Activity # 3 (Not in Use) - Summary Costs (Annual)</v>
      </c>
    </row>
    <row r="119" spans="1:14" s="10" customFormat="1" x14ac:dyDescent="0.2"/>
    <row r="120" spans="1:14" s="10" customFormat="1" x14ac:dyDescent="0.2">
      <c r="A120" s="12" t="s">
        <v>125</v>
      </c>
      <c r="B120" s="13" t="str">
        <f>HL_LVL2_ACTV_3_Name&amp;" "&amp;Lang_Name</f>
        <v xml:space="preserve"> Sensitisation Activity # 4 (Not in Use) Name</v>
      </c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</row>
    <row r="121" spans="1:14" s="10" customFormat="1" x14ac:dyDescent="0.2"/>
    <row r="122" spans="1:14" s="10" customFormat="1" x14ac:dyDescent="0.2">
      <c r="D122" s="55" t="str">
        <f>Lang_Senistisation_Activity_Name</f>
        <v>Senistisation Activity Name</v>
      </c>
    </row>
    <row r="123" spans="1:14" s="10" customFormat="1" x14ac:dyDescent="0.2">
      <c r="D123" s="75" t="s">
        <v>483</v>
      </c>
    </row>
    <row r="124" spans="1:14" s="10" customFormat="1" x14ac:dyDescent="0.2"/>
    <row r="125" spans="1:14" s="10" customFormat="1" x14ac:dyDescent="0.2">
      <c r="A125" s="12" t="s">
        <v>125</v>
      </c>
      <c r="B125" s="13" t="str">
        <f>HL_LVL2_ACTV_3_Name&amp;" "&amp;Lang_Single_Activity_Cost_Annual_Assumptions_Projected_Or_Retrospective</f>
        <v xml:space="preserve"> Sensitisation Activity # 4 (Not in Use) Single Activity Cost - Annual Assumptions (Projected or Retrospective)</v>
      </c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</row>
    <row r="126" spans="1:14" s="10" customFormat="1" x14ac:dyDescent="0.2"/>
    <row r="127" spans="1:14" s="10" customFormat="1" x14ac:dyDescent="0.2">
      <c r="D127" s="114" t="str">
        <f>HL_LVL2_ACTV_3_Name</f>
        <v xml:space="preserve"> Sensitisation Activity # 4 (Not in Use)</v>
      </c>
    </row>
    <row r="128" spans="1:14" s="10" customFormat="1" x14ac:dyDescent="0.2"/>
    <row r="129" spans="3:14" s="10" customFormat="1" x14ac:dyDescent="0.2">
      <c r="D129" s="50" t="str">
        <f>Lang_Select_Input_Currency</f>
        <v>Select Input Currency</v>
      </c>
      <c r="E129" s="72">
        <v>1</v>
      </c>
    </row>
    <row r="130" spans="3:14" s="10" customFormat="1" x14ac:dyDescent="0.2"/>
    <row r="131" spans="3:14" s="10" customFormat="1" x14ac:dyDescent="0.2">
      <c r="D131" s="50" t="str">
        <f>Lang_Select_Costing_Input_Method</f>
        <v>Select Costing Input Method</v>
      </c>
      <c r="E131" s="72">
        <v>2</v>
      </c>
    </row>
    <row r="132" spans="3:14" s="10" customFormat="1" x14ac:dyDescent="0.2">
      <c r="E132" s="76" t="str">
        <f>Lang_GoTo&amp;" "&amp;HL_LVL2_ACTV_3_Detailed_Costing_Worksheet</f>
        <v>Go to  Sensitisation Activity # 4 (Not in Use) -  Detailed Activity Costing Worksheet - Instructions</v>
      </c>
    </row>
    <row r="133" spans="3:14" s="10" customFormat="1" x14ac:dyDescent="0.2">
      <c r="C133" s="55" t="s">
        <v>208</v>
      </c>
      <c r="D133" s="74" t="str">
        <f>Lang_Detailed_Costing_Worksheet_Estimate</f>
        <v>Detailed Costing Worksheet Estimate</v>
      </c>
    </row>
    <row r="134" spans="3:14" s="10" customFormat="1" x14ac:dyDescent="0.2">
      <c r="F134" s="366" t="str">
        <f>SENS_Lu!$D$118</f>
        <v>LCU</v>
      </c>
      <c r="G134" s="366" t="str">
        <f>SENS_Lu!$D$117</f>
        <v>USD</v>
      </c>
      <c r="J134" s="366" t="str">
        <f ca="1">OFFSET(SENS_Lu!$D$116,DD_LVL2_ACTV_3_Annual_Currency_Select,0)</f>
        <v>USD</v>
      </c>
      <c r="K134" s="366" t="str">
        <f ca="1">OFFSET(SENS_Lu!$D$116,DD_LVL2_ACTV_3_Annual_Currency_Select,0)</f>
        <v>USD</v>
      </c>
      <c r="L134" s="366" t="str">
        <f ca="1">OFFSET(SENS_Lu!$D$116,DD_LVL2_ACTV_3_Annual_Currency_Select,0)</f>
        <v>USD</v>
      </c>
      <c r="M134" s="366" t="str">
        <f ca="1">OFFSET(SENS_Lu!$D$116,DD_LVL2_ACTV_3_Annual_Currency_Select,0)</f>
        <v>USD</v>
      </c>
      <c r="N134" s="366" t="str">
        <f ca="1">OFFSET(SENS_Lu!$D$116,DD_LVL2_ACTV_3_Annual_Currency_Select,0)</f>
        <v>USD</v>
      </c>
    </row>
    <row r="135" spans="3:14" s="10" customFormat="1" x14ac:dyDescent="0.2">
      <c r="D135" s="53" t="str">
        <f>SENS_Lu!$D$137&amp;" "&amp;Lang_Cost_Of_A_Single&amp;" "&amp;SENSITISATION!$D$123&amp;" "&amp;Lang_Activity</f>
        <v>Financial Cost of a Single  Sensitisation Activity # 4 (Not in Use) Activity</v>
      </c>
      <c r="F135" s="41">
        <f>COSTS_DETAILED_SUMMARY!E182</f>
        <v>0</v>
      </c>
      <c r="G135" s="116">
        <f>COSTS_DETAILED_SUMMARY!G182</f>
        <v>0</v>
      </c>
      <c r="J135" s="79">
        <f>IF(DD_LVL2_ACTV_3_Annual_Currency_Select=2,COSTS_DETAILED_SUMMARY!$E182,COSTS_DETAILED_SUMMARY!$G182)</f>
        <v>0</v>
      </c>
      <c r="K135" s="79">
        <f>IF(DD_LVL2_ACTV_3_Annual_Currency_Select=2,COSTS_DETAILED_SUMMARY!$E182,COSTS_DETAILED_SUMMARY!$G182)</f>
        <v>0</v>
      </c>
      <c r="L135" s="79">
        <f>IF(DD_LVL2_ACTV_3_Annual_Currency_Select=2,COSTS_DETAILED_SUMMARY!$E182,COSTS_DETAILED_SUMMARY!$G182)</f>
        <v>0</v>
      </c>
      <c r="M135" s="79">
        <f>IF(DD_LVL2_ACTV_3_Annual_Currency_Select=2,COSTS_DETAILED_SUMMARY!$E182,COSTS_DETAILED_SUMMARY!$G182)</f>
        <v>0</v>
      </c>
      <c r="N135" s="79">
        <f>IF(DD_LVL2_ACTV_3_Annual_Currency_Select=2,COSTS_DETAILED_SUMMARY!$E182,COSTS_DETAILED_SUMMARY!$G182)</f>
        <v>0</v>
      </c>
    </row>
    <row r="136" spans="3:14" s="10" customFormat="1" x14ac:dyDescent="0.2">
      <c r="D136" s="53" t="str">
        <f>SENS_Lu!$D$138&amp;" "&amp;Lang_Cost_Of_A_Single&amp;" "&amp;SENSITISATION!$D$123&amp;" "&amp;Lang_Activity</f>
        <v>Economic Cost of a Single  Sensitisation Activity # 4 (Not in Use) Activity</v>
      </c>
      <c r="F136" s="41">
        <f>COSTS_DETAILED_SUMMARY!F182</f>
        <v>0</v>
      </c>
      <c r="G136" s="116">
        <f>COSTS_DETAILED_SUMMARY!H182</f>
        <v>0</v>
      </c>
      <c r="J136" s="79">
        <f>IF(DD_LVL2_ACTV_3_Annual_Currency_Select=2,COSTS_DETAILED_SUMMARY!$F182,COSTS_DETAILED_SUMMARY!$H182)</f>
        <v>0</v>
      </c>
      <c r="K136" s="79">
        <f>IF(DD_LVL2_ACTV_3_Annual_Currency_Select=2,COSTS_DETAILED_SUMMARY!$F182,COSTS_DETAILED_SUMMARY!$H182)</f>
        <v>0</v>
      </c>
      <c r="L136" s="79">
        <f>IF(DD_LVL2_ACTV_3_Annual_Currency_Select=2,COSTS_DETAILED_SUMMARY!$F182,COSTS_DETAILED_SUMMARY!$H182)</f>
        <v>0</v>
      </c>
      <c r="M136" s="79">
        <f>IF(DD_LVL2_ACTV_3_Annual_Currency_Select=2,COSTS_DETAILED_SUMMARY!$F182,COSTS_DETAILED_SUMMARY!$H182)</f>
        <v>0</v>
      </c>
      <c r="N136" s="79">
        <f>IF(DD_LVL2_ACTV_3_Annual_Currency_Select=2,COSTS_DETAILED_SUMMARY!$F182,COSTS_DETAILED_SUMMARY!$H182)</f>
        <v>0</v>
      </c>
    </row>
    <row r="137" spans="3:14" s="10" customFormat="1" x14ac:dyDescent="0.2"/>
    <row r="138" spans="3:14" s="10" customFormat="1" x14ac:dyDescent="0.2"/>
    <row r="139" spans="3:14" s="10" customFormat="1" x14ac:dyDescent="0.2">
      <c r="C139" s="55" t="s">
        <v>210</v>
      </c>
      <c r="D139" s="74" t="str">
        <f>Lang_Direct_User_Entry_Cost_Estimate</f>
        <v>Direct User Entry Cost Estimate</v>
      </c>
      <c r="J139" s="366" t="str">
        <f ca="1">OFFSET(SENS_Lu!$D$116,DD_LVL2_ACTV_3_Annual_Currency_Select,0)</f>
        <v>USD</v>
      </c>
      <c r="K139" s="366" t="str">
        <f ca="1">OFFSET(SENS_Lu!$D$116,DD_LVL2_ACTV_3_Annual_Currency_Select,0)</f>
        <v>USD</v>
      </c>
      <c r="L139" s="366" t="str">
        <f ca="1">OFFSET(SENS_Lu!$D$116,DD_LVL2_ACTV_3_Annual_Currency_Select,0)</f>
        <v>USD</v>
      </c>
      <c r="M139" s="366" t="str">
        <f ca="1">OFFSET(SENS_Lu!$D$116,DD_LVL2_ACTV_3_Annual_Currency_Select,0)</f>
        <v>USD</v>
      </c>
      <c r="N139" s="366" t="str">
        <f ca="1">OFFSET(SENS_Lu!$D$116,DD_LVL2_ACTV_3_Annual_Currency_Select,0)</f>
        <v>USD</v>
      </c>
    </row>
    <row r="140" spans="3:14" s="10" customFormat="1" x14ac:dyDescent="0.2">
      <c r="D140" s="53" t="str">
        <f>SENS_Lu!$D$137&amp;" "&amp;Lang_Cost_Of_A_Single&amp;" "&amp;SENSITISATION!$D$123&amp;" "&amp;Lang_Activity</f>
        <v>Financial Cost of a Single  Sensitisation Activity # 4 (Not in Use) Activity</v>
      </c>
      <c r="J140" s="80">
        <v>0</v>
      </c>
      <c r="K140" s="80">
        <v>0</v>
      </c>
      <c r="L140" s="80">
        <v>0</v>
      </c>
      <c r="M140" s="80">
        <v>0</v>
      </c>
      <c r="N140" s="80">
        <v>0</v>
      </c>
    </row>
    <row r="141" spans="3:14" s="10" customFormat="1" x14ac:dyDescent="0.2">
      <c r="D141" s="53" t="str">
        <f>SENS_Lu!$D$138&amp;" "&amp;Lang_Cost_Of_A_Single&amp;" "&amp;SENSITISATION!$D$123&amp;" "&amp;Lang_Activity</f>
        <v>Economic Cost of a Single  Sensitisation Activity # 4 (Not in Use) Activity</v>
      </c>
      <c r="J141" s="80">
        <v>0</v>
      </c>
      <c r="K141" s="80">
        <v>0</v>
      </c>
      <c r="L141" s="80">
        <v>0</v>
      </c>
      <c r="M141" s="80">
        <v>0</v>
      </c>
      <c r="N141" s="80">
        <v>0</v>
      </c>
    </row>
    <row r="142" spans="3:14" s="10" customFormat="1" x14ac:dyDescent="0.2">
      <c r="D142" s="55" t="str">
        <f>Lang_Error_Check_Checks_If_Override_Input_economic_Cost_Is_Less_Than_Financial_Cost</f>
        <v>ERROR CHECK (CHECKS IF OVERRIDE INPUT ECONOMIC COST IS LESS THAN FINANCIAL COST)</v>
      </c>
      <c r="H142" s="145">
        <f>IF(ISERROR(SUM(J142:N142)),1,MIN(SUM(J142:N142),1))</f>
        <v>0</v>
      </c>
      <c r="J142" s="42">
        <f t="shared" ref="J142:N142" si="5">IF(J141&lt;J140,1,0)</f>
        <v>0</v>
      </c>
      <c r="K142" s="42">
        <f t="shared" si="5"/>
        <v>0</v>
      </c>
      <c r="L142" s="42">
        <f t="shared" si="5"/>
        <v>0</v>
      </c>
      <c r="M142" s="42">
        <f t="shared" si="5"/>
        <v>0</v>
      </c>
      <c r="N142" s="42">
        <f t="shared" si="5"/>
        <v>0</v>
      </c>
    </row>
    <row r="143" spans="3:14" s="10" customFormat="1" x14ac:dyDescent="0.2"/>
    <row r="144" spans="3:14" s="10" customFormat="1" x14ac:dyDescent="0.2">
      <c r="D144" s="74" t="str">
        <f>Lang_Source_Of_Information_Notes</f>
        <v>Notes and Sources of Information</v>
      </c>
    </row>
    <row r="145" spans="1:14" s="10" customFormat="1" x14ac:dyDescent="0.2">
      <c r="D145" s="482" t="s">
        <v>596</v>
      </c>
      <c r="E145" s="482"/>
    </row>
    <row r="146" spans="1:14" s="10" customFormat="1" x14ac:dyDescent="0.2">
      <c r="D146" s="482" t="s">
        <v>596</v>
      </c>
      <c r="E146" s="482"/>
    </row>
    <row r="147" spans="1:14" s="10" customFormat="1" x14ac:dyDescent="0.2">
      <c r="D147" s="482" t="s">
        <v>596</v>
      </c>
      <c r="E147" s="482"/>
    </row>
    <row r="148" spans="1:14" s="10" customFormat="1" x14ac:dyDescent="0.2"/>
    <row r="149" spans="1:14" s="10" customFormat="1" x14ac:dyDescent="0.2">
      <c r="A149" s="12" t="s">
        <v>125</v>
      </c>
      <c r="B149" s="13" t="str">
        <f>Lang_Number_Of&amp;" "&amp;SENSITISATION!$D$123&amp;" "&amp;Lang_Activities_Annual_Assumptions_Projected_Or_Retrospective</f>
        <v>Number of  Sensitisation Activity # 4 (Not in Use) Activities - Annual Assumptions (Projected or Retrospective)</v>
      </c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</row>
    <row r="150" spans="1:14" s="10" customFormat="1" x14ac:dyDescent="0.2"/>
    <row r="151" spans="1:14" s="10" customFormat="1" x14ac:dyDescent="0.2">
      <c r="D151" s="71" t="str">
        <f>HL_LVL2_ACTV_3_Name&amp;" - "&amp;Lang_Number_Of_Activities_Per_Year&amp;" ("&amp;Lang_Projected_Or_Retrospective&amp;")"</f>
        <v xml:space="preserve"> Sensitisation Activity # 4 (Not in Use) - Number of Activities per Year (Projected or Retrospective)</v>
      </c>
    </row>
    <row r="152" spans="1:14" s="10" customFormat="1" x14ac:dyDescent="0.2"/>
    <row r="153" spans="1:14" s="10" customFormat="1" x14ac:dyDescent="0.2">
      <c r="D153" s="53" t="str">
        <f>$D$123</f>
        <v xml:space="preserve"> Sensitisation Activity # 4 (Not in Use)</v>
      </c>
      <c r="J153" s="324">
        <v>0</v>
      </c>
      <c r="K153" s="324">
        <v>0</v>
      </c>
      <c r="L153" s="324">
        <v>0</v>
      </c>
      <c r="M153" s="324">
        <v>0</v>
      </c>
      <c r="N153" s="324">
        <v>0</v>
      </c>
    </row>
    <row r="154" spans="1:14" s="10" customFormat="1" hidden="1" x14ac:dyDescent="0.2">
      <c r="D154" s="71" t="str">
        <f>D151</f>
        <v xml:space="preserve"> Sensitisation Activity # 4 (Not in Use) - Number of Activities per Year (Projected or Retrospective)</v>
      </c>
      <c r="J154" s="41">
        <f t="shared" ref="J154:N154" si="6">SUM(J153:J153)</f>
        <v>0</v>
      </c>
      <c r="K154" s="41">
        <f t="shared" si="6"/>
        <v>0</v>
      </c>
      <c r="L154" s="41">
        <f t="shared" si="6"/>
        <v>0</v>
      </c>
      <c r="M154" s="41">
        <f t="shared" si="6"/>
        <v>0</v>
      </c>
      <c r="N154" s="41">
        <f t="shared" si="6"/>
        <v>0</v>
      </c>
    </row>
    <row r="155" spans="1:14" s="10" customFormat="1" x14ac:dyDescent="0.2"/>
    <row r="156" spans="1:14" s="10" customFormat="1" x14ac:dyDescent="0.2">
      <c r="D156" s="74" t="str">
        <f>Lang_Source_Of_Information_Notes</f>
        <v>Notes and Sources of Information</v>
      </c>
    </row>
    <row r="157" spans="1:14" s="10" customFormat="1" x14ac:dyDescent="0.2">
      <c r="D157" s="482" t="s">
        <v>596</v>
      </c>
      <c r="E157" s="482"/>
    </row>
    <row r="158" spans="1:14" s="10" customFormat="1" x14ac:dyDescent="0.2">
      <c r="D158" s="482" t="s">
        <v>596</v>
      </c>
      <c r="E158" s="482"/>
    </row>
    <row r="159" spans="1:14" s="10" customFormat="1" x14ac:dyDescent="0.2">
      <c r="D159" s="482" t="s">
        <v>596</v>
      </c>
      <c r="E159" s="482"/>
    </row>
    <row r="160" spans="1:14" s="10" customFormat="1" x14ac:dyDescent="0.2"/>
    <row r="161" spans="1:14" s="10" customFormat="1" x14ac:dyDescent="0.2">
      <c r="D161" s="76" t="str">
        <f>Lang_GoTo&amp;" "&amp;HL_LVL2_ACTV_3_Activity_Summary_Costs_Annual</f>
        <v>Go to  Sensitisation Activity # 4 (Not in Use) - Summary Costs (Annual)</v>
      </c>
    </row>
    <row r="162" spans="1:14" s="10" customFormat="1" x14ac:dyDescent="0.2"/>
    <row r="163" spans="1:14" s="10" customFormat="1" x14ac:dyDescent="0.2">
      <c r="A163" s="12" t="s">
        <v>125</v>
      </c>
      <c r="B163" s="13" t="str">
        <f>HL_LVL2_ACTV_18_Name&amp;" "&amp;Lang_Name</f>
        <v xml:space="preserve"> Sensitisation Activity # 5 (Not in Use) Name</v>
      </c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</row>
    <row r="164" spans="1:14" s="10" customFormat="1" x14ac:dyDescent="0.2"/>
    <row r="165" spans="1:14" s="10" customFormat="1" x14ac:dyDescent="0.2">
      <c r="D165" s="55" t="str">
        <f>Lang_Senistisation_Activity_Name</f>
        <v>Senistisation Activity Name</v>
      </c>
    </row>
    <row r="166" spans="1:14" s="10" customFormat="1" x14ac:dyDescent="0.2">
      <c r="D166" s="75" t="s">
        <v>484</v>
      </c>
    </row>
    <row r="167" spans="1:14" s="10" customFormat="1" x14ac:dyDescent="0.2"/>
    <row r="168" spans="1:14" s="10" customFormat="1" x14ac:dyDescent="0.2">
      <c r="A168" s="12" t="s">
        <v>125</v>
      </c>
      <c r="B168" s="13" t="str">
        <f>HL_LVL2_ACTV_18_Name&amp;" "&amp;Lang_Single_Activity_Cost_Annual_Assumptions_Projected_Or_Retrospective</f>
        <v xml:space="preserve"> Sensitisation Activity # 5 (Not in Use) Single Activity Cost - Annual Assumptions (Projected or Retrospective)</v>
      </c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</row>
    <row r="169" spans="1:14" s="10" customFormat="1" x14ac:dyDescent="0.2"/>
    <row r="170" spans="1:14" s="10" customFormat="1" x14ac:dyDescent="0.2">
      <c r="D170" s="114" t="str">
        <f>HL_LVL2_ACTV_18_Name</f>
        <v xml:space="preserve"> Sensitisation Activity # 5 (Not in Use)</v>
      </c>
    </row>
    <row r="171" spans="1:14" s="10" customFormat="1" x14ac:dyDescent="0.2"/>
    <row r="172" spans="1:14" s="10" customFormat="1" x14ac:dyDescent="0.2">
      <c r="D172" s="50" t="str">
        <f>Lang_Select_Input_Currency</f>
        <v>Select Input Currency</v>
      </c>
      <c r="E172" s="72">
        <v>1</v>
      </c>
    </row>
    <row r="173" spans="1:14" s="10" customFormat="1" x14ac:dyDescent="0.2"/>
    <row r="174" spans="1:14" s="10" customFormat="1" x14ac:dyDescent="0.2">
      <c r="D174" s="50" t="str">
        <f>Lang_Select_Costing_Input_Method</f>
        <v>Select Costing Input Method</v>
      </c>
      <c r="E174" s="72">
        <v>2</v>
      </c>
    </row>
    <row r="175" spans="1:14" s="10" customFormat="1" x14ac:dyDescent="0.2">
      <c r="E175" s="76" t="str">
        <f>Lang_GoTo&amp;" "&amp;HL_LVL2_ACTV_18_Detailed_Costing_Worksheet</f>
        <v>Go to  Sensitisation Activity # 5 (Not in Use) -  Detailed Activity Costing Worksheet - Instructions</v>
      </c>
    </row>
    <row r="176" spans="1:14" s="10" customFormat="1" x14ac:dyDescent="0.2">
      <c r="C176" s="55" t="s">
        <v>208</v>
      </c>
      <c r="D176" s="74" t="str">
        <f>Lang_Detailed_Costing_Worksheet_Estimate</f>
        <v>Detailed Costing Worksheet Estimate</v>
      </c>
    </row>
    <row r="177" spans="1:14" s="10" customFormat="1" x14ac:dyDescent="0.2">
      <c r="F177" s="366" t="str">
        <f>SENS_Lu!$D$153</f>
        <v>LCU</v>
      </c>
      <c r="G177" s="366" t="str">
        <f>SENS_Lu!$D$152</f>
        <v>USD</v>
      </c>
      <c r="J177" s="366" t="str">
        <f ca="1">OFFSET(SENS_Lu!$D$151,DD_LVL2_ACTV_18_Annual_Currency_Select,0)</f>
        <v>USD</v>
      </c>
      <c r="K177" s="366" t="str">
        <f ca="1">OFFSET(SENS_Lu!$D$151,DD_LVL2_ACTV_18_Annual_Currency_Select,0)</f>
        <v>USD</v>
      </c>
      <c r="L177" s="366" t="str">
        <f ca="1">OFFSET(SENS_Lu!$D$151,DD_LVL2_ACTV_18_Annual_Currency_Select,0)</f>
        <v>USD</v>
      </c>
      <c r="M177" s="366" t="str">
        <f ca="1">OFFSET(SENS_Lu!$D$151,DD_LVL2_ACTV_18_Annual_Currency_Select,0)</f>
        <v>USD</v>
      </c>
      <c r="N177" s="366" t="str">
        <f ca="1">OFFSET(SENS_Lu!$D$151,DD_LVL2_ACTV_18_Annual_Currency_Select,0)</f>
        <v>USD</v>
      </c>
    </row>
    <row r="178" spans="1:14" s="10" customFormat="1" x14ac:dyDescent="0.2">
      <c r="D178" s="53" t="str">
        <f>SENS_Lu!$D$172&amp;" "&amp;Lang_Cost_Of_A_Single&amp;" "&amp;$D$166&amp;" "&amp;Lang_Activity</f>
        <v>Financial Cost of a Single  Sensitisation Activity # 5 (Not in Use) Activity</v>
      </c>
      <c r="F178" s="41">
        <f>COSTS_DETAILED_SUMMARY!E198</f>
        <v>0</v>
      </c>
      <c r="G178" s="116">
        <f>COSTS_DETAILED_SUMMARY!G198</f>
        <v>0</v>
      </c>
      <c r="J178" s="79">
        <f>IF(DD_LVL2_ACTV_18_Annual_Currency_Select=2,COSTS_DETAILED_SUMMARY!$E198,COSTS_DETAILED_SUMMARY!$G198)</f>
        <v>0</v>
      </c>
      <c r="K178" s="79">
        <f>IF(DD_LVL2_ACTV_18_Annual_Currency_Select=2,COSTS_DETAILED_SUMMARY!$E198,COSTS_DETAILED_SUMMARY!$G198)</f>
        <v>0</v>
      </c>
      <c r="L178" s="79">
        <f>IF(DD_LVL2_ACTV_18_Annual_Currency_Select=2,COSTS_DETAILED_SUMMARY!$E198,COSTS_DETAILED_SUMMARY!$G198)</f>
        <v>0</v>
      </c>
      <c r="M178" s="79">
        <f>IF(DD_LVL2_ACTV_18_Annual_Currency_Select=2,COSTS_DETAILED_SUMMARY!$E198,COSTS_DETAILED_SUMMARY!$G198)</f>
        <v>0</v>
      </c>
      <c r="N178" s="79">
        <f>IF(DD_LVL2_ACTV_18_Annual_Currency_Select=2,COSTS_DETAILED_SUMMARY!$E198,COSTS_DETAILED_SUMMARY!$G198)</f>
        <v>0</v>
      </c>
    </row>
    <row r="179" spans="1:14" s="10" customFormat="1" x14ac:dyDescent="0.2">
      <c r="D179" s="53" t="str">
        <f>SENS_Lu!$D$173&amp;" "&amp;Lang_Cost_Of_A_Single&amp;" "&amp;$D$166&amp;" "&amp;Lang_Activity</f>
        <v>Economic Cost of a Single  Sensitisation Activity # 5 (Not in Use) Activity</v>
      </c>
      <c r="F179" s="41">
        <f>COSTS_DETAILED_SUMMARY!F198</f>
        <v>0</v>
      </c>
      <c r="G179" s="116">
        <f>COSTS_DETAILED_SUMMARY!H198</f>
        <v>0</v>
      </c>
      <c r="J179" s="79">
        <f>IF(DD_LVL2_ACTV_18_Annual_Currency_Select=2,COSTS_DETAILED_SUMMARY!$F198,COSTS_DETAILED_SUMMARY!$H198)</f>
        <v>0</v>
      </c>
      <c r="K179" s="79">
        <f>IF(DD_LVL2_ACTV_18_Annual_Currency_Select=2,COSTS_DETAILED_SUMMARY!$F198,COSTS_DETAILED_SUMMARY!$H198)</f>
        <v>0</v>
      </c>
      <c r="L179" s="79">
        <f>IF(DD_LVL2_ACTV_18_Annual_Currency_Select=2,COSTS_DETAILED_SUMMARY!$F198,COSTS_DETAILED_SUMMARY!$H198)</f>
        <v>0</v>
      </c>
      <c r="M179" s="79">
        <f>IF(DD_LVL2_ACTV_18_Annual_Currency_Select=2,COSTS_DETAILED_SUMMARY!$F198,COSTS_DETAILED_SUMMARY!$H198)</f>
        <v>0</v>
      </c>
      <c r="N179" s="79">
        <f>IF(DD_LVL2_ACTV_18_Annual_Currency_Select=2,COSTS_DETAILED_SUMMARY!$F198,COSTS_DETAILED_SUMMARY!$H198)</f>
        <v>0</v>
      </c>
    </row>
    <row r="180" spans="1:14" s="10" customFormat="1" x14ac:dyDescent="0.2"/>
    <row r="181" spans="1:14" s="10" customFormat="1" x14ac:dyDescent="0.2"/>
    <row r="182" spans="1:14" s="10" customFormat="1" x14ac:dyDescent="0.2">
      <c r="C182" s="55" t="s">
        <v>210</v>
      </c>
      <c r="D182" s="74" t="str">
        <f>Lang_Direct_User_Entry_Cost_Estimate</f>
        <v>Direct User Entry Cost Estimate</v>
      </c>
      <c r="J182" s="366" t="str">
        <f ca="1">OFFSET(SENS_Lu!$D$151,DD_LVL2_ACTV_18_Annual_Currency_Select,0)</f>
        <v>USD</v>
      </c>
      <c r="K182" s="366" t="str">
        <f ca="1">OFFSET(SENS_Lu!$D$151,DD_LVL2_ACTV_18_Annual_Currency_Select,0)</f>
        <v>USD</v>
      </c>
      <c r="L182" s="366" t="str">
        <f ca="1">OFFSET(SENS_Lu!$D$151,DD_LVL2_ACTV_18_Annual_Currency_Select,0)</f>
        <v>USD</v>
      </c>
      <c r="M182" s="366" t="str">
        <f ca="1">OFFSET(SENS_Lu!$D$151,DD_LVL2_ACTV_18_Annual_Currency_Select,0)</f>
        <v>USD</v>
      </c>
      <c r="N182" s="366" t="str">
        <f ca="1">OFFSET(SENS_Lu!$D$151,DD_LVL2_ACTV_18_Annual_Currency_Select,0)</f>
        <v>USD</v>
      </c>
    </row>
    <row r="183" spans="1:14" s="10" customFormat="1" x14ac:dyDescent="0.2">
      <c r="D183" s="53" t="str">
        <f>SENS_Lu!$D$172&amp;" "&amp;Lang_Cost_Of_A_Single&amp;" "&amp;$D$166&amp;" "&amp;Lang_Activity</f>
        <v>Financial Cost of a Single  Sensitisation Activity # 5 (Not in Use) Activity</v>
      </c>
      <c r="J183" s="80">
        <v>0</v>
      </c>
      <c r="K183" s="80">
        <v>0</v>
      </c>
      <c r="L183" s="80">
        <v>0</v>
      </c>
      <c r="M183" s="80">
        <v>0</v>
      </c>
      <c r="N183" s="80">
        <v>0</v>
      </c>
    </row>
    <row r="184" spans="1:14" s="10" customFormat="1" x14ac:dyDescent="0.2">
      <c r="D184" s="53" t="str">
        <f>SENS_Lu!$D$173&amp;" "&amp;Lang_Cost_Of_A_Single&amp;" "&amp;$D$166&amp;" "&amp;Lang_Activity</f>
        <v>Economic Cost of a Single  Sensitisation Activity # 5 (Not in Use) Activity</v>
      </c>
      <c r="J184" s="80">
        <v>0</v>
      </c>
      <c r="K184" s="80">
        <v>0</v>
      </c>
      <c r="L184" s="80">
        <v>0</v>
      </c>
      <c r="M184" s="80">
        <v>0</v>
      </c>
      <c r="N184" s="80">
        <v>0</v>
      </c>
    </row>
    <row r="185" spans="1:14" s="10" customFormat="1" x14ac:dyDescent="0.2">
      <c r="D185" s="55" t="str">
        <f>Lang_Error_Check_Checks_If_Override_Input_economic_Cost_Is_Less_Than_Financial_Cost</f>
        <v>ERROR CHECK (CHECKS IF OVERRIDE INPUT ECONOMIC COST IS LESS THAN FINANCIAL COST)</v>
      </c>
      <c r="H185" s="145">
        <f>IF(ISERROR(SUM(J185:N185)),1,MIN(SUM(J185:N185),1))</f>
        <v>0</v>
      </c>
      <c r="J185" s="42">
        <f t="shared" ref="J185:N185" si="7">IF(J184&lt;J183,1,0)</f>
        <v>0</v>
      </c>
      <c r="K185" s="42">
        <f t="shared" si="7"/>
        <v>0</v>
      </c>
      <c r="L185" s="42">
        <f t="shared" si="7"/>
        <v>0</v>
      </c>
      <c r="M185" s="42">
        <f t="shared" si="7"/>
        <v>0</v>
      </c>
      <c r="N185" s="42">
        <f t="shared" si="7"/>
        <v>0</v>
      </c>
    </row>
    <row r="186" spans="1:14" s="10" customFormat="1" x14ac:dyDescent="0.2"/>
    <row r="187" spans="1:14" s="10" customFormat="1" x14ac:dyDescent="0.2">
      <c r="D187" s="74" t="str">
        <f>Lang_Source_Of_Information_Notes</f>
        <v>Notes and Sources of Information</v>
      </c>
    </row>
    <row r="188" spans="1:14" s="10" customFormat="1" x14ac:dyDescent="0.2">
      <c r="D188" s="482" t="s">
        <v>596</v>
      </c>
      <c r="E188" s="482"/>
    </row>
    <row r="189" spans="1:14" s="10" customFormat="1" x14ac:dyDescent="0.2">
      <c r="D189" s="482" t="s">
        <v>596</v>
      </c>
      <c r="E189" s="482"/>
    </row>
    <row r="190" spans="1:14" s="10" customFormat="1" x14ac:dyDescent="0.2">
      <c r="D190" s="482" t="s">
        <v>596</v>
      </c>
      <c r="E190" s="482"/>
    </row>
    <row r="191" spans="1:14" s="10" customFormat="1" x14ac:dyDescent="0.2"/>
    <row r="192" spans="1:14" s="10" customFormat="1" x14ac:dyDescent="0.2">
      <c r="A192" s="12" t="s">
        <v>125</v>
      </c>
      <c r="B192" s="13" t="str">
        <f>Lang_Number_Of&amp;" "&amp;$D$166&amp;" "&amp;Lang_Activities_Annual_Assumptions_Projected_Or_Retrospective</f>
        <v>Number of  Sensitisation Activity # 5 (Not in Use) Activities - Annual Assumptions (Projected or Retrospective)</v>
      </c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</row>
    <row r="193" spans="1:14" s="10" customFormat="1" x14ac:dyDescent="0.2"/>
    <row r="194" spans="1:14" s="10" customFormat="1" x14ac:dyDescent="0.2">
      <c r="D194" s="71" t="str">
        <f>HL_LVL2_ACTV_18_Name&amp;" - "&amp;Lang_Number_Of_Activities_Per_Year&amp;" ("&amp;Lang_Projected_Or_Retrospective&amp;")"</f>
        <v xml:space="preserve"> Sensitisation Activity # 5 (Not in Use) - Number of Activities per Year (Projected or Retrospective)</v>
      </c>
    </row>
    <row r="195" spans="1:14" s="10" customFormat="1" x14ac:dyDescent="0.2"/>
    <row r="196" spans="1:14" s="10" customFormat="1" x14ac:dyDescent="0.2">
      <c r="D196" s="50" t="str">
        <f>Lang_Number_Of_Activities_Per_Year</f>
        <v>Number of Activities per Year</v>
      </c>
      <c r="J196" s="324">
        <v>0</v>
      </c>
      <c r="K196" s="324">
        <v>0</v>
      </c>
      <c r="L196" s="324">
        <v>0</v>
      </c>
      <c r="M196" s="324">
        <v>0</v>
      </c>
      <c r="N196" s="324">
        <v>0</v>
      </c>
    </row>
    <row r="197" spans="1:14" s="10" customFormat="1" hidden="1" x14ac:dyDescent="0.2">
      <c r="D197" s="71" t="str">
        <f>D194</f>
        <v xml:space="preserve"> Sensitisation Activity # 5 (Not in Use) - Number of Activities per Year (Projected or Retrospective)</v>
      </c>
      <c r="J197" s="41">
        <f t="shared" ref="J197:N197" si="8">SUM(J196:J196)</f>
        <v>0</v>
      </c>
      <c r="K197" s="41">
        <f t="shared" si="8"/>
        <v>0</v>
      </c>
      <c r="L197" s="41">
        <f t="shared" si="8"/>
        <v>0</v>
      </c>
      <c r="M197" s="41">
        <f t="shared" si="8"/>
        <v>0</v>
      </c>
      <c r="N197" s="41">
        <f t="shared" si="8"/>
        <v>0</v>
      </c>
    </row>
    <row r="198" spans="1:14" s="10" customFormat="1" x14ac:dyDescent="0.2"/>
    <row r="199" spans="1:14" s="10" customFormat="1" x14ac:dyDescent="0.2">
      <c r="D199" s="74" t="str">
        <f>Lang_Source_Of_Information_Notes</f>
        <v>Notes and Sources of Information</v>
      </c>
    </row>
    <row r="200" spans="1:14" s="10" customFormat="1" x14ac:dyDescent="0.2">
      <c r="D200" s="482" t="s">
        <v>596</v>
      </c>
      <c r="E200" s="482"/>
    </row>
    <row r="201" spans="1:14" s="10" customFormat="1" x14ac:dyDescent="0.2">
      <c r="D201" s="482" t="s">
        <v>596</v>
      </c>
      <c r="E201" s="482"/>
    </row>
    <row r="202" spans="1:14" s="10" customFormat="1" x14ac:dyDescent="0.2">
      <c r="D202" s="482" t="s">
        <v>596</v>
      </c>
      <c r="E202" s="482"/>
    </row>
    <row r="203" spans="1:14" s="10" customFormat="1" x14ac:dyDescent="0.2"/>
    <row r="204" spans="1:14" s="10" customFormat="1" x14ac:dyDescent="0.2">
      <c r="D204" s="76" t="str">
        <f>Lang_GoTo&amp;" "&amp;HL_LVL2_ACTV_18_Activity_Summary_Costs_Annual</f>
        <v>Go to  Sensitisation Activity # 5 (Not in Use) - Summary Costs (Annual)</v>
      </c>
    </row>
    <row r="205" spans="1:14" s="10" customFormat="1" x14ac:dyDescent="0.2"/>
    <row r="206" spans="1:14" s="10" customFormat="1" x14ac:dyDescent="0.2">
      <c r="A206" s="12" t="s">
        <v>125</v>
      </c>
      <c r="B206" s="13" t="str">
        <f>HL_LVL2_ACTV_19_Name&amp;" "&amp;Lang_Name</f>
        <v xml:space="preserve"> Sensitisation Activity # 6 (Not in Use) Name</v>
      </c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</row>
    <row r="207" spans="1:14" s="10" customFormat="1" x14ac:dyDescent="0.2"/>
    <row r="208" spans="1:14" s="10" customFormat="1" x14ac:dyDescent="0.2">
      <c r="D208" s="55" t="str">
        <f>Lang_Senistisation_Activity_Name</f>
        <v>Senistisation Activity Name</v>
      </c>
    </row>
    <row r="209" spans="1:14" s="10" customFormat="1" x14ac:dyDescent="0.2">
      <c r="D209" s="75" t="s">
        <v>485</v>
      </c>
    </row>
    <row r="210" spans="1:14" s="10" customFormat="1" x14ac:dyDescent="0.2"/>
    <row r="211" spans="1:14" s="10" customFormat="1" x14ac:dyDescent="0.2">
      <c r="A211" s="12" t="s">
        <v>125</v>
      </c>
      <c r="B211" s="13" t="str">
        <f>HL_LVL2_ACTV_19_Name&amp;" "&amp;Lang_Single_Activity_Cost_Annual_Assumptions_Projected_Or_Retrospective</f>
        <v xml:space="preserve"> Sensitisation Activity # 6 (Not in Use) Single Activity Cost - Annual Assumptions (Projected or Retrospective)</v>
      </c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</row>
    <row r="212" spans="1:14" s="10" customFormat="1" x14ac:dyDescent="0.2"/>
    <row r="213" spans="1:14" s="10" customFormat="1" x14ac:dyDescent="0.2">
      <c r="D213" s="114" t="str">
        <f>HL_LVL2_ACTV_19_Name</f>
        <v xml:space="preserve"> Sensitisation Activity # 6 (Not in Use)</v>
      </c>
    </row>
    <row r="214" spans="1:14" s="10" customFormat="1" x14ac:dyDescent="0.2"/>
    <row r="215" spans="1:14" s="10" customFormat="1" x14ac:dyDescent="0.2">
      <c r="D215" s="50" t="str">
        <f>Lang_Select_Input_Currency</f>
        <v>Select Input Currency</v>
      </c>
      <c r="E215" s="72">
        <v>1</v>
      </c>
    </row>
    <row r="216" spans="1:14" s="10" customFormat="1" x14ac:dyDescent="0.2"/>
    <row r="217" spans="1:14" s="10" customFormat="1" x14ac:dyDescent="0.2">
      <c r="D217" s="50" t="str">
        <f>Lang_Select_Costing_Input_Method</f>
        <v>Select Costing Input Method</v>
      </c>
      <c r="E217" s="72">
        <v>2</v>
      </c>
    </row>
    <row r="218" spans="1:14" s="10" customFormat="1" x14ac:dyDescent="0.2">
      <c r="E218" s="76" t="str">
        <f>Lang_GoTo&amp;" "&amp;HL_LVL2_ACTV_19_Detailed_Costing_Worksheet</f>
        <v>Go to  Sensitisation Activity # 6 (Not in Use) -  Detailed Activity Costing Worksheet - Instructions</v>
      </c>
    </row>
    <row r="219" spans="1:14" s="10" customFormat="1" x14ac:dyDescent="0.2">
      <c r="C219" s="55" t="s">
        <v>208</v>
      </c>
      <c r="D219" s="74" t="str">
        <f>Lang_Detailed_Costing_Worksheet_Estimate</f>
        <v>Detailed Costing Worksheet Estimate</v>
      </c>
    </row>
    <row r="220" spans="1:14" s="10" customFormat="1" x14ac:dyDescent="0.2">
      <c r="F220" s="366" t="str">
        <f>SENS_Lu!$D$188</f>
        <v>LCU</v>
      </c>
      <c r="G220" s="366" t="str">
        <f>SENS_Lu!$D$187</f>
        <v>USD</v>
      </c>
      <c r="J220" s="366" t="str">
        <f ca="1">OFFSET(SENS_Lu!$D$186,DD_LVL2_ACTV_19_Annual_Currency_Select,0)</f>
        <v>USD</v>
      </c>
      <c r="K220" s="366" t="str">
        <f ca="1">OFFSET(SENS_Lu!$D$186,DD_LVL2_ACTV_19_Annual_Currency_Select,0)</f>
        <v>USD</v>
      </c>
      <c r="L220" s="366" t="str">
        <f ca="1">OFFSET(SENS_Lu!$D$186,DD_LVL2_ACTV_19_Annual_Currency_Select,0)</f>
        <v>USD</v>
      </c>
      <c r="M220" s="366" t="str">
        <f ca="1">OFFSET(SENS_Lu!$D$186,DD_LVL2_ACTV_19_Annual_Currency_Select,0)</f>
        <v>USD</v>
      </c>
      <c r="N220" s="366" t="str">
        <f ca="1">OFFSET(SENS_Lu!$D$186,DD_LVL2_ACTV_19_Annual_Currency_Select,0)</f>
        <v>USD</v>
      </c>
    </row>
    <row r="221" spans="1:14" s="10" customFormat="1" x14ac:dyDescent="0.2">
      <c r="D221" s="53" t="str">
        <f>SENS_Lu!$D$207&amp;" "&amp;Lang_Cost_Of_A_Single&amp;" "&amp;$D$209&amp;" "&amp;Lang_Activity</f>
        <v>Financial Cost of a Single  Sensitisation Activity # 6 (Not in Use) Activity</v>
      </c>
      <c r="F221" s="41">
        <f>COSTS_DETAILED_SUMMARY!E214</f>
        <v>0</v>
      </c>
      <c r="G221" s="116">
        <f>COSTS_DETAILED_SUMMARY!G214</f>
        <v>0</v>
      </c>
      <c r="J221" s="79">
        <f>IF(DD_LVL2_ACTV_19_Annual_Currency_Select=2,COSTS_DETAILED_SUMMARY!$E214,COSTS_DETAILED_SUMMARY!$G214)</f>
        <v>0</v>
      </c>
      <c r="K221" s="79">
        <f>IF(DD_LVL2_ACTV_19_Annual_Currency_Select=2,COSTS_DETAILED_SUMMARY!$E214,COSTS_DETAILED_SUMMARY!$G214)</f>
        <v>0</v>
      </c>
      <c r="L221" s="79">
        <f>IF(DD_LVL2_ACTV_19_Annual_Currency_Select=2,COSTS_DETAILED_SUMMARY!$E214,COSTS_DETAILED_SUMMARY!$G214)</f>
        <v>0</v>
      </c>
      <c r="M221" s="79">
        <f>IF(DD_LVL2_ACTV_19_Annual_Currency_Select=2,COSTS_DETAILED_SUMMARY!$E214,COSTS_DETAILED_SUMMARY!$G214)</f>
        <v>0</v>
      </c>
      <c r="N221" s="79">
        <f>IF(DD_LVL2_ACTV_19_Annual_Currency_Select=2,COSTS_DETAILED_SUMMARY!$E214,COSTS_DETAILED_SUMMARY!$G214)</f>
        <v>0</v>
      </c>
    </row>
    <row r="222" spans="1:14" s="10" customFormat="1" x14ac:dyDescent="0.2">
      <c r="D222" s="53" t="str">
        <f>SENS_Lu!$D$208&amp;" "&amp;Lang_Cost_Of_A_Single&amp;" "&amp;$D$209&amp;" "&amp;Lang_Activity</f>
        <v>Economic Cost of a Single  Sensitisation Activity # 6 (Not in Use) Activity</v>
      </c>
      <c r="F222" s="41">
        <f>COSTS_DETAILED_SUMMARY!F214</f>
        <v>0</v>
      </c>
      <c r="G222" s="116">
        <f>COSTS_DETAILED_SUMMARY!H214</f>
        <v>0</v>
      </c>
      <c r="J222" s="79">
        <f>IF(DD_LVL2_ACTV_19_Annual_Currency_Select=2,COSTS_DETAILED_SUMMARY!$F214,COSTS_DETAILED_SUMMARY!$H214)</f>
        <v>0</v>
      </c>
      <c r="K222" s="79">
        <f>IF(DD_LVL2_ACTV_19_Annual_Currency_Select=2,COSTS_DETAILED_SUMMARY!$F214,COSTS_DETAILED_SUMMARY!$H214)</f>
        <v>0</v>
      </c>
      <c r="L222" s="79">
        <f>IF(DD_LVL2_ACTV_19_Annual_Currency_Select=2,COSTS_DETAILED_SUMMARY!$F214,COSTS_DETAILED_SUMMARY!$H214)</f>
        <v>0</v>
      </c>
      <c r="M222" s="79">
        <f>IF(DD_LVL2_ACTV_19_Annual_Currency_Select=2,COSTS_DETAILED_SUMMARY!$F214,COSTS_DETAILED_SUMMARY!$H214)</f>
        <v>0</v>
      </c>
      <c r="N222" s="79">
        <f>IF(DD_LVL2_ACTV_19_Annual_Currency_Select=2,COSTS_DETAILED_SUMMARY!$F214,COSTS_DETAILED_SUMMARY!$H214)</f>
        <v>0</v>
      </c>
    </row>
    <row r="223" spans="1:14" s="10" customFormat="1" x14ac:dyDescent="0.2"/>
    <row r="224" spans="1:14" s="10" customFormat="1" x14ac:dyDescent="0.2"/>
    <row r="225" spans="1:14" s="10" customFormat="1" x14ac:dyDescent="0.2">
      <c r="C225" s="55" t="s">
        <v>210</v>
      </c>
      <c r="D225" s="74" t="str">
        <f>Lang_Direct_User_Entry_Cost_Estimate</f>
        <v>Direct User Entry Cost Estimate</v>
      </c>
      <c r="J225" s="366" t="str">
        <f ca="1">OFFSET(SENS_Lu!$D$186,DD_LVL2_ACTV_19_Annual_Currency_Select,0)</f>
        <v>USD</v>
      </c>
      <c r="K225" s="366" t="str">
        <f ca="1">OFFSET(SENS_Lu!$D$186,DD_LVL2_ACTV_19_Annual_Currency_Select,0)</f>
        <v>USD</v>
      </c>
      <c r="L225" s="366" t="str">
        <f ca="1">OFFSET(SENS_Lu!$D$186,DD_LVL2_ACTV_19_Annual_Currency_Select,0)</f>
        <v>USD</v>
      </c>
      <c r="M225" s="366" t="str">
        <f ca="1">OFFSET(SENS_Lu!$D$186,DD_LVL2_ACTV_19_Annual_Currency_Select,0)</f>
        <v>USD</v>
      </c>
      <c r="N225" s="366" t="str">
        <f ca="1">OFFSET(SENS_Lu!$D$186,DD_LVL2_ACTV_19_Annual_Currency_Select,0)</f>
        <v>USD</v>
      </c>
    </row>
    <row r="226" spans="1:14" s="10" customFormat="1" x14ac:dyDescent="0.2">
      <c r="D226" s="53" t="str">
        <f>SENS_Lu!$D$207&amp;" "&amp;Lang_Cost_Of_A_Single&amp;" "&amp;$D$209&amp;" "&amp;Lang_Activity</f>
        <v>Financial Cost of a Single  Sensitisation Activity # 6 (Not in Use) Activity</v>
      </c>
      <c r="J226" s="80">
        <v>0</v>
      </c>
      <c r="K226" s="80">
        <v>0</v>
      </c>
      <c r="L226" s="80">
        <v>0</v>
      </c>
      <c r="M226" s="80">
        <v>0</v>
      </c>
      <c r="N226" s="80">
        <v>0</v>
      </c>
    </row>
    <row r="227" spans="1:14" s="10" customFormat="1" x14ac:dyDescent="0.2">
      <c r="D227" s="53" t="str">
        <f>SENS_Lu!$D$208&amp;" "&amp;Lang_Cost_Of_A_Single&amp;" "&amp;$D$209&amp;" "&amp;Lang_Activity</f>
        <v>Economic Cost of a Single  Sensitisation Activity # 6 (Not in Use) Activity</v>
      </c>
      <c r="J227" s="80">
        <v>0</v>
      </c>
      <c r="K227" s="80">
        <v>0</v>
      </c>
      <c r="L227" s="80">
        <v>0</v>
      </c>
      <c r="M227" s="80">
        <v>0</v>
      </c>
      <c r="N227" s="80">
        <v>0</v>
      </c>
    </row>
    <row r="228" spans="1:14" s="10" customFormat="1" x14ac:dyDescent="0.2">
      <c r="D228" s="55" t="str">
        <f>Lang_Error_Check_Checks_If_Override_Input_economic_Cost_Is_Less_Than_Financial_Cost</f>
        <v>ERROR CHECK (CHECKS IF OVERRIDE INPUT ECONOMIC COST IS LESS THAN FINANCIAL COST)</v>
      </c>
      <c r="H228" s="145">
        <f>IF(ISERROR(SUM(J228:N228)),1,MIN(SUM(J228:N228),1))</f>
        <v>0</v>
      </c>
      <c r="J228" s="42">
        <f t="shared" ref="J228:N228" si="9">IF(J227&lt;J226,1,0)</f>
        <v>0</v>
      </c>
      <c r="K228" s="42">
        <f t="shared" si="9"/>
        <v>0</v>
      </c>
      <c r="L228" s="42">
        <f t="shared" si="9"/>
        <v>0</v>
      </c>
      <c r="M228" s="42">
        <f t="shared" si="9"/>
        <v>0</v>
      </c>
      <c r="N228" s="42">
        <f t="shared" si="9"/>
        <v>0</v>
      </c>
    </row>
    <row r="229" spans="1:14" s="10" customFormat="1" x14ac:dyDescent="0.2"/>
    <row r="230" spans="1:14" s="10" customFormat="1" x14ac:dyDescent="0.2">
      <c r="D230" s="74" t="str">
        <f>Lang_Source_Of_Information_Notes</f>
        <v>Notes and Sources of Information</v>
      </c>
    </row>
    <row r="231" spans="1:14" s="10" customFormat="1" x14ac:dyDescent="0.2">
      <c r="D231" s="482" t="s">
        <v>596</v>
      </c>
      <c r="E231" s="482"/>
    </row>
    <row r="232" spans="1:14" s="10" customFormat="1" x14ac:dyDescent="0.2">
      <c r="D232" s="482" t="s">
        <v>596</v>
      </c>
      <c r="E232" s="482"/>
    </row>
    <row r="233" spans="1:14" s="10" customFormat="1" x14ac:dyDescent="0.2">
      <c r="D233" s="482" t="s">
        <v>596</v>
      </c>
      <c r="E233" s="482"/>
    </row>
    <row r="234" spans="1:14" s="10" customFormat="1" x14ac:dyDescent="0.2"/>
    <row r="235" spans="1:14" s="10" customFormat="1" x14ac:dyDescent="0.2">
      <c r="A235" s="12" t="s">
        <v>125</v>
      </c>
      <c r="B235" s="13" t="str">
        <f>Lang_Number_Of&amp;" "&amp;$D$209&amp;" "&amp;Lang_Activities_Annual_Assumptions_Projected_Or_Retrospective</f>
        <v>Number of  Sensitisation Activity # 6 (Not in Use) Activities - Annual Assumptions (Projected or Retrospective)</v>
      </c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</row>
    <row r="236" spans="1:14" s="10" customFormat="1" x14ac:dyDescent="0.2"/>
    <row r="237" spans="1:14" s="10" customFormat="1" x14ac:dyDescent="0.2">
      <c r="D237" s="71" t="str">
        <f>HL_LVL2_ACTV_19_Name&amp;" - "&amp;Lang_Number_Of_Activities_Per_Year&amp;" ("&amp;Lang_Projected_Or_Retrospective&amp;")"</f>
        <v xml:space="preserve"> Sensitisation Activity # 6 (Not in Use) - Number of Activities per Year (Projected or Retrospective)</v>
      </c>
    </row>
    <row r="238" spans="1:14" s="10" customFormat="1" x14ac:dyDescent="0.2"/>
    <row r="239" spans="1:14" s="10" customFormat="1" x14ac:dyDescent="0.2">
      <c r="D239" s="50" t="str">
        <f>Lang_Number_Of_Activities_Per_Year</f>
        <v>Number of Activities per Year</v>
      </c>
      <c r="J239" s="324">
        <v>0</v>
      </c>
      <c r="K239" s="324">
        <v>0</v>
      </c>
      <c r="L239" s="324">
        <v>0</v>
      </c>
      <c r="M239" s="324">
        <v>0</v>
      </c>
      <c r="N239" s="324">
        <v>0</v>
      </c>
    </row>
    <row r="240" spans="1:14" s="10" customFormat="1" hidden="1" x14ac:dyDescent="0.2">
      <c r="D240" s="71" t="str">
        <f>D237</f>
        <v xml:space="preserve"> Sensitisation Activity # 6 (Not in Use) - Number of Activities per Year (Projected or Retrospective)</v>
      </c>
      <c r="J240" s="41">
        <f t="shared" ref="J240:N240" si="10">SUM(J239:J239)</f>
        <v>0</v>
      </c>
      <c r="K240" s="41">
        <f t="shared" si="10"/>
        <v>0</v>
      </c>
      <c r="L240" s="41">
        <f t="shared" si="10"/>
        <v>0</v>
      </c>
      <c r="M240" s="41">
        <f t="shared" si="10"/>
        <v>0</v>
      </c>
      <c r="N240" s="41">
        <f t="shared" si="10"/>
        <v>0</v>
      </c>
    </row>
    <row r="241" spans="4:5" s="10" customFormat="1" x14ac:dyDescent="0.2"/>
    <row r="242" spans="4:5" s="10" customFormat="1" x14ac:dyDescent="0.2">
      <c r="D242" s="74" t="str">
        <f>Lang_Source_Of_Information_Notes</f>
        <v>Notes and Sources of Information</v>
      </c>
    </row>
    <row r="243" spans="4:5" s="10" customFormat="1" x14ac:dyDescent="0.2">
      <c r="D243" s="482" t="s">
        <v>596</v>
      </c>
      <c r="E243" s="482"/>
    </row>
    <row r="244" spans="4:5" s="10" customFormat="1" x14ac:dyDescent="0.2">
      <c r="D244" s="482" t="s">
        <v>596</v>
      </c>
      <c r="E244" s="482"/>
    </row>
    <row r="245" spans="4:5" s="10" customFormat="1" x14ac:dyDescent="0.2">
      <c r="D245" s="482" t="s">
        <v>596</v>
      </c>
      <c r="E245" s="482"/>
    </row>
    <row r="246" spans="4:5" s="10" customFormat="1" x14ac:dyDescent="0.2"/>
    <row r="247" spans="4:5" s="10" customFormat="1" x14ac:dyDescent="0.2">
      <c r="D247" s="76" t="str">
        <f>Lang_GoTo&amp;" "&amp;HL_LVL2_ACTV_19_Activity_Summary_Costs_Annual</f>
        <v>Go to  Sensitisation Activity # 6 (Not in Use) - Summary Costs (Annual)</v>
      </c>
    </row>
    <row r="248" spans="4:5" x14ac:dyDescent="0.2"/>
    <row r="249" spans="4:5" x14ac:dyDescent="0.2"/>
    <row r="250" spans="4:5" x14ac:dyDescent="0.2"/>
  </sheetData>
  <mergeCells count="36">
    <mergeCell ref="D232:E232"/>
    <mergeCell ref="D233:E233"/>
    <mergeCell ref="D243:E243"/>
    <mergeCell ref="D244:E244"/>
    <mergeCell ref="D245:E245"/>
    <mergeCell ref="D147:E147"/>
    <mergeCell ref="D157:E157"/>
    <mergeCell ref="D158:E158"/>
    <mergeCell ref="D69:E69"/>
    <mergeCell ref="D70:E70"/>
    <mergeCell ref="D71:E71"/>
    <mergeCell ref="D78:E78"/>
    <mergeCell ref="D79:E79"/>
    <mergeCell ref="D116:E116"/>
    <mergeCell ref="D117:E117"/>
    <mergeCell ref="D80:E80"/>
    <mergeCell ref="D106:E106"/>
    <mergeCell ref="D107:E107"/>
    <mergeCell ref="D108:E108"/>
    <mergeCell ref="D115:E115"/>
    <mergeCell ref="D201:E201"/>
    <mergeCell ref="D202:E202"/>
    <mergeCell ref="D231:E231"/>
    <mergeCell ref="D43:E43"/>
    <mergeCell ref="D32:E32"/>
    <mergeCell ref="D33:E33"/>
    <mergeCell ref="D34:E34"/>
    <mergeCell ref="D41:E41"/>
    <mergeCell ref="D42:E42"/>
    <mergeCell ref="D159:E159"/>
    <mergeCell ref="D188:E188"/>
    <mergeCell ref="D189:E189"/>
    <mergeCell ref="D190:E190"/>
    <mergeCell ref="D200:E200"/>
    <mergeCell ref="D145:E145"/>
    <mergeCell ref="D146:E146"/>
  </mergeCells>
  <conditionalFormatting sqref="H29">
    <cfRule type="cellIs" dxfId="281" priority="52" operator="notEqual">
      <formula>0</formula>
    </cfRule>
  </conditionalFormatting>
  <conditionalFormatting sqref="H66">
    <cfRule type="cellIs" dxfId="280" priority="51" operator="notEqual">
      <formula>0</formula>
    </cfRule>
  </conditionalFormatting>
  <conditionalFormatting sqref="H103">
    <cfRule type="cellIs" dxfId="279" priority="50" operator="notEqual">
      <formula>0</formula>
    </cfRule>
  </conditionalFormatting>
  <conditionalFormatting sqref="H142">
    <cfRule type="cellIs" dxfId="278" priority="49" operator="notEqual">
      <formula>0</formula>
    </cfRule>
  </conditionalFormatting>
  <conditionalFormatting sqref="H185">
    <cfRule type="cellIs" dxfId="277" priority="48" operator="notEqual">
      <formula>0</formula>
    </cfRule>
  </conditionalFormatting>
  <conditionalFormatting sqref="H228">
    <cfRule type="cellIs" dxfId="276" priority="47" operator="notEqual">
      <formula>0</formula>
    </cfRule>
  </conditionalFormatting>
  <conditionalFormatting sqref="J22:N23 J27:N28">
    <cfRule type="expression" dxfId="275" priority="6">
      <formula>$E$16=1</formula>
    </cfRule>
  </conditionalFormatting>
  <conditionalFormatting sqref="J29:N29">
    <cfRule type="cellIs" dxfId="274" priority="46" operator="notEqual">
      <formula>0</formula>
    </cfRule>
  </conditionalFormatting>
  <conditionalFormatting sqref="J59:N60 J64:N65">
    <cfRule type="expression" dxfId="273" priority="5">
      <formula>$E$53=1</formula>
    </cfRule>
  </conditionalFormatting>
  <conditionalFormatting sqref="J66:N66">
    <cfRule type="cellIs" dxfId="272" priority="45" operator="notEqual">
      <formula>0</formula>
    </cfRule>
  </conditionalFormatting>
  <conditionalFormatting sqref="J96:N97 J101:N102">
    <cfRule type="expression" dxfId="271" priority="4">
      <formula>$E$90=1</formula>
    </cfRule>
  </conditionalFormatting>
  <conditionalFormatting sqref="J103:N103">
    <cfRule type="cellIs" dxfId="270" priority="44" operator="notEqual">
      <formula>0</formula>
    </cfRule>
  </conditionalFormatting>
  <conditionalFormatting sqref="J135:N136 J140:N141">
    <cfRule type="expression" dxfId="269" priority="3">
      <formula>$E$129=1</formula>
    </cfRule>
  </conditionalFormatting>
  <conditionalFormatting sqref="J142:N142">
    <cfRule type="cellIs" dxfId="268" priority="43" operator="notEqual">
      <formula>0</formula>
    </cfRule>
  </conditionalFormatting>
  <conditionalFormatting sqref="J178:N179 J183:N184">
    <cfRule type="expression" dxfId="267" priority="2">
      <formula>$E$172=1</formula>
    </cfRule>
  </conditionalFormatting>
  <conditionalFormatting sqref="J185:N185">
    <cfRule type="cellIs" dxfId="266" priority="42" operator="notEqual">
      <formula>0</formula>
    </cfRule>
  </conditionalFormatting>
  <conditionalFormatting sqref="J221:N222 J226:N227">
    <cfRule type="expression" dxfId="265" priority="1">
      <formula>$E$215=1</formula>
    </cfRule>
  </conditionalFormatting>
  <conditionalFormatting sqref="J228:N228">
    <cfRule type="cellIs" dxfId="264" priority="41" operator="notEqual">
      <formula>0</formula>
    </cfRule>
  </conditionalFormatting>
  <dataValidations count="13">
    <dataValidation type="whole" showDropDown="1" showErrorMessage="1" errorTitle="Drop Down Box Cell Link" error="The value in a drop down box cell link must be a whole number within the control's lookup range rows." sqref="E16" xr:uid="{00000000-0002-0000-1200-000000000000}">
      <formula1>1</formula1>
      <formula2>ROWS(LU_TOP_ACTV_3_Currencies)</formula2>
    </dataValidation>
    <dataValidation type="whole" showDropDown="1" showErrorMessage="1" errorTitle="Drop Down Box Cell Link" error="The value in a drop down box cell link must be a whole number within the control's lookup range rows." sqref="E18" xr:uid="{00000000-0002-0000-1200-000001000000}">
      <formula1>1</formula1>
      <formula2>ROWS(LU_TOP_ACTV_3_Detail_or_Freeform)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129" xr:uid="{00000000-0002-0000-1200-000002000000}">
      <formula1>1</formula1>
      <formula2>ROWS(LU_LVL2_ACTV_3_Currencies)</formula2>
    </dataValidation>
    <dataValidation type="whole" showDropDown="1" showErrorMessage="1" errorTitle="Drop Down Box Cell Link" error="The value in a drop down box cell link must be a whole number within the control's lookup range rows." sqref="E131" xr:uid="{00000000-0002-0000-1200-000003000000}">
      <formula1>1</formula1>
      <formula2>ROWS(LU_LVL2_ACTV_3_Detail_or_Freeform)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90" xr:uid="{00000000-0002-0000-1200-000004000000}">
      <formula1>1</formula1>
      <formula2>ROWS(LU_TOP_ACTV_11_Currencies)</formula2>
    </dataValidation>
    <dataValidation type="whole" showDropDown="1" showErrorMessage="1" errorTitle="Drop Down Box Cell Link" error="The value in a drop down box cell link must be a whole number within the control's lookup range rows." sqref="E92" xr:uid="{00000000-0002-0000-1200-000005000000}">
      <formula1>1</formula1>
      <formula2>ROWS(LU_TOP_ACTV_11_Detail_or_Freeform)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53" xr:uid="{00000000-0002-0000-1200-000006000000}">
      <formula1>1</formula1>
      <formula2>ROWS(LU_TOP_ACTV_10_Currencies)</formula2>
    </dataValidation>
    <dataValidation type="whole" showDropDown="1" showErrorMessage="1" errorTitle="Drop Down Box Cell Link" error="The value in a drop down box cell link must be a whole number within the control's lookup range rows." sqref="E55" xr:uid="{00000000-0002-0000-1200-000007000000}">
      <formula1>1</formula1>
      <formula2>ROWS(LU_TOP_ACTV_10_Detail_or_Freeform)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215" xr:uid="{00000000-0002-0000-1200-000008000000}">
      <formula1>1</formula1>
      <formula2>ROWS(LU_LVL2_ACTV_19_Currencies)</formula2>
    </dataValidation>
    <dataValidation type="whole" showDropDown="1" showErrorMessage="1" errorTitle="Drop Down Box Cell Link" error="The value in a drop down box cell link must be a whole number within the control's lookup range rows." sqref="E217" xr:uid="{00000000-0002-0000-1200-000009000000}">
      <formula1>1</formula1>
      <formula2>ROWS(LU_LVL2_ACTV_19_Detail_or_Freeform)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172" xr:uid="{00000000-0002-0000-1200-00000A000000}">
      <formula1>1</formula1>
      <formula2>ROWS(LU_LVL2_ACTV_18_Currencies)</formula2>
    </dataValidation>
    <dataValidation type="whole" showDropDown="1" showErrorMessage="1" errorTitle="Drop Down Box Cell Link" error="The value in a drop down box cell link must be a whole number within the control's lookup range rows." sqref="E174" xr:uid="{00000000-0002-0000-1200-00000B000000}">
      <formula1>1</formula1>
      <formula2>ROWS(LU_LVL2_ACTV_18_Detail_or_Freeform)</formula2>
    </dataValidation>
    <dataValidation type="custom" showErrorMessage="1" errorTitle="Invalid Assumption" error="Assumption must be a number." sqref="J196:N196 J38:N38 J27:N28 J153:N153 J112:N112 J239:N239 J75:N75 J226:N227 J183:N184 J140:N141 J101:N102 J64:N65" xr:uid="{00000000-0002-0000-1200-00000C000000}">
      <formula1>NOT(ISERROR(J27/1))</formula1>
    </dataValidation>
  </dataValidations>
  <hyperlinks>
    <hyperlink ref="D44" location="HL_TOP_ACTV_3_Activity_Summary_Costs_Annual" tooltip="Click to follow hyperlink." display="HL_TOP_ACTV_3_Activity_Summary_Costs_Annual" xr:uid="{00000000-0004-0000-1200-000000000000}"/>
    <hyperlink ref="E19" location="HL_TOP_ACTV_3_Detailed_Costing_Worksheet" tooltip="Click to follow hyperlink." display="HL_TOP_ACTV_3_Detailed_Costing_Worksheet" xr:uid="{00000000-0004-0000-1200-000001000000}"/>
    <hyperlink ref="E132" location="HL_LVL2_ACTV_3_Detailed_Costing_Worksheet" tooltip="Click to follow hyperlink." display="HL_LVL2_ACTV_3_Detailed_Costing_Worksheet" xr:uid="{00000000-0004-0000-1200-000002000000}"/>
    <hyperlink ref="D161" location="HL_LVL2_ACTV_3_Activity_Summary_Costs_Annual" tooltip="Click to follow hyperlink." display="HL_LVL2_ACTV_3_Activity_Summary_Costs_Annual" xr:uid="{00000000-0004-0000-1200-000003000000}"/>
    <hyperlink ref="A9" location="HL_TOP_ACTV_3_Single_Activity_Cost_Assumptions_Annual" tooltip="Click to follow hyperlink." display="HL_TOP_ACTV_3_Single_Activity_Cost_Assumptions_Annual" xr:uid="{00000000-0004-0000-1200-000004000000}"/>
    <hyperlink ref="A120" location="HL_LVL2_ACTV_3_Single_Activity_Cost_Assumptions_Annual" tooltip="Click to follow hyperlink." display="HL_LVL2_ACTV_3_Single_Activity_Cost_Assumptions_Annual" xr:uid="{00000000-0004-0000-1200-000005000000}"/>
    <hyperlink ref="A46" location="HL_TOP_ACTV_10_Single_Activity_Cost_Assumptions_Annual" tooltip="Click to follow hyperlink." display="HL_TOP_ACTV_10_Single_Activity_Cost_Assumptions_Annual" xr:uid="{00000000-0004-0000-1200-000006000000}"/>
    <hyperlink ref="D81" location="HL_TOP_ACTV_10_Activity_Summary_Costs_Annual" tooltip="Click to follow hyperlink." display="HL_TOP_ACTV_10_Activity_Summary_Costs_Annual" xr:uid="{00000000-0004-0000-1200-000007000000}"/>
    <hyperlink ref="A83" location="HL_TOP_ACTV_11_Single_Activity_Cost_Assumptions_Annual" tooltip="Click to follow hyperlink." display="HL_TOP_ACTV_11_Single_Activity_Cost_Assumptions_Annual" xr:uid="{00000000-0004-0000-1200-000008000000}"/>
    <hyperlink ref="D118" location="HL_TOP_ACTV_11_Activity_Summary_Costs_Annual" tooltip="Click to follow hyperlink." display="HL_TOP_ACTV_11_Activity_Summary_Costs_Annual" xr:uid="{00000000-0004-0000-1200-000009000000}"/>
    <hyperlink ref="A163" location="HL_LVL2_ACTV_18_Single_Activity_Cost_Assumptions_Annual" tooltip="Click to follow hyperlink." display="HL_LVL2_ACTV_18_Single_Activity_Cost_Assumptions_Annual" xr:uid="{00000000-0004-0000-1200-00000A000000}"/>
    <hyperlink ref="D204" location="HL_LVL2_ACTV_18_Activity_Summary_Costs_Annual" tooltip="Click to follow hyperlink." display="HL_LVL2_ACTV_18_Activity_Summary_Costs_Annual" xr:uid="{00000000-0004-0000-1200-00000B000000}"/>
    <hyperlink ref="A206" location="HL_LVL2_ACTV_19_Single_Activity_Cost_Assumptions_Annual" tooltip="Click to follow hyperlink." display="HL_LVL2_ACTV_19_Single_Activity_Cost_Assumptions_Annual" xr:uid="{00000000-0004-0000-1200-00000C000000}"/>
    <hyperlink ref="D247" location="HL_LVL2_ACTV_19_Activity_Summary_Costs_Annual" tooltip="Click to follow hyperlink." display="HL_LVL2_ACTV_19_Activity_Summary_Costs_Annual" xr:uid="{00000000-0004-0000-1200-00000D000000}"/>
    <hyperlink ref="E93" location="HL_TOP_ACTV_11_Detailed_Costing_Worksheet" tooltip="Click to follow hyperlink." display="HL_TOP_ACTV_11_Detailed_Costing_Worksheet" xr:uid="{00000000-0004-0000-1200-00000E000000}"/>
    <hyperlink ref="E56" location="HL_TOP_ACTV_10_Detailed_Costing_Worksheet" tooltip="Click to follow hyperlink." display="HL_TOP_ACTV_10_Detailed_Costing_Worksheet" xr:uid="{00000000-0004-0000-1200-00000F000000}"/>
    <hyperlink ref="E218" location="HL_LVL2_ACTV_19_Detailed_Costing_Worksheet" tooltip="Click to follow hyperlink." display="HL_LVL2_ACTV_19_Detailed_Costing_Worksheet" xr:uid="{00000000-0004-0000-1200-000010000000}"/>
    <hyperlink ref="E175" location="HL_LVL2_ACTV_18_Detailed_Costing_Worksheet" tooltip="Click to follow hyperlink." display="HL_LVL2_ACTV_18_Detailed_Costing_Worksheet" xr:uid="{00000000-0004-0000-1200-000011000000}"/>
    <hyperlink ref="A1" location="Contents!A1" tooltip="Go to Table of Contents" display="±" xr:uid="{00000000-0004-0000-1200-000012000000}"/>
    <hyperlink ref="A3" location="$B$8" tooltip="Go to Top of Sheet" display="$B$8" xr:uid="{3AB8B65D-775D-4F9D-9B5A-F6B12DA15CF8}"/>
  </hyperlinks>
  <pageMargins left="0.7" right="0.7" top="0.75" bottom="0.75" header="0.3" footer="0.3"/>
  <pageSetup scale="50" fitToHeight="0" orientation="landscape" r:id="rId1"/>
  <headerFooter>
    <oddFooter>&amp;L&amp;B Confidential&amp;B&amp;C&amp;D&amp;RPage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9218" r:id="rId4" name="bpmDropDownTOP_ACTV_32">
              <controlPr defaultSize="0" autoFill="0" autoPict="0">
                <anchor moveWithCells="1" sizeWithCells="1">
                  <from>
                    <xdr:col>4</xdr:col>
                    <xdr:colOff>0</xdr:colOff>
                    <xdr:row>15</xdr:row>
                    <xdr:rowOff>0</xdr:rowOff>
                  </from>
                  <to>
                    <xdr:col>5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19" r:id="rId5" name="bpmDropDownTOP_ACTV_33">
              <controlPr defaultSize="0" autoFill="0" autoPict="0">
                <anchor moveWithCells="1" sizeWithCells="1">
                  <from>
                    <xdr:col>4</xdr:col>
                    <xdr:colOff>0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21" r:id="rId6" name="bpmDropDownLVL2_ACTV_32">
              <controlPr defaultSize="0" autoFill="0" autoPict="0">
                <anchor moveWithCells="1" sizeWithCells="1">
                  <from>
                    <xdr:col>4</xdr:col>
                    <xdr:colOff>0</xdr:colOff>
                    <xdr:row>128</xdr:row>
                    <xdr:rowOff>0</xdr:rowOff>
                  </from>
                  <to>
                    <xdr:col>5</xdr:col>
                    <xdr:colOff>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22" r:id="rId7" name="bpmDropDownLVL2_ACTV_33">
              <controlPr defaultSize="0" autoFill="0" autoPict="0">
                <anchor moveWithCells="1" sizeWithCells="1">
                  <from>
                    <xdr:col>4</xdr:col>
                    <xdr:colOff>0</xdr:colOff>
                    <xdr:row>130</xdr:row>
                    <xdr:rowOff>0</xdr:rowOff>
                  </from>
                  <to>
                    <xdr:col>5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33" r:id="rId8" name="bpmDropDownTOP_ACTV_112">
              <controlPr defaultSize="0" autoFill="0" autoPict="0">
                <anchor moveWithCells="1" sizeWithCells="1">
                  <from>
                    <xdr:col>4</xdr:col>
                    <xdr:colOff>0</xdr:colOff>
                    <xdr:row>89</xdr:row>
                    <xdr:rowOff>0</xdr:rowOff>
                  </from>
                  <to>
                    <xdr:col>5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34" r:id="rId9" name="bpmDropDownTOP_ACTV_113">
              <controlPr defaultSize="0" autoFill="0" autoPict="0">
                <anchor moveWithCells="1" sizeWithCells="1">
                  <from>
                    <xdr:col>4</xdr:col>
                    <xdr:colOff>0</xdr:colOff>
                    <xdr:row>91</xdr:row>
                    <xdr:rowOff>0</xdr:rowOff>
                  </from>
                  <to>
                    <xdr:col>5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36" r:id="rId10" name="bpmDropDownTOP_ACTV_102">
              <controlPr defaultSize="0" autoFill="0" autoPict="0">
                <anchor moveWithCells="1" sizeWithCells="1">
                  <from>
                    <xdr:col>4</xdr:col>
                    <xdr:colOff>0</xdr:colOff>
                    <xdr:row>52</xdr:row>
                    <xdr:rowOff>0</xdr:rowOff>
                  </from>
                  <to>
                    <xdr:col>5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37" r:id="rId11" name="bpmDropDownTOP_ACTV_103">
              <controlPr defaultSize="0" autoFill="0" autoPict="0">
                <anchor moveWithCells="1" sizeWithCells="1">
                  <from>
                    <xdr:col>4</xdr:col>
                    <xdr:colOff>0</xdr:colOff>
                    <xdr:row>54</xdr:row>
                    <xdr:rowOff>0</xdr:rowOff>
                  </from>
                  <to>
                    <xdr:col>5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39" r:id="rId12" name="bpmDropDownLVL2_ACTV_192">
              <controlPr defaultSize="0" autoFill="0" autoPict="0">
                <anchor moveWithCells="1" sizeWithCells="1">
                  <from>
                    <xdr:col>4</xdr:col>
                    <xdr:colOff>0</xdr:colOff>
                    <xdr:row>214</xdr:row>
                    <xdr:rowOff>0</xdr:rowOff>
                  </from>
                  <to>
                    <xdr:col>5</xdr:col>
                    <xdr:colOff>0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40" r:id="rId13" name="bpmDropDownLVL2_ACTV_193">
              <controlPr defaultSize="0" autoFill="0" autoPict="0">
                <anchor moveWithCells="1" sizeWithCells="1">
                  <from>
                    <xdr:col>4</xdr:col>
                    <xdr:colOff>0</xdr:colOff>
                    <xdr:row>216</xdr:row>
                    <xdr:rowOff>0</xdr:rowOff>
                  </from>
                  <to>
                    <xdr:col>5</xdr:col>
                    <xdr:colOff>0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42" r:id="rId14" name="bpmDropDownLVL2_ACTV_182">
              <controlPr defaultSize="0" autoFill="0" autoPict="0">
                <anchor moveWithCells="1" sizeWithCells="1">
                  <from>
                    <xdr:col>4</xdr:col>
                    <xdr:colOff>0</xdr:colOff>
                    <xdr:row>171</xdr:row>
                    <xdr:rowOff>0</xdr:rowOff>
                  </from>
                  <to>
                    <xdr:col>5</xdr:col>
                    <xdr:colOff>0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43" r:id="rId15" name="bpmDropDownLVL2_ACTV_183">
              <controlPr defaultSize="0" autoFill="0" autoPict="0">
                <anchor moveWithCells="1" sizeWithCells="1">
                  <from>
                    <xdr:col>4</xdr:col>
                    <xdr:colOff>0</xdr:colOff>
                    <xdr:row>173</xdr:row>
                    <xdr:rowOff>0</xdr:rowOff>
                  </from>
                  <to>
                    <xdr:col>5</xdr:col>
                    <xdr:colOff>0</xdr:colOff>
                    <xdr:row>174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878"/>
  <sheetViews>
    <sheetView showGridLines="0" zoomScaleNormal="100" workbookViewId="0">
      <pane ySplit="6" topLeftCell="A477" activePane="bottomLeft" state="frozen"/>
      <selection pane="bottomLeft" activeCell="F524" sqref="F524"/>
    </sheetView>
  </sheetViews>
  <sheetFormatPr defaultRowHeight="12" x14ac:dyDescent="0.2"/>
  <cols>
    <col min="1" max="1" width="4.5703125" customWidth="1"/>
    <col min="2" max="2" width="15.28515625" customWidth="1"/>
    <col min="3" max="3" width="26.7109375" customWidth="1"/>
    <col min="4" max="4" width="48" customWidth="1"/>
    <col min="5" max="5" width="40.5703125" customWidth="1"/>
    <col min="6" max="6" width="90.7109375" customWidth="1"/>
    <col min="7" max="7" width="36.5703125" customWidth="1"/>
  </cols>
  <sheetData>
    <row r="1" spans="1:6" ht="15" x14ac:dyDescent="0.2">
      <c r="A1" s="35" t="s">
        <v>128</v>
      </c>
      <c r="B1" s="66" t="str">
        <f>Lang_Language_Translation</f>
        <v>Language Translation</v>
      </c>
      <c r="E1" s="393" t="str">
        <f>Lang_Language_Choice_Table</f>
        <v>Language Choice Table</v>
      </c>
    </row>
    <row r="2" spans="1:6" ht="15" x14ac:dyDescent="0.2">
      <c r="A2" s="66"/>
      <c r="C2" s="391" t="str">
        <f>Lang_Current_Language</f>
        <v>Current Language</v>
      </c>
      <c r="D2" s="391" t="str">
        <f ca="1">OFFSET($E$1,DD_Current_Lang,0)</f>
        <v>ENGLISH</v>
      </c>
      <c r="E2" s="394" t="s">
        <v>649</v>
      </c>
    </row>
    <row r="3" spans="1:6" ht="15.75" thickBot="1" x14ac:dyDescent="0.25">
      <c r="A3" s="66"/>
      <c r="D3" s="22"/>
      <c r="E3" s="395" t="s">
        <v>650</v>
      </c>
    </row>
    <row r="6" spans="1:6" x14ac:dyDescent="0.2">
      <c r="B6" t="s">
        <v>646</v>
      </c>
      <c r="C6" t="s">
        <v>647</v>
      </c>
      <c r="D6" t="s">
        <v>648</v>
      </c>
      <c r="E6" t="s">
        <v>649</v>
      </c>
      <c r="F6" t="s">
        <v>650</v>
      </c>
    </row>
    <row r="7" spans="1:6" ht="14.25" x14ac:dyDescent="0.2">
      <c r="B7" t="str">
        <f t="shared" ref="B7:B168" si="0">"Lang_"&amp;ROW()-6</f>
        <v>Lang_1</v>
      </c>
      <c r="C7" t="s">
        <v>698</v>
      </c>
      <c r="D7" s="392" t="str">
        <f>IF(DD_Current_Lang=1,TRANS_TBL[[#This Row],[ENGLISH]],TRANS_TBL[[#This Row],[FRANÇAIS]])</f>
        <v>Primary Developer:</v>
      </c>
      <c r="E7" t="s">
        <v>685</v>
      </c>
      <c r="F7" t="s">
        <v>1730</v>
      </c>
    </row>
    <row r="8" spans="1:6" ht="14.25" x14ac:dyDescent="0.2">
      <c r="B8" t="str">
        <f t="shared" ref="B8:B25" si="1">"Lang_"&amp;ROW()-6</f>
        <v>Lang_2</v>
      </c>
      <c r="C8" t="s">
        <v>699</v>
      </c>
      <c r="D8" s="396" t="str">
        <f>IF(DD_Current_Lang=1,TRANS_TBL[[#This Row],[ENGLISH]],TRANS_TBL[[#This Row],[FRANÇAIS]])</f>
        <v>CURRENT CALCULATED TOTAL COST PER FULLY IMMUNISED PERSON (FIP)</v>
      </c>
      <c r="E8" t="s">
        <v>595</v>
      </c>
      <c r="F8" t="s">
        <v>1595</v>
      </c>
    </row>
    <row r="9" spans="1:6" ht="14.25" x14ac:dyDescent="0.2">
      <c r="B9" t="str">
        <f t="shared" si="1"/>
        <v>Lang_3</v>
      </c>
      <c r="C9" t="s">
        <v>700</v>
      </c>
      <c r="D9" s="396" t="str">
        <f>IF(DD_Current_Lang=1,TRANS_TBL[[#This Row],[ENGLISH]],TRANS_TBL[[#This Row],[FRANÇAIS]])</f>
        <v>Cover Notes:</v>
      </c>
      <c r="E9" t="s">
        <v>1</v>
      </c>
      <c r="F9" t="s">
        <v>687</v>
      </c>
    </row>
    <row r="10" spans="1:6" ht="14.25" x14ac:dyDescent="0.2">
      <c r="B10" t="str">
        <f t="shared" si="1"/>
        <v>Lang_4</v>
      </c>
      <c r="C10" t="s">
        <v>701</v>
      </c>
      <c r="D10" s="396" t="str">
        <f>IF(DD_Current_Lang=1,TRANS_TBL[[#This Row],[ENGLISH]],TRANS_TBL[[#This Row],[FRANÇAIS]])</f>
        <v>This is version</v>
      </c>
      <c r="E10" t="s">
        <v>686</v>
      </c>
      <c r="F10" t="s">
        <v>688</v>
      </c>
    </row>
    <row r="11" spans="1:6" ht="14.25" x14ac:dyDescent="0.2">
      <c r="B11" t="str">
        <f t="shared" si="1"/>
        <v>Lang_5</v>
      </c>
      <c r="C11" t="s">
        <v>702</v>
      </c>
      <c r="D11" s="396" t="str">
        <f>IF(DD_Current_Lang=1,TRANS_TBL[[#This Row],[ENGLISH]],TRANS_TBL[[#This Row],[FRANÇAIS]])</f>
        <v>Please save often to avoid accidental loss of data.</v>
      </c>
      <c r="E11" t="s">
        <v>91</v>
      </c>
      <c r="F11" t="s">
        <v>694</v>
      </c>
    </row>
    <row r="12" spans="1:6" ht="14.25" x14ac:dyDescent="0.2">
      <c r="B12" t="str">
        <f t="shared" si="1"/>
        <v>Lang_6</v>
      </c>
      <c r="C12" t="s">
        <v>703</v>
      </c>
      <c r="D12" s="396" t="str">
        <f>IF(DD_Current_Lang=1,TRANS_TBL[[#This Row],[ENGLISH]],TRANS_TBL[[#This Row],[FRANÇAIS]])</f>
        <v>Please use Table of Contents for navigation.</v>
      </c>
      <c r="E12" t="s">
        <v>90</v>
      </c>
      <c r="F12" t="s">
        <v>693</v>
      </c>
    </row>
    <row r="13" spans="1:6" ht="14.25" x14ac:dyDescent="0.2">
      <c r="B13" t="str">
        <f t="shared" si="1"/>
        <v>Lang_7</v>
      </c>
      <c r="C13" t="s">
        <v>704</v>
      </c>
      <c r="D13" s="396" t="str">
        <f>IF(DD_Current_Lang=1,TRANS_TBL[[#This Row],[ENGLISH]],TRANS_TBL[[#This Row],[FRANÇAIS]])</f>
        <v>with</v>
      </c>
      <c r="E13" t="s">
        <v>689</v>
      </c>
      <c r="F13" t="s">
        <v>691</v>
      </c>
    </row>
    <row r="14" spans="1:6" ht="14.25" x14ac:dyDescent="0.2">
      <c r="B14" t="str">
        <f t="shared" si="1"/>
        <v>Lang_8</v>
      </c>
      <c r="C14" t="s">
        <v>705</v>
      </c>
      <c r="D14" s="396" t="str">
        <f>IF(DD_Current_Lang=1,TRANS_TBL[[#This Row],[ENGLISH]],TRANS_TBL[[#This Row],[FRANÇAIS]])</f>
        <v>without</v>
      </c>
      <c r="E14" t="s">
        <v>690</v>
      </c>
      <c r="F14" t="s">
        <v>692</v>
      </c>
    </row>
    <row r="15" spans="1:6" ht="14.25" x14ac:dyDescent="0.2">
      <c r="B15" t="str">
        <f t="shared" si="1"/>
        <v>Lang_9</v>
      </c>
      <c r="C15" t="s">
        <v>706</v>
      </c>
      <c r="D15" s="396" t="str">
        <f>IF(DD_Current_Lang=1,TRANS_TBL[[#This Row],[ENGLISH]],TRANS_TBL[[#This Row],[FRANÇAIS]])</f>
        <v>FINANCIAL COSTS</v>
      </c>
      <c r="E15" t="s">
        <v>504</v>
      </c>
      <c r="F15" t="s">
        <v>696</v>
      </c>
    </row>
    <row r="16" spans="1:6" ht="14.25" x14ac:dyDescent="0.2">
      <c r="B16" t="str">
        <f t="shared" si="1"/>
        <v>Lang_10</v>
      </c>
      <c r="C16" t="s">
        <v>707</v>
      </c>
      <c r="D16" s="396" t="str">
        <f>IF(DD_Current_Lang=1,TRANS_TBL[[#This Row],[ENGLISH]],TRANS_TBL[[#This Row],[FRANÇAIS]])</f>
        <v>ECONOMIC COSTS</v>
      </c>
      <c r="E16" t="s">
        <v>506</v>
      </c>
      <c r="F16" t="s">
        <v>695</v>
      </c>
    </row>
    <row r="17" spans="2:6" ht="14.25" x14ac:dyDescent="0.2">
      <c r="B17" t="str">
        <f t="shared" si="1"/>
        <v>Lang_11</v>
      </c>
      <c r="C17" t="s">
        <v>708</v>
      </c>
      <c r="D17" s="396" t="str">
        <f>IF(DD_Current_Lang=1,TRANS_TBL[[#This Row],[ENGLISH]],TRANS_TBL[[#This Row],[FRANÇAIS]])</f>
        <v>Cervical Cancer Prevention and Control Costing (C4P) Tool</v>
      </c>
      <c r="E17" t="s">
        <v>2449</v>
      </c>
      <c r="F17" t="s">
        <v>2450</v>
      </c>
    </row>
    <row r="18" spans="2:6" ht="14.25" x14ac:dyDescent="0.2">
      <c r="B18" t="str">
        <f t="shared" si="1"/>
        <v>Lang_12</v>
      </c>
      <c r="C18" t="s">
        <v>709</v>
      </c>
      <c r="D18" s="396" t="str">
        <f>IF(DD_Current_Lang=1,TRANS_TBL[[#This Row],[ENGLISH]],TRANS_TBL[[#This Row],[FRANÇAIS]])</f>
        <v>Go to Table of Contents</v>
      </c>
      <c r="E18" t="s">
        <v>2</v>
      </c>
      <c r="F18" t="s">
        <v>697</v>
      </c>
    </row>
    <row r="19" spans="2:6" ht="14.25" x14ac:dyDescent="0.2">
      <c r="B19" t="str">
        <f t="shared" si="1"/>
        <v>Lang_13</v>
      </c>
      <c r="C19" t="s">
        <v>711</v>
      </c>
      <c r="D19" s="396" t="str">
        <f>IF(DD_Current_Lang=1,TRANS_TBL[[#This Row],[ENGLISH]],TRANS_TBL[[#This Row],[FRANÇAIS]])</f>
        <v>Table of Contents</v>
      </c>
      <c r="E19" t="s">
        <v>3</v>
      </c>
      <c r="F19" t="s">
        <v>1123</v>
      </c>
    </row>
    <row r="20" spans="2:6" ht="14.25" x14ac:dyDescent="0.2">
      <c r="B20" t="str">
        <f t="shared" si="1"/>
        <v>Lang_14</v>
      </c>
      <c r="C20" t="s">
        <v>712</v>
      </c>
      <c r="D20" s="396" t="str">
        <f>IF(DD_Current_Lang=1,TRANS_TBL[[#This Row],[ENGLISH]],TRANS_TBL[[#This Row],[FRANÇAIS]])</f>
        <v>Go to Cover Sheet</v>
      </c>
      <c r="E20" t="s">
        <v>4</v>
      </c>
      <c r="F20" t="s">
        <v>1124</v>
      </c>
    </row>
    <row r="21" spans="2:6" ht="14.25" x14ac:dyDescent="0.2">
      <c r="B21" t="str">
        <f t="shared" si="1"/>
        <v>Lang_15</v>
      </c>
      <c r="C21" t="s">
        <v>713</v>
      </c>
      <c r="D21" s="396" t="str">
        <f>IF(DD_Current_Lang=1,TRANS_TBL[[#This Row],[ENGLISH]],TRANS_TBL[[#This Row],[FRANÇAIS]])</f>
        <v>Section &amp; Sheet Titles</v>
      </c>
      <c r="E21" t="s">
        <v>0</v>
      </c>
      <c r="F21" t="s">
        <v>1125</v>
      </c>
    </row>
    <row r="22" spans="2:6" ht="14.25" x14ac:dyDescent="0.2">
      <c r="B22" t="str">
        <f t="shared" si="1"/>
        <v>Lang_16</v>
      </c>
      <c r="C22" t="s">
        <v>714</v>
      </c>
      <c r="D22" s="396" t="str">
        <f>IF(DD_Current_Lang=1,TRANS_TBL[[#This Row],[ENGLISH]],TRANS_TBL[[#This Row],[FRANÇAIS]])</f>
        <v>Presentation Outputs</v>
      </c>
      <c r="E22" t="s">
        <v>340</v>
      </c>
      <c r="F22" t="s">
        <v>1126</v>
      </c>
    </row>
    <row r="23" spans="2:6" ht="14.25" x14ac:dyDescent="0.2">
      <c r="B23" t="str">
        <f t="shared" si="1"/>
        <v>Lang_17</v>
      </c>
      <c r="C23" t="s">
        <v>715</v>
      </c>
      <c r="D23" s="396" t="str">
        <f>IF(DD_Current_Lang=1,TRANS_TBL[[#This Row],[ENGLISH]],TRANS_TBL[[#This Row],[FRANÇAIS]])</f>
        <v>Section 1.</v>
      </c>
      <c r="E23" t="s">
        <v>58</v>
      </c>
      <c r="F23" t="s">
        <v>58</v>
      </c>
    </row>
    <row r="24" spans="2:6" ht="14.25" x14ac:dyDescent="0.2">
      <c r="B24" t="str">
        <f t="shared" si="1"/>
        <v>Lang_18</v>
      </c>
      <c r="C24" t="s">
        <v>716</v>
      </c>
      <c r="D24" s="396" t="str">
        <f>IF(DD_Current_Lang=1,TRANS_TBL[[#This Row],[ENGLISH]],TRANS_TBL[[#This Row],[FRANÇAIS]])</f>
        <v>Dashboard</v>
      </c>
      <c r="E24" t="s">
        <v>507</v>
      </c>
      <c r="F24" t="s">
        <v>1127</v>
      </c>
    </row>
    <row r="25" spans="2:6" ht="14.25" x14ac:dyDescent="0.2">
      <c r="B25" t="str">
        <f t="shared" si="1"/>
        <v>Lang_19</v>
      </c>
      <c r="C25" t="s">
        <v>717</v>
      </c>
      <c r="D25" s="396" t="str">
        <f>IF(DD_Current_Lang=1,TRANS_TBL[[#This Row],[ENGLISH]],TRANS_TBL[[#This Row],[FRANÇAIS]])</f>
        <v>Numbers (#)</v>
      </c>
      <c r="E25" t="s">
        <v>349</v>
      </c>
      <c r="F25" t="s">
        <v>1830</v>
      </c>
    </row>
    <row r="26" spans="2:6" ht="14.25" x14ac:dyDescent="0.2">
      <c r="B26" t="str">
        <f t="shared" si="0"/>
        <v>Lang_20</v>
      </c>
      <c r="C26" t="s">
        <v>718</v>
      </c>
      <c r="D26" s="392" t="str">
        <f>IF(DD_Current_Lang=1,TRANS_TBL[[#This Row],[ENGLISH]],TRANS_TBL[[#This Row],[FRANÇAIS]])</f>
        <v>Percentage</v>
      </c>
      <c r="E26" t="s">
        <v>511</v>
      </c>
      <c r="F26" t="s">
        <v>1128</v>
      </c>
    </row>
    <row r="27" spans="2:6" ht="14.25" x14ac:dyDescent="0.2">
      <c r="B27" t="str">
        <f t="shared" ref="B27:B42" si="2">"Lang_"&amp;ROW()-6</f>
        <v>Lang_21</v>
      </c>
      <c r="C27" t="s">
        <v>719</v>
      </c>
      <c r="D27" s="396" t="str">
        <f>IF(DD_Current_Lang=1,TRANS_TBL[[#This Row],[ENGLISH]],TRANS_TBL[[#This Row],[FRANÇAIS]])</f>
        <v>IN SCHOOL</v>
      </c>
      <c r="E27" t="s">
        <v>517</v>
      </c>
      <c r="F27" t="s">
        <v>1129</v>
      </c>
    </row>
    <row r="28" spans="2:6" ht="14.25" x14ac:dyDescent="0.2">
      <c r="B28" t="str">
        <f t="shared" si="2"/>
        <v>Lang_22</v>
      </c>
      <c r="C28" t="s">
        <v>720</v>
      </c>
      <c r="D28" s="396" t="str">
        <f>IF(DD_Current_Lang=1,TRANS_TBL[[#This Row],[ENGLISH]],TRANS_TBL[[#This Row],[FRANÇAIS]])</f>
        <v>OUT-OF-SCHOOL</v>
      </c>
      <c r="E28" t="s">
        <v>518</v>
      </c>
      <c r="F28" t="s">
        <v>1130</v>
      </c>
    </row>
    <row r="29" spans="2:6" ht="14.25" x14ac:dyDescent="0.2">
      <c r="B29" t="str">
        <f t="shared" si="2"/>
        <v>Lang_23</v>
      </c>
      <c r="C29" t="s">
        <v>721</v>
      </c>
      <c r="D29" s="396" t="str">
        <f>IF(DD_Current_Lang=1,TRANS_TBL[[#This Row],[ENGLISH]],TRANS_TBL[[#This Row],[FRANÇAIS]])</f>
        <v>ALL TARGET POPULATIONS</v>
      </c>
      <c r="E29" t="s">
        <v>116</v>
      </c>
      <c r="F29" t="s">
        <v>1131</v>
      </c>
    </row>
    <row r="30" spans="2:6" ht="14.25" x14ac:dyDescent="0.2">
      <c r="B30" t="str">
        <f t="shared" si="2"/>
        <v>Lang_24</v>
      </c>
      <c r="C30" t="s">
        <v>746</v>
      </c>
      <c r="D30" s="396" t="str">
        <f>IF(DD_Current_Lang=1,TRANS_TBL[[#This Row],[ENGLISH]],TRANS_TBL[[#This Row],[FRANÇAIS]])</f>
        <v>TOTAL COST PER FULLY IMMUNIZED PERSON (FIP)</v>
      </c>
      <c r="E30" t="s">
        <v>745</v>
      </c>
      <c r="F30" t="s">
        <v>1434</v>
      </c>
    </row>
    <row r="31" spans="2:6" ht="14.25" x14ac:dyDescent="0.2">
      <c r="B31" t="str">
        <f t="shared" si="2"/>
        <v>Lang_25</v>
      </c>
      <c r="C31" t="s">
        <v>723</v>
      </c>
      <c r="D31" s="396" t="str">
        <f>IF(DD_Current_Lang=1,TRANS_TBL[[#This Row],[ENGLISH]],TRANS_TBL[[#This Row],[FRANÇAIS]])</f>
        <v>SELECT CURRENCY OUTPUT &gt;&gt;</v>
      </c>
      <c r="E31" t="s">
        <v>1750</v>
      </c>
      <c r="F31" t="s">
        <v>1781</v>
      </c>
    </row>
    <row r="32" spans="2:6" ht="14.25" x14ac:dyDescent="0.2">
      <c r="B32" t="str">
        <f t="shared" si="2"/>
        <v>Lang_26</v>
      </c>
      <c r="C32" t="s">
        <v>724</v>
      </c>
      <c r="D32" s="396" t="str">
        <f>IF(DD_Current_Lang=1,TRANS_TBL[[#This Row],[ENGLISH]],TRANS_TBL[[#This Row],[FRANÇAIS]])</f>
        <v>TOTAL FINANCIAL COSTS</v>
      </c>
      <c r="E32" t="s">
        <v>508</v>
      </c>
      <c r="F32" t="s">
        <v>1132</v>
      </c>
    </row>
    <row r="33" spans="2:6" ht="14.25" x14ac:dyDescent="0.2">
      <c r="B33" t="str">
        <f t="shared" si="2"/>
        <v>Lang_27</v>
      </c>
      <c r="C33" t="s">
        <v>725</v>
      </c>
      <c r="D33" s="396" t="str">
        <f>IF(DD_Current_Lang=1,TRANS_TBL[[#This Row],[ENGLISH]],TRANS_TBL[[#This Row],[FRANÇAIS]])</f>
        <v>TOTAL ECONOMIC COSTS</v>
      </c>
      <c r="E33" t="s">
        <v>509</v>
      </c>
      <c r="F33" t="s">
        <v>1133</v>
      </c>
    </row>
    <row r="34" spans="2:6" ht="14.25" x14ac:dyDescent="0.2">
      <c r="B34" t="str">
        <f t="shared" si="2"/>
        <v>Lang_28</v>
      </c>
      <c r="C34" t="s">
        <v>726</v>
      </c>
      <c r="D34" s="396" t="str">
        <f>IF(DD_Current_Lang=1,TRANS_TBL[[#This Row],[ENGLISH]],TRANS_TBL[[#This Row],[FRANÇAIS]])</f>
        <v>TOTAL</v>
      </c>
      <c r="E34" t="s">
        <v>500</v>
      </c>
      <c r="F34" t="s">
        <v>500</v>
      </c>
    </row>
    <row r="35" spans="2:6" ht="14.25" x14ac:dyDescent="0.2">
      <c r="B35" t="str">
        <f t="shared" si="2"/>
        <v>Lang_29</v>
      </c>
      <c r="C35" t="s">
        <v>727</v>
      </c>
      <c r="D35" s="396" t="str">
        <f>IF(DD_Current_Lang=1,TRANS_TBL[[#This Row],[ENGLISH]],TRANS_TBL[[#This Row],[FRANÇAIS]])</f>
        <v>INTRODUCTION COSTS</v>
      </c>
      <c r="E35" t="s">
        <v>501</v>
      </c>
      <c r="F35" t="s">
        <v>1135</v>
      </c>
    </row>
    <row r="36" spans="2:6" ht="14.25" x14ac:dyDescent="0.2">
      <c r="B36" t="str">
        <f t="shared" si="2"/>
        <v>Lang_30</v>
      </c>
      <c r="C36" t="s">
        <v>728</v>
      </c>
      <c r="D36" s="396" t="str">
        <f>IF(DD_Current_Lang=1,TRANS_TBL[[#This Row],[ENGLISH]],TRANS_TBL[[#This Row],[FRANÇAIS]])</f>
        <v>RECURRENT COSTS</v>
      </c>
      <c r="E36" t="s">
        <v>502</v>
      </c>
      <c r="F36" t="s">
        <v>1136</v>
      </c>
    </row>
    <row r="37" spans="2:6" ht="14.25" x14ac:dyDescent="0.2">
      <c r="B37" t="str">
        <f t="shared" si="2"/>
        <v>Lang_31</v>
      </c>
      <c r="C37" t="s">
        <v>729</v>
      </c>
      <c r="D37" s="396" t="str">
        <f>IF(DD_Current_Lang=1,TRANS_TBL[[#This Row],[ENGLISH]],TRANS_TBL[[#This Row],[FRANÇAIS]])</f>
        <v>INITIAL INVESTMENT COSTS</v>
      </c>
      <c r="E37" t="s">
        <v>503</v>
      </c>
      <c r="F37" t="s">
        <v>1137</v>
      </c>
    </row>
    <row r="38" spans="2:6" ht="14.25" x14ac:dyDescent="0.2">
      <c r="B38" t="str">
        <f t="shared" si="2"/>
        <v>Lang_32</v>
      </c>
      <c r="C38" t="s">
        <v>730</v>
      </c>
      <c r="D38" s="396" t="str">
        <f>IF(DD_Current_Lang=1,TRANS_TBL[[#This Row],[ENGLISH]],TRANS_TBL[[#This Row],[FRANÇAIS]])</f>
        <v>COST PER FIP</v>
      </c>
      <c r="E38" t="s">
        <v>731</v>
      </c>
      <c r="F38" t="s">
        <v>1596</v>
      </c>
    </row>
    <row r="39" spans="2:6" ht="14.25" x14ac:dyDescent="0.2">
      <c r="B39" t="str">
        <f t="shared" si="2"/>
        <v>Lang_33</v>
      </c>
      <c r="C39" t="s">
        <v>722</v>
      </c>
      <c r="D39" s="396" t="str">
        <f>IF(DD_Current_Lang=1,TRANS_TBL[[#This Row],[ENGLISH]],TRANS_TBL[[#This Row],[FRANÇAIS]])</f>
        <v>TOTAL COST PER FIP</v>
      </c>
      <c r="E39" t="s">
        <v>510</v>
      </c>
      <c r="F39" t="s">
        <v>1597</v>
      </c>
    </row>
    <row r="40" spans="2:6" ht="14.25" x14ac:dyDescent="0.2">
      <c r="B40" t="str">
        <f t="shared" si="2"/>
        <v>Lang_34</v>
      </c>
      <c r="C40" t="s">
        <v>732</v>
      </c>
      <c r="D40" s="396" t="str">
        <f>IF(DD_Current_Lang=1,TRANS_TBL[[#This Row],[ENGLISH]],TRANS_TBL[[#This Row],[FRANÇAIS]])</f>
        <v>(Stays Constant at All Years to Correctly Calculate)</v>
      </c>
      <c r="E40" t="s">
        <v>733</v>
      </c>
      <c r="F40" t="s">
        <v>1138</v>
      </c>
    </row>
    <row r="41" spans="2:6" ht="14.25" x14ac:dyDescent="0.2">
      <c r="B41" t="str">
        <f t="shared" si="2"/>
        <v>Lang_35</v>
      </c>
      <c r="C41" t="s">
        <v>735</v>
      </c>
      <c r="D41" s="396" t="str">
        <f>IF(DD_Current_Lang=1,TRANS_TBL[[#This Row],[ENGLISH]],TRANS_TBL[[#This Row],[FRANÇAIS]])</f>
        <v>HPV Vaccinations Administered</v>
      </c>
      <c r="E41" t="s">
        <v>574</v>
      </c>
      <c r="F41" t="s">
        <v>1139</v>
      </c>
    </row>
    <row r="42" spans="2:6" ht="14.25" x14ac:dyDescent="0.2">
      <c r="B42" t="str">
        <f t="shared" si="2"/>
        <v>Lang_36</v>
      </c>
      <c r="C42" t="s">
        <v>736</v>
      </c>
      <c r="D42" s="396" t="str">
        <f>IF(DD_Current_Lang=1,TRANS_TBL[[#This Row],[ENGLISH]],TRANS_TBL[[#This Row],[FRANÇAIS]])</f>
        <v>POPULATION</v>
      </c>
      <c r="E42" t="s">
        <v>575</v>
      </c>
      <c r="F42" t="s">
        <v>575</v>
      </c>
    </row>
    <row r="43" spans="2:6" ht="14.25" x14ac:dyDescent="0.2">
      <c r="B43" t="str">
        <f t="shared" si="0"/>
        <v>Lang_37</v>
      </c>
      <c r="C43" t="s">
        <v>737</v>
      </c>
      <c r="D43" s="392" t="str">
        <f>IF(DD_Current_Lang=1,TRANS_TBL[[#This Row],[ENGLISH]],TRANS_TBL[[#This Row],[FRANÇAIS]])</f>
        <v>VACCINATED</v>
      </c>
      <c r="E43" t="s">
        <v>576</v>
      </c>
      <c r="F43" t="s">
        <v>1140</v>
      </c>
    </row>
    <row r="44" spans="2:6" ht="14.25" x14ac:dyDescent="0.2">
      <c r="B44" t="str">
        <f t="shared" ref="B44:B55" si="3">"Lang_"&amp;ROW()-6</f>
        <v>Lang_38</v>
      </c>
      <c r="C44" t="s">
        <v>738</v>
      </c>
      <c r="D44" s="396" t="str">
        <f>IF(DD_Current_Lang=1,TRANS_TBL[[#This Row],[ENGLISH]],TRANS_TBL[[#This Row],[FRANÇAIS]])</f>
        <v>Proportions w/ Vaccine</v>
      </c>
      <c r="E44" t="s">
        <v>512</v>
      </c>
      <c r="F44" t="s">
        <v>1141</v>
      </c>
    </row>
    <row r="45" spans="2:6" ht="14.25" x14ac:dyDescent="0.2">
      <c r="B45" t="str">
        <f t="shared" si="3"/>
        <v>Lang_39</v>
      </c>
      <c r="C45" t="s">
        <v>739</v>
      </c>
      <c r="D45" s="396" t="str">
        <f>IF(DD_Current_Lang=1,TRANS_TBL[[#This Row],[ENGLISH]],TRANS_TBL[[#This Row],[FRANÇAIS]])</f>
        <v>Proportions w/out Vaccine</v>
      </c>
      <c r="E45" t="s">
        <v>513</v>
      </c>
      <c r="F45" t="s">
        <v>1142</v>
      </c>
    </row>
    <row r="46" spans="2:6" ht="14.25" x14ac:dyDescent="0.2">
      <c r="B46" t="str">
        <f t="shared" si="3"/>
        <v>Lang_40</v>
      </c>
      <c r="C46" t="s">
        <v>740</v>
      </c>
      <c r="D46" s="396" t="str">
        <f>IF(DD_Current_Lang=1,TRANS_TBL[[#This Row],[ENGLISH]],TRANS_TBL[[#This Row],[FRANÇAIS]])</f>
        <v>&lt;&lt; SELECT YEAR(S)</v>
      </c>
      <c r="E46" t="s">
        <v>516</v>
      </c>
      <c r="F46" t="s">
        <v>1768</v>
      </c>
    </row>
    <row r="47" spans="2:6" ht="14.25" x14ac:dyDescent="0.2">
      <c r="B47" t="str">
        <f t="shared" si="3"/>
        <v>Lang_41</v>
      </c>
      <c r="C47" t="s">
        <v>741</v>
      </c>
      <c r="D47" s="396" t="str">
        <f>IF(DD_Current_Lang=1,TRANS_TBL[[#This Row],[ENGLISH]],TRANS_TBL[[#This Row],[FRANÇAIS]])</f>
        <v>Analysis</v>
      </c>
      <c r="E47" t="s">
        <v>322</v>
      </c>
      <c r="F47" t="s">
        <v>1143</v>
      </c>
    </row>
    <row r="48" spans="2:6" ht="14.25" x14ac:dyDescent="0.2">
      <c r="B48" t="str">
        <f t="shared" si="3"/>
        <v>Lang_42</v>
      </c>
      <c r="C48" t="s">
        <v>742</v>
      </c>
      <c r="D48" s="396" t="str">
        <f>IF(DD_Current_Lang=1,TRANS_TBL[[#This Row],[ENGLISH]],TRANS_TBL[[#This Row],[FRANÇAIS]])</f>
        <v>Target Population Count</v>
      </c>
      <c r="E48" t="s">
        <v>338</v>
      </c>
      <c r="F48" t="s">
        <v>1144</v>
      </c>
    </row>
    <row r="49" spans="2:6" ht="14.25" x14ac:dyDescent="0.2">
      <c r="B49" t="str">
        <f t="shared" si="3"/>
        <v>Lang_43</v>
      </c>
      <c r="C49" t="s">
        <v>743</v>
      </c>
      <c r="D49" s="396" t="str">
        <f>IF(DD_Current_Lang=1,TRANS_TBL[[#This Row],[ENGLISH]],TRANS_TBL[[#This Row],[FRANÇAIS]])</f>
        <v>Total Target Populations</v>
      </c>
      <c r="E49" t="s">
        <v>475</v>
      </c>
      <c r="F49" t="s">
        <v>1145</v>
      </c>
    </row>
    <row r="50" spans="2:6" ht="14.25" x14ac:dyDescent="0.2">
      <c r="B50" t="str">
        <f t="shared" si="3"/>
        <v>Lang_44</v>
      </c>
      <c r="C50" t="s">
        <v>744</v>
      </c>
      <c r="D50" s="396" t="str">
        <f>IF(DD_Current_Lang=1,TRANS_TBL[[#This Row],[ENGLISH]],TRANS_TBL[[#This Row],[FRANÇAIS]])</f>
        <v>Immunization Coverage</v>
      </c>
      <c r="E50" t="s">
        <v>337</v>
      </c>
      <c r="F50" t="s">
        <v>1146</v>
      </c>
    </row>
    <row r="51" spans="2:6" ht="14.25" x14ac:dyDescent="0.2">
      <c r="B51" t="str">
        <f t="shared" si="3"/>
        <v>Lang_45</v>
      </c>
      <c r="C51" t="s">
        <v>747</v>
      </c>
      <c r="D51" s="396" t="str">
        <f>IF(DD_Current_Lang=1,TRANS_TBL[[#This Row],[ENGLISH]],TRANS_TBL[[#This Row],[FRANÇAIS]])</f>
        <v>Target Population</v>
      </c>
      <c r="E51" t="s">
        <v>515</v>
      </c>
      <c r="F51" t="s">
        <v>1147</v>
      </c>
    </row>
    <row r="52" spans="2:6" ht="14.25" x14ac:dyDescent="0.2">
      <c r="B52" t="str">
        <f t="shared" si="3"/>
        <v>Lang_46</v>
      </c>
      <c r="C52" t="s">
        <v>748</v>
      </c>
      <c r="D52" s="396" t="str">
        <f>IF(DD_Current_Lang=1,TRANS_TBL[[#This Row],[ENGLISH]],TRANS_TBL[[#This Row],[FRANÇAIS]])</f>
        <v>Vaccine and Injection Supply Quantities (includes administered and wasted)</v>
      </c>
      <c r="E52" t="s">
        <v>365</v>
      </c>
      <c r="F52" t="s">
        <v>1148</v>
      </c>
    </row>
    <row r="53" spans="2:6" ht="14.25" x14ac:dyDescent="0.2">
      <c r="B53" t="str">
        <f t="shared" si="3"/>
        <v>Lang_47</v>
      </c>
      <c r="C53" t="s">
        <v>749</v>
      </c>
      <c r="D53" s="396" t="str">
        <f>IF(DD_Current_Lang=1,TRANS_TBL[[#This Row],[ENGLISH]],TRANS_TBL[[#This Row],[FRANÇAIS]])</f>
        <v>Vaccine Doses</v>
      </c>
      <c r="E53" t="s">
        <v>366</v>
      </c>
      <c r="F53" t="s">
        <v>1149</v>
      </c>
    </row>
    <row r="54" spans="2:6" ht="14.25" x14ac:dyDescent="0.2">
      <c r="B54" t="str">
        <f t="shared" si="3"/>
        <v>Lang_48</v>
      </c>
      <c r="C54" t="s">
        <v>750</v>
      </c>
      <c r="D54" s="396" t="str">
        <f>IF(DD_Current_Lang=1,TRANS_TBL[[#This Row],[ENGLISH]],TRANS_TBL[[#This Row],[FRANÇAIS]])</f>
        <v>Injection Syringes</v>
      </c>
      <c r="E54" t="s">
        <v>367</v>
      </c>
      <c r="F54" t="s">
        <v>1150</v>
      </c>
    </row>
    <row r="55" spans="2:6" ht="14.25" x14ac:dyDescent="0.2">
      <c r="B55" t="str">
        <f t="shared" si="3"/>
        <v>Lang_49</v>
      </c>
      <c r="C55" t="s">
        <v>751</v>
      </c>
      <c r="D55" s="396" t="str">
        <f>IF(DD_Current_Lang=1,TRANS_TBL[[#This Row],[ENGLISH]],TRANS_TBL[[#This Row],[FRANÇAIS]])</f>
        <v>Safety Boxes</v>
      </c>
      <c r="E55" t="s">
        <v>104</v>
      </c>
      <c r="F55" t="s">
        <v>1151</v>
      </c>
    </row>
    <row r="56" spans="2:6" ht="14.25" x14ac:dyDescent="0.2">
      <c r="B56" t="str">
        <f t="shared" si="0"/>
        <v>Lang_50</v>
      </c>
      <c r="C56" t="s">
        <v>752</v>
      </c>
      <c r="D56" s="392" t="str">
        <f>IF(DD_Current_Lang=1,TRANS_TBL[[#This Row],[ENGLISH]],TRANS_TBL[[#This Row],[FRANÇAIS]])</f>
        <v>Vaccine and Injection Supply Costs</v>
      </c>
      <c r="E56" t="s">
        <v>336</v>
      </c>
      <c r="F56" t="s">
        <v>1817</v>
      </c>
    </row>
    <row r="57" spans="2:6" ht="14.25" x14ac:dyDescent="0.2">
      <c r="B57" t="str">
        <f t="shared" ref="B57:B70" si="4">"Lang_"&amp;ROW()-6</f>
        <v>Lang_51</v>
      </c>
      <c r="C57" t="s">
        <v>753</v>
      </c>
      <c r="D57" s="396" t="str">
        <f>IF(DD_Current_Lang=1,TRANS_TBL[[#This Row],[ENGLISH]],TRANS_TBL[[#This Row],[FRANÇAIS]])</f>
        <v>Financial</v>
      </c>
      <c r="E57" t="s">
        <v>108</v>
      </c>
      <c r="F57" t="s">
        <v>1152</v>
      </c>
    </row>
    <row r="58" spans="2:6" ht="14.25" x14ac:dyDescent="0.2">
      <c r="B58" t="str">
        <f t="shared" si="4"/>
        <v>Lang_52</v>
      </c>
      <c r="C58" t="s">
        <v>754</v>
      </c>
      <c r="D58" s="396" t="str">
        <f>IF(DD_Current_Lang=1,TRANS_TBL[[#This Row],[ENGLISH]],TRANS_TBL[[#This Row],[FRANÇAIS]])</f>
        <v>Economic</v>
      </c>
      <c r="E58" t="s">
        <v>109</v>
      </c>
      <c r="F58" t="s">
        <v>1153</v>
      </c>
    </row>
    <row r="59" spans="2:6" ht="14.25" x14ac:dyDescent="0.2">
      <c r="B59" t="str">
        <f t="shared" si="4"/>
        <v>Lang_53</v>
      </c>
      <c r="C59" t="s">
        <v>755</v>
      </c>
      <c r="D59" s="396" t="str">
        <f>IF(DD_Current_Lang=1,TRANS_TBL[[#This Row],[ENGLISH]],TRANS_TBL[[#This Row],[FRANÇAIS]])</f>
        <v>Microplanning</v>
      </c>
      <c r="E59" t="s">
        <v>332</v>
      </c>
      <c r="F59" t="s">
        <v>1754</v>
      </c>
    </row>
    <row r="60" spans="2:6" ht="14.25" x14ac:dyDescent="0.2">
      <c r="B60" t="str">
        <f t="shared" si="4"/>
        <v>Lang_54</v>
      </c>
      <c r="C60" t="s">
        <v>756</v>
      </c>
      <c r="D60" s="396" t="str">
        <f>IF(DD_Current_Lang=1,TRANS_TBL[[#This Row],[ENGLISH]],TRANS_TBL[[#This Row],[FRANÇAIS]])</f>
        <v>Activity Names and Quantities Performed</v>
      </c>
      <c r="E60" t="s">
        <v>328</v>
      </c>
      <c r="F60" t="s">
        <v>1154</v>
      </c>
    </row>
    <row r="61" spans="2:6" ht="14.25" x14ac:dyDescent="0.2">
      <c r="B61" t="str">
        <f t="shared" si="4"/>
        <v>Lang_55</v>
      </c>
      <c r="C61" t="s">
        <v>757</v>
      </c>
      <c r="D61" s="396" t="str">
        <f>IF(DD_Current_Lang=1,TRANS_TBL[[#This Row],[ENGLISH]],TRANS_TBL[[#This Row],[FRANÇAIS]])</f>
        <v>Costs</v>
      </c>
      <c r="E61" t="s">
        <v>323</v>
      </c>
      <c r="F61" t="s">
        <v>1155</v>
      </c>
    </row>
    <row r="62" spans="2:6" ht="14.25" x14ac:dyDescent="0.2">
      <c r="B62" t="str">
        <f t="shared" si="4"/>
        <v>Lang_56</v>
      </c>
      <c r="C62" t="s">
        <v>758</v>
      </c>
      <c r="D62" s="396" t="str">
        <f>IF(DD_Current_Lang=1,TRANS_TBL[[#This Row],[ENGLISH]],TRANS_TBL[[#This Row],[FRANÇAIS]])</f>
        <v>Training</v>
      </c>
      <c r="E62" t="s">
        <v>331</v>
      </c>
      <c r="F62" t="s">
        <v>1818</v>
      </c>
    </row>
    <row r="63" spans="2:6" ht="14.25" x14ac:dyDescent="0.2">
      <c r="B63" t="str">
        <f t="shared" si="4"/>
        <v>Lang_57</v>
      </c>
      <c r="C63" t="s">
        <v>759</v>
      </c>
      <c r="D63" s="396" t="str">
        <f>IF(DD_Current_Lang=1,TRANS_TBL[[#This Row],[ENGLISH]],TRANS_TBL[[#This Row],[FRANÇAIS]])</f>
        <v>Sensitisation</v>
      </c>
      <c r="E63" t="s">
        <v>333</v>
      </c>
      <c r="F63" t="s">
        <v>1156</v>
      </c>
    </row>
    <row r="64" spans="2:6" ht="14.25" x14ac:dyDescent="0.2">
      <c r="B64" t="str">
        <f t="shared" si="4"/>
        <v>Lang_58</v>
      </c>
      <c r="C64" t="s">
        <v>760</v>
      </c>
      <c r="D64" s="396" t="str">
        <f>IF(DD_Current_Lang=1,TRANS_TBL[[#This Row],[ENGLISH]],TRANS_TBL[[#This Row],[FRANÇAIS]])</f>
        <v>Social Mobilisation</v>
      </c>
      <c r="E64" t="s">
        <v>334</v>
      </c>
      <c r="F64" t="s">
        <v>1157</v>
      </c>
    </row>
    <row r="65" spans="2:6" ht="14.25" x14ac:dyDescent="0.2">
      <c r="B65" t="str">
        <f t="shared" si="4"/>
        <v>Lang_59</v>
      </c>
      <c r="C65" t="s">
        <v>761</v>
      </c>
      <c r="D65" s="396" t="str">
        <f>IF(DD_Current_Lang=1,TRANS_TBL[[#This Row],[ENGLISH]],TRANS_TBL[[#This Row],[FRANÇAIS]])</f>
        <v>Service Delivery</v>
      </c>
      <c r="E65" t="s">
        <v>335</v>
      </c>
      <c r="F65" t="s">
        <v>1158</v>
      </c>
    </row>
    <row r="66" spans="2:6" ht="14.25" x14ac:dyDescent="0.2">
      <c r="B66" t="str">
        <f t="shared" si="4"/>
        <v>Lang_60</v>
      </c>
      <c r="C66" t="s">
        <v>762</v>
      </c>
      <c r="D66" s="396" t="str">
        <f>IF(DD_Current_Lang=1,TRANS_TBL[[#This Row],[ENGLISH]],TRANS_TBL[[#This Row],[FRANÇAIS]])</f>
        <v>Supervision</v>
      </c>
      <c r="E66" t="s">
        <v>339</v>
      </c>
      <c r="F66" t="s">
        <v>1159</v>
      </c>
    </row>
    <row r="67" spans="2:6" ht="14.25" x14ac:dyDescent="0.2">
      <c r="B67" t="str">
        <f t="shared" si="4"/>
        <v>Lang_61</v>
      </c>
      <c r="C67" t="s">
        <v>763</v>
      </c>
      <c r="D67" s="396" t="str">
        <f>IF(DD_Current_Lang=1,TRANS_TBL[[#This Row],[ENGLISH]],TRANS_TBL[[#This Row],[FRANÇAIS]])</f>
        <v>Other</v>
      </c>
      <c r="E67" t="s">
        <v>734</v>
      </c>
      <c r="F67" t="s">
        <v>1160</v>
      </c>
    </row>
    <row r="68" spans="2:6" ht="14.25" x14ac:dyDescent="0.2">
      <c r="B68" t="str">
        <f t="shared" si="4"/>
        <v>Lang_62</v>
      </c>
      <c r="C68" t="s">
        <v>764</v>
      </c>
      <c r="D68" s="396" t="str">
        <f>IF(DD_Current_Lang=1,TRANS_TBL[[#This Row],[ENGLISH]],TRANS_TBL[[#This Row],[FRANÇAIS]])</f>
        <v>Cold Chain Expansion</v>
      </c>
      <c r="E68" t="s">
        <v>505</v>
      </c>
      <c r="F68" t="s">
        <v>1161</v>
      </c>
    </row>
    <row r="69" spans="2:6" ht="14.25" x14ac:dyDescent="0.2">
      <c r="B69" t="str">
        <f t="shared" si="4"/>
        <v>Lang_63</v>
      </c>
      <c r="C69" t="s">
        <v>765</v>
      </c>
      <c r="D69" s="396" t="str">
        <f>IF(DD_Current_Lang=1,TRANS_TBL[[#This Row],[ENGLISH]],TRANS_TBL[[#This Row],[FRANÇAIS]])</f>
        <v>Cold Chain Equipment Procured</v>
      </c>
      <c r="E69" t="s">
        <v>546</v>
      </c>
      <c r="F69" t="s">
        <v>1162</v>
      </c>
    </row>
    <row r="70" spans="2:6" ht="14.25" x14ac:dyDescent="0.2">
      <c r="B70" t="str">
        <f t="shared" si="4"/>
        <v>Lang_64</v>
      </c>
      <c r="C70" t="s">
        <v>766</v>
      </c>
      <c r="D70" s="396" t="str">
        <f>IF(DD_Current_Lang=1,TRANS_TBL[[#This Row],[ENGLISH]],TRANS_TBL[[#This Row],[FRANÇAIS]])</f>
        <v>Capacity per Unit (cm3)</v>
      </c>
      <c r="E70" t="s">
        <v>543</v>
      </c>
      <c r="F70" t="s">
        <v>1163</v>
      </c>
    </row>
    <row r="71" spans="2:6" ht="14.25" x14ac:dyDescent="0.2">
      <c r="B71" t="str">
        <f t="shared" si="0"/>
        <v>Lang_65</v>
      </c>
      <c r="C71" t="s">
        <v>767</v>
      </c>
      <c r="D71" s="392" t="str">
        <f>IF(DD_Current_Lang=1,TRANS_TBL[[#This Row],[ENGLISH]],TRANS_TBL[[#This Row],[FRANÇAIS]])</f>
        <v>Cold Chain Expansion Costs (Initial Investment)</v>
      </c>
      <c r="E71" t="s">
        <v>547</v>
      </c>
      <c r="F71" t="s">
        <v>1732</v>
      </c>
    </row>
    <row r="72" spans="2:6" ht="14.25" x14ac:dyDescent="0.2">
      <c r="B72" t="str">
        <f t="shared" ref="B72:B85" si="5">"Lang_"&amp;ROW()-6</f>
        <v>Lang_66</v>
      </c>
      <c r="C72" t="s">
        <v>768</v>
      </c>
      <c r="D72" s="396" t="str">
        <f>IF(DD_Current_Lang=1,TRANS_TBL[[#This Row],[ENGLISH]],TRANS_TBL[[#This Row],[FRANÇAIS]])</f>
        <v>Cost per Unit</v>
      </c>
      <c r="E72" t="s">
        <v>545</v>
      </c>
      <c r="F72" t="s">
        <v>1164</v>
      </c>
    </row>
    <row r="73" spans="2:6" ht="14.25" x14ac:dyDescent="0.2">
      <c r="B73" t="str">
        <f t="shared" si="5"/>
        <v>Lang_67</v>
      </c>
      <c r="C73" t="s">
        <v>769</v>
      </c>
      <c r="D73" s="396" t="str">
        <f>IF(DD_Current_Lang=1,TRANS_TBL[[#This Row],[ENGLISH]],TRANS_TBL[[#This Row],[FRANÇAIS]])</f>
        <v>Cold Chain Introduction Costs</v>
      </c>
      <c r="E73" t="s">
        <v>548</v>
      </c>
      <c r="F73" t="s">
        <v>1165</v>
      </c>
    </row>
    <row r="74" spans="2:6" ht="14.25" x14ac:dyDescent="0.2">
      <c r="B74" t="str">
        <f t="shared" si="5"/>
        <v>Lang_68</v>
      </c>
      <c r="C74" t="s">
        <v>770</v>
      </c>
      <c r="D74" s="396" t="str">
        <f>IF(DD_Current_Lang=1,TRANS_TBL[[#This Row],[ENGLISH]],TRANS_TBL[[#This Row],[FRANÇAIS]])</f>
        <v>Unit Cost (Annualized)</v>
      </c>
      <c r="E74" t="s">
        <v>527</v>
      </c>
      <c r="F74" t="s">
        <v>1731</v>
      </c>
    </row>
    <row r="75" spans="2:6" ht="14.25" x14ac:dyDescent="0.2">
      <c r="B75" t="str">
        <f t="shared" si="5"/>
        <v>Lang_69</v>
      </c>
      <c r="C75" t="s">
        <v>771</v>
      </c>
      <c r="D75" s="396" t="str">
        <f>IF(DD_Current_Lang=1,TRANS_TBL[[#This Row],[ENGLISH]],TRANS_TBL[[#This Row],[FRANÇAIS]])</f>
        <v>Other Capital Investments</v>
      </c>
      <c r="E75" t="s">
        <v>557</v>
      </c>
      <c r="F75" t="s">
        <v>1166</v>
      </c>
    </row>
    <row r="76" spans="2:6" ht="14.25" x14ac:dyDescent="0.2">
      <c r="B76" t="str">
        <f t="shared" si="5"/>
        <v>Lang_70</v>
      </c>
      <c r="C76" t="s">
        <v>772</v>
      </c>
      <c r="D76" s="396" t="str">
        <f>IF(DD_Current_Lang=1,TRANS_TBL[[#This Row],[ENGLISH]],TRANS_TBL[[#This Row],[FRANÇAIS]])</f>
        <v>Capital Investment Type</v>
      </c>
      <c r="E76" t="s">
        <v>579</v>
      </c>
      <c r="F76" t="s">
        <v>1167</v>
      </c>
    </row>
    <row r="77" spans="2:6" ht="14.25" x14ac:dyDescent="0.2">
      <c r="B77" t="str">
        <f t="shared" si="5"/>
        <v>Lang_71</v>
      </c>
      <c r="C77" t="s">
        <v>773</v>
      </c>
      <c r="D77" s="396" t="str">
        <f>IF(DD_Current_Lang=1,TRANS_TBL[[#This Row],[ENGLISH]],TRANS_TBL[[#This Row],[FRANÇAIS]])</f>
        <v>Other Capital Investments (Initial Investment)</v>
      </c>
      <c r="E77" t="s">
        <v>577</v>
      </c>
      <c r="F77" t="s">
        <v>1733</v>
      </c>
    </row>
    <row r="78" spans="2:6" ht="14.25" x14ac:dyDescent="0.2">
      <c r="B78" t="str">
        <f t="shared" si="5"/>
        <v>Lang_72</v>
      </c>
      <c r="C78" t="s">
        <v>774</v>
      </c>
      <c r="D78" s="396" t="str">
        <f>IF(DD_Current_Lang=1,TRANS_TBL[[#This Row],[ENGLISH]],TRANS_TBL[[#This Row],[FRANÇAIS]])</f>
        <v>Other Capital Investments (Introduction Costs)</v>
      </c>
      <c r="E78" t="s">
        <v>578</v>
      </c>
      <c r="F78" t="s">
        <v>1734</v>
      </c>
    </row>
    <row r="79" spans="2:6" ht="14.25" x14ac:dyDescent="0.2">
      <c r="B79" t="str">
        <f t="shared" si="5"/>
        <v>Lang_73</v>
      </c>
      <c r="C79" t="s">
        <v>775</v>
      </c>
      <c r="D79" s="396" t="str">
        <f>IF(DD_Current_Lang=1,TRANS_TBL[[#This Row],[ENGLISH]],TRANS_TBL[[#This Row],[FRANÇAIS]])</f>
        <v>Total Expansion (cm3)</v>
      </c>
      <c r="E79" t="s">
        <v>541</v>
      </c>
      <c r="F79" t="s">
        <v>1168</v>
      </c>
    </row>
    <row r="80" spans="2:6" ht="14.25" x14ac:dyDescent="0.2">
      <c r="B80" t="str">
        <f t="shared" si="5"/>
        <v>Lang_74</v>
      </c>
      <c r="C80" t="s">
        <v>776</v>
      </c>
      <c r="D80" s="396" t="str">
        <f>IF(DD_Current_Lang=1,TRANS_TBL[[#This Row],[ENGLISH]],TRANS_TBL[[#This Row],[FRANÇAIS]])</f>
        <v>Total Units Procured</v>
      </c>
      <c r="E80" t="s">
        <v>544</v>
      </c>
      <c r="F80" t="s">
        <v>1169</v>
      </c>
    </row>
    <row r="81" spans="2:6" ht="14.25" x14ac:dyDescent="0.2">
      <c r="B81" t="str">
        <f t="shared" si="5"/>
        <v>Lang_75</v>
      </c>
      <c r="C81" t="s">
        <v>777</v>
      </c>
      <c r="D81" s="396" t="str">
        <f>IF(DD_Current_Lang=1,TRANS_TBL[[#This Row],[ENGLISH]],TRANS_TBL[[#This Row],[FRANÇAIS]])</f>
        <v>ALL YEARS</v>
      </c>
      <c r="E81" t="s">
        <v>514</v>
      </c>
      <c r="F81" t="s">
        <v>1782</v>
      </c>
    </row>
    <row r="82" spans="2:6" ht="14.25" x14ac:dyDescent="0.2">
      <c r="B82" t="str">
        <f t="shared" si="5"/>
        <v>Lang_76</v>
      </c>
      <c r="C82" t="s">
        <v>778</v>
      </c>
      <c r="D82" s="396" t="str">
        <f>IF(DD_Current_Lang=1,TRANS_TBL[[#This Row],[ENGLISH]],TRANS_TBL[[#This Row],[FRANÇAIS]])</f>
        <v>Developer Only</v>
      </c>
      <c r="E82" t="s">
        <v>343</v>
      </c>
      <c r="F82" t="s">
        <v>1170</v>
      </c>
    </row>
    <row r="83" spans="2:6" ht="14.25" x14ac:dyDescent="0.2">
      <c r="B83" t="str">
        <f t="shared" si="5"/>
        <v>Lang_77</v>
      </c>
      <c r="C83" t="s">
        <v>779</v>
      </c>
      <c r="D83" s="396" t="str">
        <f>IF(DD_Current_Lang=1,TRANS_TBL[[#This Row],[ENGLISH]],TRANS_TBL[[#This Row],[FRANÇAIS]])</f>
        <v>Coverage - Linked Names (DEVELOPER ONLY)</v>
      </c>
      <c r="E83" t="s">
        <v>292</v>
      </c>
      <c r="F83" t="s">
        <v>1171</v>
      </c>
    </row>
    <row r="84" spans="2:6" ht="14.25" x14ac:dyDescent="0.2">
      <c r="B84" t="str">
        <f t="shared" si="5"/>
        <v>Lang_78</v>
      </c>
      <c r="C84" t="s">
        <v>780</v>
      </c>
      <c r="D84" s="396" t="str">
        <f>IF(DD_Current_Lang=1,TRANS_TBL[[#This Row],[ENGLISH]],TRANS_TBL[[#This Row],[FRANÇAIS]])</f>
        <v>Age Groups</v>
      </c>
      <c r="E84" t="s">
        <v>133</v>
      </c>
      <c r="F84" t="s">
        <v>1172</v>
      </c>
    </row>
    <row r="85" spans="2:6" ht="14.25" x14ac:dyDescent="0.2">
      <c r="B85" t="str">
        <f t="shared" si="5"/>
        <v>Lang_79</v>
      </c>
      <c r="C85" t="s">
        <v>781</v>
      </c>
      <c r="D85" s="396" t="str">
        <f>IF(DD_Current_Lang=1,TRANS_TBL[[#This Row],[ENGLISH]],TRANS_TBL[[#This Row],[FRANÇAIS]])</f>
        <v>Segments (Used for Both Age Groups)</v>
      </c>
      <c r="E85" t="s">
        <v>134</v>
      </c>
      <c r="F85" t="s">
        <v>1173</v>
      </c>
    </row>
    <row r="86" spans="2:6" ht="14.25" x14ac:dyDescent="0.2">
      <c r="B86" t="str">
        <f t="shared" si="0"/>
        <v>Lang_80</v>
      </c>
      <c r="C86" t="s">
        <v>782</v>
      </c>
      <c r="D86" s="392" t="str">
        <f>IF(DD_Current_Lang=1,TRANS_TBL[[#This Row],[ENGLISH]],TRANS_TBL[[#This Row],[FRANÇAIS]])</f>
        <v>Primary Area (Used for Age Groups and Segments)</v>
      </c>
      <c r="E86" t="s">
        <v>417</v>
      </c>
      <c r="F86" t="s">
        <v>1174</v>
      </c>
    </row>
    <row r="87" spans="2:6" ht="14.25" x14ac:dyDescent="0.2">
      <c r="B87" t="str">
        <f t="shared" si="0"/>
        <v>Lang_81</v>
      </c>
      <c r="C87" t="s">
        <v>783</v>
      </c>
      <c r="D87" s="392" t="str">
        <f>IF(DD_Current_Lang=1,TRANS_TBL[[#This Row],[ENGLISH]],TRANS_TBL[[#This Row],[FRANÇAIS]])</f>
        <v>Doses</v>
      </c>
      <c r="E87" t="s">
        <v>280</v>
      </c>
      <c r="F87" t="s">
        <v>280</v>
      </c>
    </row>
    <row r="88" spans="2:6" ht="14.25" x14ac:dyDescent="0.2">
      <c r="B88" t="str">
        <f t="shared" si="0"/>
        <v>Lang_82</v>
      </c>
      <c r="C88" t="s">
        <v>784</v>
      </c>
      <c r="D88" s="392" t="str">
        <f>IF(DD_Current_Lang=1,TRANS_TBL[[#This Row],[ENGLISH]],TRANS_TBL[[#This Row],[FRANÇAIS]])</f>
        <v>Analysis - Imported Selections (Developer Only)</v>
      </c>
      <c r="E88" t="s">
        <v>329</v>
      </c>
      <c r="F88" t="s">
        <v>1735</v>
      </c>
    </row>
    <row r="89" spans="2:6" ht="14.25" x14ac:dyDescent="0.2">
      <c r="B89" t="str">
        <f t="shared" si="0"/>
        <v>Lang_83</v>
      </c>
      <c r="C89" t="s">
        <v>785</v>
      </c>
      <c r="D89" s="392" t="str">
        <f>IF(DD_Current_Lang=1,TRANS_TBL[[#This Row],[ENGLISH]],TRANS_TBL[[#This Row],[FRANÇAIS]])</f>
        <v>These values are set by the user in the Economics Worksheet (Econ)</v>
      </c>
      <c r="E89" t="s">
        <v>324</v>
      </c>
      <c r="F89" t="s">
        <v>1769</v>
      </c>
    </row>
    <row r="90" spans="2:6" ht="14.25" x14ac:dyDescent="0.2">
      <c r="B90" t="str">
        <f t="shared" si="0"/>
        <v>Lang_84</v>
      </c>
      <c r="C90" t="s">
        <v>786</v>
      </c>
      <c r="D90" s="392" t="str">
        <f>IF(DD_Current_Lang=1,TRANS_TBL[[#This Row],[ENGLISH]],TRANS_TBL[[#This Row],[FRANÇAIS]])</f>
        <v>Foreign Currency</v>
      </c>
      <c r="E90" t="s">
        <v>2444</v>
      </c>
      <c r="F90" t="s">
        <v>2446</v>
      </c>
    </row>
    <row r="91" spans="2:6" ht="14.25" x14ac:dyDescent="0.2">
      <c r="B91" t="str">
        <f t="shared" si="0"/>
        <v>Lang_85</v>
      </c>
      <c r="C91" t="s">
        <v>787</v>
      </c>
      <c r="D91" s="392" t="str">
        <f>IF(DD_Current_Lang=1,TRANS_TBL[[#This Row],[ENGLISH]],TRANS_TBL[[#This Row],[FRANÇAIS]])</f>
        <v>Local Currency</v>
      </c>
      <c r="E91" t="s">
        <v>2445</v>
      </c>
      <c r="F91" t="s">
        <v>2447</v>
      </c>
    </row>
    <row r="92" spans="2:6" ht="14.25" x14ac:dyDescent="0.2">
      <c r="B92" t="str">
        <f t="shared" si="0"/>
        <v>Lang_86</v>
      </c>
      <c r="C92" t="s">
        <v>788</v>
      </c>
      <c r="D92" s="392" t="str">
        <f>IF(DD_Current_Lang=1,TRANS_TBL[[#This Row],[ENGLISH]],TRANS_TBL[[#This Row],[FRANÇAIS]])</f>
        <v>Exchange Rate</v>
      </c>
      <c r="E92" t="s">
        <v>230</v>
      </c>
      <c r="F92" t="s">
        <v>1175</v>
      </c>
    </row>
    <row r="93" spans="2:6" ht="14.25" x14ac:dyDescent="0.2">
      <c r="B93" t="str">
        <f t="shared" si="0"/>
        <v>Lang_87</v>
      </c>
      <c r="C93" t="s">
        <v>789</v>
      </c>
      <c r="D93" s="392" t="str">
        <f>IF(DD_Current_Lang=1,TRANS_TBL[[#This Row],[ENGLISH]],TRANS_TBL[[#This Row],[FRANÇAIS]])</f>
        <v>Assumptions</v>
      </c>
      <c r="E93" t="s">
        <v>247</v>
      </c>
      <c r="F93" t="s">
        <v>1176</v>
      </c>
    </row>
    <row r="94" spans="2:6" ht="14.25" x14ac:dyDescent="0.2">
      <c r="B94" t="str">
        <f t="shared" si="0"/>
        <v>Lang_88</v>
      </c>
      <c r="C94" t="s">
        <v>790</v>
      </c>
      <c r="D94" s="392" t="str">
        <f>IF(DD_Current_Lang=1,TRANS_TBL[[#This Row],[ENGLISH]],TRANS_TBL[[#This Row],[FRANÇAIS]])</f>
        <v>Time Series</v>
      </c>
      <c r="E94" t="s">
        <v>20</v>
      </c>
      <c r="F94" t="s">
        <v>1177</v>
      </c>
    </row>
    <row r="95" spans="2:6" ht="14.25" x14ac:dyDescent="0.2">
      <c r="B95" t="str">
        <f t="shared" si="0"/>
        <v>Lang_89</v>
      </c>
      <c r="C95" t="s">
        <v>791</v>
      </c>
      <c r="D95" s="392" t="str">
        <f>IF(DD_Current_Lang=1,TRANS_TBL[[#This Row],[ENGLISH]],TRANS_TBL[[#This Row],[FRANÇAIS]])</f>
        <v>Time Series - Assumptions</v>
      </c>
      <c r="E95" t="s">
        <v>22</v>
      </c>
      <c r="F95" t="s">
        <v>1178</v>
      </c>
    </row>
    <row r="96" spans="2:6" ht="14.25" x14ac:dyDescent="0.2">
      <c r="B96" t="str">
        <f t="shared" si="0"/>
        <v>Lang_90</v>
      </c>
      <c r="C96" t="s">
        <v>792</v>
      </c>
      <c r="D96" s="392" t="str">
        <f>IF(DD_Current_Lang=1,TRANS_TBL[[#This Row],[ENGLISH]],TRANS_TBL[[#This Row],[FRANÇAIS]])</f>
        <v>Costing Start Year and Term</v>
      </c>
      <c r="E96" t="s">
        <v>519</v>
      </c>
      <c r="F96" t="s">
        <v>1179</v>
      </c>
    </row>
    <row r="97" spans="2:6" ht="14.25" x14ac:dyDescent="0.2">
      <c r="B97" t="str">
        <f t="shared" si="0"/>
        <v>Lang_91</v>
      </c>
      <c r="C97" t="s">
        <v>793</v>
      </c>
      <c r="D97" s="392" t="str">
        <f>IF(DD_Current_Lang=1,TRANS_TBL[[#This Row],[ENGLISH]],TRANS_TBL[[#This Row],[FRANÇAIS]])</f>
        <v>Cost Projection or Retrospective?</v>
      </c>
      <c r="E97" t="s">
        <v>412</v>
      </c>
      <c r="F97" t="s">
        <v>1788</v>
      </c>
    </row>
    <row r="98" spans="2:6" ht="14.25" x14ac:dyDescent="0.2">
      <c r="B98" t="str">
        <f t="shared" si="0"/>
        <v>Lang_92</v>
      </c>
      <c r="C98" t="s">
        <v>794</v>
      </c>
      <c r="D98" s="392" t="str">
        <f>IF(DD_Current_Lang=1,TRANS_TBL[[#This Row],[ENGLISH]],TRANS_TBL[[#This Row],[FRANÇAIS]])</f>
        <v>First Costing Year</v>
      </c>
      <c r="E98" t="s">
        <v>113</v>
      </c>
      <c r="F98" t="s">
        <v>1180</v>
      </c>
    </row>
    <row r="99" spans="2:6" ht="14.25" x14ac:dyDescent="0.2">
      <c r="B99" t="str">
        <f t="shared" si="0"/>
        <v>Lang_93</v>
      </c>
      <c r="C99" t="s">
        <v>795</v>
      </c>
      <c r="D99" s="392" t="str">
        <f>IF(DD_Current_Lang=1,TRANS_TBL[[#This Row],[ENGLISH]],TRANS_TBL[[#This Row],[FRANÇAIS]])</f>
        <v>Labels for Important Data Points</v>
      </c>
      <c r="E99" t="s">
        <v>147</v>
      </c>
      <c r="F99" t="s">
        <v>1181</v>
      </c>
    </row>
    <row r="100" spans="2:6" ht="14.25" x14ac:dyDescent="0.2">
      <c r="B100" t="str">
        <f t="shared" si="0"/>
        <v>Lang_94</v>
      </c>
      <c r="C100" t="s">
        <v>796</v>
      </c>
      <c r="D100" s="392" t="str">
        <f>IF(DD_Current_Lang=1,TRANS_TBL[[#This Row],[ENGLISH]],TRANS_TBL[[#This Row],[FRANÇAIS]])</f>
        <v>Primary Level Name</v>
      </c>
      <c r="E100" t="s">
        <v>398</v>
      </c>
      <c r="F100" t="s">
        <v>1182</v>
      </c>
    </row>
    <row r="101" spans="2:6" ht="14.25" x14ac:dyDescent="0.2">
      <c r="B101" t="str">
        <f t="shared" si="0"/>
        <v>Lang_95</v>
      </c>
      <c r="C101" t="s">
        <v>797</v>
      </c>
      <c r="D101" s="392" t="str">
        <f>IF(DD_Current_Lang=1,TRANS_TBL[[#This Row],[ENGLISH]],TRANS_TBL[[#This Row],[FRANÇAIS]])</f>
        <v>Notes and Sources of Information</v>
      </c>
      <c r="E101" t="s">
        <v>364</v>
      </c>
      <c r="F101" t="s">
        <v>1183</v>
      </c>
    </row>
    <row r="102" spans="2:6" ht="14.25" x14ac:dyDescent="0.2">
      <c r="B102" t="str">
        <f t="shared" si="0"/>
        <v>Lang_96</v>
      </c>
      <c r="C102" t="s">
        <v>798</v>
      </c>
      <c r="D102" s="392" t="str">
        <f>IF(DD_Current_Lang=1,TRANS_TBL[[#This Row],[ENGLISH]],TRANS_TBL[[#This Row],[FRANÇAIS]])</f>
        <v>Target Populaton Labels</v>
      </c>
      <c r="E102" t="s">
        <v>304</v>
      </c>
      <c r="F102" t="s">
        <v>1184</v>
      </c>
    </row>
    <row r="103" spans="2:6" ht="14.25" x14ac:dyDescent="0.2">
      <c r="B103" t="str">
        <f t="shared" si="0"/>
        <v>Lang_97</v>
      </c>
      <c r="C103" t="s">
        <v>799</v>
      </c>
      <c r="D103" s="392" t="str">
        <f>IF(DD_Current_Lang=1,TRANS_TBL[[#This Row],[ENGLISH]],TRANS_TBL[[#This Row],[FRANÇAIS]])</f>
        <v>Target Groups Category 1</v>
      </c>
      <c r="E103" t="s">
        <v>131</v>
      </c>
      <c r="F103" t="s">
        <v>1185</v>
      </c>
    </row>
    <row r="104" spans="2:6" ht="14.25" x14ac:dyDescent="0.2">
      <c r="B104" t="str">
        <f t="shared" si="0"/>
        <v>Lang_98</v>
      </c>
      <c r="C104" t="s">
        <v>800</v>
      </c>
      <c r="D104" s="392" t="str">
        <f>IF(DD_Current_Lang=1,TRANS_TBL[[#This Row],[ENGLISH]],TRANS_TBL[[#This Row],[FRANÇAIS]])</f>
        <v>Target Groups Category 2</v>
      </c>
      <c r="E104" t="s">
        <v>132</v>
      </c>
      <c r="F104" t="s">
        <v>1186</v>
      </c>
    </row>
    <row r="105" spans="2:6" ht="14.25" x14ac:dyDescent="0.2">
      <c r="B105" t="str">
        <f t="shared" si="0"/>
        <v>Lang_99</v>
      </c>
      <c r="C105" t="s">
        <v>801</v>
      </c>
      <c r="D105" s="392" t="str">
        <f>IF(DD_Current_Lang=1,TRANS_TBL[[#This Row],[ENGLISH]],TRANS_TBL[[#This Row],[FRANÇAIS]])</f>
        <v>Target Subgroup Labels</v>
      </c>
      <c r="E105" t="s">
        <v>273</v>
      </c>
      <c r="F105" t="s">
        <v>1187</v>
      </c>
    </row>
    <row r="106" spans="2:6" ht="14.25" x14ac:dyDescent="0.2">
      <c r="B106" t="str">
        <f t="shared" si="0"/>
        <v>Lang_100</v>
      </c>
      <c r="C106" t="s">
        <v>802</v>
      </c>
      <c r="D106" s="392" t="str">
        <f>IF(DD_Current_Lang=1,TRANS_TBL[[#This Row],[ENGLISH]],TRANS_TBL[[#This Row],[FRANÇAIS]])</f>
        <v>Target Subgoups Category 1</v>
      </c>
      <c r="E106" t="s">
        <v>271</v>
      </c>
      <c r="F106" t="s">
        <v>1188</v>
      </c>
    </row>
    <row r="107" spans="2:6" ht="14.25" x14ac:dyDescent="0.2">
      <c r="B107" t="str">
        <f t="shared" si="0"/>
        <v>Lang_101</v>
      </c>
      <c r="C107" t="s">
        <v>803</v>
      </c>
      <c r="D107" s="392" t="str">
        <f>IF(DD_Current_Lang=1,TRANS_TBL[[#This Row],[ENGLISH]],TRANS_TBL[[#This Row],[FRANÇAIS]])</f>
        <v>Target Subgoups Category 2</v>
      </c>
      <c r="E107" t="s">
        <v>272</v>
      </c>
      <c r="F107" t="s">
        <v>1189</v>
      </c>
    </row>
    <row r="108" spans="2:6" ht="14.25" x14ac:dyDescent="0.2">
      <c r="B108" t="str">
        <f t="shared" si="0"/>
        <v>Lang_102</v>
      </c>
      <c r="C108" t="s">
        <v>804</v>
      </c>
      <c r="D108" s="392" t="str">
        <f>IF(DD_Current_Lang=1,TRANS_TBL[[#This Row],[ENGLISH]],TRANS_TBL[[#This Row],[FRANÇAIS]])</f>
        <v>Vaccine and Dose Labels</v>
      </c>
      <c r="E108" t="s">
        <v>303</v>
      </c>
      <c r="F108" t="s">
        <v>1190</v>
      </c>
    </row>
    <row r="109" spans="2:6" ht="14.25" x14ac:dyDescent="0.2">
      <c r="B109" t="str">
        <f t="shared" si="0"/>
        <v>Lang_103</v>
      </c>
      <c r="C109" t="s">
        <v>805</v>
      </c>
      <c r="D109" s="392" t="str">
        <f>IF(DD_Current_Lang=1,TRANS_TBL[[#This Row],[ENGLISH]],TRANS_TBL[[#This Row],[FRANÇAIS]])</f>
        <v>Vaccine Label</v>
      </c>
      <c r="E109" t="s">
        <v>288</v>
      </c>
      <c r="F109" t="s">
        <v>1191</v>
      </c>
    </row>
    <row r="110" spans="2:6" ht="14.25" x14ac:dyDescent="0.2">
      <c r="B110" t="str">
        <f t="shared" si="0"/>
        <v>Lang_104</v>
      </c>
      <c r="C110" t="s">
        <v>806</v>
      </c>
      <c r="D110" s="392" t="str">
        <f>IF(DD_Current_Lang=1,TRANS_TBL[[#This Row],[ENGLISH]],TRANS_TBL[[#This Row],[FRANÇAIS]])</f>
        <v>Vaccine Name</v>
      </c>
      <c r="E110" t="s">
        <v>599</v>
      </c>
      <c r="F110" t="s">
        <v>1192</v>
      </c>
    </row>
    <row r="111" spans="2:6" ht="14.25" x14ac:dyDescent="0.2">
      <c r="B111" t="str">
        <f t="shared" si="0"/>
        <v>Lang_105</v>
      </c>
      <c r="C111" t="s">
        <v>807</v>
      </c>
      <c r="D111" s="392" t="str">
        <f>IF(DD_Current_Lang=1,TRANS_TBL[[#This Row],[ENGLISH]],TRANS_TBL[[#This Row],[FRANÇAIS]])</f>
        <v>Vaccine Dose Labels</v>
      </c>
      <c r="E111" t="s">
        <v>289</v>
      </c>
      <c r="F111" t="s">
        <v>1193</v>
      </c>
    </row>
    <row r="112" spans="2:6" ht="14.25" x14ac:dyDescent="0.2">
      <c r="B112" t="str">
        <f t="shared" si="0"/>
        <v>Lang_106</v>
      </c>
      <c r="C112" t="s">
        <v>808</v>
      </c>
      <c r="D112" s="392" t="str">
        <f>IF(DD_Current_Lang=1,TRANS_TBL[[#This Row],[ENGLISH]],TRANS_TBL[[#This Row],[FRANÇAIS]])</f>
        <v>Vaccine Dose Number Label Category 1</v>
      </c>
      <c r="E112" t="s">
        <v>290</v>
      </c>
      <c r="F112" t="s">
        <v>1194</v>
      </c>
    </row>
    <row r="113" spans="2:6" ht="14.25" x14ac:dyDescent="0.2">
      <c r="B113" t="str">
        <f t="shared" si="0"/>
        <v>Lang_107</v>
      </c>
      <c r="C113" t="s">
        <v>809</v>
      </c>
      <c r="D113" s="392" t="str">
        <f>IF(DD_Current_Lang=1,TRANS_TBL[[#This Row],[ENGLISH]],TRANS_TBL[[#This Row],[FRANÇAIS]])</f>
        <v>Vaccine Dose Number Label Category 2</v>
      </c>
      <c r="E113" t="s">
        <v>291</v>
      </c>
      <c r="F113" t="s">
        <v>1195</v>
      </c>
    </row>
    <row r="114" spans="2:6" ht="14.25" x14ac:dyDescent="0.2">
      <c r="B114" t="str">
        <f t="shared" si="0"/>
        <v>Lang_108</v>
      </c>
      <c r="C114" t="s">
        <v>810</v>
      </c>
      <c r="D114" s="392" t="str">
        <f>IF(DD_Current_Lang=1,TRANS_TBL[[#This Row],[ENGLISH]],TRANS_TBL[[#This Row],[FRANÇAIS]])</f>
        <v>Service Delivery Types</v>
      </c>
      <c r="E114" t="s">
        <v>447</v>
      </c>
      <c r="F114" t="s">
        <v>1196</v>
      </c>
    </row>
    <row r="115" spans="2:6" ht="14.25" x14ac:dyDescent="0.2">
      <c r="B115" t="str">
        <f t="shared" si="0"/>
        <v>Lang_109</v>
      </c>
      <c r="C115" t="s">
        <v>811</v>
      </c>
      <c r="D115" s="392" t="str">
        <f>IF(DD_Current_Lang=1,TRANS_TBL[[#This Row],[ENGLISH]],TRANS_TBL[[#This Row],[FRANÇAIS]])</f>
        <v>Service Delivery Activity Types</v>
      </c>
      <c r="E115" t="s">
        <v>450</v>
      </c>
      <c r="F115" t="s">
        <v>1197</v>
      </c>
    </row>
    <row r="116" spans="2:6" ht="14.25" x14ac:dyDescent="0.2">
      <c r="B116" t="str">
        <f t="shared" si="0"/>
        <v>Lang_110</v>
      </c>
      <c r="C116" t="s">
        <v>812</v>
      </c>
      <c r="D116" s="392" t="str">
        <f>IF(DD_Current_Lang=1,TRANS_TBL[[#This Row],[ENGLISH]],TRANS_TBL[[#This Row],[FRANÇAIS]])</f>
        <v>Single Vaccination Type</v>
      </c>
      <c r="E116" t="s">
        <v>457</v>
      </c>
      <c r="F116" t="s">
        <v>1198</v>
      </c>
    </row>
    <row r="117" spans="2:6" ht="14.25" x14ac:dyDescent="0.2">
      <c r="B117" t="str">
        <f t="shared" si="0"/>
        <v>Lang_111</v>
      </c>
      <c r="C117" t="s">
        <v>814</v>
      </c>
      <c r="D117" s="392" t="str">
        <f>IF(DD_Current_Lang=1,TRANS_TBL[[#This Row],[ENGLISH]],TRANS_TBL[[#This Row],[FRANÇAIS]])</f>
        <v>Service Delivery Single Vacc 1</v>
      </c>
      <c r="E117" t="s">
        <v>813</v>
      </c>
      <c r="F117" t="s">
        <v>1598</v>
      </c>
    </row>
    <row r="118" spans="2:6" ht="14.25" x14ac:dyDescent="0.2">
      <c r="B118" t="str">
        <f t="shared" si="0"/>
        <v>Lang_112</v>
      </c>
      <c r="C118" t="s">
        <v>815</v>
      </c>
      <c r="D118" s="392" t="str">
        <f>IF(DD_Current_Lang=1,TRANS_TBL[[#This Row],[ENGLISH]],TRANS_TBL[[#This Row],[FRANÇAIS]])</f>
        <v>Service Delivery Single Vacc 2</v>
      </c>
      <c r="E118" t="s">
        <v>816</v>
      </c>
      <c r="F118" t="s">
        <v>1599</v>
      </c>
    </row>
    <row r="119" spans="2:6" ht="14.25" x14ac:dyDescent="0.2">
      <c r="B119" t="str">
        <f t="shared" si="0"/>
        <v>Lang_113</v>
      </c>
      <c r="C119" t="s">
        <v>817</v>
      </c>
      <c r="D119" s="392" t="str">
        <f>IF(DD_Current_Lang=1,TRANS_TBL[[#This Row],[ENGLISH]],TRANS_TBL[[#This Row],[FRANÇAIS]])</f>
        <v>Group Vaccination Type</v>
      </c>
      <c r="E119" t="s">
        <v>458</v>
      </c>
      <c r="F119" t="s">
        <v>1199</v>
      </c>
    </row>
    <row r="120" spans="2:6" ht="14.25" x14ac:dyDescent="0.2">
      <c r="B120" t="str">
        <f t="shared" si="0"/>
        <v>Lang_114</v>
      </c>
      <c r="C120" t="s">
        <v>818</v>
      </c>
      <c r="D120" s="392" t="str">
        <f>IF(DD_Current_Lang=1,TRANS_TBL[[#This Row],[ENGLISH]],TRANS_TBL[[#This Row],[FRANÇAIS]])</f>
        <v>Service Delivery Group Vacc Types 1</v>
      </c>
      <c r="E120" t="s">
        <v>455</v>
      </c>
      <c r="F120" t="s">
        <v>1200</v>
      </c>
    </row>
    <row r="121" spans="2:6" ht="14.25" x14ac:dyDescent="0.2">
      <c r="B121" t="str">
        <f t="shared" si="0"/>
        <v>Lang_115</v>
      </c>
      <c r="C121" t="s">
        <v>819</v>
      </c>
      <c r="D121" s="392" t="str">
        <f>IF(DD_Current_Lang=1,TRANS_TBL[[#This Row],[ENGLISH]],TRANS_TBL[[#This Row],[FRANÇAIS]])</f>
        <v>Service Delivery Group Vacc Types 2</v>
      </c>
      <c r="E121" t="s">
        <v>456</v>
      </c>
      <c r="F121" t="s">
        <v>1201</v>
      </c>
    </row>
    <row r="122" spans="2:6" ht="14.25" x14ac:dyDescent="0.2">
      <c r="B122" t="str">
        <f t="shared" si="0"/>
        <v>Lang_116</v>
      </c>
      <c r="C122" t="s">
        <v>820</v>
      </c>
      <c r="D122" s="392" t="str">
        <f>IF(DD_Current_Lang=1,TRANS_TBL[[#This Row],[ENGLISH]],TRANS_TBL[[#This Row],[FRANÇAIS]])</f>
        <v>Period Start Date</v>
      </c>
      <c r="E122" t="s">
        <v>70</v>
      </c>
      <c r="F122" t="s">
        <v>1202</v>
      </c>
    </row>
    <row r="123" spans="2:6" ht="14.25" x14ac:dyDescent="0.2">
      <c r="B123" t="str">
        <f t="shared" ref="B123:B134" si="6">"Lang_"&amp;ROW()-6</f>
        <v>Lang_117</v>
      </c>
      <c r="C123" t="s">
        <v>821</v>
      </c>
      <c r="D123" s="396" t="str">
        <f>IF(DD_Current_Lang=1,TRANS_TBL[[#This Row],[ENGLISH]],TRANS_TBL[[#This Row],[FRANÇAIS]])</f>
        <v>Period End Date</v>
      </c>
      <c r="E123" t="s">
        <v>71</v>
      </c>
      <c r="F123" t="s">
        <v>1203</v>
      </c>
    </row>
    <row r="124" spans="2:6" ht="14.25" x14ac:dyDescent="0.2">
      <c r="B124" t="str">
        <f t="shared" si="6"/>
        <v>Lang_118</v>
      </c>
      <c r="C124" t="s">
        <v>822</v>
      </c>
      <c r="D124" s="396" t="str">
        <f>IF(DD_Current_Lang=1,TRANS_TBL[[#This Row],[ENGLISH]],TRANS_TBL[[#This Row],[FRANÇAIS]])</f>
        <v>Counter</v>
      </c>
      <c r="E124" t="s">
        <v>72</v>
      </c>
      <c r="F124" t="s">
        <v>1204</v>
      </c>
    </row>
    <row r="125" spans="2:6" ht="14.25" x14ac:dyDescent="0.2">
      <c r="B125" t="str">
        <f t="shared" si="6"/>
        <v>Lang_119</v>
      </c>
      <c r="C125" t="s">
        <v>823</v>
      </c>
      <c r="D125" s="396" t="str">
        <f>IF(DD_Current_Lang=1,TRANS_TBL[[#This Row],[ENGLISH]],TRANS_TBL[[#This Row],[FRANÇAIS]])</f>
        <v>Financial Year</v>
      </c>
      <c r="E125" t="s">
        <v>73</v>
      </c>
      <c r="F125" t="s">
        <v>1205</v>
      </c>
    </row>
    <row r="126" spans="2:6" ht="14.25" x14ac:dyDescent="0.2">
      <c r="B126" t="str">
        <f t="shared" si="6"/>
        <v>Lang_120</v>
      </c>
      <c r="C126" t="s">
        <v>825</v>
      </c>
      <c r="D126" s="396" t="str">
        <f>IF(DD_Current_Lang=1,TRANS_TBL[[#This Row],[ENGLISH]],TRANS_TBL[[#This Row],[FRANÇAIS]])</f>
        <v>Economic - Instructions</v>
      </c>
      <c r="E126" t="s">
        <v>225</v>
      </c>
      <c r="F126" t="s">
        <v>1206</v>
      </c>
    </row>
    <row r="127" spans="2:6" ht="14.25" x14ac:dyDescent="0.2">
      <c r="B127" t="str">
        <f t="shared" si="6"/>
        <v>Lang_121</v>
      </c>
      <c r="C127" t="s">
        <v>824</v>
      </c>
      <c r="D127" s="396" t="str">
        <f>IF(DD_Current_Lang=1,TRANS_TBL[[#This Row],[ENGLISH]],TRANS_TBL[[#This Row],[FRANÇAIS]])</f>
        <v>Economic - Currencies</v>
      </c>
      <c r="E127" t="s">
        <v>226</v>
      </c>
      <c r="F127" t="s">
        <v>1770</v>
      </c>
    </row>
    <row r="128" spans="2:6" ht="14.25" x14ac:dyDescent="0.2">
      <c r="B128" t="str">
        <f t="shared" si="6"/>
        <v>Lang_122</v>
      </c>
      <c r="C128" t="s">
        <v>826</v>
      </c>
      <c r="D128" s="396" t="str">
        <f>IF(DD_Current_Lang=1,TRANS_TBL[[#This Row],[ENGLISH]],TRANS_TBL[[#This Row],[FRANÇAIS]])</f>
        <v>Economic - Rates</v>
      </c>
      <c r="E128" t="s">
        <v>227</v>
      </c>
      <c r="F128" t="s">
        <v>1771</v>
      </c>
    </row>
    <row r="129" spans="2:6" ht="14.25" x14ac:dyDescent="0.2">
      <c r="B129" t="str">
        <f t="shared" si="6"/>
        <v>Lang_123</v>
      </c>
      <c r="C129" t="s">
        <v>827</v>
      </c>
      <c r="D129" s="396" t="str">
        <f>IF(DD_Current_Lang=1,TRANS_TBL[[#This Row],[ENGLISH]],TRANS_TBL[[#This Row],[FRANÇAIS]])</f>
        <v>Currencies</v>
      </c>
      <c r="E129" t="s">
        <v>65</v>
      </c>
      <c r="F129" t="s">
        <v>1207</v>
      </c>
    </row>
    <row r="130" spans="2:6" ht="14.25" x14ac:dyDescent="0.2">
      <c r="B130" t="str">
        <f t="shared" si="6"/>
        <v>Lang_124</v>
      </c>
      <c r="C130" t="s">
        <v>977</v>
      </c>
      <c r="D130" s="396" t="str">
        <f>IF(DD_Current_Lang=1,TRANS_TBL[[#This Row],[ENGLISH]],TRANS_TBL[[#This Row],[FRANÇAIS]])</f>
        <v>Currency Name</v>
      </c>
      <c r="E130" t="s">
        <v>976</v>
      </c>
      <c r="F130" t="s">
        <v>1746</v>
      </c>
    </row>
    <row r="131" spans="2:6" ht="14.25" x14ac:dyDescent="0.2">
      <c r="B131" t="str">
        <f t="shared" si="6"/>
        <v>Lang_125</v>
      </c>
      <c r="C131" t="s">
        <v>828</v>
      </c>
      <c r="D131" s="396" t="str">
        <f>IF(DD_Current_Lang=1,TRANS_TBL[[#This Row],[ENGLISH]],TRANS_TBL[[#This Row],[FRANÇAIS]])</f>
        <v>Currency Code</v>
      </c>
      <c r="E131" t="s">
        <v>80</v>
      </c>
      <c r="F131" t="s">
        <v>1208</v>
      </c>
    </row>
    <row r="132" spans="2:6" ht="14.25" x14ac:dyDescent="0.2">
      <c r="B132" t="str">
        <f t="shared" si="6"/>
        <v>Lang_126</v>
      </c>
      <c r="C132" t="s">
        <v>829</v>
      </c>
      <c r="D132" s="396" t="str">
        <f>IF(DD_Current_Lang=1,TRANS_TBL[[#This Row],[ENGLISH]],TRANS_TBL[[#This Row],[FRANÇAIS]])</f>
        <v>Annual Discount Rate Category 1</v>
      </c>
      <c r="E132" t="s">
        <v>228</v>
      </c>
      <c r="F132" t="s">
        <v>1209</v>
      </c>
    </row>
    <row r="133" spans="2:6" ht="14.25" x14ac:dyDescent="0.2">
      <c r="B133" t="str">
        <f t="shared" si="6"/>
        <v>Lang_127</v>
      </c>
      <c r="C133" t="s">
        <v>830</v>
      </c>
      <c r="D133" s="396" t="str">
        <f>IF(DD_Current_Lang=1,TRANS_TBL[[#This Row],[ENGLISH]],TRANS_TBL[[#This Row],[FRANÇAIS]])</f>
        <v>Baseline</v>
      </c>
      <c r="E133" t="s">
        <v>107</v>
      </c>
      <c r="F133" t="s">
        <v>1210</v>
      </c>
    </row>
    <row r="134" spans="2:6" ht="14.25" x14ac:dyDescent="0.2">
      <c r="B134" t="str">
        <f t="shared" si="6"/>
        <v>Lang_128</v>
      </c>
      <c r="C134" t="s">
        <v>831</v>
      </c>
      <c r="D134" s="396" t="str">
        <f>IF(DD_Current_Lang=1,TRANS_TBL[[#This Row],[ENGLISH]],TRANS_TBL[[#This Row],[FRANÇAIS]])</f>
        <v>&lt;&lt; 3.0% is standard for health costing analyses.</v>
      </c>
      <c r="E134" t="s">
        <v>344</v>
      </c>
      <c r="F134" t="s">
        <v>1211</v>
      </c>
    </row>
    <row r="135" spans="2:6" ht="14.25" x14ac:dyDescent="0.2">
      <c r="B135" t="str">
        <f t="shared" si="0"/>
        <v>Lang_129</v>
      </c>
      <c r="C135" t="s">
        <v>832</v>
      </c>
      <c r="D135" s="392" t="str">
        <f>IF(DD_Current_Lang=1,TRANS_TBL[[#This Row],[ENGLISH]],TRANS_TBL[[#This Row],[FRANÇAIS]])</f>
        <v>Counts</v>
      </c>
      <c r="E135" t="s">
        <v>603</v>
      </c>
      <c r="F135" t="s">
        <v>1212</v>
      </c>
    </row>
    <row r="136" spans="2:6" ht="14.25" x14ac:dyDescent="0.2">
      <c r="B136" t="str">
        <f t="shared" ref="B136:B147" si="7">"Lang_"&amp;ROW()-6</f>
        <v>Lang_130</v>
      </c>
      <c r="C136" t="s">
        <v>833</v>
      </c>
      <c r="D136" s="396" t="str">
        <f>IF(DD_Current_Lang=1,TRANS_TBL[[#This Row],[ENGLISH]],TRANS_TBL[[#This Row],[FRANÇAIS]])</f>
        <v>Counts - Assumptions (Cost Projection or Retrospective)</v>
      </c>
      <c r="E136" t="s">
        <v>608</v>
      </c>
      <c r="F136" t="s">
        <v>1789</v>
      </c>
    </row>
    <row r="137" spans="2:6" ht="14.25" x14ac:dyDescent="0.2">
      <c r="B137" t="str">
        <f t="shared" si="7"/>
        <v>Lang_131</v>
      </c>
      <c r="C137" t="s">
        <v>834</v>
      </c>
      <c r="D137" s="396" t="str">
        <f>IF(DD_Current_Lang=1,TRANS_TBL[[#This Row],[ENGLISH]],TRANS_TBL[[#This Row],[FRANÇAIS]])</f>
        <v>Schools Counts (Cost Projection or Retrospective)</v>
      </c>
      <c r="E137" t="s">
        <v>609</v>
      </c>
      <c r="F137" t="s">
        <v>1790</v>
      </c>
    </row>
    <row r="138" spans="2:6" ht="14.25" x14ac:dyDescent="0.2">
      <c r="B138" t="str">
        <f t="shared" si="7"/>
        <v>Lang_132</v>
      </c>
      <c r="C138" t="s">
        <v>835</v>
      </c>
      <c r="D138" s="396" t="str">
        <f>IF(DD_Current_Lang=1,TRANS_TBL[[#This Row],[ENGLISH]],TRANS_TBL[[#This Row],[FRANÇAIS]])</f>
        <v>Number of schools to received group vaccination visits</v>
      </c>
      <c r="E138" t="s">
        <v>604</v>
      </c>
      <c r="F138" t="s">
        <v>1213</v>
      </c>
    </row>
    <row r="139" spans="2:6" ht="14.25" x14ac:dyDescent="0.2">
      <c r="B139" t="str">
        <f t="shared" si="7"/>
        <v>Lang_133</v>
      </c>
      <c r="C139" t="s">
        <v>836</v>
      </c>
      <c r="D139" s="396" t="str">
        <f>IF(DD_Current_Lang=1,TRANS_TBL[[#This Row],[ENGLISH]],TRANS_TBL[[#This Row],[FRANÇAIS]])</f>
        <v>Health Facilities Counts (Cost Projection or Retrospective)</v>
      </c>
      <c r="E139" t="s">
        <v>610</v>
      </c>
      <c r="F139" t="s">
        <v>1791</v>
      </c>
    </row>
    <row r="140" spans="2:6" ht="14.25" x14ac:dyDescent="0.2">
      <c r="B140" t="str">
        <f t="shared" si="7"/>
        <v>Lang_134</v>
      </c>
      <c r="C140" t="s">
        <v>837</v>
      </c>
      <c r="D140" s="396" t="str">
        <f>IF(DD_Current_Lang=1,TRANS_TBL[[#This Row],[ENGLISH]],TRANS_TBL[[#This Row],[FRANÇAIS]])</f>
        <v>Number of health facilities providing HPV vaccination</v>
      </c>
      <c r="E140" t="s">
        <v>605</v>
      </c>
      <c r="F140" t="s">
        <v>1214</v>
      </c>
    </row>
    <row r="141" spans="2:6" ht="14.25" x14ac:dyDescent="0.2">
      <c r="B141" t="str">
        <f t="shared" si="7"/>
        <v>Lang_135</v>
      </c>
      <c r="C141" t="s">
        <v>838</v>
      </c>
      <c r="D141" s="396" t="str">
        <f>IF(DD_Current_Lang=1,TRANS_TBL[[#This Row],[ENGLISH]],TRANS_TBL[[#This Row],[FRANÇAIS]])</f>
        <v>Number of health facilities conducting routine HPV vaccination outreach services</v>
      </c>
      <c r="E141" t="s">
        <v>606</v>
      </c>
      <c r="F141" t="s">
        <v>1215</v>
      </c>
    </row>
    <row r="142" spans="2:6" ht="14.25" x14ac:dyDescent="0.2">
      <c r="B142" t="str">
        <f t="shared" si="7"/>
        <v>Lang_136</v>
      </c>
      <c r="C142" t="s">
        <v>839</v>
      </c>
      <c r="D142" s="396" t="str">
        <f>IF(DD_Current_Lang=1,TRANS_TBL[[#This Row],[ENGLISH]],TRANS_TBL[[#This Row],[FRANÇAIS]])</f>
        <v>Average number of routine outreach vaccination activities per facility (per year)</v>
      </c>
      <c r="E142" t="s">
        <v>451</v>
      </c>
      <c r="F142" t="s">
        <v>1216</v>
      </c>
    </row>
    <row r="143" spans="2:6" ht="14.25" x14ac:dyDescent="0.2">
      <c r="B143" t="str">
        <f t="shared" si="7"/>
        <v>Lang_137</v>
      </c>
      <c r="C143" t="s">
        <v>840</v>
      </c>
      <c r="D143" s="396" t="str">
        <f>IF(DD_Current_Lang=1,TRANS_TBL[[#This Row],[ENGLISH]],TRANS_TBL[[#This Row],[FRANÇAIS]])</f>
        <v>Average number of persons vaccinated during a routine outreach service activity</v>
      </c>
      <c r="E143" t="s">
        <v>607</v>
      </c>
      <c r="F143" t="s">
        <v>1217</v>
      </c>
    </row>
    <row r="144" spans="2:6" ht="14.25" x14ac:dyDescent="0.2">
      <c r="B144" t="str">
        <f t="shared" si="7"/>
        <v>Lang_138</v>
      </c>
      <c r="C144" t="s">
        <v>841</v>
      </c>
      <c r="D144" s="396" t="str">
        <f>IF(DD_Current_Lang=1,TRANS_TBL[[#This Row],[ENGLISH]],TRANS_TBL[[#This Row],[FRANÇAIS]])</f>
        <v>Instructions</v>
      </c>
      <c r="E144" t="s">
        <v>130</v>
      </c>
      <c r="F144" t="s">
        <v>130</v>
      </c>
    </row>
    <row r="145" spans="2:6" ht="14.25" x14ac:dyDescent="0.2">
      <c r="B145" t="str">
        <f t="shared" si="7"/>
        <v>Lang_139</v>
      </c>
      <c r="C145" t="s">
        <v>842</v>
      </c>
      <c r="D145" s="396" t="str">
        <f>IF(DD_Current_Lang=1,TRANS_TBL[[#This Row],[ENGLISH]],TRANS_TBL[[#This Row],[FRANÇAIS]])</f>
        <v>Population Count</v>
      </c>
      <c r="E145" t="s">
        <v>97</v>
      </c>
      <c r="F145" t="s">
        <v>1218</v>
      </c>
    </row>
    <row r="146" spans="2:6" ht="14.25" x14ac:dyDescent="0.2">
      <c r="B146" t="str">
        <f t="shared" si="7"/>
        <v>Lang_140</v>
      </c>
      <c r="C146" t="s">
        <v>843</v>
      </c>
      <c r="D146" s="396" t="str">
        <f>IF(DD_Current_Lang=1,TRANS_TBL[[#This Row],[ENGLISH]],TRANS_TBL[[#This Row],[FRANÇAIS]])</f>
        <v>Year</v>
      </c>
      <c r="E146" t="s">
        <v>98</v>
      </c>
      <c r="F146" t="s">
        <v>1219</v>
      </c>
    </row>
    <row r="147" spans="2:6" ht="14.25" x14ac:dyDescent="0.2">
      <c r="B147" t="str">
        <f t="shared" si="7"/>
        <v>Lang_141</v>
      </c>
      <c r="C147" t="s">
        <v>844</v>
      </c>
      <c r="D147" s="396" t="str">
        <f>IF(DD_Current_Lang=1,TRANS_TBL[[#This Row],[ENGLISH]],TRANS_TBL[[#This Row],[FRANÇAIS]])</f>
        <v>Annual Population Growth Rate (%)</v>
      </c>
      <c r="E147" t="s">
        <v>99</v>
      </c>
      <c r="F147" t="s">
        <v>1220</v>
      </c>
    </row>
    <row r="148" spans="2:6" ht="14.25" x14ac:dyDescent="0.2">
      <c r="B148" t="str">
        <f t="shared" si="0"/>
        <v>Lang_142</v>
      </c>
      <c r="C148" t="s">
        <v>845</v>
      </c>
      <c r="D148" s="392" t="str">
        <f>IF(DD_Current_Lang=1,TRANS_TBL[[#This Row],[ENGLISH]],TRANS_TBL[[#This Row],[FRANÇAIS]])</f>
        <v>All Age Groups - Projected</v>
      </c>
      <c r="E148" t="s">
        <v>135</v>
      </c>
      <c r="F148" t="s">
        <v>1792</v>
      </c>
    </row>
    <row r="149" spans="2:6" ht="14.25" x14ac:dyDescent="0.2">
      <c r="B149" t="str">
        <f t="shared" si="0"/>
        <v>Lang_143</v>
      </c>
      <c r="C149" t="s">
        <v>846</v>
      </c>
      <c r="D149" s="392" t="str">
        <f>IF(DD_Current_Lang=1,TRANS_TBL[[#This Row],[ENGLISH]],TRANS_TBL[[#This Row],[FRANÇAIS]])</f>
        <v>All Age Groups - Retrospective</v>
      </c>
      <c r="E149" t="s">
        <v>136</v>
      </c>
      <c r="F149" t="s">
        <v>1221</v>
      </c>
    </row>
    <row r="150" spans="2:6" ht="14.25" x14ac:dyDescent="0.2">
      <c r="B150" t="str">
        <f t="shared" si="0"/>
        <v>Lang_144</v>
      </c>
      <c r="C150" t="s">
        <v>847</v>
      </c>
      <c r="D150" s="392" t="str">
        <f>IF(DD_Current_Lang=1,TRANS_TBL[[#This Row],[ENGLISH]],TRANS_TBL[[#This Row],[FRANÇAIS]])</f>
        <v>All Age Groups - Retrospective (AUTOCALCULATED)</v>
      </c>
      <c r="E150" t="s">
        <v>137</v>
      </c>
      <c r="F150" t="s">
        <v>1433</v>
      </c>
    </row>
    <row r="151" spans="2:6" ht="14.25" x14ac:dyDescent="0.2">
      <c r="B151" t="str">
        <f t="shared" si="0"/>
        <v>Lang_145</v>
      </c>
      <c r="C151" t="s">
        <v>848</v>
      </c>
      <c r="D151" s="392" t="str">
        <f>IF(DD_Current_Lang=1,TRANS_TBL[[#This Row],[ENGLISH]],TRANS_TBL[[#This Row],[FRANÇAIS]])</f>
        <v>Immunization Coverage Assumptions</v>
      </c>
      <c r="E151" t="s">
        <v>287</v>
      </c>
      <c r="F151" t="s">
        <v>1222</v>
      </c>
    </row>
    <row r="152" spans="2:6" ht="14.25" x14ac:dyDescent="0.2">
      <c r="B152" t="str">
        <f t="shared" si="0"/>
        <v>Lang_146</v>
      </c>
      <c r="C152" t="s">
        <v>849</v>
      </c>
      <c r="D152" s="392" t="str">
        <f>IF(DD_Current_Lang=1,TRANS_TBL[[#This Row],[ENGLISH]],TRANS_TBL[[#This Row],[FRANÇAIS]])</f>
        <v>Coverage- Navigation</v>
      </c>
      <c r="E152" t="s">
        <v>293</v>
      </c>
      <c r="F152" t="s">
        <v>1223</v>
      </c>
    </row>
    <row r="153" spans="2:6" ht="14.25" x14ac:dyDescent="0.2">
      <c r="B153" t="str">
        <f t="shared" si="0"/>
        <v>Lang_147</v>
      </c>
      <c r="C153" t="s">
        <v>850</v>
      </c>
      <c r="D153" s="392" t="str">
        <f>IF(DD_Current_Lang=1,TRANS_TBL[[#This Row],[ENGLISH]],TRANS_TBL[[#This Row],[FRANÇAIS]])</f>
        <v>Projected Coverage - Instructions - Input the percent coverage for each year, dose, and target population.</v>
      </c>
      <c r="E153" t="s">
        <v>414</v>
      </c>
      <c r="F153" t="s">
        <v>1793</v>
      </c>
    </row>
    <row r="154" spans="2:6" ht="14.25" x14ac:dyDescent="0.2">
      <c r="B154" t="str">
        <f t="shared" si="0"/>
        <v>Lang_148</v>
      </c>
      <c r="C154" t="s">
        <v>851</v>
      </c>
      <c r="D154" s="392" t="str">
        <f>IF(DD_Current_Lang=1,TRANS_TBL[[#This Row],[ENGLISH]],TRANS_TBL[[#This Row],[FRANÇAIS]])</f>
        <v>(AUTOCALCULATED) # RECEIVING VACCINATION &gt;&gt;</v>
      </c>
      <c r="E154" t="s">
        <v>1739</v>
      </c>
      <c r="F154" t="s">
        <v>1224</v>
      </c>
    </row>
    <row r="155" spans="2:6" ht="14.25" x14ac:dyDescent="0.2">
      <c r="B155" t="str">
        <f t="shared" si="0"/>
        <v>Lang_149</v>
      </c>
      <c r="C155" t="s">
        <v>852</v>
      </c>
      <c r="D155" s="392" t="str">
        <f>IF(DD_Current_Lang=1,TRANS_TBL[[#This Row],[ENGLISH]],TRANS_TBL[[#This Row],[FRANÇAIS]])</f>
        <v>(AUTOCALCULATED) % RECEIVING VACCINATION &gt;&gt;</v>
      </c>
      <c r="E155" t="s">
        <v>1738</v>
      </c>
      <c r="F155" t="s">
        <v>1225</v>
      </c>
    </row>
    <row r="156" spans="2:6" ht="14.25" x14ac:dyDescent="0.2">
      <c r="B156" t="str">
        <f t="shared" si="0"/>
        <v>Lang_150</v>
      </c>
      <c r="C156" t="s">
        <v>853</v>
      </c>
      <c r="D156" s="392" t="str">
        <f>IF(DD_Current_Lang=1,TRANS_TBL[[#This Row],[ENGLISH]],TRANS_TBL[[#This Row],[FRANÇAIS]])</f>
        <v>(AUTOCALCULATED) Proportion of all RECEIVING VACCINATION &gt;&gt;</v>
      </c>
      <c r="E156" t="s">
        <v>1737</v>
      </c>
      <c r="F156" t="s">
        <v>1226</v>
      </c>
    </row>
    <row r="157" spans="2:6" ht="14.25" x14ac:dyDescent="0.2">
      <c r="B157" t="str">
        <f t="shared" si="0"/>
        <v>Lang_151</v>
      </c>
      <c r="C157" t="s">
        <v>854</v>
      </c>
      <c r="D157" s="392" t="str">
        <f>IF(DD_Current_Lang=1,TRANS_TBL[[#This Row],[ENGLISH]],TRANS_TBL[[#This Row],[FRANÇAIS]])</f>
        <v>(AUTOCALCULATED) Drop-Out Rate &gt;&gt;</v>
      </c>
      <c r="E157" t="s">
        <v>1736</v>
      </c>
      <c r="F157" t="s">
        <v>1432</v>
      </c>
    </row>
    <row r="158" spans="2:6" ht="14.25" x14ac:dyDescent="0.2">
      <c r="B158" t="str">
        <f t="shared" si="0"/>
        <v>Lang_152</v>
      </c>
      <c r="C158" t="s">
        <v>855</v>
      </c>
      <c r="D158" s="392" t="str">
        <f>IF(DD_Current_Lang=1,TRANS_TBL[[#This Row],[ENGLISH]],TRANS_TBL[[#This Row],[FRANÇAIS]])</f>
        <v>ERROR CHECK</v>
      </c>
      <c r="E158" t="s">
        <v>442</v>
      </c>
      <c r="F158" t="s">
        <v>1227</v>
      </c>
    </row>
    <row r="159" spans="2:6" ht="14.25" x14ac:dyDescent="0.2">
      <c r="B159" t="str">
        <f t="shared" si="0"/>
        <v>Lang_153</v>
      </c>
      <c r="C159" t="s">
        <v>857</v>
      </c>
      <c r="D159" s="392" t="str">
        <f>IF(DD_Current_Lang=1,TRANS_TBL[[#This Row],[ENGLISH]],TRANS_TBL[[#This Row],[FRANÇAIS]])</f>
        <v>ERROR CHECK: (IS HPV2 COVERAGE &gt; HPV1 COVERAGE?)</v>
      </c>
      <c r="E159" t="s">
        <v>856</v>
      </c>
      <c r="F159" t="s">
        <v>1747</v>
      </c>
    </row>
    <row r="160" spans="2:6" ht="14.25" x14ac:dyDescent="0.2">
      <c r="B160" t="str">
        <f t="shared" si="0"/>
        <v>Lang_154</v>
      </c>
      <c r="C160" t="s">
        <v>858</v>
      </c>
      <c r="D160" s="392" t="str">
        <f>IF(DD_Current_Lang=1,TRANS_TBL[[#This Row],[ENGLISH]],TRANS_TBL[[#This Row],[FRANÇAIS]])</f>
        <v>Coverage - Summary of Projected Assumptions</v>
      </c>
      <c r="E160" t="s">
        <v>443</v>
      </c>
      <c r="F160" t="s">
        <v>1794</v>
      </c>
    </row>
    <row r="161" spans="2:6" ht="14.25" x14ac:dyDescent="0.2">
      <c r="B161" t="str">
        <f t="shared" si="0"/>
        <v>Lang_155</v>
      </c>
      <c r="C161" t="s">
        <v>859</v>
      </c>
      <c r="D161" s="392" t="str">
        <f>IF(DD_Current_Lang=1,TRANS_TBL[[#This Row],[ENGLISH]],TRANS_TBL[[#This Row],[FRANÇAIS]])</f>
        <v>Total Vaccinations Received by All Target Populations through ANY Service Delivery Method (from Coverage Assumptions) (Projected)</v>
      </c>
      <c r="E161" t="s">
        <v>444</v>
      </c>
      <c r="F161" t="s">
        <v>1228</v>
      </c>
    </row>
    <row r="162" spans="2:6" ht="14.25" x14ac:dyDescent="0.2">
      <c r="B162" t="str">
        <f t="shared" si="0"/>
        <v>Lang_156</v>
      </c>
      <c r="C162" t="s">
        <v>860</v>
      </c>
      <c r="D162" s="392" t="str">
        <f>IF(DD_Current_Lang=1,TRANS_TBL[[#This Row],[ENGLISH]],TRANS_TBL[[#This Row],[FRANÇAIS]])</f>
        <v>Retrospective Coverage - Insert the actual quantity of vaccine doses administered.</v>
      </c>
      <c r="E162" t="s">
        <v>413</v>
      </c>
      <c r="F162" t="s">
        <v>1229</v>
      </c>
    </row>
    <row r="163" spans="2:6" ht="14.25" x14ac:dyDescent="0.2">
      <c r="B163" t="str">
        <f t="shared" si="0"/>
        <v>Lang_157</v>
      </c>
      <c r="C163" t="s">
        <v>861</v>
      </c>
      <c r="D163" s="392" t="str">
        <f>IF(DD_Current_Lang=1,TRANS_TBL[[#This Row],[ENGLISH]],TRANS_TBL[[#This Row],[FRANÇAIS]])</f>
        <v>Number Receiving Vaccination (Retrospective Data)</v>
      </c>
      <c r="E163" t="s">
        <v>441</v>
      </c>
      <c r="F163" t="s">
        <v>1230</v>
      </c>
    </row>
    <row r="164" spans="2:6" ht="14.25" x14ac:dyDescent="0.2">
      <c r="B164" t="str">
        <f t="shared" si="0"/>
        <v>Lang_158</v>
      </c>
      <c r="C164" t="s">
        <v>862</v>
      </c>
      <c r="D164" s="392" t="str">
        <f>IF(DD_Current_Lang=1,TRANS_TBL[[#This Row],[ENGLISH]],TRANS_TBL[[#This Row],[FRANÇAIS]])</f>
        <v>Total Vaccine Doses Administered (Retrospective Data)</v>
      </c>
      <c r="E164" t="s">
        <v>353</v>
      </c>
      <c r="F164" t="s">
        <v>1231</v>
      </c>
    </row>
    <row r="165" spans="2:6" ht="14.25" x14ac:dyDescent="0.2">
      <c r="B165" t="str">
        <f t="shared" si="0"/>
        <v>Lang_159</v>
      </c>
      <c r="C165" t="s">
        <v>863</v>
      </c>
      <c r="D165" s="392" t="str">
        <f>IF(DD_Current_Lang=1,TRANS_TBL[[#This Row],[ENGLISH]],TRANS_TBL[[#This Row],[FRANÇAIS]])</f>
        <v>Total Vaccinations Received by All Target Populations through ANY Service Delivery Method (from Coverage Assumptions) (Retrospective)</v>
      </c>
      <c r="E165" t="s">
        <v>445</v>
      </c>
      <c r="F165" t="s">
        <v>1772</v>
      </c>
    </row>
    <row r="166" spans="2:6" ht="14.25" x14ac:dyDescent="0.2">
      <c r="B166" t="str">
        <f t="shared" si="0"/>
        <v>Lang_160</v>
      </c>
      <c r="C166" t="s">
        <v>864</v>
      </c>
      <c r="D166" s="392" t="str">
        <f>IF(DD_Current_Lang=1,TRANS_TBL[[#This Row],[ENGLISH]],TRANS_TBL[[#This Row],[FRANÇAIS]])</f>
        <v>Coverage - Summary of Retrospective Data</v>
      </c>
      <c r="E166" t="s">
        <v>446</v>
      </c>
      <c r="F166" t="s">
        <v>1232</v>
      </c>
    </row>
    <row r="167" spans="2:6" ht="14.25" x14ac:dyDescent="0.2">
      <c r="B167" t="str">
        <f t="shared" si="0"/>
        <v>Lang_161</v>
      </c>
      <c r="C167" t="s">
        <v>865</v>
      </c>
      <c r="D167" s="392" t="str">
        <f>IF(DD_Current_Lang=1,TRANS_TBL[[#This Row],[ENGLISH]],TRANS_TBL[[#This Row],[FRANÇAIS]])</f>
        <v>Vaccine</v>
      </c>
      <c r="E167" t="s">
        <v>100</v>
      </c>
      <c r="F167" t="s">
        <v>1233</v>
      </c>
    </row>
    <row r="168" spans="2:6" ht="14.25" x14ac:dyDescent="0.2">
      <c r="B168" t="str">
        <f t="shared" si="0"/>
        <v>Lang_162</v>
      </c>
      <c r="C168" t="s">
        <v>4005</v>
      </c>
      <c r="D168" s="392" t="str">
        <f>IF(DD_Current_Lang=1,TRANS_TBL[[#This Row],[ENGLISH]],TRANS_TBL[[#This Row],[FRANÇAIS]])</f>
        <v>Vaccine and Supply Costs - Assumptions (Projection or Retrospective)</v>
      </c>
      <c r="E168" t="s">
        <v>4006</v>
      </c>
      <c r="F168" t="s">
        <v>4007</v>
      </c>
    </row>
    <row r="169" spans="2:6" ht="14.25" x14ac:dyDescent="0.2">
      <c r="B169" t="str">
        <f t="shared" ref="B169:B232" si="8">"Lang_"&amp;ROW()-6</f>
        <v>Lang_163</v>
      </c>
      <c r="C169" t="s">
        <v>866</v>
      </c>
      <c r="D169" s="392" t="str">
        <f>IF(DD_Current_Lang=1,TRANS_TBL[[#This Row],[ENGLISH]],TRANS_TBL[[#This Row],[FRANÇAIS]])</f>
        <v>Procurement Costs</v>
      </c>
      <c r="E169" t="s">
        <v>316</v>
      </c>
      <c r="F169" t="s">
        <v>1234</v>
      </c>
    </row>
    <row r="170" spans="2:6" ht="14.25" x14ac:dyDescent="0.2">
      <c r="B170" t="str">
        <f t="shared" si="8"/>
        <v>Lang_164</v>
      </c>
      <c r="C170" t="s">
        <v>867</v>
      </c>
      <c r="D170" s="392" t="str">
        <f>IF(DD_Current_Lang=1,TRANS_TBL[[#This Row],[ENGLISH]],TRANS_TBL[[#This Row],[FRANÇAIS]])</f>
        <v>Applied Currency</v>
      </c>
      <c r="E170" t="s">
        <v>78</v>
      </c>
      <c r="F170" t="s">
        <v>1235</v>
      </c>
    </row>
    <row r="171" spans="2:6" ht="14.25" x14ac:dyDescent="0.2">
      <c r="B171" t="str">
        <f t="shared" si="8"/>
        <v>Lang_165</v>
      </c>
      <c r="C171" t="s">
        <v>868</v>
      </c>
      <c r="D171" s="392" t="str">
        <f>IF(DD_Current_Lang=1,TRANS_TBL[[#This Row],[ENGLISH]],TRANS_TBL[[#This Row],[FRANÇAIS]])</f>
        <v>Market Cost of vaccine and injectable supplies</v>
      </c>
      <c r="E171" t="s">
        <v>320</v>
      </c>
      <c r="F171" t="s">
        <v>1236</v>
      </c>
    </row>
    <row r="172" spans="2:6" ht="14.25" x14ac:dyDescent="0.2">
      <c r="B172" t="str">
        <f t="shared" si="8"/>
        <v>Lang_166</v>
      </c>
      <c r="C172" t="s">
        <v>869</v>
      </c>
      <c r="D172" s="392" t="str">
        <f>IF(DD_Current_Lang=1,TRANS_TBL[[#This Row],[ENGLISH]],TRANS_TBL[[#This Row],[FRANÇAIS]])</f>
        <v>Vaccine (per dose)</v>
      </c>
      <c r="E172" t="s">
        <v>101</v>
      </c>
      <c r="F172" t="s">
        <v>1237</v>
      </c>
    </row>
    <row r="173" spans="2:6" ht="14.25" x14ac:dyDescent="0.2">
      <c r="B173" t="str">
        <f t="shared" si="8"/>
        <v>Lang_167</v>
      </c>
      <c r="C173" t="s">
        <v>870</v>
      </c>
      <c r="D173" s="392" t="str">
        <f>IF(DD_Current_Lang=1,TRANS_TBL[[#This Row],[ENGLISH]],TRANS_TBL[[#This Row],[FRANÇAIS]])</f>
        <v>Injection syringe (each)</v>
      </c>
      <c r="E173" t="s">
        <v>102</v>
      </c>
      <c r="F173" t="s">
        <v>1238</v>
      </c>
    </row>
    <row r="174" spans="2:6" ht="14.25" x14ac:dyDescent="0.2">
      <c r="B174" t="str">
        <f t="shared" si="8"/>
        <v>Lang_168</v>
      </c>
      <c r="C174" t="s">
        <v>871</v>
      </c>
      <c r="D174" s="392" t="str">
        <f>IF(DD_Current_Lang=1,TRANS_TBL[[#This Row],[ENGLISH]],TRANS_TBL[[#This Row],[FRANÇAIS]])</f>
        <v>Safety box (each)</v>
      </c>
      <c r="E174" t="s">
        <v>103</v>
      </c>
      <c r="F174" t="s">
        <v>1239</v>
      </c>
    </row>
    <row r="175" spans="2:6" ht="14.25" x14ac:dyDescent="0.2">
      <c r="B175" t="str">
        <f t="shared" si="8"/>
        <v>Lang_169</v>
      </c>
      <c r="C175" t="s">
        <v>872</v>
      </c>
      <c r="D175" s="392" t="str">
        <f>IF(DD_Current_Lang=1,TRANS_TBL[[#This Row],[ENGLISH]],TRANS_TBL[[#This Row],[FRANÇAIS]])</f>
        <v>Subsidies for vaccine and injectable supplies</v>
      </c>
      <c r="E175" t="s">
        <v>319</v>
      </c>
      <c r="F175" t="s">
        <v>1240</v>
      </c>
    </row>
    <row r="176" spans="2:6" ht="14.25" x14ac:dyDescent="0.2">
      <c r="B176" t="str">
        <f t="shared" si="8"/>
        <v>Lang_170</v>
      </c>
      <c r="C176" t="s">
        <v>873</v>
      </c>
      <c r="D176" s="392" t="str">
        <f>IF(DD_Current_Lang=1,TRANS_TBL[[#This Row],[ENGLISH]],TRANS_TBL[[#This Row],[FRANÇAIS]])</f>
        <v>Proportion (%) of  vaccine and injectable supply procurement subsidized</v>
      </c>
      <c r="E176" t="s">
        <v>354</v>
      </c>
      <c r="F176" t="s">
        <v>1241</v>
      </c>
    </row>
    <row r="177" spans="2:6" ht="14.25" x14ac:dyDescent="0.2">
      <c r="B177" t="str">
        <f t="shared" si="8"/>
        <v>Lang_171</v>
      </c>
      <c r="C177" t="s">
        <v>874</v>
      </c>
      <c r="D177" s="392" t="str">
        <f>IF(DD_Current_Lang=1,TRANS_TBL[[#This Row],[ENGLISH]],TRANS_TBL[[#This Row],[FRANÇAIS]])</f>
        <v>Vaccines</v>
      </c>
      <c r="E177" t="s">
        <v>105</v>
      </c>
      <c r="F177" t="s">
        <v>1242</v>
      </c>
    </row>
    <row r="178" spans="2:6" ht="14.25" x14ac:dyDescent="0.2">
      <c r="B178" t="str">
        <f t="shared" si="8"/>
        <v>Lang_172</v>
      </c>
      <c r="C178" t="s">
        <v>875</v>
      </c>
      <c r="D178" s="392" t="str">
        <f>IF(DD_Current_Lang=1,TRANS_TBL[[#This Row],[ENGLISH]],TRANS_TBL[[#This Row],[FRANÇAIS]])</f>
        <v>Additional Costs</v>
      </c>
      <c r="E178" t="s">
        <v>318</v>
      </c>
      <c r="F178" t="s">
        <v>1787</v>
      </c>
    </row>
    <row r="179" spans="2:6" ht="14.25" x14ac:dyDescent="0.2">
      <c r="B179" t="str">
        <f t="shared" si="8"/>
        <v>Lang_173</v>
      </c>
      <c r="C179" t="s">
        <v>876</v>
      </c>
      <c r="D179" s="392" t="str">
        <f>IF(DD_Current_Lang=1,TRANS_TBL[[#This Row],[ENGLISH]],TRANS_TBL[[#This Row],[FRANÇAIS]])</f>
        <v>Additional Costs - Vaccine</v>
      </c>
      <c r="E179" t="s">
        <v>356</v>
      </c>
      <c r="F179" t="s">
        <v>1786</v>
      </c>
    </row>
    <row r="180" spans="2:6" ht="14.25" x14ac:dyDescent="0.2">
      <c r="B180" t="str">
        <f t="shared" si="8"/>
        <v>Lang_174</v>
      </c>
      <c r="C180" t="s">
        <v>877</v>
      </c>
      <c r="D180" s="392" t="str">
        <f>IF(DD_Current_Lang=1,TRANS_TBL[[#This Row],[ENGLISH]],TRANS_TBL[[#This Row],[FRANÇAIS]])</f>
        <v>Additional Costs - Injection Syringes</v>
      </c>
      <c r="E180" t="s">
        <v>357</v>
      </c>
      <c r="F180" t="s">
        <v>1243</v>
      </c>
    </row>
    <row r="181" spans="2:6" ht="14.25" x14ac:dyDescent="0.2">
      <c r="B181" t="str">
        <f t="shared" si="8"/>
        <v>Lang_175</v>
      </c>
      <c r="C181" t="s">
        <v>878</v>
      </c>
      <c r="D181" s="392" t="str">
        <f>IF(DD_Current_Lang=1,TRANS_TBL[[#This Row],[ENGLISH]],TRANS_TBL[[#This Row],[FRANÇAIS]])</f>
        <v>Additional Costs - Safety Boxes</v>
      </c>
      <c r="E181" t="s">
        <v>358</v>
      </c>
      <c r="F181" t="s">
        <v>1244</v>
      </c>
    </row>
    <row r="182" spans="2:6" ht="14.25" x14ac:dyDescent="0.2">
      <c r="B182" t="str">
        <f t="shared" si="8"/>
        <v>Lang_176</v>
      </c>
      <c r="C182" t="s">
        <v>879</v>
      </c>
      <c r="D182" s="392" t="str">
        <f>IF(DD_Current_Lang=1,TRANS_TBL[[#This Row],[ENGLISH]],TRANS_TBL[[#This Row],[FRANÇAIS]])</f>
        <v>Proportion of Additional Costs - Vaccine Subsidized (on scale of 0 to 100%)</v>
      </c>
      <c r="E182" t="s">
        <v>462</v>
      </c>
      <c r="F182" t="s">
        <v>1245</v>
      </c>
    </row>
    <row r="183" spans="2:6" ht="14.25" x14ac:dyDescent="0.2">
      <c r="B183" t="str">
        <f t="shared" si="8"/>
        <v>Lang_177</v>
      </c>
      <c r="C183" t="s">
        <v>880</v>
      </c>
      <c r="D183" s="392" t="str">
        <f>IF(DD_Current_Lang=1,TRANS_TBL[[#This Row],[ENGLISH]],TRANS_TBL[[#This Row],[FRANÇAIS]])</f>
        <v>Proportion of Additional Costs - Injection Syringes Subsidized (on scale of 0 to 100%)</v>
      </c>
      <c r="E183" t="s">
        <v>463</v>
      </c>
      <c r="F183" t="s">
        <v>1246</v>
      </c>
    </row>
    <row r="184" spans="2:6" ht="14.25" x14ac:dyDescent="0.2">
      <c r="B184" t="str">
        <f t="shared" si="8"/>
        <v>Lang_178</v>
      </c>
      <c r="C184" t="s">
        <v>881</v>
      </c>
      <c r="D184" s="392" t="str">
        <f>IF(DD_Current_Lang=1,TRANS_TBL[[#This Row],[ENGLISH]],TRANS_TBL[[#This Row],[FRANÇAIS]])</f>
        <v>Proportion of Additional Costs - Safety Boxes Subsidized (on scale of 0 to 100%)</v>
      </c>
      <c r="E184" t="s">
        <v>464</v>
      </c>
      <c r="F184" t="s">
        <v>1247</v>
      </c>
    </row>
    <row r="185" spans="2:6" ht="14.25" x14ac:dyDescent="0.2">
      <c r="B185" t="str">
        <f t="shared" si="8"/>
        <v>Lang_179</v>
      </c>
      <c r="C185" t="s">
        <v>882</v>
      </c>
      <c r="D185" s="392" t="str">
        <f>IF(DD_Current_Lang=1,TRANS_TBL[[#This Row],[ENGLISH]],TRANS_TBL[[#This Row],[FRANÇAIS]])</f>
        <v>Cost per Vaccine Dose</v>
      </c>
      <c r="E185" t="s">
        <v>361</v>
      </c>
      <c r="F185" t="s">
        <v>1248</v>
      </c>
    </row>
    <row r="186" spans="2:6" ht="14.25" x14ac:dyDescent="0.2">
      <c r="B186" t="str">
        <f t="shared" si="8"/>
        <v>Lang_180</v>
      </c>
      <c r="C186" t="s">
        <v>883</v>
      </c>
      <c r="D186" s="392" t="str">
        <f>IF(DD_Current_Lang=1,TRANS_TBL[[#This Row],[ENGLISH]],TRANS_TBL[[#This Row],[FRANÇAIS]])</f>
        <v>Cost per Injection Syringe</v>
      </c>
      <c r="E186" t="s">
        <v>362</v>
      </c>
      <c r="F186" t="s">
        <v>1249</v>
      </c>
    </row>
    <row r="187" spans="2:6" ht="14.25" x14ac:dyDescent="0.2">
      <c r="B187" t="str">
        <f t="shared" si="8"/>
        <v>Lang_181</v>
      </c>
      <c r="C187" t="s">
        <v>884</v>
      </c>
      <c r="D187" s="392" t="str">
        <f>IF(DD_Current_Lang=1,TRANS_TBL[[#This Row],[ENGLISH]],TRANS_TBL[[#This Row],[FRANÇAIS]])</f>
        <v>Cost per Safety Box</v>
      </c>
      <c r="E187" t="s">
        <v>363</v>
      </c>
      <c r="F187" t="s">
        <v>1250</v>
      </c>
    </row>
    <row r="188" spans="2:6" ht="14.25" x14ac:dyDescent="0.2">
      <c r="B188" t="str">
        <f t="shared" si="8"/>
        <v>Lang_182</v>
      </c>
      <c r="C188" t="s">
        <v>4008</v>
      </c>
      <c r="D188" s="392" t="str">
        <f>IF(DD_Current_Lang=1,TRANS_TBL[[#This Row],[ENGLISH]],TRANS_TBL[[#This Row],[FRANÇAIS]])</f>
        <v>Projection Assumptions</v>
      </c>
      <c r="E188" t="s">
        <v>4009</v>
      </c>
      <c r="F188" t="s">
        <v>4010</v>
      </c>
    </row>
    <row r="189" spans="2:6" ht="14.25" x14ac:dyDescent="0.2">
      <c r="B189" t="str">
        <f t="shared" si="8"/>
        <v>Lang_183</v>
      </c>
      <c r="C189" t="s">
        <v>885</v>
      </c>
      <c r="D189" s="392" t="str">
        <f>IF(DD_Current_Lang=1,TRANS_TBL[[#This Row],[ENGLISH]],TRANS_TBL[[#This Row],[FRANÇAIS]])</f>
        <v>Retrospective Data</v>
      </c>
      <c r="E189" t="s">
        <v>418</v>
      </c>
      <c r="F189" t="s">
        <v>1251</v>
      </c>
    </row>
    <row r="190" spans="2:6" ht="14.25" x14ac:dyDescent="0.2">
      <c r="B190" t="str">
        <f t="shared" si="8"/>
        <v>Lang_184</v>
      </c>
      <c r="C190" t="s">
        <v>886</v>
      </c>
      <c r="D190" s="392" t="str">
        <f>IF(DD_Current_Lang=1,TRANS_TBL[[#This Row],[ENGLISH]],TRANS_TBL[[#This Row],[FRANÇAIS]])</f>
        <v># Vaccine doses to procure (based on population, coverage projections, and wastage rates).</v>
      </c>
      <c r="E190" t="s">
        <v>401</v>
      </c>
      <c r="F190" t="s">
        <v>1795</v>
      </c>
    </row>
    <row r="191" spans="2:6" ht="14.25" x14ac:dyDescent="0.2">
      <c r="B191" t="str">
        <f t="shared" si="8"/>
        <v>Lang_185</v>
      </c>
      <c r="C191" t="s">
        <v>887</v>
      </c>
      <c r="D191" s="392" t="str">
        <f>IF(DD_Current_Lang=1,TRANS_TBL[[#This Row],[ENGLISH]],TRANS_TBL[[#This Row],[FRANÇAIS]])</f>
        <v># Injection syringes to procure (based on population, coverage projections, and wastage rates).</v>
      </c>
      <c r="E191" t="s">
        <v>403</v>
      </c>
      <c r="F191" t="s">
        <v>1796</v>
      </c>
    </row>
    <row r="192" spans="2:6" ht="14.25" x14ac:dyDescent="0.2">
      <c r="B192" t="str">
        <f t="shared" si="8"/>
        <v>Lang_186</v>
      </c>
      <c r="C192" t="s">
        <v>888</v>
      </c>
      <c r="D192" s="392" t="str">
        <f>IF(DD_Current_Lang=1,TRANS_TBL[[#This Row],[ENGLISH]],TRANS_TBL[[#This Row],[FRANÇAIS]])</f>
        <v># Safety boxes to procure.</v>
      </c>
      <c r="E192" t="s">
        <v>312</v>
      </c>
      <c r="F192" t="s">
        <v>1252</v>
      </c>
    </row>
    <row r="193" spans="2:6" ht="14.25" x14ac:dyDescent="0.2">
      <c r="B193" t="str">
        <f t="shared" si="8"/>
        <v>Lang_187</v>
      </c>
      <c r="C193" t="s">
        <v>889</v>
      </c>
      <c r="D193" s="392" t="str">
        <f>IF(DD_Current_Lang=1,TRANS_TBL[[#This Row],[ENGLISH]],TRANS_TBL[[#This Row],[FRANÇAIS]])</f>
        <v>Adjustment for projected wastage rate for vaccines</v>
      </c>
      <c r="E193" t="s">
        <v>402</v>
      </c>
      <c r="F193" t="s">
        <v>1253</v>
      </c>
    </row>
    <row r="194" spans="2:6" ht="14.25" x14ac:dyDescent="0.2">
      <c r="B194" t="str">
        <f t="shared" si="8"/>
        <v>Lang_188</v>
      </c>
      <c r="C194" t="s">
        <v>890</v>
      </c>
      <c r="D194" s="392" t="str">
        <f>IF(DD_Current_Lang=1,TRANS_TBL[[#This Row],[ENGLISH]],TRANS_TBL[[#This Row],[FRANÇAIS]])</f>
        <v>Adjustment for projected wastage rate for injection syringes</v>
      </c>
      <c r="E194" t="s">
        <v>405</v>
      </c>
      <c r="F194" t="s">
        <v>1254</v>
      </c>
    </row>
    <row r="195" spans="2:6" ht="14.25" x14ac:dyDescent="0.2">
      <c r="B195" t="str">
        <f t="shared" si="8"/>
        <v>Lang_189</v>
      </c>
      <c r="C195" t="s">
        <v>891</v>
      </c>
      <c r="D195" s="392" t="str">
        <f>IF(DD_Current_Lang=1,TRANS_TBL[[#This Row],[ENGLISH]],TRANS_TBL[[#This Row],[FRANÇAIS]])</f>
        <v>Adjustment for projected wastage rate for safety boxes</v>
      </c>
      <c r="E195" t="s">
        <v>404</v>
      </c>
      <c r="F195" t="s">
        <v>1797</v>
      </c>
    </row>
    <row r="196" spans="2:6" ht="14.25" x14ac:dyDescent="0.2">
      <c r="B196" t="str">
        <f t="shared" si="8"/>
        <v>Lang_190</v>
      </c>
      <c r="C196" t="s">
        <v>892</v>
      </c>
      <c r="D196" s="392" t="str">
        <f>IF(DD_Current_Lang=1,TRANS_TBL[[#This Row],[ENGLISH]],TRANS_TBL[[#This Row],[FRANÇAIS]])</f>
        <v>Total # Vaccine doses to procure (projected based on population, coverage projections, and wastage rates).</v>
      </c>
      <c r="E196" t="s">
        <v>436</v>
      </c>
      <c r="F196" t="s">
        <v>1798</v>
      </c>
    </row>
    <row r="197" spans="2:6" ht="14.25" x14ac:dyDescent="0.2">
      <c r="B197" t="str">
        <f t="shared" si="8"/>
        <v>Lang_191</v>
      </c>
      <c r="C197" t="s">
        <v>893</v>
      </c>
      <c r="D197" s="392" t="str">
        <f>IF(DD_Current_Lang=1,TRANS_TBL[[#This Row],[ENGLISH]],TRANS_TBL[[#This Row],[FRANÇAIS]])</f>
        <v>Total # Injection syringes to procure (projected based on population, coverage projections, and wastage rates).</v>
      </c>
      <c r="E197" t="s">
        <v>437</v>
      </c>
      <c r="F197" t="s">
        <v>1799</v>
      </c>
    </row>
    <row r="198" spans="2:6" ht="14.25" x14ac:dyDescent="0.2">
      <c r="B198" t="str">
        <f t="shared" si="8"/>
        <v>Lang_192</v>
      </c>
      <c r="C198" t="s">
        <v>894</v>
      </c>
      <c r="D198" s="392" t="str">
        <f>IF(DD_Current_Lang=1,TRANS_TBL[[#This Row],[ENGLISH]],TRANS_TBL[[#This Row],[FRANÇAIS]])</f>
        <v>Total # Safety Boxes to procure (projected based on population, coverage projections, and wastage rates).</v>
      </c>
      <c r="E198" t="s">
        <v>438</v>
      </c>
      <c r="F198" t="s">
        <v>1800</v>
      </c>
    </row>
    <row r="199" spans="2:6" ht="14.25" x14ac:dyDescent="0.2">
      <c r="B199" t="str">
        <f t="shared" si="8"/>
        <v>Lang_193</v>
      </c>
      <c r="C199" t="s">
        <v>895</v>
      </c>
      <c r="D199" s="392" t="str">
        <f>IF(DD_Current_Lang=1,TRANS_TBL[[#This Row],[ENGLISH]],TRANS_TBL[[#This Row],[FRANÇAIS]])</f>
        <v>Injection Syringe capacity per safety box (#)</v>
      </c>
      <c r="E199" t="s">
        <v>313</v>
      </c>
      <c r="F199" t="s">
        <v>1255</v>
      </c>
    </row>
    <row r="200" spans="2:6" ht="14.25" x14ac:dyDescent="0.2">
      <c r="B200" t="str">
        <f t="shared" si="8"/>
        <v>Lang_194</v>
      </c>
      <c r="C200" t="s">
        <v>896</v>
      </c>
      <c r="D200" s="392" t="str">
        <f>IF(DD_Current_Lang=1,TRANS_TBL[[#This Row],[ENGLISH]],TRANS_TBL[[#This Row],[FRANÇAIS]])</f>
        <v># Vaccine doses procured</v>
      </c>
      <c r="E200" t="s">
        <v>419</v>
      </c>
      <c r="F200" t="s">
        <v>1256</v>
      </c>
    </row>
    <row r="201" spans="2:6" ht="14.25" x14ac:dyDescent="0.2">
      <c r="B201" t="str">
        <f t="shared" si="8"/>
        <v>Lang_195</v>
      </c>
      <c r="C201" t="s">
        <v>897</v>
      </c>
      <c r="D201" s="392" t="str">
        <f>IF(DD_Current_Lang=1,TRANS_TBL[[#This Row],[ENGLISH]],TRANS_TBL[[#This Row],[FRANÇAIS]])</f>
        <v># Injection syringes procured</v>
      </c>
      <c r="E201" t="s">
        <v>420</v>
      </c>
      <c r="F201" t="s">
        <v>1257</v>
      </c>
    </row>
    <row r="202" spans="2:6" ht="14.25" x14ac:dyDescent="0.2">
      <c r="B202" t="str">
        <f t="shared" si="8"/>
        <v>Lang_196</v>
      </c>
      <c r="C202" t="s">
        <v>898</v>
      </c>
      <c r="D202" s="392" t="str">
        <f>IF(DD_Current_Lang=1,TRANS_TBL[[#This Row],[ENGLISH]],TRANS_TBL[[#This Row],[FRANÇAIS]])</f>
        <v># Safety boxes procured</v>
      </c>
      <c r="E202" t="s">
        <v>421</v>
      </c>
      <c r="F202" t="s">
        <v>1258</v>
      </c>
    </row>
    <row r="203" spans="2:6" ht="14.25" x14ac:dyDescent="0.2">
      <c r="B203" t="str">
        <f t="shared" si="8"/>
        <v>Lang_197</v>
      </c>
      <c r="C203" t="s">
        <v>899</v>
      </c>
      <c r="D203" s="392" t="str">
        <f>IF(DD_Current_Lang=1,TRANS_TBL[[#This Row],[ENGLISH]],TRANS_TBL[[#This Row],[FRANÇAIS]])</f>
        <v>Total # Vaccine doses procured (Retrospective data)</v>
      </c>
      <c r="E203" t="s">
        <v>422</v>
      </c>
      <c r="F203" t="s">
        <v>1259</v>
      </c>
    </row>
    <row r="204" spans="2:6" ht="14.25" x14ac:dyDescent="0.2">
      <c r="B204" t="str">
        <f t="shared" si="8"/>
        <v>Lang_198</v>
      </c>
      <c r="C204" t="s">
        <v>900</v>
      </c>
      <c r="D204" s="392" t="str">
        <f>IF(DD_Current_Lang=1,TRANS_TBL[[#This Row],[ENGLISH]],TRANS_TBL[[#This Row],[FRANÇAIS]])</f>
        <v>Total # Injection syringes procured (Retrospective data)</v>
      </c>
      <c r="E204" t="s">
        <v>423</v>
      </c>
      <c r="F204" t="s">
        <v>1260</v>
      </c>
    </row>
    <row r="205" spans="2:6" ht="14.25" x14ac:dyDescent="0.2">
      <c r="B205" t="str">
        <f t="shared" si="8"/>
        <v>Lang_199</v>
      </c>
      <c r="C205" t="s">
        <v>901</v>
      </c>
      <c r="D205" s="392" t="str">
        <f>IF(DD_Current_Lang=1,TRANS_TBL[[#This Row],[ENGLISH]],TRANS_TBL[[#This Row],[FRANÇAIS]])</f>
        <v>Total # Safety boxes procured (Retrospective data)</v>
      </c>
      <c r="E205" t="s">
        <v>424</v>
      </c>
      <c r="F205" t="s">
        <v>1261</v>
      </c>
    </row>
    <row r="206" spans="2:6" ht="14.25" x14ac:dyDescent="0.2">
      <c r="B206" t="str">
        <f t="shared" si="8"/>
        <v>Lang_200</v>
      </c>
      <c r="C206" t="s">
        <v>902</v>
      </c>
      <c r="D206" s="392" t="str">
        <f>IF(DD_Current_Lang=1,TRANS_TBL[[#This Row],[ENGLISH]],TRANS_TBL[[#This Row],[FRANÇAIS]])</f>
        <v>Service Delivery -  Annual Assumptions</v>
      </c>
      <c r="E206" t="s">
        <v>257</v>
      </c>
      <c r="F206" t="s">
        <v>1262</v>
      </c>
    </row>
    <row r="207" spans="2:6" ht="14.25" x14ac:dyDescent="0.2">
      <c r="B207" t="str">
        <f t="shared" si="8"/>
        <v>Lang_201</v>
      </c>
      <c r="C207" t="s">
        <v>4011</v>
      </c>
      <c r="D207" s="392" t="str">
        <f>IF(DD_Current_Lang=1,TRANS_TBL[[#This Row],[ENGLISH]],TRANS_TBL[[#This Row],[FRANÇAIS]])</f>
        <v>Average Number of Vaccinations Delivered During Service Delivery Activities (Projection or Retrospective)</v>
      </c>
      <c r="E207" t="s">
        <v>4012</v>
      </c>
      <c r="F207" t="s">
        <v>4013</v>
      </c>
    </row>
    <row r="208" spans="2:6" ht="14.25" x14ac:dyDescent="0.2">
      <c r="B208" t="str">
        <f t="shared" si="8"/>
        <v>Lang_202</v>
      </c>
      <c r="C208" t="s">
        <v>4014</v>
      </c>
      <c r="D208" s="392" t="str">
        <f>IF(DD_Current_Lang=1,TRANS_TBL[[#This Row],[ENGLISH]],TRANS_TBL[[#This Row],[FRANÇAIS]])</f>
        <v>Proportion and Number of Vaccinations Delivered, by Year and Service Delivery Type (Projection)</v>
      </c>
      <c r="E208" t="s">
        <v>4015</v>
      </c>
      <c r="F208" t="s">
        <v>4016</v>
      </c>
    </row>
    <row r="209" spans="2:6" ht="14.25" x14ac:dyDescent="0.2">
      <c r="B209" t="str">
        <f t="shared" si="8"/>
        <v>Lang_203</v>
      </c>
      <c r="C209" t="s">
        <v>4017</v>
      </c>
      <c r="D209" s="392" t="str">
        <f>IF(DD_Current_Lang=1,TRANS_TBL[[#This Row],[ENGLISH]],TRANS_TBL[[#This Row],[FRANÇAIS]])</f>
        <v>Proportion of Vaccinations Delivered (Projection)</v>
      </c>
      <c r="E209" t="s">
        <v>4018</v>
      </c>
      <c r="F209" t="s">
        <v>4019</v>
      </c>
    </row>
    <row r="210" spans="2:6" ht="14.25" x14ac:dyDescent="0.2">
      <c r="B210" t="str">
        <f t="shared" si="8"/>
        <v>Lang_204</v>
      </c>
      <c r="C210" t="s">
        <v>903</v>
      </c>
      <c r="D210" s="392" t="str">
        <f>IF(DD_Current_Lang=1,TRANS_TBL[[#This Row],[ENGLISH]],TRANS_TBL[[#This Row],[FRANÇAIS]])</f>
        <v>Proportion Administered (by Year and Service Delivery Type)</v>
      </c>
      <c r="E210" t="s">
        <v>453</v>
      </c>
      <c r="F210" t="s">
        <v>1263</v>
      </c>
    </row>
    <row r="211" spans="2:6" ht="14.25" x14ac:dyDescent="0.2">
      <c r="B211" t="str">
        <f t="shared" si="8"/>
        <v>Lang_205</v>
      </c>
      <c r="C211" t="s">
        <v>904</v>
      </c>
      <c r="D211" s="392" t="str">
        <f>IF(DD_Current_Lang=1,TRANS_TBL[[#This Row],[ENGLISH]],TRANS_TBL[[#This Row],[FRANÇAIS]])</f>
        <v>Service Delivery Activities providing Vaccinations to a Single Person</v>
      </c>
      <c r="E211" t="s">
        <v>460</v>
      </c>
      <c r="F211" t="s">
        <v>1264</v>
      </c>
    </row>
    <row r="212" spans="2:6" ht="14.25" x14ac:dyDescent="0.2">
      <c r="B212" t="str">
        <f t="shared" si="8"/>
        <v>Lang_206</v>
      </c>
      <c r="C212" t="s">
        <v>905</v>
      </c>
      <c r="D212" s="392" t="str">
        <f>IF(DD_Current_Lang=1,TRANS_TBL[[#This Row],[ENGLISH]],TRANS_TBL[[#This Row],[FRANÇAIS]])</f>
        <v>Service Delivery Activities providing Vaccinations to a Group</v>
      </c>
      <c r="E212" t="s">
        <v>459</v>
      </c>
      <c r="F212" t="s">
        <v>1265</v>
      </c>
    </row>
    <row r="213" spans="2:6" ht="14.25" x14ac:dyDescent="0.2">
      <c r="B213" t="str">
        <f t="shared" si="8"/>
        <v>Lang_207</v>
      </c>
      <c r="C213" t="s">
        <v>906</v>
      </c>
      <c r="D213" s="392" t="str">
        <f>IF(DD_Current_Lang=1,TRANS_TBL[[#This Row],[ENGLISH]],TRANS_TBL[[#This Row],[FRANÇAIS]])</f>
        <v>ERROR CHECK (SHOULD SUM TO 100%) &gt;&gt;</v>
      </c>
      <c r="E213" t="s">
        <v>1740</v>
      </c>
      <c r="F213" t="s">
        <v>1266</v>
      </c>
    </row>
    <row r="214" spans="2:6" ht="14.25" x14ac:dyDescent="0.2">
      <c r="B214" t="str">
        <f t="shared" si="8"/>
        <v>Lang_208</v>
      </c>
      <c r="C214" t="s">
        <v>907</v>
      </c>
      <c r="D214" s="392" t="str">
        <f>IF(DD_Current_Lang=1,TRANS_TBL[[#This Row],[ENGLISH]],TRANS_TBL[[#This Row],[FRANÇAIS]])</f>
        <v>ALERT CHECK % (Administered through School should not exceed % of In-School Pop Receiving Vaccination.) &gt;&gt;</v>
      </c>
      <c r="E214" t="s">
        <v>1741</v>
      </c>
      <c r="F214" t="s">
        <v>1748</v>
      </c>
    </row>
    <row r="215" spans="2:6" ht="14.25" x14ac:dyDescent="0.2">
      <c r="B215" t="str">
        <f t="shared" si="8"/>
        <v>Lang_209</v>
      </c>
      <c r="C215" t="s">
        <v>908</v>
      </c>
      <c r="D215" s="392" t="str">
        <f>IF(DD_Current_Lang=1,TRANS_TBL[[#This Row],[ENGLISH]],TRANS_TBL[[#This Row],[FRANÇAIS]])</f>
        <v>Number Administered (by Year and Service Delivery Type)</v>
      </c>
      <c r="E215" t="s">
        <v>454</v>
      </c>
      <c r="F215" t="s">
        <v>1267</v>
      </c>
    </row>
    <row r="216" spans="2:6" ht="14.25" x14ac:dyDescent="0.2">
      <c r="B216" t="str">
        <f t="shared" si="8"/>
        <v>Lang_210</v>
      </c>
      <c r="C216" t="s">
        <v>909</v>
      </c>
      <c r="D216" s="392" t="str">
        <f>IF(DD_Current_Lang=1,TRANS_TBL[[#This Row],[ENGLISH]],TRANS_TBL[[#This Row],[FRANÇAIS]])</f>
        <v>Number of Activities Required to Administer this Number of Vaccines</v>
      </c>
      <c r="E216" t="s">
        <v>465</v>
      </c>
      <c r="F216" t="s">
        <v>1268</v>
      </c>
    </row>
    <row r="217" spans="2:6" ht="14.25" x14ac:dyDescent="0.2">
      <c r="B217" t="str">
        <f t="shared" si="8"/>
        <v>Lang_211</v>
      </c>
      <c r="C217" t="s">
        <v>910</v>
      </c>
      <c r="D217" s="392" t="str">
        <f>IF(DD_Current_Lang=1,TRANS_TBL[[#This Row],[ENGLISH]],TRANS_TBL[[#This Row],[FRANÇAIS]])</f>
        <v>Number of Single Vaccination Activities Required to Administer Vaccines</v>
      </c>
      <c r="E217" t="s">
        <v>581</v>
      </c>
      <c r="F217" t="s">
        <v>1269</v>
      </c>
    </row>
    <row r="218" spans="2:6" ht="14.25" x14ac:dyDescent="0.2">
      <c r="B218" t="str">
        <f t="shared" si="8"/>
        <v>Lang_212</v>
      </c>
      <c r="C218" t="s">
        <v>911</v>
      </c>
      <c r="D218" s="392" t="str">
        <f>IF(DD_Current_Lang=1,TRANS_TBL[[#This Row],[ENGLISH]],TRANS_TBL[[#This Row],[FRANÇAIS]])</f>
        <v>Number of Group Vaccination Activities Required to Administer Vaccines</v>
      </c>
      <c r="E218" t="s">
        <v>468</v>
      </c>
      <c r="F218" t="s">
        <v>1270</v>
      </c>
    </row>
    <row r="219" spans="2:6" ht="14.25" x14ac:dyDescent="0.2">
      <c r="B219" t="str">
        <f t="shared" si="8"/>
        <v>Lang_213</v>
      </c>
      <c r="C219" t="s">
        <v>912</v>
      </c>
      <c r="D219" s="392" t="str">
        <f>IF(DD_Current_Lang=1,TRANS_TBL[[#This Row],[ENGLISH]],TRANS_TBL[[#This Row],[FRANÇAIS]])</f>
        <v>Number of Vaccinations Delivered and Activities Completed, by Year and Service Delivery Type (Retrospective)</v>
      </c>
      <c r="E219" t="s">
        <v>471</v>
      </c>
      <c r="F219" t="s">
        <v>1773</v>
      </c>
    </row>
    <row r="220" spans="2:6" ht="14.25" x14ac:dyDescent="0.2">
      <c r="B220" t="str">
        <f t="shared" si="8"/>
        <v>Lang_214</v>
      </c>
      <c r="C220" t="s">
        <v>913</v>
      </c>
      <c r="D220" s="392" t="str">
        <f>IF(DD_Current_Lang=1,TRANS_TBL[[#This Row],[ENGLISH]],TRANS_TBL[[#This Row],[FRANÇAIS]])</f>
        <v>Number of Service Delivery Activities providing Vaccinations to a Single Person Completed</v>
      </c>
      <c r="E220" t="s">
        <v>469</v>
      </c>
      <c r="F220" t="s">
        <v>1783</v>
      </c>
    </row>
    <row r="221" spans="2:6" ht="14.25" x14ac:dyDescent="0.2">
      <c r="B221" t="str">
        <f t="shared" si="8"/>
        <v>Lang_215</v>
      </c>
      <c r="C221" t="s">
        <v>914</v>
      </c>
      <c r="D221" s="392" t="str">
        <f>IF(DD_Current_Lang=1,TRANS_TBL[[#This Row],[ENGLISH]],TRANS_TBL[[#This Row],[FRANÇAIS]])</f>
        <v>Number of VACCINATIONS Provided through Vaccinations to a Group</v>
      </c>
      <c r="E221" t="s">
        <v>470</v>
      </c>
      <c r="F221" t="s">
        <v>1271</v>
      </c>
    </row>
    <row r="222" spans="2:6" ht="14.25" x14ac:dyDescent="0.2">
      <c r="B222" t="str">
        <f t="shared" si="8"/>
        <v>Lang_216</v>
      </c>
      <c r="C222" t="s">
        <v>915</v>
      </c>
      <c r="D222" s="392" t="str">
        <f>IF(DD_Current_Lang=1,TRANS_TBL[[#This Row],[ENGLISH]],TRANS_TBL[[#This Row],[FRANÇAIS]])</f>
        <v>Number of ACTIVITIES (Vaccinations to a Group) Completed</v>
      </c>
      <c r="E222" t="s">
        <v>582</v>
      </c>
      <c r="F222" t="s">
        <v>1272</v>
      </c>
    </row>
    <row r="223" spans="2:6" ht="14.25" x14ac:dyDescent="0.2">
      <c r="B223" t="str">
        <f t="shared" si="8"/>
        <v>Lang_217</v>
      </c>
      <c r="C223" t="s">
        <v>916</v>
      </c>
      <c r="D223" s="392" t="str">
        <f>IF(DD_Current_Lang=1,TRANS_TBL[[#This Row],[ENGLISH]],TRANS_TBL[[#This Row],[FRANÇAIS]])</f>
        <v>ALERT CHECK (DOES TOTAL SUM TO COVERAGE TOTAL)</v>
      </c>
      <c r="E223" t="s">
        <v>461</v>
      </c>
      <c r="F223" t="s">
        <v>1273</v>
      </c>
    </row>
    <row r="224" spans="2:6" ht="14.25" x14ac:dyDescent="0.2">
      <c r="B224" t="str">
        <f t="shared" si="8"/>
        <v>Lang_218</v>
      </c>
      <c r="C224" t="s">
        <v>917</v>
      </c>
      <c r="D224" s="392" t="str">
        <f>IF(DD_Current_Lang=1,TRANS_TBL[[#This Row],[ENGLISH]],TRANS_TBL[[#This Row],[FRANÇAIS]])</f>
        <v>Single HPV Vaccination Delivery Type 1 of 2.</v>
      </c>
      <c r="E224" t="s">
        <v>415</v>
      </c>
      <c r="F224" t="s">
        <v>1274</v>
      </c>
    </row>
    <row r="225" spans="2:6" ht="14.25" x14ac:dyDescent="0.2">
      <c r="B225" t="str">
        <f t="shared" si="8"/>
        <v>Lang_219</v>
      </c>
      <c r="C225" t="s">
        <v>918</v>
      </c>
      <c r="D225" s="392" t="str">
        <f>IF(DD_Current_Lang=1,TRANS_TBL[[#This Row],[ENGLISH]],TRANS_TBL[[#This Row],[FRANÇAIS]])</f>
        <v>Select Input Currency</v>
      </c>
      <c r="E225" t="s">
        <v>206</v>
      </c>
      <c r="F225" t="s">
        <v>1275</v>
      </c>
    </row>
    <row r="226" spans="2:6" ht="14.25" x14ac:dyDescent="0.2">
      <c r="B226" t="str">
        <f t="shared" si="8"/>
        <v>Lang_220</v>
      </c>
      <c r="C226" t="s">
        <v>920</v>
      </c>
      <c r="D226" s="392" t="str">
        <f>IF(DD_Current_Lang=1,TRANS_TBL[[#This Row],[ENGLISH]],TRANS_TBL[[#This Row],[FRANÇAIS]])</f>
        <v>Select Costing Input Method</v>
      </c>
      <c r="E226" t="s">
        <v>207</v>
      </c>
      <c r="F226" t="s">
        <v>1276</v>
      </c>
    </row>
    <row r="227" spans="2:6" ht="14.25" x14ac:dyDescent="0.2">
      <c r="B227" t="str">
        <f t="shared" si="8"/>
        <v>Lang_221</v>
      </c>
      <c r="C227" t="s">
        <v>919</v>
      </c>
      <c r="D227" s="392" t="str">
        <f>IF(DD_Current_Lang=1,TRANS_TBL[[#This Row],[ENGLISH]],TRANS_TBL[[#This Row],[FRANÇAIS]])</f>
        <v>Detailed Costing Worksheet Estimate</v>
      </c>
      <c r="E227" t="s">
        <v>209</v>
      </c>
      <c r="F227" t="s">
        <v>1277</v>
      </c>
    </row>
    <row r="228" spans="2:6" ht="14.25" x14ac:dyDescent="0.2">
      <c r="B228" t="str">
        <f t="shared" si="8"/>
        <v>Lang_222</v>
      </c>
      <c r="C228" t="s">
        <v>921</v>
      </c>
      <c r="D228" s="392" t="str">
        <f>IF(DD_Current_Lang=1,TRANS_TBL[[#This Row],[ENGLISH]],TRANS_TBL[[#This Row],[FRANÇAIS]])</f>
        <v>Direct User Entry Cost Estimate</v>
      </c>
      <c r="E228" t="s">
        <v>211</v>
      </c>
      <c r="F228" t="s">
        <v>1278</v>
      </c>
    </row>
    <row r="229" spans="2:6" ht="14.25" x14ac:dyDescent="0.2">
      <c r="B229" t="str">
        <f t="shared" si="8"/>
        <v>Lang_223</v>
      </c>
      <c r="C229" t="s">
        <v>922</v>
      </c>
      <c r="D229" s="392" t="str">
        <f>IF(DD_Current_Lang=1,TRANS_TBL[[#This Row],[ENGLISH]],TRANS_TBL[[#This Row],[FRANÇAIS]])</f>
        <v>ERROR CHECK (CHECKS IF OVERRIDE INPUT ECONOMIC COST IS LESS THAN FINANCIAL COST)</v>
      </c>
      <c r="E229" t="s">
        <v>212</v>
      </c>
      <c r="F229" t="s">
        <v>1279</v>
      </c>
    </row>
    <row r="230" spans="2:6" ht="14.25" x14ac:dyDescent="0.2">
      <c r="B230" t="str">
        <f t="shared" si="8"/>
        <v>Lang_224</v>
      </c>
      <c r="C230" t="s">
        <v>923</v>
      </c>
      <c r="D230" s="392" t="str">
        <f>IF(DD_Current_Lang=1,TRANS_TBL[[#This Row],[ENGLISH]],TRANS_TBL[[#This Row],[FRANÇAIS]])</f>
        <v>Single HPV Vaccination Delivery Type 2 of 2.</v>
      </c>
      <c r="E230" t="s">
        <v>416</v>
      </c>
      <c r="F230" t="s">
        <v>1280</v>
      </c>
    </row>
    <row r="231" spans="2:6" ht="14.25" x14ac:dyDescent="0.2">
      <c r="B231" t="str">
        <f t="shared" si="8"/>
        <v>Lang_225</v>
      </c>
      <c r="C231" t="s">
        <v>924</v>
      </c>
      <c r="D231" s="392" t="str">
        <f>IF(DD_Current_Lang=1,TRANS_TBL[[#This Row],[ENGLISH]],TRANS_TBL[[#This Row],[FRANÇAIS]])</f>
        <v>Group Service Delivery Activity 1 of 2 Name</v>
      </c>
      <c r="E231" t="s">
        <v>473</v>
      </c>
      <c r="F231" t="s">
        <v>1281</v>
      </c>
    </row>
    <row r="232" spans="2:6" ht="14.25" x14ac:dyDescent="0.2">
      <c r="B232" t="str">
        <f t="shared" si="8"/>
        <v>Lang_226</v>
      </c>
      <c r="C232" t="s">
        <v>925</v>
      </c>
      <c r="D232" s="392" t="str">
        <f>IF(DD_Current_Lang=1,TRANS_TBL[[#This Row],[ENGLISH]],TRANS_TBL[[#This Row],[FRANÇAIS]])</f>
        <v xml:space="preserve">Group Service Delivery Activity 2 of 2 Name </v>
      </c>
      <c r="E232" t="s">
        <v>474</v>
      </c>
      <c r="F232" t="s">
        <v>1282</v>
      </c>
    </row>
    <row r="233" spans="2:6" ht="14.25" x14ac:dyDescent="0.2">
      <c r="B233" t="str">
        <f t="shared" ref="B233:B296" si="9">"Lang_"&amp;ROW()-6</f>
        <v>Lang_227</v>
      </c>
      <c r="C233" t="s">
        <v>926</v>
      </c>
      <c r="D233" s="392" t="str">
        <f>IF(DD_Current_Lang=1,TRANS_TBL[[#This Row],[ENGLISH]],TRANS_TBL[[#This Row],[FRANÇAIS]])</f>
        <v>Microplanning Activity Name</v>
      </c>
      <c r="E233" t="s">
        <v>425</v>
      </c>
      <c r="F233" t="s">
        <v>1283</v>
      </c>
    </row>
    <row r="234" spans="2:6" ht="14.25" x14ac:dyDescent="0.2">
      <c r="B234" t="str">
        <f t="shared" si="9"/>
        <v>Lang_228</v>
      </c>
      <c r="C234" t="s">
        <v>927</v>
      </c>
      <c r="D234" s="392" t="str">
        <f>IF(DD_Current_Lang=1,TRANS_TBL[[#This Row],[ENGLISH]],TRANS_TBL[[#This Row],[FRANÇAIS]])</f>
        <v>Number of Activities</v>
      </c>
      <c r="E234" t="s">
        <v>426</v>
      </c>
      <c r="F234" t="s">
        <v>1284</v>
      </c>
    </row>
    <row r="235" spans="2:6" ht="14.25" x14ac:dyDescent="0.2">
      <c r="B235" t="str">
        <f t="shared" si="9"/>
        <v>Lang_229</v>
      </c>
      <c r="C235" t="s">
        <v>928</v>
      </c>
      <c r="D235" s="392" t="str">
        <f>IF(DD_Current_Lang=1,TRANS_TBL[[#This Row],[ENGLISH]],TRANS_TBL[[#This Row],[FRANÇAIS]])</f>
        <v>Number of Activities per Year</v>
      </c>
      <c r="E235" t="s">
        <v>427</v>
      </c>
      <c r="F235" t="s">
        <v>1285</v>
      </c>
    </row>
    <row r="236" spans="2:6" ht="14.25" x14ac:dyDescent="0.2">
      <c r="B236" t="str">
        <f t="shared" si="9"/>
        <v>Lang_230</v>
      </c>
      <c r="C236" t="s">
        <v>929</v>
      </c>
      <c r="D236" s="392" t="str">
        <f>IF(DD_Current_Lang=1,TRANS_TBL[[#This Row],[ENGLISH]],TRANS_TBL[[#This Row],[FRANÇAIS]])</f>
        <v>Microplanning Activities - Annual Assumptions</v>
      </c>
      <c r="E236" t="s">
        <v>259</v>
      </c>
      <c r="F236" t="s">
        <v>1286</v>
      </c>
    </row>
    <row r="237" spans="2:6" ht="14.25" x14ac:dyDescent="0.2">
      <c r="B237" t="str">
        <f t="shared" si="9"/>
        <v>Lang_231</v>
      </c>
      <c r="C237" t="s">
        <v>930</v>
      </c>
      <c r="D237" s="392" t="str">
        <f>IF(DD_Current_Lang=1,TRANS_TBL[[#This Row],[ENGLISH]],TRANS_TBL[[#This Row],[FRANÇAIS]])</f>
        <v>Training Activities - Annual Assumptions</v>
      </c>
      <c r="E237" t="s">
        <v>260</v>
      </c>
      <c r="F237" t="s">
        <v>1287</v>
      </c>
    </row>
    <row r="238" spans="2:6" ht="14.25" x14ac:dyDescent="0.2">
      <c r="B238" t="str">
        <f t="shared" si="9"/>
        <v>Lang_232</v>
      </c>
      <c r="C238" t="s">
        <v>931</v>
      </c>
      <c r="D238" s="392" t="str">
        <f>IF(DD_Current_Lang=1,TRANS_TBL[[#This Row],[ENGLISH]],TRANS_TBL[[#This Row],[FRANÇAIS]])</f>
        <v>Training Activity Name</v>
      </c>
      <c r="E238" t="s">
        <v>428</v>
      </c>
      <c r="F238" t="s">
        <v>1288</v>
      </c>
    </row>
    <row r="239" spans="2:6" ht="14.25" x14ac:dyDescent="0.2">
      <c r="B239" t="str">
        <f t="shared" si="9"/>
        <v>Lang_233</v>
      </c>
      <c r="C239" t="s">
        <v>932</v>
      </c>
      <c r="D239" s="392" t="str">
        <f>IF(DD_Current_Lang=1,TRANS_TBL[[#This Row],[ENGLISH]],TRANS_TBL[[#This Row],[FRANÇAIS]])</f>
        <v>Area Name</v>
      </c>
      <c r="E239" t="s">
        <v>88</v>
      </c>
      <c r="F239" t="s">
        <v>1289</v>
      </c>
    </row>
    <row r="240" spans="2:6" ht="14.25" x14ac:dyDescent="0.2">
      <c r="B240" t="str">
        <f t="shared" si="9"/>
        <v>Lang_234</v>
      </c>
      <c r="C240" t="s">
        <v>933</v>
      </c>
      <c r="D240" s="392" t="str">
        <f>IF(DD_Current_Lang=1,TRANS_TBL[[#This Row],[ENGLISH]],TRANS_TBL[[#This Row],[FRANÇAIS]])</f>
        <v>Sensitisation Activities - Annual Assumptions</v>
      </c>
      <c r="E240" t="s">
        <v>261</v>
      </c>
      <c r="F240" t="s">
        <v>1774</v>
      </c>
    </row>
    <row r="241" spans="2:6" ht="14.25" x14ac:dyDescent="0.2">
      <c r="B241" t="str">
        <f t="shared" si="9"/>
        <v>Lang_235</v>
      </c>
      <c r="C241" t="s">
        <v>934</v>
      </c>
      <c r="D241" s="392" t="str">
        <f>IF(DD_Current_Lang=1,TRANS_TBL[[#This Row],[ENGLISH]],TRANS_TBL[[#This Row],[FRANÇAIS]])</f>
        <v>Senistisation Activity Name</v>
      </c>
      <c r="E241" t="s">
        <v>429</v>
      </c>
      <c r="F241" t="s">
        <v>1290</v>
      </c>
    </row>
    <row r="242" spans="2:6" ht="14.25" x14ac:dyDescent="0.2">
      <c r="B242" t="str">
        <f t="shared" si="9"/>
        <v>Lang_236</v>
      </c>
      <c r="C242" t="s">
        <v>935</v>
      </c>
      <c r="D242" s="392" t="str">
        <f>IF(DD_Current_Lang=1,TRANS_TBL[[#This Row],[ENGLISH]],TRANS_TBL[[#This Row],[FRANÇAIS]])</f>
        <v>IEC/ Social Mobilisation Activities - Annual Assumptions</v>
      </c>
      <c r="E242" t="s">
        <v>411</v>
      </c>
      <c r="F242" t="s">
        <v>1291</v>
      </c>
    </row>
    <row r="243" spans="2:6" ht="14.25" x14ac:dyDescent="0.2">
      <c r="B243" t="str">
        <f t="shared" si="9"/>
        <v>Lang_237</v>
      </c>
      <c r="C243" t="s">
        <v>936</v>
      </c>
      <c r="D243" s="392" t="str">
        <f>IF(DD_Current_Lang=1,TRANS_TBL[[#This Row],[ENGLISH]],TRANS_TBL[[#This Row],[FRANÇAIS]])</f>
        <v>IEC/ Social Mobilisation Activity Name</v>
      </c>
      <c r="E243" t="s">
        <v>937</v>
      </c>
      <c r="F243" t="s">
        <v>1292</v>
      </c>
    </row>
    <row r="244" spans="2:6" ht="14.25" x14ac:dyDescent="0.2">
      <c r="B244" t="str">
        <f t="shared" si="9"/>
        <v>Lang_238</v>
      </c>
      <c r="C244" t="s">
        <v>938</v>
      </c>
      <c r="D244" s="392" t="str">
        <f>IF(DD_Current_Lang=1,TRANS_TBL[[#This Row],[ENGLISH]],TRANS_TBL[[#This Row],[FRANÇAIS]])</f>
        <v>Supervision , Monitoring, and Evaluation Activities (SME) - Annual Assumptions</v>
      </c>
      <c r="E244" t="s">
        <v>430</v>
      </c>
      <c r="F244" t="s">
        <v>1293</v>
      </c>
    </row>
    <row r="245" spans="2:6" ht="14.25" x14ac:dyDescent="0.2">
      <c r="B245" t="str">
        <f t="shared" si="9"/>
        <v>Lang_239</v>
      </c>
      <c r="C245" t="s">
        <v>939</v>
      </c>
      <c r="D245" s="392" t="str">
        <f>IF(DD_Current_Lang=1,TRANS_TBL[[#This Row],[ENGLISH]],TRANS_TBL[[#This Row],[FRANÇAIS]])</f>
        <v>Supervision, Monitoring, and Evaluation (SME) Activity Name</v>
      </c>
      <c r="E245" t="s">
        <v>431</v>
      </c>
      <c r="F245" t="s">
        <v>1294</v>
      </c>
    </row>
    <row r="246" spans="2:6" ht="14.25" x14ac:dyDescent="0.2">
      <c r="B246" t="str">
        <f t="shared" si="9"/>
        <v>Lang_240</v>
      </c>
      <c r="C246" t="s">
        <v>940</v>
      </c>
      <c r="D246" s="392" t="str">
        <f>IF(DD_Current_Lang=1,TRANS_TBL[[#This Row],[ENGLISH]],TRANS_TBL[[#This Row],[FRANÇAIS]])</f>
        <v>OTHER Activity (Recurrent Costs Only) - Annual Assumptions</v>
      </c>
      <c r="E246" t="s">
        <v>583</v>
      </c>
      <c r="F246" t="s">
        <v>1295</v>
      </c>
    </row>
    <row r="247" spans="2:6" ht="14.25" x14ac:dyDescent="0.2">
      <c r="B247" t="str">
        <f t="shared" si="9"/>
        <v>Lang_241</v>
      </c>
      <c r="C247" t="s">
        <v>941</v>
      </c>
      <c r="D247" s="392" t="str">
        <f>IF(DD_Current_Lang=1,TRANS_TBL[[#This Row],[ENGLISH]],TRANS_TBL[[#This Row],[FRANÇAIS]])</f>
        <v>Other Activity Name (Recurrent Cost Activity Only)</v>
      </c>
      <c r="E247" t="s">
        <v>584</v>
      </c>
      <c r="F247" t="s">
        <v>1296</v>
      </c>
    </row>
    <row r="248" spans="2:6" ht="14.25" x14ac:dyDescent="0.2">
      <c r="B248" t="str">
        <f t="shared" si="9"/>
        <v>Lang_242</v>
      </c>
      <c r="C248" t="s">
        <v>942</v>
      </c>
      <c r="D248" s="392" t="str">
        <f>IF(DD_Current_Lang=1,TRANS_TBL[[#This Row],[ENGLISH]],TRANS_TBL[[#This Row],[FRANÇAIS]])</f>
        <v>Cold Chain Expansion - Assumptions (Annual)</v>
      </c>
      <c r="E248" t="s">
        <v>520</v>
      </c>
      <c r="F248" t="s">
        <v>1742</v>
      </c>
    </row>
    <row r="249" spans="2:6" ht="14.25" x14ac:dyDescent="0.2">
      <c r="B249" t="str">
        <f t="shared" si="9"/>
        <v>Lang_243</v>
      </c>
      <c r="C249" t="s">
        <v>943</v>
      </c>
      <c r="D249" s="392" t="str">
        <f>IF(DD_Current_Lang=1,TRANS_TBL[[#This Row],[ENGLISH]],TRANS_TBL[[#This Row],[FRANÇAIS]])</f>
        <v>Required Cold Storage Expansion</v>
      </c>
      <c r="E249" t="s">
        <v>533</v>
      </c>
      <c r="F249" t="s">
        <v>1297</v>
      </c>
    </row>
    <row r="250" spans="2:6" ht="14.25" x14ac:dyDescent="0.2">
      <c r="B250" t="str">
        <f t="shared" si="9"/>
        <v>Lang_244</v>
      </c>
      <c r="C250" t="s">
        <v>944</v>
      </c>
      <c r="D250" s="392" t="str">
        <f>IF(DD_Current_Lang=1,TRANS_TBL[[#This Row],[ENGLISH]],TRANS_TBL[[#This Row],[FRANÇAIS]])</f>
        <v>Input Currency for Cold Storage Equipment Prices</v>
      </c>
      <c r="E250" t="s">
        <v>539</v>
      </c>
      <c r="F250" t="s">
        <v>1298</v>
      </c>
    </row>
    <row r="251" spans="2:6" ht="14.25" x14ac:dyDescent="0.2">
      <c r="B251" t="str">
        <f t="shared" si="9"/>
        <v>Lang_245</v>
      </c>
      <c r="C251" t="s">
        <v>945</v>
      </c>
      <c r="D251" s="392" t="str">
        <f>IF(DD_Current_Lang=1,TRANS_TBL[[#This Row],[ENGLISH]],TRANS_TBL[[#This Row],[FRANÇAIS]])</f>
        <v>Name of Cold Storage Equipment</v>
      </c>
      <c r="E251" t="s">
        <v>521</v>
      </c>
      <c r="F251" t="s">
        <v>1299</v>
      </c>
    </row>
    <row r="252" spans="2:6" ht="14.25" x14ac:dyDescent="0.2">
      <c r="B252" t="str">
        <f t="shared" si="9"/>
        <v>Lang_246</v>
      </c>
      <c r="C252" t="s">
        <v>946</v>
      </c>
      <c r="D252" s="392" t="str">
        <f>IF(DD_Current_Lang=1,TRANS_TBL[[#This Row],[ENGLISH]],TRANS_TBL[[#This Row],[FRANÇAIS]])</f>
        <v>Notes on Calculations/ Estimates</v>
      </c>
      <c r="E252" t="s">
        <v>524</v>
      </c>
      <c r="F252" t="s">
        <v>1431</v>
      </c>
    </row>
    <row r="253" spans="2:6" ht="14.25" x14ac:dyDescent="0.2">
      <c r="B253" t="str">
        <f t="shared" si="9"/>
        <v>Lang_247</v>
      </c>
      <c r="C253" t="s">
        <v>947</v>
      </c>
      <c r="D253" s="392" t="str">
        <f>IF(DD_Current_Lang=1,TRANS_TBL[[#This Row],[ENGLISH]],TRANS_TBL[[#This Row],[FRANÇAIS]])</f>
        <v>Currency Options for Dropdown List</v>
      </c>
      <c r="E253" t="s">
        <v>555</v>
      </c>
      <c r="F253" t="s">
        <v>1300</v>
      </c>
    </row>
    <row r="254" spans="2:6" ht="14.25" x14ac:dyDescent="0.2">
      <c r="B254" t="str">
        <f t="shared" si="9"/>
        <v>Lang_248</v>
      </c>
      <c r="C254" t="s">
        <v>975</v>
      </c>
      <c r="D254" s="392" t="str">
        <f>IF(DD_Current_Lang=1,TRANS_TBL[[#This Row],[ENGLISH]],TRANS_TBL[[#This Row],[FRANÇAIS]])</f>
        <v>(from Economic Tab)</v>
      </c>
      <c r="E254" t="s">
        <v>556</v>
      </c>
      <c r="F254" t="s">
        <v>1301</v>
      </c>
    </row>
    <row r="255" spans="2:6" ht="14.25" x14ac:dyDescent="0.2">
      <c r="B255" t="str">
        <f t="shared" si="9"/>
        <v>Lang_249</v>
      </c>
      <c r="C255" t="s">
        <v>948</v>
      </c>
      <c r="D255" s="392" t="str">
        <f>IF(DD_Current_Lang=1,TRANS_TBL[[#This Row],[ENGLISH]],TRANS_TBL[[#This Row],[FRANÇAIS]])</f>
        <v>Useful Life Years</v>
      </c>
      <c r="E255" t="s">
        <v>522</v>
      </c>
      <c r="F255" t="s">
        <v>1302</v>
      </c>
    </row>
    <row r="256" spans="2:6" ht="14.25" x14ac:dyDescent="0.2">
      <c r="B256" t="str">
        <f t="shared" si="9"/>
        <v>Lang_250</v>
      </c>
      <c r="C256" t="s">
        <v>949</v>
      </c>
      <c r="D256" s="392" t="str">
        <f>IF(DD_Current_Lang=1,TRANS_TBL[[#This Row],[ENGLISH]],TRANS_TBL[[#This Row],[FRANÇAIS]])</f>
        <v>TOTAL ALL YEARS</v>
      </c>
      <c r="E256" t="s">
        <v>540</v>
      </c>
      <c r="F256" t="s">
        <v>1303</v>
      </c>
    </row>
    <row r="257" spans="2:6" ht="14.25" x14ac:dyDescent="0.2">
      <c r="B257" t="str">
        <f t="shared" si="9"/>
        <v>Lang_251</v>
      </c>
      <c r="C257" t="s">
        <v>950</v>
      </c>
      <c r="D257" s="392" t="str">
        <f>IF(DD_Current_Lang=1,TRANS_TBL[[#This Row],[ENGLISH]],TRANS_TBL[[#This Row],[FRANÇAIS]])</f>
        <v>Number of Units</v>
      </c>
      <c r="E257" t="s">
        <v>523</v>
      </c>
      <c r="F257" t="s">
        <v>1304</v>
      </c>
    </row>
    <row r="258" spans="2:6" ht="14.25" x14ac:dyDescent="0.2">
      <c r="B258" t="str">
        <f t="shared" si="9"/>
        <v>Lang_252</v>
      </c>
      <c r="C258" t="s">
        <v>1041</v>
      </c>
      <c r="D258" s="392" t="str">
        <f>IF(DD_Current_Lang=1,TRANS_TBL[[#This Row],[ENGLISH]],TRANS_TBL[[#This Row],[FRANÇAIS]])</f>
        <v>Other Capital Investments - Assumptions (Annual)</v>
      </c>
      <c r="E258" t="s">
        <v>1042</v>
      </c>
      <c r="F258" t="s">
        <v>1305</v>
      </c>
    </row>
    <row r="259" spans="2:6" ht="14.25" x14ac:dyDescent="0.2">
      <c r="B259" t="str">
        <f t="shared" si="9"/>
        <v>Lang_253</v>
      </c>
      <c r="C259" t="s">
        <v>951</v>
      </c>
      <c r="D259" s="392" t="str">
        <f>IF(DD_Current_Lang=1,TRANS_TBL[[#This Row],[ENGLISH]],TRANS_TBL[[#This Row],[FRANÇAIS]])</f>
        <v>Required Capital Investments</v>
      </c>
      <c r="E259" t="s">
        <v>562</v>
      </c>
      <c r="F259" t="s">
        <v>1306</v>
      </c>
    </row>
    <row r="260" spans="2:6" ht="14.25" x14ac:dyDescent="0.2">
      <c r="B260" t="str">
        <f t="shared" si="9"/>
        <v>Lang_254</v>
      </c>
      <c r="C260" t="s">
        <v>952</v>
      </c>
      <c r="D260" s="392" t="str">
        <f>IF(DD_Current_Lang=1,TRANS_TBL[[#This Row],[ENGLISH]],TRANS_TBL[[#This Row],[FRANÇAIS]])</f>
        <v>Input Currency for Other Capital Investment</v>
      </c>
      <c r="E260" t="s">
        <v>588</v>
      </c>
      <c r="F260" t="s">
        <v>1307</v>
      </c>
    </row>
    <row r="261" spans="2:6" ht="14.25" x14ac:dyDescent="0.2">
      <c r="B261" t="str">
        <f t="shared" si="9"/>
        <v>Lang_255</v>
      </c>
      <c r="C261" t="s">
        <v>953</v>
      </c>
      <c r="D261" s="392" t="str">
        <f>IF(DD_Current_Lang=1,TRANS_TBL[[#This Row],[ENGLISH]],TRANS_TBL[[#This Row],[FRANÇAIS]])</f>
        <v>Name of Other Capital Investment</v>
      </c>
      <c r="E261" t="s">
        <v>587</v>
      </c>
      <c r="F261" t="s">
        <v>1308</v>
      </c>
    </row>
    <row r="262" spans="2:6" ht="14.25" x14ac:dyDescent="0.2">
      <c r="B262" t="str">
        <f t="shared" si="9"/>
        <v>Lang_256</v>
      </c>
      <c r="C262" t="s">
        <v>954</v>
      </c>
      <c r="D262" s="392" t="str">
        <f>IF(DD_Current_Lang=1,TRANS_TBL[[#This Row],[ENGLISH]],TRANS_TBL[[#This Row],[FRANÇAIS]])</f>
        <v>Outputs</v>
      </c>
      <c r="E262" t="s">
        <v>151</v>
      </c>
      <c r="F262" t="s">
        <v>1309</v>
      </c>
    </row>
    <row r="263" spans="2:6" ht="14.25" x14ac:dyDescent="0.2">
      <c r="B263" t="str">
        <f t="shared" si="9"/>
        <v>Lang_257</v>
      </c>
      <c r="C263" t="s">
        <v>955</v>
      </c>
      <c r="D263" s="392" t="str">
        <f>IF(DD_Current_Lang=1,TRANS_TBL[[#This Row],[ENGLISH]],TRANS_TBL[[#This Row],[FRANÇAIS]])</f>
        <v>Section 3.</v>
      </c>
      <c r="E263" t="s">
        <v>61</v>
      </c>
      <c r="F263" t="s">
        <v>61</v>
      </c>
    </row>
    <row r="264" spans="2:6" ht="14.25" x14ac:dyDescent="0.2">
      <c r="B264" t="str">
        <f t="shared" si="9"/>
        <v>Lang_258</v>
      </c>
      <c r="C264" t="s">
        <v>956</v>
      </c>
      <c r="D264" s="392" t="str">
        <f>IF(DD_Current_Lang=1,TRANS_TBL[[#This Row],[ENGLISH]],TRANS_TBL[[#This Row],[FRANÇAIS]])</f>
        <v>Section 2.</v>
      </c>
      <c r="E264" t="s">
        <v>60</v>
      </c>
      <c r="F264" t="s">
        <v>60</v>
      </c>
    </row>
    <row r="265" spans="2:6" ht="14.25" x14ac:dyDescent="0.2">
      <c r="B265" t="str">
        <f t="shared" si="9"/>
        <v>Lang_259</v>
      </c>
      <c r="C265" t="s">
        <v>957</v>
      </c>
      <c r="D265" s="392" t="str">
        <f>IF(DD_Current_Lang=1,TRANS_TBL[[#This Row],[ENGLISH]],TRANS_TBL[[#This Row],[FRANÇAIS]])</f>
        <v>Target Populations and Coverage Summary</v>
      </c>
      <c r="E265" t="s">
        <v>294</v>
      </c>
      <c r="F265" t="s">
        <v>1310</v>
      </c>
    </row>
    <row r="266" spans="2:6" ht="14.25" x14ac:dyDescent="0.2">
      <c r="B266" t="str">
        <f t="shared" si="9"/>
        <v>Lang_260</v>
      </c>
      <c r="C266" t="s">
        <v>958</v>
      </c>
      <c r="D266" s="392" t="str">
        <f>IF(DD_Current_Lang=1,TRANS_TBL[[#This Row],[ENGLISH]],TRANS_TBL[[#This Row],[FRANÇAIS]])</f>
        <v>Target Groups- Counts - Summary</v>
      </c>
      <c r="E266" t="s">
        <v>114</v>
      </c>
      <c r="F266" t="s">
        <v>1311</v>
      </c>
    </row>
    <row r="267" spans="2:6" ht="14.25" x14ac:dyDescent="0.2">
      <c r="B267" t="str">
        <f t="shared" si="9"/>
        <v>Lang_261</v>
      </c>
      <c r="C267" t="s">
        <v>959</v>
      </c>
      <c r="D267" s="392" t="str">
        <f>IF(DD_Current_Lang=1,TRANS_TBL[[#This Row],[ENGLISH]],TRANS_TBL[[#This Row],[FRANÇAIS]])</f>
        <v>Coverage - Summary Outputs</v>
      </c>
      <c r="E267" t="s">
        <v>115</v>
      </c>
      <c r="F267" t="s">
        <v>1312</v>
      </c>
    </row>
    <row r="268" spans="2:6" ht="14.25" x14ac:dyDescent="0.2">
      <c r="B268" t="str">
        <f t="shared" si="9"/>
        <v>Lang_262</v>
      </c>
      <c r="C268" t="s">
        <v>960</v>
      </c>
      <c r="D268" s="392" t="str">
        <f>IF(DD_Current_Lang=1,TRANS_TBL[[#This Row],[ENGLISH]],TRANS_TBL[[#This Row],[FRANÇAIS]])</f>
        <v>Activity Quantities and Cost Summary</v>
      </c>
      <c r="E268" t="s">
        <v>330</v>
      </c>
      <c r="F268" t="s">
        <v>1313</v>
      </c>
    </row>
    <row r="269" spans="2:6" ht="14.25" x14ac:dyDescent="0.2">
      <c r="B269" t="str">
        <f t="shared" si="9"/>
        <v>Lang_263</v>
      </c>
      <c r="C269" t="s">
        <v>961</v>
      </c>
      <c r="D269" s="392" t="str">
        <f>IF(DD_Current_Lang=1,TRANS_TBL[[#This Row],[ENGLISH]],TRANS_TBL[[#This Row],[FRANÇAIS]])</f>
        <v>Vaccines and Injection Supplies- Financial (Local Currency)</v>
      </c>
      <c r="E269" t="s">
        <v>432</v>
      </c>
      <c r="F269" t="s">
        <v>1784</v>
      </c>
    </row>
    <row r="270" spans="2:6" ht="14.25" x14ac:dyDescent="0.2">
      <c r="B270" t="str">
        <f t="shared" si="9"/>
        <v>Lang_264</v>
      </c>
      <c r="C270" t="s">
        <v>962</v>
      </c>
      <c r="D270" s="392" t="str">
        <f>IF(DD_Current_Lang=1,TRANS_TBL[[#This Row],[ENGLISH]],TRANS_TBL[[#This Row],[FRANÇAIS]])</f>
        <v>Syringes</v>
      </c>
      <c r="E270" t="s">
        <v>317</v>
      </c>
      <c r="F270" t="s">
        <v>1314</v>
      </c>
    </row>
    <row r="271" spans="2:6" ht="14.25" x14ac:dyDescent="0.2">
      <c r="B271" t="str">
        <f t="shared" si="9"/>
        <v>Lang_265</v>
      </c>
      <c r="C271" t="s">
        <v>963</v>
      </c>
      <c r="D271" s="392" t="str">
        <f>IF(DD_Current_Lang=1,TRANS_TBL[[#This Row],[ENGLISH]],TRANS_TBL[[#This Row],[FRANÇAIS]])</f>
        <v>Vaccine and Injection Supplies- Economic (Local Currency)</v>
      </c>
      <c r="E271" t="s">
        <v>433</v>
      </c>
      <c r="F271" t="s">
        <v>1743</v>
      </c>
    </row>
    <row r="272" spans="2:6" ht="14.25" x14ac:dyDescent="0.2">
      <c r="B272" t="str">
        <f t="shared" si="9"/>
        <v>Lang_266</v>
      </c>
      <c r="C272" t="s">
        <v>964</v>
      </c>
      <c r="D272" s="392" t="str">
        <f>IF(DD_Current_Lang=1,TRANS_TBL[[#This Row],[ENGLISH]],TRANS_TBL[[#This Row],[FRANÇAIS]])</f>
        <v>Vaccine and Injection Supplies - Financial  (International Currency)</v>
      </c>
      <c r="E272" t="s">
        <v>434</v>
      </c>
      <c r="F272" t="s">
        <v>1785</v>
      </c>
    </row>
    <row r="273" spans="2:6" ht="14.25" x14ac:dyDescent="0.2">
      <c r="B273" t="str">
        <f t="shared" si="9"/>
        <v>Lang_267</v>
      </c>
      <c r="C273" t="s">
        <v>965</v>
      </c>
      <c r="D273" s="392" t="str">
        <f>IF(DD_Current_Lang=1,TRANS_TBL[[#This Row],[ENGLISH]],TRANS_TBL[[#This Row],[FRANÇAIS]])</f>
        <v>Vaccines and Injection Supplies - Economic  (International Currency)</v>
      </c>
      <c r="E273" t="s">
        <v>435</v>
      </c>
      <c r="F273" t="s">
        <v>1744</v>
      </c>
    </row>
    <row r="274" spans="2:6" ht="14.25" x14ac:dyDescent="0.2">
      <c r="B274" t="str">
        <f t="shared" si="9"/>
        <v>Lang_268</v>
      </c>
      <c r="C274" t="s">
        <v>966</v>
      </c>
      <c r="D274" s="392" t="str">
        <f>IF(DD_Current_Lang=1,TRANS_TBL[[#This Row],[ENGLISH]],TRANS_TBL[[#This Row],[FRANÇAIS]])</f>
        <v>Cold Chain Expansion - Outputs</v>
      </c>
      <c r="E274" t="s">
        <v>525</v>
      </c>
      <c r="F274" t="s">
        <v>1749</v>
      </c>
    </row>
    <row r="275" spans="2:6" ht="14.25" x14ac:dyDescent="0.2">
      <c r="B275" t="str">
        <f t="shared" si="9"/>
        <v>Lang_269</v>
      </c>
      <c r="C275" t="s">
        <v>967</v>
      </c>
      <c r="D275" s="392" t="str">
        <f>IF(DD_Current_Lang=1,TRANS_TBL[[#This Row],[ENGLISH]],TRANS_TBL[[#This Row],[FRANÇAIS]])</f>
        <v>Estimated Cost for Cold Storage Expansion</v>
      </c>
      <c r="E275" t="s">
        <v>968</v>
      </c>
      <c r="F275" t="s">
        <v>1315</v>
      </c>
    </row>
    <row r="276" spans="2:6" ht="14.25" x14ac:dyDescent="0.2">
      <c r="B276" t="str">
        <f t="shared" si="9"/>
        <v>Lang_270</v>
      </c>
      <c r="C276" t="s">
        <v>974</v>
      </c>
      <c r="D276" s="392" t="str">
        <f>IF(DD_Current_Lang=1,TRANS_TBL[[#This Row],[ENGLISH]],TRANS_TBL[[#This Row],[FRANÇAIS]])</f>
        <v>Financial Costs (ANNUALIZED)</v>
      </c>
      <c r="E276" t="s">
        <v>969</v>
      </c>
      <c r="F276" t="s">
        <v>1779</v>
      </c>
    </row>
    <row r="277" spans="2:6" ht="14.25" x14ac:dyDescent="0.2">
      <c r="B277" t="str">
        <f t="shared" si="9"/>
        <v>Lang_271</v>
      </c>
      <c r="C277" t="s">
        <v>973</v>
      </c>
      <c r="D277" s="392" t="str">
        <f>IF(DD_Current_Lang=1,TRANS_TBL[[#This Row],[ENGLISH]],TRANS_TBL[[#This Row],[FRANÇAIS]])</f>
        <v>Economic Costs (ANNUALIZED)</v>
      </c>
      <c r="E277" t="s">
        <v>1775</v>
      </c>
      <c r="F277" t="s">
        <v>1776</v>
      </c>
    </row>
    <row r="278" spans="2:6" ht="14.25" x14ac:dyDescent="0.2">
      <c r="B278" t="str">
        <f t="shared" si="9"/>
        <v>Lang_272</v>
      </c>
      <c r="C278" t="s">
        <v>970</v>
      </c>
      <c r="D278" s="392" t="str">
        <f>IF(DD_Current_Lang=1,TRANS_TBL[[#This Row],[ENGLISH]],TRANS_TBL[[#This Row],[FRANÇAIS]])</f>
        <v>Total Financial Costs (ANNUALIZED)</v>
      </c>
      <c r="E278" t="s">
        <v>971</v>
      </c>
      <c r="F278" t="s">
        <v>1316</v>
      </c>
    </row>
    <row r="279" spans="2:6" ht="14.25" x14ac:dyDescent="0.2">
      <c r="B279" t="str">
        <f t="shared" si="9"/>
        <v>Lang_273</v>
      </c>
      <c r="C279" t="s">
        <v>972</v>
      </c>
      <c r="D279" s="392" t="str">
        <f>IF(DD_Current_Lang=1,TRANS_TBL[[#This Row],[ENGLISH]],TRANS_TBL[[#This Row],[FRANÇAIS]])</f>
        <v>Total Economic Costs (ANNUALIZED)</v>
      </c>
      <c r="E279" t="s">
        <v>1777</v>
      </c>
      <c r="F279" t="s">
        <v>1778</v>
      </c>
    </row>
    <row r="280" spans="2:6" ht="14.25" x14ac:dyDescent="0.2">
      <c r="B280" t="str">
        <f t="shared" si="9"/>
        <v>Lang_274</v>
      </c>
      <c r="C280" t="s">
        <v>978</v>
      </c>
      <c r="D280" s="392" t="str">
        <f>IF(DD_Current_Lang=1,TRANS_TBL[[#This Row],[ENGLISH]],TRANS_TBL[[#This Row],[FRANÇAIS]])</f>
        <v>Unit Cost</v>
      </c>
      <c r="E280" t="s">
        <v>526</v>
      </c>
      <c r="F280" t="s">
        <v>1317</v>
      </c>
    </row>
    <row r="281" spans="2:6" ht="14.25" x14ac:dyDescent="0.2">
      <c r="B281" t="str">
        <f t="shared" si="9"/>
        <v>Lang_275</v>
      </c>
      <c r="C281" t="s">
        <v>979</v>
      </c>
      <c r="D281" s="392" t="str">
        <f>IF(DD_Current_Lang=1,TRANS_TBL[[#This Row],[ENGLISH]],TRANS_TBL[[#This Row],[FRANÇAIS]])</f>
        <v>Exchange Rate:</v>
      </c>
      <c r="E281" t="s">
        <v>542</v>
      </c>
      <c r="F281" t="s">
        <v>1318</v>
      </c>
    </row>
    <row r="282" spans="2:6" ht="14.25" x14ac:dyDescent="0.2">
      <c r="B282" t="str">
        <f t="shared" si="9"/>
        <v>Lang_276</v>
      </c>
      <c r="C282" t="s">
        <v>980</v>
      </c>
      <c r="D282" s="392" t="str">
        <f>IF(DD_Current_Lang=1,TRANS_TBL[[#This Row],[ENGLISH]],TRANS_TBL[[#This Row],[FRANÇAIS]])</f>
        <v>Annual Discount Rate:</v>
      </c>
      <c r="E282" t="s">
        <v>549</v>
      </c>
      <c r="F282" t="s">
        <v>1319</v>
      </c>
    </row>
    <row r="283" spans="2:6" ht="14.25" x14ac:dyDescent="0.2">
      <c r="B283" t="str">
        <f t="shared" si="9"/>
        <v>Lang_277</v>
      </c>
      <c r="C283" t="s">
        <v>981</v>
      </c>
      <c r="D283" s="392" t="str">
        <f>IF(DD_Current_Lang=1,TRANS_TBL[[#This Row],[ENGLISH]],TRANS_TBL[[#This Row],[FRANÇAIS]])</f>
        <v>Other Capital Investments - Outputs</v>
      </c>
      <c r="E283" t="s">
        <v>558</v>
      </c>
      <c r="F283" t="s">
        <v>1320</v>
      </c>
    </row>
    <row r="284" spans="2:6" ht="14.25" x14ac:dyDescent="0.2">
      <c r="B284" t="str">
        <f t="shared" si="9"/>
        <v>Lang_278</v>
      </c>
      <c r="C284" t="s">
        <v>983</v>
      </c>
      <c r="D284" s="392" t="str">
        <f>IF(DD_Current_Lang=1,TRANS_TBL[[#This Row],[ENGLISH]],TRANS_TBL[[#This Row],[FRANÇAIS]])</f>
        <v>Estimated Cost for Other Capital Investments</v>
      </c>
      <c r="E284" t="s">
        <v>982</v>
      </c>
      <c r="F284" t="s">
        <v>1321</v>
      </c>
    </row>
    <row r="285" spans="2:6" ht="14.25" x14ac:dyDescent="0.2">
      <c r="B285" t="str">
        <f t="shared" si="9"/>
        <v>Lang_279</v>
      </c>
      <c r="C285" t="s">
        <v>984</v>
      </c>
      <c r="D285" s="392" t="str">
        <f>IF(DD_Current_Lang=1,TRANS_TBL[[#This Row],[ENGLISH]],TRANS_TBL[[#This Row],[FRANÇAIS]])</f>
        <v>Name of Capital Investment</v>
      </c>
      <c r="E285" t="s">
        <v>573</v>
      </c>
      <c r="F285" t="s">
        <v>1322</v>
      </c>
    </row>
    <row r="286" spans="2:6" ht="14.25" x14ac:dyDescent="0.2">
      <c r="B286" t="str">
        <f t="shared" si="9"/>
        <v>Lang_280</v>
      </c>
      <c r="C286" t="s">
        <v>985</v>
      </c>
      <c r="D286" s="392" t="str">
        <f>IF(DD_Current_Lang=1,TRANS_TBL[[#This Row],[ENGLISH]],TRANS_TBL[[#This Row],[FRANÇAIS]])</f>
        <v>Detailed Cost Worksheet (OPTIONAL) Outputs - Summaries</v>
      </c>
      <c r="E286" t="s">
        <v>270</v>
      </c>
      <c r="F286" t="s">
        <v>1323</v>
      </c>
    </row>
    <row r="287" spans="2:6" ht="14.25" x14ac:dyDescent="0.2">
      <c r="B287" t="str">
        <f t="shared" si="9"/>
        <v>Lang_281</v>
      </c>
      <c r="C287" t="s">
        <v>986</v>
      </c>
      <c r="D287" s="392" t="str">
        <f>IF(DD_Current_Lang=1,TRANS_TBL[[#This Row],[ENGLISH]],TRANS_TBL[[#This Row],[FRANÇAIS]])</f>
        <v>Cost Category</v>
      </c>
      <c r="E287" t="s">
        <v>213</v>
      </c>
      <c r="F287" t="s">
        <v>1324</v>
      </c>
    </row>
    <row r="288" spans="2:6" ht="14.25" x14ac:dyDescent="0.2">
      <c r="B288" t="str">
        <f t="shared" si="9"/>
        <v>Lang_282</v>
      </c>
      <c r="C288" t="s">
        <v>987</v>
      </c>
      <c r="D288" s="392" t="str">
        <f>IF(DD_Current_Lang=1,TRANS_TBL[[#This Row],[ENGLISH]],TRANS_TBL[[#This Row],[FRANÇAIS]])</f>
        <v>Total Single Activity Cost</v>
      </c>
      <c r="E288" t="s">
        <v>214</v>
      </c>
      <c r="F288" t="s">
        <v>1325</v>
      </c>
    </row>
    <row r="289" spans="2:6" ht="14.25" x14ac:dyDescent="0.2">
      <c r="B289" t="str">
        <f t="shared" si="9"/>
        <v>Lang_283</v>
      </c>
      <c r="C289" t="s">
        <v>988</v>
      </c>
      <c r="D289" s="392" t="str">
        <f>IF(DD_Current_Lang=1,TRANS_TBL[[#This Row],[ENGLISH]],TRANS_TBL[[#This Row],[FRANÇAIS]])</f>
        <v>Appendices</v>
      </c>
      <c r="E289" t="s">
        <v>9</v>
      </c>
      <c r="F289" t="s">
        <v>1326</v>
      </c>
    </row>
    <row r="290" spans="2:6" ht="14.25" x14ac:dyDescent="0.2">
      <c r="B290" t="str">
        <f t="shared" si="9"/>
        <v>Lang_284</v>
      </c>
      <c r="C290" t="s">
        <v>989</v>
      </c>
      <c r="D290" s="392" t="str">
        <f>IF(DD_Current_Lang=1,TRANS_TBL[[#This Row],[ENGLISH]],TRANS_TBL[[#This Row],[FRANÇAIS]])</f>
        <v>Section 4.</v>
      </c>
      <c r="E290" t="s">
        <v>92</v>
      </c>
      <c r="F290" t="s">
        <v>92</v>
      </c>
    </row>
    <row r="291" spans="2:6" ht="14.25" x14ac:dyDescent="0.2">
      <c r="B291" t="str">
        <f t="shared" si="9"/>
        <v>Lang_285</v>
      </c>
      <c r="C291" t="s">
        <v>990</v>
      </c>
      <c r="D291" s="392" t="str">
        <f>IF(DD_Current_Lang=1,TRANS_TBL[[#This Row],[ENGLISH]],TRANS_TBL[[#This Row],[FRANÇAIS]])</f>
        <v>Section Cover Notes:</v>
      </c>
      <c r="E291" t="s">
        <v>6</v>
      </c>
      <c r="F291" t="s">
        <v>1327</v>
      </c>
    </row>
    <row r="292" spans="2:6" ht="14.25" x14ac:dyDescent="0.2">
      <c r="B292" t="str">
        <f t="shared" si="9"/>
        <v>Lang_286</v>
      </c>
      <c r="C292" t="s">
        <v>991</v>
      </c>
      <c r="D292" s="392" t="str">
        <f>IF(DD_Current_Lang=1,TRANS_TBL[[#This Row],[ENGLISH]],TRANS_TBL[[#This Row],[FRANÇAIS]])</f>
        <v>In this section, we provide worksheets for creating detailed cost estimates of each activity.</v>
      </c>
      <c r="E292" t="s">
        <v>117</v>
      </c>
      <c r="F292" t="s">
        <v>1328</v>
      </c>
    </row>
    <row r="293" spans="2:6" ht="14.25" x14ac:dyDescent="0.2">
      <c r="B293" t="str">
        <f t="shared" si="9"/>
        <v>Lang_287</v>
      </c>
      <c r="C293" t="s">
        <v>992</v>
      </c>
      <c r="D293" s="392" t="str">
        <f>IF(DD_Current_Lang=1,TRANS_TBL[[#This Row],[ENGLISH]],TRANS_TBL[[#This Row],[FRANÇAIS]])</f>
        <v>We also keep autogenerated model worksheets required for the model to calculate accuratetly.</v>
      </c>
      <c r="E293" t="s">
        <v>118</v>
      </c>
      <c r="F293" t="s">
        <v>1329</v>
      </c>
    </row>
    <row r="294" spans="2:6" ht="14.25" x14ac:dyDescent="0.2">
      <c r="B294" t="str">
        <f t="shared" si="9"/>
        <v>Lang_288</v>
      </c>
      <c r="C294" t="s">
        <v>993</v>
      </c>
      <c r="D294" s="392" t="str">
        <f>IF(DD_Current_Lang=1,TRANS_TBL[[#This Row],[ENGLISH]],TRANS_TBL[[#This Row],[FRANÇAIS]])</f>
        <v>We also keep variable lookup worksheets which allow the tool to have more user-friendly navigation.</v>
      </c>
      <c r="E294" t="s">
        <v>119</v>
      </c>
      <c r="F294" t="s">
        <v>1330</v>
      </c>
    </row>
    <row r="295" spans="2:6" ht="14.25" x14ac:dyDescent="0.2">
      <c r="B295" t="str">
        <f t="shared" si="9"/>
        <v>Lang_289</v>
      </c>
      <c r="C295" t="s">
        <v>994</v>
      </c>
      <c r="D295" s="392" t="str">
        <f>IF(DD_Current_Lang=1,TRANS_TBL[[#This Row],[ENGLISH]],TRANS_TBL[[#This Row],[FRANÇAIS]])</f>
        <v>Finally, we maintain a series of worksheets where errors, alerts, and issues are kept.</v>
      </c>
      <c r="E295" t="s">
        <v>120</v>
      </c>
      <c r="F295" t="s">
        <v>1331</v>
      </c>
    </row>
    <row r="296" spans="2:6" ht="14.25" x14ac:dyDescent="0.2">
      <c r="B296" t="str">
        <f t="shared" si="9"/>
        <v>Lang_290</v>
      </c>
      <c r="C296" t="s">
        <v>995</v>
      </c>
      <c r="D296" s="392" t="str">
        <f>IF(DD_Current_Lang=1,TRANS_TBL[[#This Row],[ENGLISH]],TRANS_TBL[[#This Row],[FRANÇAIS]])</f>
        <v>Analysis - Lookups</v>
      </c>
      <c r="E296" t="s">
        <v>325</v>
      </c>
      <c r="F296" t="s">
        <v>1332</v>
      </c>
    </row>
    <row r="297" spans="2:6" ht="14.25" x14ac:dyDescent="0.2">
      <c r="B297" t="str">
        <f t="shared" ref="B297:B360" si="10">"Lang_"&amp;ROW()-6</f>
        <v>Lang_291</v>
      </c>
      <c r="C297" t="s">
        <v>996</v>
      </c>
      <c r="D297" s="392" t="str">
        <f>IF(DD_Current_Lang=1,TRANS_TBL[[#This Row],[ENGLISH]],TRANS_TBL[[#This Row],[FRANÇAIS]])</f>
        <v>Detailed Costing Worksheets (OPTIONAL)</v>
      </c>
      <c r="E297" t="s">
        <v>258</v>
      </c>
      <c r="F297" t="s">
        <v>1333</v>
      </c>
    </row>
    <row r="298" spans="2:6" ht="14.25" x14ac:dyDescent="0.2">
      <c r="B298" t="str">
        <f t="shared" si="10"/>
        <v>Lang_292</v>
      </c>
      <c r="C298" t="s">
        <v>998</v>
      </c>
      <c r="D298" s="392" t="str">
        <f>IF(DD_Current_Lang=1,TRANS_TBL[[#This Row],[ENGLISH]],TRANS_TBL[[#This Row],[FRANÇAIS]])</f>
        <v>Sub-Section 2.1.</v>
      </c>
      <c r="E298" t="s">
        <v>997</v>
      </c>
      <c r="F298" t="s">
        <v>1334</v>
      </c>
    </row>
    <row r="299" spans="2:6" ht="14.25" x14ac:dyDescent="0.2">
      <c r="B299" t="str">
        <f t="shared" si="10"/>
        <v>Lang_293</v>
      </c>
      <c r="C299" t="s">
        <v>999</v>
      </c>
      <c r="D299" s="392" t="str">
        <f>IF(DD_Current_Lang=1,TRANS_TBL[[#This Row],[ENGLISH]],TRANS_TBL[[#This Row],[FRANÇAIS]])</f>
        <v>Microplanning - Detailed Costing Worksheets (OPTIONAL)</v>
      </c>
      <c r="E299" t="s">
        <v>248</v>
      </c>
      <c r="F299" t="s">
        <v>1335</v>
      </c>
    </row>
    <row r="300" spans="2:6" ht="14.25" x14ac:dyDescent="0.2">
      <c r="B300" t="str">
        <f t="shared" si="10"/>
        <v>Lang_294</v>
      </c>
      <c r="C300" t="s">
        <v>1000</v>
      </c>
      <c r="D300" s="392" t="str">
        <f>IF(DD_Current_Lang=1,TRANS_TBL[[#This Row],[ENGLISH]],TRANS_TBL[[#This Row],[FRANÇAIS]])</f>
        <v>This detailed costing worksheet can be used to document the types and amounts of resources required to complete a single instance of an activity.</v>
      </c>
      <c r="E300" t="s">
        <v>250</v>
      </c>
      <c r="F300" t="s">
        <v>1336</v>
      </c>
    </row>
    <row r="301" spans="2:6" ht="14.25" x14ac:dyDescent="0.2">
      <c r="B301" t="str">
        <f t="shared" si="10"/>
        <v>Lang_295</v>
      </c>
      <c r="C301" t="s">
        <v>1001</v>
      </c>
      <c r="D301" s="392" t="str">
        <f>IF(DD_Current_Lang=1,TRANS_TBL[[#This Row],[ENGLISH]],TRANS_TBL[[#This Row],[FRANÇAIS]])</f>
        <v>When completed, it will automatically provide a single activity cost in the general assumption worksheet.</v>
      </c>
      <c r="E301" t="s">
        <v>251</v>
      </c>
      <c r="F301" t="s">
        <v>1337</v>
      </c>
    </row>
    <row r="302" spans="2:6" ht="14.25" x14ac:dyDescent="0.2">
      <c r="B302" t="str">
        <f t="shared" si="10"/>
        <v>Lang_296</v>
      </c>
      <c r="C302" t="s">
        <v>1002</v>
      </c>
      <c r="D302" s="392" t="str">
        <f>IF(DD_Current_Lang=1,TRANS_TBL[[#This Row],[ENGLISH]],TRANS_TBL[[#This Row],[FRANÇAIS]])</f>
        <v>The user may then choose to use the results of the detailed costing in the model, or override the detailed costing and insert alternate cost estimates.</v>
      </c>
      <c r="E302" t="s">
        <v>252</v>
      </c>
      <c r="F302" t="s">
        <v>1338</v>
      </c>
    </row>
    <row r="303" spans="2:6" ht="14.25" x14ac:dyDescent="0.2">
      <c r="B303" t="str">
        <f t="shared" si="10"/>
        <v>Lang_297</v>
      </c>
      <c r="C303" t="s">
        <v>1003</v>
      </c>
      <c r="D303" s="392" t="str">
        <f>IF(DD_Current_Lang=1,TRANS_TBL[[#This Row],[ENGLISH]],TRANS_TBL[[#This Row],[FRANÇAIS]])</f>
        <v>Currency Used for Cost Inputs</v>
      </c>
      <c r="E303" t="s">
        <v>236</v>
      </c>
      <c r="F303" t="s">
        <v>1339</v>
      </c>
    </row>
    <row r="304" spans="2:6" ht="14.25" x14ac:dyDescent="0.2">
      <c r="B304" t="str">
        <f t="shared" si="10"/>
        <v>Lang_298</v>
      </c>
      <c r="C304" t="s">
        <v>1004</v>
      </c>
      <c r="D304" s="392" t="str">
        <f>IF(DD_Current_Lang=1,TRANS_TBL[[#This Row],[ENGLISH]],TRANS_TBL[[#This Row],[FRANÇAIS]])</f>
        <v>Imported from Econ Module</v>
      </c>
      <c r="E304" t="s">
        <v>235</v>
      </c>
      <c r="F304" t="s">
        <v>1340</v>
      </c>
    </row>
    <row r="305" spans="2:6" ht="14.25" x14ac:dyDescent="0.2">
      <c r="B305" t="str">
        <f t="shared" si="10"/>
        <v>Lang_299</v>
      </c>
      <c r="C305" t="s">
        <v>1005</v>
      </c>
      <c r="D305" s="392" t="str">
        <f>IF(DD_Current_Lang=1,TRANS_TBL[[#This Row],[ENGLISH]],TRANS_TBL[[#This Row],[FRANÇAIS]])</f>
        <v>Exchange Rate (from Economics)</v>
      </c>
      <c r="E305" t="s">
        <v>616</v>
      </c>
      <c r="F305" t="s">
        <v>1341</v>
      </c>
    </row>
    <row r="306" spans="2:6" ht="14.25" x14ac:dyDescent="0.2">
      <c r="B306" t="str">
        <f t="shared" si="10"/>
        <v>Lang_300</v>
      </c>
      <c r="C306" t="s">
        <v>1006</v>
      </c>
      <c r="D306" s="392" t="str">
        <f>IF(DD_Current_Lang=1,TRANS_TBL[[#This Row],[ENGLISH]],TRANS_TBL[[#This Row],[FRANÇAIS]])</f>
        <v>Personnel Cadre Type</v>
      </c>
      <c r="E306" t="s">
        <v>193</v>
      </c>
      <c r="F306" t="s">
        <v>1342</v>
      </c>
    </row>
    <row r="307" spans="2:6" ht="14.25" x14ac:dyDescent="0.2">
      <c r="B307" t="str">
        <f t="shared" si="10"/>
        <v>Lang_301</v>
      </c>
      <c r="C307" t="s">
        <v>1007</v>
      </c>
      <c r="D307" s="392" t="str">
        <f>IF(DD_Current_Lang=1,TRANS_TBL[[#This Row],[ENGLISH]],TRANS_TBL[[#This Row],[FRANÇAIS]])</f>
        <v>Activity Unit (e.g. Day, Hour, Minute)</v>
      </c>
      <c r="E307" t="s">
        <v>194</v>
      </c>
      <c r="F307" t="s">
        <v>1343</v>
      </c>
    </row>
    <row r="308" spans="2:6" ht="14.25" x14ac:dyDescent="0.2">
      <c r="B308" t="str">
        <f t="shared" si="10"/>
        <v>Lang_302</v>
      </c>
      <c r="C308" t="s">
        <v>1008</v>
      </c>
      <c r="D308" s="392" t="str">
        <f>IF(DD_Current_Lang=1,TRANS_TBL[[#This Row],[ENGLISH]],TRANS_TBL[[#This Row],[FRANÇAIS]])</f>
        <v>Number of Activity Units Required</v>
      </c>
      <c r="E308" t="s">
        <v>195</v>
      </c>
      <c r="F308" t="s">
        <v>1344</v>
      </c>
    </row>
    <row r="309" spans="2:6" ht="14.25" x14ac:dyDescent="0.2">
      <c r="B309" t="str">
        <f t="shared" si="10"/>
        <v>Lang_303</v>
      </c>
      <c r="C309" t="s">
        <v>1009</v>
      </c>
      <c r="D309" s="392" t="str">
        <f>IF(DD_Current_Lang=1,TRANS_TBL[[#This Row],[ENGLISH]],TRANS_TBL[[#This Row],[FRANÇAIS]])</f>
        <v>Allowance Type</v>
      </c>
      <c r="E309" t="s">
        <v>197</v>
      </c>
      <c r="F309" t="s">
        <v>1345</v>
      </c>
    </row>
    <row r="310" spans="2:6" ht="14.25" x14ac:dyDescent="0.2">
      <c r="B310" t="str">
        <f t="shared" si="10"/>
        <v>Lang_304</v>
      </c>
      <c r="C310" t="s">
        <v>1010</v>
      </c>
      <c r="D310" s="392" t="str">
        <f>IF(DD_Current_Lang=1,TRANS_TBL[[#This Row],[ENGLISH]],TRANS_TBL[[#This Row],[FRANÇAIS]])</f>
        <v>Allowance Unit (e.g. Per Day, Round-trip Travel,etc.)</v>
      </c>
      <c r="E310" t="s">
        <v>198</v>
      </c>
      <c r="F310" t="s">
        <v>1346</v>
      </c>
    </row>
    <row r="311" spans="2:6" ht="14.25" x14ac:dyDescent="0.2">
      <c r="B311" t="str">
        <f t="shared" si="10"/>
        <v>Lang_305</v>
      </c>
      <c r="C311" t="s">
        <v>1011</v>
      </c>
      <c r="D311" s="392" t="str">
        <f>IF(DD_Current_Lang=1,TRANS_TBL[[#This Row],[ENGLISH]],TRANS_TBL[[#This Row],[FRANÇAIS]])</f>
        <v>Number of Allowance Units Required</v>
      </c>
      <c r="E311" t="s">
        <v>199</v>
      </c>
      <c r="F311" t="s">
        <v>1347</v>
      </c>
    </row>
    <row r="312" spans="2:6" ht="14.25" x14ac:dyDescent="0.2">
      <c r="B312" t="str">
        <f t="shared" si="10"/>
        <v>Lang_306</v>
      </c>
      <c r="C312" t="s">
        <v>1012</v>
      </c>
      <c r="D312" s="392" t="str">
        <f>IF(DD_Current_Lang=1,TRANS_TBL[[#This Row],[ENGLISH]],TRANS_TBL[[#This Row],[FRANÇAIS]])</f>
        <v>Evidence for Using this Cost Information (source or notes)</v>
      </c>
      <c r="E312" t="s">
        <v>200</v>
      </c>
      <c r="F312" t="s">
        <v>1348</v>
      </c>
    </row>
    <row r="313" spans="2:6" ht="14.25" x14ac:dyDescent="0.2">
      <c r="B313" t="str">
        <f t="shared" si="10"/>
        <v>Lang_307</v>
      </c>
      <c r="C313" t="s">
        <v>1013</v>
      </c>
      <c r="D313" s="392" t="str">
        <f>IF(DD_Current_Lang=1,TRANS_TBL[[#This Row],[ENGLISH]],TRANS_TBL[[#This Row],[FRANÇAIS]])</f>
        <v>Supply Type</v>
      </c>
      <c r="E313" t="s">
        <v>79</v>
      </c>
      <c r="F313" t="s">
        <v>1349</v>
      </c>
    </row>
    <row r="314" spans="2:6" ht="14.25" x14ac:dyDescent="0.2">
      <c r="B314" t="str">
        <f t="shared" si="10"/>
        <v>Lang_308</v>
      </c>
      <c r="C314" t="s">
        <v>1014</v>
      </c>
      <c r="D314" s="392" t="str">
        <f>IF(DD_Current_Lang=1,TRANS_TBL[[#This Row],[ENGLISH]],TRANS_TBL[[#This Row],[FRANÇAIS]])</f>
        <v>Supply Unit (e.g. Each, Dozen, 100-pack,etc.)</v>
      </c>
      <c r="E314" t="s">
        <v>201</v>
      </c>
      <c r="F314" t="s">
        <v>1350</v>
      </c>
    </row>
    <row r="315" spans="2:6" ht="14.25" x14ac:dyDescent="0.2">
      <c r="B315" t="str">
        <f t="shared" si="10"/>
        <v>Lang_309</v>
      </c>
      <c r="C315" t="s">
        <v>1015</v>
      </c>
      <c r="D315" s="392" t="str">
        <f>IF(DD_Current_Lang=1,TRANS_TBL[[#This Row],[ENGLISH]],TRANS_TBL[[#This Row],[FRANÇAIS]])</f>
        <v>Number of Supply Units Required</v>
      </c>
      <c r="E315" t="s">
        <v>202</v>
      </c>
      <c r="F315" t="s">
        <v>1351</v>
      </c>
    </row>
    <row r="316" spans="2:6" ht="14.25" x14ac:dyDescent="0.2">
      <c r="B316" t="str">
        <f t="shared" si="10"/>
        <v>Lang_310</v>
      </c>
      <c r="C316" t="s">
        <v>1016</v>
      </c>
      <c r="D316" s="392" t="str">
        <f>IF(DD_Current_Lang=1,TRANS_TBL[[#This Row],[ENGLISH]],TRANS_TBL[[#This Row],[FRANÇAIS]])</f>
        <v>Other Direct Cost (ODC) Type</v>
      </c>
      <c r="E316" t="s">
        <v>203</v>
      </c>
      <c r="F316" t="s">
        <v>1435</v>
      </c>
    </row>
    <row r="317" spans="2:6" ht="14.25" x14ac:dyDescent="0.2">
      <c r="B317" t="str">
        <f t="shared" si="10"/>
        <v>Lang_311</v>
      </c>
      <c r="C317" t="s">
        <v>1017</v>
      </c>
      <c r="D317" s="392" t="str">
        <f>IF(DD_Current_Lang=1,TRANS_TBL[[#This Row],[ENGLISH]],TRANS_TBL[[#This Row],[FRANÇAIS]])</f>
        <v>ODC Unit (e.g. Each, Dozen, 100-pack,etc.)</v>
      </c>
      <c r="E317" t="s">
        <v>204</v>
      </c>
      <c r="F317" t="s">
        <v>1436</v>
      </c>
    </row>
    <row r="318" spans="2:6" ht="14.25" x14ac:dyDescent="0.2">
      <c r="B318" t="str">
        <f t="shared" si="10"/>
        <v>Lang_312</v>
      </c>
      <c r="C318" t="s">
        <v>1018</v>
      </c>
      <c r="D318" s="392" t="str">
        <f>IF(DD_Current_Lang=1,TRANS_TBL[[#This Row],[ENGLISH]],TRANS_TBL[[#This Row],[FRANÇAIS]])</f>
        <v>Number of ODC Units Required</v>
      </c>
      <c r="E318" t="s">
        <v>205</v>
      </c>
      <c r="F318" t="s">
        <v>1437</v>
      </c>
    </row>
    <row r="319" spans="2:6" ht="14.25" x14ac:dyDescent="0.2">
      <c r="B319" t="str">
        <f t="shared" si="10"/>
        <v>Lang_313</v>
      </c>
      <c r="C319" t="s">
        <v>1019</v>
      </c>
      <c r="D319" s="392" t="str">
        <f>IF(DD_Current_Lang=1,TRANS_TBL[[#This Row],[ENGLISH]],TRANS_TBL[[#This Row],[FRANÇAIS]])</f>
        <v>ERROR CHECK (FLAGS IF INPUT ECONOMIC COST IS LESS THAN FINANCIAL COST)</v>
      </c>
      <c r="E319" t="s">
        <v>196</v>
      </c>
      <c r="F319" t="s">
        <v>1352</v>
      </c>
    </row>
    <row r="320" spans="2:6" ht="14.25" x14ac:dyDescent="0.2">
      <c r="B320" t="str">
        <f t="shared" si="10"/>
        <v>Lang_314</v>
      </c>
      <c r="C320" t="s">
        <v>1020</v>
      </c>
      <c r="D320" s="392" t="str">
        <f>IF(DD_Current_Lang=1,TRANS_TBL[[#This Row],[ENGLISH]],TRANS_TBL[[#This Row],[FRANÇAIS]])</f>
        <v>Training - Detailed Costing Worksheets (OPTIONAL)</v>
      </c>
      <c r="E320" t="s">
        <v>249</v>
      </c>
      <c r="F320" t="s">
        <v>1353</v>
      </c>
    </row>
    <row r="321" spans="2:6" ht="14.25" x14ac:dyDescent="0.2">
      <c r="B321" t="str">
        <f t="shared" si="10"/>
        <v>Lang_315</v>
      </c>
      <c r="C321" t="s">
        <v>1021</v>
      </c>
      <c r="D321" s="392" t="str">
        <f>IF(DD_Current_Lang=1,TRANS_TBL[[#This Row],[ENGLISH]],TRANS_TBL[[#This Row],[FRANÇAIS]])</f>
        <v>Service Delivery  - Detailed Costing Worksheets (OPTIONAL)</v>
      </c>
      <c r="E321" t="s">
        <v>256</v>
      </c>
      <c r="F321" t="s">
        <v>1354</v>
      </c>
    </row>
    <row r="322" spans="2:6" ht="14.25" x14ac:dyDescent="0.2">
      <c r="B322" t="str">
        <f t="shared" si="10"/>
        <v>Lang_316</v>
      </c>
      <c r="C322" t="s">
        <v>1022</v>
      </c>
      <c r="D322" s="392" t="str">
        <f>IF(DD_Current_Lang=1,TRANS_TBL[[#This Row],[ENGLISH]],TRANS_TBL[[#This Row],[FRANÇAIS]])</f>
        <v>Sensitisation  - Detailed Costing Worksheets (OPTIONAL)</v>
      </c>
      <c r="E322" t="s">
        <v>253</v>
      </c>
      <c r="F322" t="s">
        <v>1355</v>
      </c>
    </row>
    <row r="323" spans="2:6" ht="14.25" x14ac:dyDescent="0.2">
      <c r="B323" t="str">
        <f t="shared" si="10"/>
        <v>Lang_317</v>
      </c>
      <c r="C323" t="s">
        <v>1023</v>
      </c>
      <c r="D323" s="392" t="str">
        <f>IF(DD_Current_Lang=1,TRANS_TBL[[#This Row],[ENGLISH]],TRANS_TBL[[#This Row],[FRANÇAIS]])</f>
        <v>Social Mobilisation -  Detailed Costing Worksheets (OPTIONAL)</v>
      </c>
      <c r="E323" t="s">
        <v>254</v>
      </c>
      <c r="F323" t="s">
        <v>1356</v>
      </c>
    </row>
    <row r="324" spans="2:6" ht="14.25" x14ac:dyDescent="0.2">
      <c r="B324" t="str">
        <f t="shared" si="10"/>
        <v>Lang_318</v>
      </c>
      <c r="C324" t="s">
        <v>1024</v>
      </c>
      <c r="D324" s="392" t="str">
        <f>IF(DD_Current_Lang=1,TRANS_TBL[[#This Row],[ENGLISH]],TRANS_TBL[[#This Row],[FRANÇAIS]])</f>
        <v>Supervision  - Detailed Costing Worksheets (OPTIONAL)</v>
      </c>
      <c r="E324" t="s">
        <v>255</v>
      </c>
      <c r="F324" t="s">
        <v>1357</v>
      </c>
    </row>
    <row r="325" spans="2:6" ht="14.25" x14ac:dyDescent="0.2">
      <c r="B325" t="str">
        <f t="shared" si="10"/>
        <v>Lang_319</v>
      </c>
      <c r="C325" t="s">
        <v>1025</v>
      </c>
      <c r="D325" s="392" t="str">
        <f>IF(DD_Current_Lang=1,TRANS_TBL[[#This Row],[ENGLISH]],TRANS_TBL[[#This Row],[FRANÇAIS]])</f>
        <v>OTHER  (Recurrent Costs Only) - Detailed Costing Worksheets (OPTIONAL)</v>
      </c>
      <c r="E325" t="s">
        <v>594</v>
      </c>
      <c r="F325" t="s">
        <v>1358</v>
      </c>
    </row>
    <row r="326" spans="2:6" ht="14.25" x14ac:dyDescent="0.2">
      <c r="B326" t="str">
        <f t="shared" si="10"/>
        <v>Lang_320</v>
      </c>
      <c r="C326" t="s">
        <v>1026</v>
      </c>
      <c r="D326" s="392" t="str">
        <f>IF(DD_Current_Lang=1,TRANS_TBL[[#This Row],[ENGLISH]],TRANS_TBL[[#This Row],[FRANÇAIS]])</f>
        <v>Checks</v>
      </c>
      <c r="E326" t="s">
        <v>10</v>
      </c>
      <c r="F326" t="s">
        <v>1359</v>
      </c>
    </row>
    <row r="327" spans="2:6" ht="14.25" x14ac:dyDescent="0.2">
      <c r="B327" t="str">
        <f t="shared" si="10"/>
        <v>Lang_321</v>
      </c>
      <c r="C327" t="s">
        <v>1027</v>
      </c>
      <c r="D327" s="392" t="str">
        <f>IF(DD_Current_Lang=1,TRANS_TBL[[#This Row],[ENGLISH]],TRANS_TBL[[#This Row],[FRANÇAIS]])</f>
        <v>Error Checks</v>
      </c>
      <c r="E327" t="s">
        <v>11</v>
      </c>
      <c r="F327" t="s">
        <v>1360</v>
      </c>
    </row>
    <row r="328" spans="2:6" ht="14.25" x14ac:dyDescent="0.2">
      <c r="B328" t="str">
        <f t="shared" si="10"/>
        <v>Lang_322</v>
      </c>
      <c r="C328" t="s">
        <v>1028</v>
      </c>
      <c r="D328" s="392" t="str">
        <f>IF(DD_Current_Lang=1,TRANS_TBL[[#This Row],[ENGLISH]],TRANS_TBL[[#This Row],[FRANÇAIS]])</f>
        <v>Summary:</v>
      </c>
      <c r="E328" t="s">
        <v>126</v>
      </c>
      <c r="F328" t="s">
        <v>1361</v>
      </c>
    </row>
    <row r="329" spans="2:6" ht="14.25" x14ac:dyDescent="0.2">
      <c r="B329" t="str">
        <f t="shared" si="10"/>
        <v>Lang_323</v>
      </c>
      <c r="C329" t="s">
        <v>1029</v>
      </c>
      <c r="D329" s="392" t="str">
        <f>IF(DD_Current_Lang=1,TRANS_TBL[[#This Row],[ENGLISH]],TRANS_TBL[[#This Row],[FRANÇAIS]])</f>
        <v>Check</v>
      </c>
      <c r="E329" t="s">
        <v>12</v>
      </c>
      <c r="F329" t="s">
        <v>1362</v>
      </c>
    </row>
    <row r="330" spans="2:6" ht="14.25" x14ac:dyDescent="0.2">
      <c r="B330" t="str">
        <f t="shared" si="10"/>
        <v>Lang_324</v>
      </c>
      <c r="C330" t="s">
        <v>1030</v>
      </c>
      <c r="D330" s="392" t="str">
        <f>IF(DD_Current_Lang=1,TRANS_TBL[[#This Row],[ENGLISH]],TRANS_TBL[[#This Row],[FRANÇAIS]])</f>
        <v>Include?</v>
      </c>
      <c r="E330" t="s">
        <v>13</v>
      </c>
      <c r="F330" t="s">
        <v>1363</v>
      </c>
    </row>
    <row r="331" spans="2:6" ht="14.25" x14ac:dyDescent="0.2">
      <c r="B331" t="str">
        <f t="shared" si="10"/>
        <v>Lang_325</v>
      </c>
      <c r="C331" t="s">
        <v>1031</v>
      </c>
      <c r="D331" s="392" t="str">
        <f>IF(DD_Current_Lang=1,TRANS_TBL[[#This Row],[ENGLISH]],TRANS_TBL[[#This Row],[FRANÇAIS]])</f>
        <v>Flag</v>
      </c>
      <c r="E331" t="s">
        <v>14</v>
      </c>
      <c r="F331" t="s">
        <v>1364</v>
      </c>
    </row>
    <row r="332" spans="2:6" ht="14.25" x14ac:dyDescent="0.2">
      <c r="B332" t="str">
        <f t="shared" si="10"/>
        <v>Lang_326</v>
      </c>
      <c r="C332" t="s">
        <v>1032</v>
      </c>
      <c r="D332" s="392" t="str">
        <f>IF(DD_Current_Lang=1,TRANS_TBL[[#This Row],[ENGLISH]],TRANS_TBL[[#This Row],[FRANÇAIS]])</f>
        <v>Total Errors:</v>
      </c>
      <c r="E332" t="s">
        <v>15</v>
      </c>
      <c r="F332" t="s">
        <v>1365</v>
      </c>
    </row>
    <row r="333" spans="2:6" ht="14.25" x14ac:dyDescent="0.2">
      <c r="B333" t="str">
        <f t="shared" si="10"/>
        <v>Lang_327</v>
      </c>
      <c r="C333" t="s">
        <v>1033</v>
      </c>
      <c r="D333" s="392" t="str">
        <f>IF(DD_Current_Lang=1,TRANS_TBL[[#This Row],[ENGLISH]],TRANS_TBL[[#This Row],[FRANÇAIS]])</f>
        <v>Alert Checks</v>
      </c>
      <c r="E333" t="s">
        <v>16</v>
      </c>
      <c r="F333" t="s">
        <v>1366</v>
      </c>
    </row>
    <row r="334" spans="2:6" ht="14.25" x14ac:dyDescent="0.2">
      <c r="B334" t="str">
        <f t="shared" si="10"/>
        <v>Lang_328</v>
      </c>
      <c r="C334" t="s">
        <v>1034</v>
      </c>
      <c r="D334" s="392" t="str">
        <f>IF(DD_Current_Lang=1,TRANS_TBL[[#This Row],[ENGLISH]],TRANS_TBL[[#This Row],[FRANÇAIS]])</f>
        <v>Total Alerts:</v>
      </c>
      <c r="E334" t="s">
        <v>17</v>
      </c>
      <c r="F334" t="s">
        <v>1367</v>
      </c>
    </row>
    <row r="335" spans="2:6" ht="14.25" x14ac:dyDescent="0.2">
      <c r="B335" t="str">
        <f t="shared" si="10"/>
        <v>Lang_329</v>
      </c>
      <c r="C335" t="s">
        <v>1035</v>
      </c>
      <c r="D335" s="392" t="str">
        <f>IF(DD_Current_Lang=1,TRANS_TBL[[#This Row],[ENGLISH]],TRANS_TBL[[#This Row],[FRANÇAIS]])</f>
        <v>Model Development and Maintenance (Developer Only)</v>
      </c>
      <c r="E335" t="s">
        <v>269</v>
      </c>
      <c r="F335" t="s">
        <v>1745</v>
      </c>
    </row>
    <row r="336" spans="2:6" ht="14.25" x14ac:dyDescent="0.2">
      <c r="B336" t="str">
        <f t="shared" si="10"/>
        <v>Lang_330</v>
      </c>
      <c r="C336" t="s">
        <v>1037</v>
      </c>
      <c r="D336" s="392" t="str">
        <f>IF(DD_Current_Lang=1,TRANS_TBL[[#This Row],[ENGLISH]],TRANS_TBL[[#This Row],[FRANÇAIS]])</f>
        <v>Section 5.</v>
      </c>
      <c r="E336" t="s">
        <v>1036</v>
      </c>
      <c r="F336" t="s">
        <v>1036</v>
      </c>
    </row>
    <row r="337" spans="2:6" ht="14.25" x14ac:dyDescent="0.2">
      <c r="B337" t="str">
        <f t="shared" si="10"/>
        <v>Lang_331</v>
      </c>
      <c r="C337" t="s">
        <v>1038</v>
      </c>
      <c r="D337" s="392" t="str">
        <f>IF(DD_Current_Lang=1,TRANS_TBL[[#This Row],[ENGLISH]],TRANS_TBL[[#This Row],[FRANÇAIS]])</f>
        <v>Calculations - Coverage</v>
      </c>
      <c r="E337" t="s">
        <v>295</v>
      </c>
      <c r="F337" t="s">
        <v>1368</v>
      </c>
    </row>
    <row r="338" spans="2:6" ht="14.25" x14ac:dyDescent="0.2">
      <c r="B338" t="str">
        <f t="shared" si="10"/>
        <v>Lang_332</v>
      </c>
      <c r="C338" t="s">
        <v>1039</v>
      </c>
      <c r="D338" s="392" t="str">
        <f>IF(DD_Current_Lang=1,TRANS_TBL[[#This Row],[ENGLISH]],TRANS_TBL[[#This Row],[FRANÇAIS]])</f>
        <v>Coverage - Outputs - Projected Target Group A</v>
      </c>
      <c r="E338" t="s">
        <v>586</v>
      </c>
      <c r="F338" t="s">
        <v>1801</v>
      </c>
    </row>
    <row r="339" spans="2:6" ht="14.25" x14ac:dyDescent="0.2">
      <c r="B339" t="str">
        <f t="shared" si="10"/>
        <v>Lang_333</v>
      </c>
      <c r="C339" t="s">
        <v>1040</v>
      </c>
      <c r="D339" s="392" t="str">
        <f>IF(DD_Current_Lang=1,TRANS_TBL[[#This Row],[ENGLISH]],TRANS_TBL[[#This Row],[FRANÇAIS]])</f>
        <v>Coverage Projection</v>
      </c>
      <c r="E339" t="s">
        <v>296</v>
      </c>
      <c r="F339" t="s">
        <v>1802</v>
      </c>
    </row>
    <row r="340" spans="2:6" ht="14.25" x14ac:dyDescent="0.2">
      <c r="B340" t="str">
        <f t="shared" si="10"/>
        <v>Lang_334</v>
      </c>
      <c r="C340" t="s">
        <v>1043</v>
      </c>
      <c r="D340" s="392" t="str">
        <f>IF(DD_Current_Lang=1,TRANS_TBL[[#This Row],[ENGLISH]],TRANS_TBL[[#This Row],[FRANÇAIS]])</f>
        <v>Coverage - Outputs - Retrospective Target Group A</v>
      </c>
      <c r="E340" t="s">
        <v>585</v>
      </c>
      <c r="F340" t="s">
        <v>1369</v>
      </c>
    </row>
    <row r="341" spans="2:6" ht="14.25" x14ac:dyDescent="0.2">
      <c r="B341" t="str">
        <f t="shared" si="10"/>
        <v>Lang_335</v>
      </c>
      <c r="C341" t="s">
        <v>1044</v>
      </c>
      <c r="D341" s="392" t="str">
        <f>IF(DD_Current_Lang=1,TRANS_TBL[[#This Row],[ENGLISH]],TRANS_TBL[[#This Row],[FRANÇAIS]])</f>
        <v>Retrospective Coverage</v>
      </c>
      <c r="E341" t="s">
        <v>300</v>
      </c>
      <c r="F341" t="s">
        <v>1370</v>
      </c>
    </row>
    <row r="342" spans="2:6" ht="14.25" x14ac:dyDescent="0.2">
      <c r="B342" t="str">
        <f t="shared" si="10"/>
        <v>Lang_336</v>
      </c>
      <c r="C342" t="s">
        <v>1045</v>
      </c>
      <c r="D342" s="392" t="str">
        <f>IF(DD_Current_Lang=1,TRANS_TBL[[#This Row],[ENGLISH]],TRANS_TBL[[#This Row],[FRANÇAIS]])</f>
        <v>Dose 1 and 2 Coverage - Outputs - Retrospective Target Group A</v>
      </c>
      <c r="E342" t="s">
        <v>309</v>
      </c>
      <c r="F342" t="s">
        <v>1371</v>
      </c>
    </row>
    <row r="343" spans="2:6" ht="14.25" x14ac:dyDescent="0.2">
      <c r="B343" t="str">
        <f t="shared" si="10"/>
        <v>Lang_337</v>
      </c>
      <c r="C343" t="s">
        <v>1046</v>
      </c>
      <c r="D343" s="392" t="str">
        <f>IF(DD_Current_Lang=1,TRANS_TBL[[#This Row],[ENGLISH]],TRANS_TBL[[#This Row],[FRANÇAIS]])</f>
        <v>Dose 1 and 2 Coverage - Outputs - Retrospective ALL TARGET POPULATIONS</v>
      </c>
      <c r="E343" t="s">
        <v>311</v>
      </c>
      <c r="F343" t="s">
        <v>1372</v>
      </c>
    </row>
    <row r="344" spans="2:6" ht="14.25" x14ac:dyDescent="0.2">
      <c r="B344" t="str">
        <f t="shared" si="10"/>
        <v>Lang_338</v>
      </c>
      <c r="C344" t="s">
        <v>1047</v>
      </c>
      <c r="D344" s="392" t="str">
        <f>IF(DD_Current_Lang=1,TRANS_TBL[[#This Row],[ENGLISH]],TRANS_TBL[[#This Row],[FRANÇAIS]])</f>
        <v>Calculations - Vaccine Procurement Costs</v>
      </c>
      <c r="E344" t="s">
        <v>321</v>
      </c>
      <c r="F344" t="s">
        <v>1373</v>
      </c>
    </row>
    <row r="345" spans="2:6" ht="14.25" x14ac:dyDescent="0.2">
      <c r="B345" t="str">
        <f t="shared" si="10"/>
        <v>Lang_339</v>
      </c>
      <c r="C345" t="s">
        <v>1048</v>
      </c>
      <c r="D345" s="392" t="str">
        <f>IF(DD_Current_Lang=1,TRANS_TBL[[#This Row],[ENGLISH]],TRANS_TBL[[#This Row],[FRANÇAIS]])</f>
        <v>Calculations - Single Activity Costs - Annual</v>
      </c>
      <c r="E345" t="s">
        <v>472</v>
      </c>
      <c r="F345" t="s">
        <v>1374</v>
      </c>
    </row>
    <row r="346" spans="2:6" ht="14.25" x14ac:dyDescent="0.2">
      <c r="B346" t="str">
        <f t="shared" si="10"/>
        <v>Lang_340</v>
      </c>
      <c r="C346" t="s">
        <v>1049</v>
      </c>
      <c r="D346" s="392" t="str">
        <f>IF(DD_Current_Lang=1,TRANS_TBL[[#This Row],[ENGLISH]],TRANS_TBL[[#This Row],[FRANÇAIS]])</f>
        <v xml:space="preserve">Calculations from Detailed Cost Worksheets </v>
      </c>
      <c r="E346" t="s">
        <v>439</v>
      </c>
      <c r="F346" t="s">
        <v>1375</v>
      </c>
    </row>
    <row r="347" spans="2:6" ht="14.25" x14ac:dyDescent="0.2">
      <c r="B347" t="str">
        <f t="shared" si="10"/>
        <v>Lang_341</v>
      </c>
      <c r="C347" t="s">
        <v>1050</v>
      </c>
      <c r="D347" s="392" t="str">
        <f>IF(DD_Current_Lang=1,TRANS_TBL[[#This Row],[ENGLISH]],TRANS_TBL[[#This Row],[FRANÇAIS]])</f>
        <v>Personnel</v>
      </c>
      <c r="E347" t="s">
        <v>63</v>
      </c>
      <c r="F347" t="s">
        <v>63</v>
      </c>
    </row>
    <row r="348" spans="2:6" ht="14.25" x14ac:dyDescent="0.2">
      <c r="B348" t="str">
        <f t="shared" si="10"/>
        <v>Lang_342</v>
      </c>
      <c r="C348" t="s">
        <v>1051</v>
      </c>
      <c r="D348" s="392" t="str">
        <f>IF(DD_Current_Lang=1,TRANS_TBL[[#This Row],[ENGLISH]],TRANS_TBL[[#This Row],[FRANÇAIS]])</f>
        <v>Allowances</v>
      </c>
      <c r="E348" t="s">
        <v>85</v>
      </c>
      <c r="F348" t="s">
        <v>1376</v>
      </c>
    </row>
    <row r="349" spans="2:6" ht="14.25" x14ac:dyDescent="0.2">
      <c r="B349" t="str">
        <f t="shared" si="10"/>
        <v>Lang_343</v>
      </c>
      <c r="C349" t="s">
        <v>1052</v>
      </c>
      <c r="D349" s="392" t="str">
        <f>IF(DD_Current_Lang=1,TRANS_TBL[[#This Row],[ENGLISH]],TRANS_TBL[[#This Row],[FRANÇAIS]])</f>
        <v>Supplies and Materials</v>
      </c>
      <c r="E349" t="s">
        <v>106</v>
      </c>
      <c r="F349" t="s">
        <v>1377</v>
      </c>
    </row>
    <row r="350" spans="2:6" ht="14.25" x14ac:dyDescent="0.2">
      <c r="B350" t="str">
        <f t="shared" si="10"/>
        <v>Lang_344</v>
      </c>
      <c r="C350" t="s">
        <v>1053</v>
      </c>
      <c r="D350" s="392" t="str">
        <f>IF(DD_Current_Lang=1,TRANS_TBL[[#This Row],[ENGLISH]],TRANS_TBL[[#This Row],[FRANÇAIS]])</f>
        <v>Other Direct Costs</v>
      </c>
      <c r="E350" t="s">
        <v>64</v>
      </c>
      <c r="F350" t="s">
        <v>1378</v>
      </c>
    </row>
    <row r="351" spans="2:6" ht="14.25" x14ac:dyDescent="0.2">
      <c r="B351" t="str">
        <f t="shared" si="10"/>
        <v>Lang_345</v>
      </c>
      <c r="C351" t="s">
        <v>1054</v>
      </c>
      <c r="D351" s="392" t="str">
        <f>IF(DD_Current_Lang=1,TRANS_TBL[[#This Row],[ENGLISH]],TRANS_TBL[[#This Row],[FRANÇAIS]])</f>
        <v>Variable Lookup Worksheets (AUTOGENERATED)</v>
      </c>
      <c r="E351" t="s">
        <v>124</v>
      </c>
      <c r="F351" t="s">
        <v>1430</v>
      </c>
    </row>
    <row r="352" spans="2:6" ht="14.25" x14ac:dyDescent="0.2">
      <c r="B352" t="str">
        <f t="shared" si="10"/>
        <v>Lang_346</v>
      </c>
      <c r="C352" t="s">
        <v>1055</v>
      </c>
      <c r="D352" s="392" t="str">
        <f>IF(DD_Current_Lang=1,TRANS_TBL[[#This Row],[ENGLISH]],TRANS_TBL[[#This Row],[FRANÇAIS]])</f>
        <v>Sub-Section 4.1.</v>
      </c>
      <c r="E352" t="s">
        <v>110</v>
      </c>
      <c r="F352" t="s">
        <v>1379</v>
      </c>
    </row>
    <row r="353" spans="2:6" ht="14.25" x14ac:dyDescent="0.2">
      <c r="B353" t="str">
        <f t="shared" si="10"/>
        <v>Lang_347</v>
      </c>
      <c r="C353" t="s">
        <v>1056</v>
      </c>
      <c r="D353" s="392" t="str">
        <f>IF(DD_Current_Lang=1,TRANS_TBL[[#This Row],[ENGLISH]],TRANS_TBL[[#This Row],[FRANÇAIS]])</f>
        <v>Time Series Variables</v>
      </c>
      <c r="E353" t="s">
        <v>262</v>
      </c>
      <c r="F353" t="s">
        <v>1380</v>
      </c>
    </row>
    <row r="354" spans="2:6" ht="14.25" x14ac:dyDescent="0.2">
      <c r="B354" t="str">
        <f t="shared" si="10"/>
        <v>Lang_348</v>
      </c>
      <c r="C354" t="s">
        <v>1057</v>
      </c>
      <c r="D354" s="392" t="str">
        <f>IF(DD_Current_Lang=1,TRANS_TBL[[#This Row],[ENGLISH]],TRANS_TBL[[#This Row],[FRANÇAIS]])</f>
        <v>Time Series - Lookups</v>
      </c>
      <c r="E354" t="s">
        <v>30</v>
      </c>
      <c r="F354" t="s">
        <v>1381</v>
      </c>
    </row>
    <row r="355" spans="2:6" ht="14.25" x14ac:dyDescent="0.2">
      <c r="B355" t="str">
        <f t="shared" si="10"/>
        <v>Lang_349</v>
      </c>
      <c r="C355" t="s">
        <v>1058</v>
      </c>
      <c r="D355" s="392" t="str">
        <f>IF(DD_Current_Lang=1,TRANS_TBL[[#This Row],[ENGLISH]],TRANS_TBL[[#This Row],[FRANÇAIS]])</f>
        <v>Vaccine - Lookups</v>
      </c>
      <c r="E355" t="s">
        <v>305</v>
      </c>
      <c r="F355" t="s">
        <v>1382</v>
      </c>
    </row>
    <row r="356" spans="2:6" ht="14.25" x14ac:dyDescent="0.2">
      <c r="B356" t="str">
        <f t="shared" si="10"/>
        <v>Lang_350</v>
      </c>
      <c r="C356" t="s">
        <v>1059</v>
      </c>
      <c r="D356" s="392" t="str">
        <f>IF(DD_Current_Lang=1,TRANS_TBL[[#This Row],[ENGLISH]],TRANS_TBL[[#This Row],[FRANÇAIS]])</f>
        <v>Custom Labels Variables</v>
      </c>
      <c r="E356" t="s">
        <v>263</v>
      </c>
      <c r="F356" t="s">
        <v>1383</v>
      </c>
    </row>
    <row r="357" spans="2:6" ht="14.25" x14ac:dyDescent="0.2">
      <c r="B357" t="str">
        <f t="shared" si="10"/>
        <v>Lang_351</v>
      </c>
      <c r="C357" t="s">
        <v>1060</v>
      </c>
      <c r="D357" s="392" t="str">
        <f>IF(DD_Current_Lang=1,TRANS_TBL[[#This Row],[ENGLISH]],TRANS_TBL[[#This Row],[FRANÇAIS]])</f>
        <v>Custom Labels - Lookups</v>
      </c>
      <c r="E357" t="s">
        <v>149</v>
      </c>
      <c r="F357" t="s">
        <v>1384</v>
      </c>
    </row>
    <row r="358" spans="2:6" ht="14.25" x14ac:dyDescent="0.2">
      <c r="B358" t="str">
        <f t="shared" si="10"/>
        <v>Lang_352</v>
      </c>
      <c r="C358" t="s">
        <v>1061</v>
      </c>
      <c r="D358" s="392" t="str">
        <f>IF(DD_Current_Lang=1,TRANS_TBL[[#This Row],[ENGLISH]],TRANS_TBL[[#This Row],[FRANÇAIS]])</f>
        <v>Economic Variables</v>
      </c>
      <c r="E358" t="s">
        <v>264</v>
      </c>
      <c r="F358" t="s">
        <v>1385</v>
      </c>
    </row>
    <row r="359" spans="2:6" ht="14.25" x14ac:dyDescent="0.2">
      <c r="B359" t="str">
        <f t="shared" si="10"/>
        <v>Lang_353</v>
      </c>
      <c r="C359" t="s">
        <v>1062</v>
      </c>
      <c r="D359" s="392" t="str">
        <f>IF(DD_Current_Lang=1,TRANS_TBL[[#This Row],[ENGLISH]],TRANS_TBL[[#This Row],[FRANÇAIS]])</f>
        <v>Economic - Lookups</v>
      </c>
      <c r="E359" t="s">
        <v>224</v>
      </c>
      <c r="F359" t="s">
        <v>1386</v>
      </c>
    </row>
    <row r="360" spans="2:6" ht="14.25" x14ac:dyDescent="0.2">
      <c r="B360" t="str">
        <f t="shared" si="10"/>
        <v>Lang_354</v>
      </c>
      <c r="C360" t="s">
        <v>1063</v>
      </c>
      <c r="D360" s="392" t="str">
        <f>IF(DD_Current_Lang=1,TRANS_TBL[[#This Row],[ENGLISH]],TRANS_TBL[[#This Row],[FRANÇAIS]])</f>
        <v>Counts Variables</v>
      </c>
      <c r="E360" t="s">
        <v>347</v>
      </c>
      <c r="F360" t="s">
        <v>1387</v>
      </c>
    </row>
    <row r="361" spans="2:6" ht="14.25" x14ac:dyDescent="0.2">
      <c r="B361" t="str">
        <f t="shared" ref="B361:B424" si="11">"Lang_"&amp;ROW()-6</f>
        <v>Lang_355</v>
      </c>
      <c r="C361" t="s">
        <v>1064</v>
      </c>
      <c r="D361" s="392" t="str">
        <f>IF(DD_Current_Lang=1,TRANS_TBL[[#This Row],[ENGLISH]],TRANS_TBL[[#This Row],[FRANÇAIS]])</f>
        <v>Counts - Lookups</v>
      </c>
      <c r="E361" t="s">
        <v>138</v>
      </c>
      <c r="F361" t="s">
        <v>1388</v>
      </c>
    </row>
    <row r="362" spans="2:6" ht="14.25" x14ac:dyDescent="0.2">
      <c r="B362" t="str">
        <f t="shared" si="11"/>
        <v>Lang_356</v>
      </c>
      <c r="C362" t="s">
        <v>1065</v>
      </c>
      <c r="D362" s="392" t="str">
        <f>IF(DD_Current_Lang=1,TRANS_TBL[[#This Row],[ENGLISH]],TRANS_TBL[[#This Row],[FRANÇAIS]])</f>
        <v>Coverage Variables</v>
      </c>
      <c r="E362" t="s">
        <v>346</v>
      </c>
      <c r="F362" t="s">
        <v>1389</v>
      </c>
    </row>
    <row r="363" spans="2:6" ht="14.25" x14ac:dyDescent="0.2">
      <c r="B363" t="str">
        <f t="shared" si="11"/>
        <v>Lang_357</v>
      </c>
      <c r="C363" t="s">
        <v>1066</v>
      </c>
      <c r="D363" s="392" t="str">
        <f>IF(DD_Current_Lang=1,TRANS_TBL[[#This Row],[ENGLISH]],TRANS_TBL[[#This Row],[FRANÇAIS]])</f>
        <v>Coverage - Lookups</v>
      </c>
      <c r="E363" t="s">
        <v>281</v>
      </c>
      <c r="F363" t="s">
        <v>1390</v>
      </c>
    </row>
    <row r="364" spans="2:6" ht="14.25" x14ac:dyDescent="0.2">
      <c r="B364" t="str">
        <f t="shared" si="11"/>
        <v>Lang_358</v>
      </c>
      <c r="C364" t="s">
        <v>1067</v>
      </c>
      <c r="D364" s="392" t="str">
        <f>IF(DD_Current_Lang=1,TRANS_TBL[[#This Row],[ENGLISH]],TRANS_TBL[[#This Row],[FRANÇAIS]])</f>
        <v>Microplanning Activity Variables</v>
      </c>
      <c r="E364" t="s">
        <v>265</v>
      </c>
      <c r="F364" t="s">
        <v>1391</v>
      </c>
    </row>
    <row r="365" spans="2:6" ht="14.25" x14ac:dyDescent="0.2">
      <c r="B365" t="str">
        <f t="shared" si="11"/>
        <v>Lang_359</v>
      </c>
      <c r="C365" t="s">
        <v>1068</v>
      </c>
      <c r="D365" s="392" t="str">
        <f>IF(DD_Current_Lang=1,TRANS_TBL[[#This Row],[ENGLISH]],TRANS_TBL[[#This Row],[FRANÇAIS]])</f>
        <v>Microplanning Level 1 (1) - Lookups</v>
      </c>
      <c r="E365" t="s">
        <v>385</v>
      </c>
      <c r="F365" t="s">
        <v>1751</v>
      </c>
    </row>
    <row r="366" spans="2:6" ht="14.25" x14ac:dyDescent="0.2">
      <c r="B366" t="str">
        <f t="shared" si="11"/>
        <v>Lang_360</v>
      </c>
      <c r="C366" t="s">
        <v>1069</v>
      </c>
      <c r="D366" s="392" t="str">
        <f>IF(DD_Current_Lang=1,TRANS_TBL[[#This Row],[ENGLISH]],TRANS_TBL[[#This Row],[FRANÇAIS]])</f>
        <v>Microplanning Level 1 (2) - Lookups</v>
      </c>
      <c r="E366" t="s">
        <v>368</v>
      </c>
      <c r="F366" t="s">
        <v>1392</v>
      </c>
    </row>
    <row r="367" spans="2:6" ht="14.25" x14ac:dyDescent="0.2">
      <c r="B367" t="str">
        <f t="shared" si="11"/>
        <v>Lang_361</v>
      </c>
      <c r="C367" t="s">
        <v>1070</v>
      </c>
      <c r="D367" s="392" t="str">
        <f>IF(DD_Current_Lang=1,TRANS_TBL[[#This Row],[ENGLISH]],TRANS_TBL[[#This Row],[FRANÇAIS]])</f>
        <v>Microplanning Level 2 (1) - Lookups</v>
      </c>
      <c r="E367" t="s">
        <v>386</v>
      </c>
      <c r="F367" t="s">
        <v>1752</v>
      </c>
    </row>
    <row r="368" spans="2:6" ht="14.25" x14ac:dyDescent="0.2">
      <c r="B368" t="str">
        <f t="shared" si="11"/>
        <v>Lang_362</v>
      </c>
      <c r="C368" t="s">
        <v>1071</v>
      </c>
      <c r="D368" s="392" t="str">
        <f>IF(DD_Current_Lang=1,TRANS_TBL[[#This Row],[ENGLISH]],TRANS_TBL[[#This Row],[FRANÇAIS]])</f>
        <v>Microplanning Level 2 (2) - Lookups</v>
      </c>
      <c r="E368" t="s">
        <v>371</v>
      </c>
      <c r="F368" t="s">
        <v>1753</v>
      </c>
    </row>
    <row r="369" spans="2:6" ht="14.25" x14ac:dyDescent="0.2">
      <c r="B369" t="str">
        <f t="shared" si="11"/>
        <v>Lang_363</v>
      </c>
      <c r="C369" t="s">
        <v>1072</v>
      </c>
      <c r="D369" s="392" t="str">
        <f>IF(DD_Current_Lang=1,TRANS_TBL[[#This Row],[ENGLISH]],TRANS_TBL[[#This Row],[FRANÇAIS]])</f>
        <v>AEFI - Variables</v>
      </c>
      <c r="E369" s="397" t="s">
        <v>345</v>
      </c>
      <c r="F369" t="s">
        <v>1393</v>
      </c>
    </row>
    <row r="370" spans="2:6" ht="14.25" x14ac:dyDescent="0.2">
      <c r="B370" t="str">
        <f t="shared" si="11"/>
        <v>Lang_364</v>
      </c>
      <c r="C370" t="s">
        <v>1073</v>
      </c>
      <c r="D370" s="392" t="str">
        <f>IF(DD_Current_Lang=1,TRANS_TBL[[#This Row],[ENGLISH]],TRANS_TBL[[#This Row],[FRANÇAIS]])</f>
        <v>OTHER Activity Level 1 (1) - Lookups</v>
      </c>
      <c r="E370" t="s">
        <v>406</v>
      </c>
      <c r="F370" t="s">
        <v>1755</v>
      </c>
    </row>
    <row r="371" spans="2:6" ht="14.25" x14ac:dyDescent="0.2">
      <c r="B371" t="str">
        <f t="shared" si="11"/>
        <v>Lang_365</v>
      </c>
      <c r="C371" t="s">
        <v>1074</v>
      </c>
      <c r="D371" s="392" t="str">
        <f>IF(DD_Current_Lang=1,TRANS_TBL[[#This Row],[ENGLISH]],TRANS_TBL[[#This Row],[FRANÇAIS]])</f>
        <v>OTHER Activity Level 1 (2) - Lookups</v>
      </c>
      <c r="E371" t="s">
        <v>407</v>
      </c>
      <c r="F371" t="s">
        <v>1756</v>
      </c>
    </row>
    <row r="372" spans="2:6" ht="14.25" x14ac:dyDescent="0.2">
      <c r="B372" t="str">
        <f t="shared" si="11"/>
        <v>Lang_366</v>
      </c>
      <c r="C372" t="s">
        <v>1075</v>
      </c>
      <c r="D372" s="392" t="str">
        <f>IF(DD_Current_Lang=1,TRANS_TBL[[#This Row],[ENGLISH]],TRANS_TBL[[#This Row],[FRANÇAIS]])</f>
        <v>OTHER Activity Level 1 (3) - Lookups</v>
      </c>
      <c r="E372" t="s">
        <v>408</v>
      </c>
      <c r="F372" t="s">
        <v>1757</v>
      </c>
    </row>
    <row r="373" spans="2:6" ht="14.25" x14ac:dyDescent="0.2">
      <c r="B373" t="str">
        <f t="shared" si="11"/>
        <v>Lang_367</v>
      </c>
      <c r="C373" t="s">
        <v>1076</v>
      </c>
      <c r="D373" s="392" t="str">
        <f>IF(DD_Current_Lang=1,TRANS_TBL[[#This Row],[ENGLISH]],TRANS_TBL[[#This Row],[FRANÇAIS]])</f>
        <v>OTHER Activity Level 2 (1) - Lookups</v>
      </c>
      <c r="E373" t="s">
        <v>409</v>
      </c>
      <c r="F373" t="s">
        <v>1758</v>
      </c>
    </row>
    <row r="374" spans="2:6" ht="14.25" x14ac:dyDescent="0.2">
      <c r="B374" t="str">
        <f t="shared" si="11"/>
        <v>Lang_368</v>
      </c>
      <c r="C374" t="s">
        <v>1077</v>
      </c>
      <c r="D374" s="392" t="str">
        <f>IF(DD_Current_Lang=1,TRANS_TBL[[#This Row],[ENGLISH]],TRANS_TBL[[#This Row],[FRANÇAIS]])</f>
        <v>OTHER Activity Level 2 (2) - Lookups</v>
      </c>
      <c r="E374" t="s">
        <v>410</v>
      </c>
      <c r="F374" t="s">
        <v>1759</v>
      </c>
    </row>
    <row r="375" spans="2:6" ht="14.25" x14ac:dyDescent="0.2">
      <c r="B375" t="str">
        <f t="shared" si="11"/>
        <v>Lang_369</v>
      </c>
      <c r="C375" t="s">
        <v>1078</v>
      </c>
      <c r="D375" s="392" t="str">
        <f>IF(DD_Current_Lang=1,TRANS_TBL[[#This Row],[ENGLISH]],TRANS_TBL[[#This Row],[FRANÇAIS]])</f>
        <v>Cold Chain Expansion - Lookups</v>
      </c>
      <c r="E375" t="s">
        <v>528</v>
      </c>
      <c r="F375" t="s">
        <v>1394</v>
      </c>
    </row>
    <row r="376" spans="2:6" ht="14.25" x14ac:dyDescent="0.2">
      <c r="B376" t="str">
        <f t="shared" si="11"/>
        <v>Lang_370</v>
      </c>
      <c r="C376" t="s">
        <v>1079</v>
      </c>
      <c r="D376" s="392" t="str">
        <f>IF(DD_Current_Lang=1,TRANS_TBL[[#This Row],[ENGLISH]],TRANS_TBL[[#This Row],[FRANÇAIS]])</f>
        <v>Other Capital Investments - Lookups</v>
      </c>
      <c r="E376" t="s">
        <v>559</v>
      </c>
      <c r="F376" t="s">
        <v>1395</v>
      </c>
    </row>
    <row r="377" spans="2:6" ht="14.25" x14ac:dyDescent="0.2">
      <c r="B377" t="str">
        <f t="shared" si="11"/>
        <v>Lang_371</v>
      </c>
      <c r="C377" t="s">
        <v>1080</v>
      </c>
      <c r="D377" s="392" t="str">
        <f>IF(DD_Current_Lang=1,TRANS_TBL[[#This Row],[ENGLISH]],TRANS_TBL[[#This Row],[FRANÇAIS]])</f>
        <v>Training Activity Variables</v>
      </c>
      <c r="E377" t="s">
        <v>266</v>
      </c>
      <c r="F377" t="s">
        <v>1396</v>
      </c>
    </row>
    <row r="378" spans="2:6" ht="14.25" x14ac:dyDescent="0.2">
      <c r="B378" t="str">
        <f t="shared" si="11"/>
        <v>Lang_372</v>
      </c>
      <c r="C378" t="s">
        <v>1081</v>
      </c>
      <c r="D378" s="392" t="str">
        <f>IF(DD_Current_Lang=1,TRANS_TBL[[#This Row],[ENGLISH]],TRANS_TBL[[#This Row],[FRANÇAIS]])</f>
        <v>Training Level 1 (1) - Lookups</v>
      </c>
      <c r="E378" t="s">
        <v>387</v>
      </c>
      <c r="F378" t="s">
        <v>1397</v>
      </c>
    </row>
    <row r="379" spans="2:6" ht="14.25" x14ac:dyDescent="0.2">
      <c r="B379" t="str">
        <f t="shared" si="11"/>
        <v>Lang_373</v>
      </c>
      <c r="C379" t="s">
        <v>1082</v>
      </c>
      <c r="D379" s="392" t="str">
        <f>IF(DD_Current_Lang=1,TRANS_TBL[[#This Row],[ENGLISH]],TRANS_TBL[[#This Row],[FRANÇAIS]])</f>
        <v>Training Level 1 (2) - Lookups</v>
      </c>
      <c r="E379" t="s">
        <v>369</v>
      </c>
      <c r="F379" t="s">
        <v>1398</v>
      </c>
    </row>
    <row r="380" spans="2:6" ht="14.25" x14ac:dyDescent="0.2">
      <c r="B380" t="str">
        <f t="shared" si="11"/>
        <v>Lang_374</v>
      </c>
      <c r="C380" t="s">
        <v>1083</v>
      </c>
      <c r="D380" s="392" t="str">
        <f>IF(DD_Current_Lang=1,TRANS_TBL[[#This Row],[ENGLISH]],TRANS_TBL[[#This Row],[FRANÇAIS]])</f>
        <v>Training Level 1 (3) - Lookups</v>
      </c>
      <c r="E380" t="s">
        <v>370</v>
      </c>
      <c r="F380" t="s">
        <v>1399</v>
      </c>
    </row>
    <row r="381" spans="2:6" ht="14.25" x14ac:dyDescent="0.2">
      <c r="B381" t="str">
        <f t="shared" si="11"/>
        <v>Lang_375</v>
      </c>
      <c r="C381" t="s">
        <v>1084</v>
      </c>
      <c r="D381" s="392" t="str">
        <f>IF(DD_Current_Lang=1,TRANS_TBL[[#This Row],[ENGLISH]],TRANS_TBL[[#This Row],[FRANÇAIS]])</f>
        <v>Training Level 2 (1) - Lookups</v>
      </c>
      <c r="E381" t="s">
        <v>388</v>
      </c>
      <c r="F381" t="s">
        <v>1400</v>
      </c>
    </row>
    <row r="382" spans="2:6" ht="14.25" x14ac:dyDescent="0.2">
      <c r="B382" t="str">
        <f t="shared" si="11"/>
        <v>Lang_376</v>
      </c>
      <c r="C382" t="s">
        <v>1085</v>
      </c>
      <c r="D382" s="392" t="str">
        <f>IF(DD_Current_Lang=1,TRANS_TBL[[#This Row],[ENGLISH]],TRANS_TBL[[#This Row],[FRANÇAIS]])</f>
        <v>Sensitisation Activity Variables</v>
      </c>
      <c r="E382" t="s">
        <v>267</v>
      </c>
      <c r="F382" t="s">
        <v>1401</v>
      </c>
    </row>
    <row r="383" spans="2:6" ht="14.25" x14ac:dyDescent="0.2">
      <c r="B383" t="str">
        <f t="shared" si="11"/>
        <v>Lang_377</v>
      </c>
      <c r="C383" t="s">
        <v>1086</v>
      </c>
      <c r="D383" s="392" t="str">
        <f>IF(DD_Current_Lang=1,TRANS_TBL[[#This Row],[ENGLISH]],TRANS_TBL[[#This Row],[FRANÇAIS]])</f>
        <v>Sensitization Level 1 (1) - Lookups</v>
      </c>
      <c r="E383" t="s">
        <v>384</v>
      </c>
      <c r="F383" t="s">
        <v>1402</v>
      </c>
    </row>
    <row r="384" spans="2:6" ht="14.25" x14ac:dyDescent="0.2">
      <c r="B384" t="str">
        <f t="shared" si="11"/>
        <v>Lang_378</v>
      </c>
      <c r="C384" t="s">
        <v>1087</v>
      </c>
      <c r="D384" s="392" t="str">
        <f>IF(DD_Current_Lang=1,TRANS_TBL[[#This Row],[ENGLISH]],TRANS_TBL[[#This Row],[FRANÇAIS]])</f>
        <v>Sensitization Level 1 (2) - Lookups</v>
      </c>
      <c r="E384" t="s">
        <v>379</v>
      </c>
      <c r="F384" t="s">
        <v>1403</v>
      </c>
    </row>
    <row r="385" spans="2:6" ht="14.25" x14ac:dyDescent="0.2">
      <c r="B385" t="str">
        <f t="shared" si="11"/>
        <v>Lang_379</v>
      </c>
      <c r="C385" t="s">
        <v>1090</v>
      </c>
      <c r="D385" s="392" t="str">
        <f>IF(DD_Current_Lang=1,TRANS_TBL[[#This Row],[ENGLISH]],TRANS_TBL[[#This Row],[FRANÇAIS]])</f>
        <v>Sensitization Level 1 (3) - Lookups</v>
      </c>
      <c r="E385" t="s">
        <v>380</v>
      </c>
      <c r="F385" t="s">
        <v>1404</v>
      </c>
    </row>
    <row r="386" spans="2:6" ht="14.25" x14ac:dyDescent="0.2">
      <c r="B386" t="str">
        <f t="shared" si="11"/>
        <v>Lang_380</v>
      </c>
      <c r="C386" t="s">
        <v>1091</v>
      </c>
      <c r="D386" s="392" t="str">
        <f>IF(DD_Current_Lang=1,TRANS_TBL[[#This Row],[ENGLISH]],TRANS_TBL[[#This Row],[FRANÇAIS]])</f>
        <v>Sensitization Level 2 (1) - Lookups</v>
      </c>
      <c r="E386" t="s">
        <v>389</v>
      </c>
      <c r="F386" t="s">
        <v>1405</v>
      </c>
    </row>
    <row r="387" spans="2:6" ht="14.25" x14ac:dyDescent="0.2">
      <c r="B387" t="str">
        <f t="shared" si="11"/>
        <v>Lang_381</v>
      </c>
      <c r="C387" t="s">
        <v>1088</v>
      </c>
      <c r="D387" s="392" t="str">
        <f>IF(DD_Current_Lang=1,TRANS_TBL[[#This Row],[ENGLISH]],TRANS_TBL[[#This Row],[FRANÇAIS]])</f>
        <v>Sensitization Level 2 (2) - Lookups</v>
      </c>
      <c r="E387" t="s">
        <v>381</v>
      </c>
      <c r="F387" t="s">
        <v>1406</v>
      </c>
    </row>
    <row r="388" spans="2:6" ht="14.25" x14ac:dyDescent="0.2">
      <c r="B388" t="str">
        <f t="shared" si="11"/>
        <v>Lang_382</v>
      </c>
      <c r="C388" t="s">
        <v>1089</v>
      </c>
      <c r="D388" s="392" t="str">
        <f>IF(DD_Current_Lang=1,TRANS_TBL[[#This Row],[ENGLISH]],TRANS_TBL[[#This Row],[FRANÇAIS]])</f>
        <v>Sensitization Level 2 (3) - Lookups</v>
      </c>
      <c r="E388" t="s">
        <v>382</v>
      </c>
      <c r="F388" t="s">
        <v>1407</v>
      </c>
    </row>
    <row r="389" spans="2:6" ht="14.25" x14ac:dyDescent="0.2">
      <c r="B389" t="str">
        <f t="shared" si="11"/>
        <v>Lang_383</v>
      </c>
      <c r="C389" t="s">
        <v>1092</v>
      </c>
      <c r="D389" s="392" t="str">
        <f>IF(DD_Current_Lang=1,TRANS_TBL[[#This Row],[ENGLISH]],TRANS_TBL[[#This Row],[FRANÇAIS]])</f>
        <v>Social Mobilisation Activity Variables</v>
      </c>
      <c r="E389" t="s">
        <v>1093</v>
      </c>
      <c r="F389" t="s">
        <v>1408</v>
      </c>
    </row>
    <row r="390" spans="2:6" ht="14.25" x14ac:dyDescent="0.2">
      <c r="B390" t="str">
        <f t="shared" si="11"/>
        <v>Lang_384</v>
      </c>
      <c r="C390" t="s">
        <v>1101</v>
      </c>
      <c r="D390" s="392" t="str">
        <f>IF(DD_Current_Lang=1,TRANS_TBL[[#This Row],[ENGLISH]],TRANS_TBL[[#This Row],[FRANÇAIS]])</f>
        <v>SOC MOB Level 1 (1) - Lookups</v>
      </c>
      <c r="E390" t="s">
        <v>1094</v>
      </c>
      <c r="F390" t="s">
        <v>1760</v>
      </c>
    </row>
    <row r="391" spans="2:6" ht="14.25" x14ac:dyDescent="0.2">
      <c r="B391" t="str">
        <f t="shared" si="11"/>
        <v>Lang_385</v>
      </c>
      <c r="C391" t="s">
        <v>1102</v>
      </c>
      <c r="D391" s="392" t="str">
        <f>IF(DD_Current_Lang=1,TRANS_TBL[[#This Row],[ENGLISH]],TRANS_TBL[[#This Row],[FRANÇAIS]])</f>
        <v>SOC MOB Level 1 (2) - Lookups</v>
      </c>
      <c r="E391" t="s">
        <v>1095</v>
      </c>
      <c r="F391" t="s">
        <v>1761</v>
      </c>
    </row>
    <row r="392" spans="2:6" ht="14.25" x14ac:dyDescent="0.2">
      <c r="B392" t="str">
        <f t="shared" si="11"/>
        <v>Lang_386</v>
      </c>
      <c r="C392" t="s">
        <v>1103</v>
      </c>
      <c r="D392" s="392" t="str">
        <f>IF(DD_Current_Lang=1,TRANS_TBL[[#This Row],[ENGLISH]],TRANS_TBL[[#This Row],[FRANÇAIS]])</f>
        <v>SOC MOB Level 1 (3) - Lookups</v>
      </c>
      <c r="E392" t="s">
        <v>378</v>
      </c>
      <c r="F392" t="s">
        <v>1762</v>
      </c>
    </row>
    <row r="393" spans="2:6" ht="14.25" x14ac:dyDescent="0.2">
      <c r="B393" t="str">
        <f t="shared" si="11"/>
        <v>Lang_387</v>
      </c>
      <c r="C393" t="s">
        <v>1104</v>
      </c>
      <c r="D393" s="392" t="str">
        <f>IF(DD_Current_Lang=1,TRANS_TBL[[#This Row],[ENGLISH]],TRANS_TBL[[#This Row],[FRANÇAIS]])</f>
        <v>SOC MOB Level 2 (1) - Lookups</v>
      </c>
      <c r="E393" t="s">
        <v>1096</v>
      </c>
      <c r="F393" t="s">
        <v>1763</v>
      </c>
    </row>
    <row r="394" spans="2:6" ht="14.25" x14ac:dyDescent="0.2">
      <c r="B394" t="str">
        <f t="shared" si="11"/>
        <v>Lang_388</v>
      </c>
      <c r="C394" t="s">
        <v>1105</v>
      </c>
      <c r="D394" s="392" t="str">
        <f>IF(DD_Current_Lang=1,TRANS_TBL[[#This Row],[ENGLISH]],TRANS_TBL[[#This Row],[FRANÇAIS]])</f>
        <v>SOC MOB Level 2 (2) - Lookups</v>
      </c>
      <c r="E394" t="s">
        <v>1097</v>
      </c>
      <c r="F394" t="s">
        <v>1764</v>
      </c>
    </row>
    <row r="395" spans="2:6" ht="14.25" x14ac:dyDescent="0.2">
      <c r="B395" t="str">
        <f t="shared" si="11"/>
        <v>Lang_389</v>
      </c>
      <c r="C395" t="s">
        <v>1106</v>
      </c>
      <c r="D395" s="392" t="str">
        <f>IF(DD_Current_Lang=1,TRANS_TBL[[#This Row],[ENGLISH]],TRANS_TBL[[#This Row],[FRANÇAIS]])</f>
        <v>SOC MOB Level 2 (3) - Lookups</v>
      </c>
      <c r="E395" t="s">
        <v>1098</v>
      </c>
      <c r="F395" t="s">
        <v>1765</v>
      </c>
    </row>
    <row r="396" spans="2:6" ht="14.25" x14ac:dyDescent="0.2">
      <c r="B396" t="str">
        <f t="shared" si="11"/>
        <v>Lang_390</v>
      </c>
      <c r="C396" t="s">
        <v>1107</v>
      </c>
      <c r="D396" s="392" t="str">
        <f>IF(DD_Current_Lang=1,TRANS_TBL[[#This Row],[ENGLISH]],TRANS_TBL[[#This Row],[FRANÇAIS]])</f>
        <v>SOC MOB Level 2 (4) - Lookups</v>
      </c>
      <c r="E396" t="s">
        <v>1099</v>
      </c>
      <c r="F396" t="s">
        <v>1766</v>
      </c>
    </row>
    <row r="397" spans="2:6" ht="14.25" x14ac:dyDescent="0.2">
      <c r="B397" t="str">
        <f t="shared" si="11"/>
        <v>Lang_391</v>
      </c>
      <c r="C397" t="s">
        <v>1108</v>
      </c>
      <c r="D397" s="392" t="str">
        <f>IF(DD_Current_Lang=1,TRANS_TBL[[#This Row],[ENGLISH]],TRANS_TBL[[#This Row],[FRANÇAIS]])</f>
        <v>SOC MOB Level 2 (5) - Lookups</v>
      </c>
      <c r="E397" t="s">
        <v>1100</v>
      </c>
      <c r="F397" t="s">
        <v>1767</v>
      </c>
    </row>
    <row r="398" spans="2:6" ht="14.25" x14ac:dyDescent="0.2">
      <c r="B398" t="str">
        <f t="shared" si="11"/>
        <v>Lang_392</v>
      </c>
      <c r="C398" t="s">
        <v>1109</v>
      </c>
      <c r="D398" s="392" t="str">
        <f>IF(DD_Current_Lang=1,TRANS_TBL[[#This Row],[ENGLISH]],TRANS_TBL[[#This Row],[FRANÇAIS]])</f>
        <v>Service Delivery Activity Variables</v>
      </c>
      <c r="E398" t="s">
        <v>268</v>
      </c>
      <c r="F398" t="s">
        <v>1409</v>
      </c>
    </row>
    <row r="399" spans="2:6" ht="14.25" x14ac:dyDescent="0.2">
      <c r="B399" t="str">
        <f t="shared" si="11"/>
        <v>Lang_393</v>
      </c>
      <c r="C399" t="s">
        <v>1110</v>
      </c>
      <c r="D399" s="392" t="str">
        <f>IF(DD_Current_Lang=1,TRANS_TBL[[#This Row],[ENGLISH]],TRANS_TBL[[#This Row],[FRANÇAIS]])</f>
        <v>Service Delivery Level 2 (1) - Lookups</v>
      </c>
      <c r="E399" t="s">
        <v>390</v>
      </c>
      <c r="F399" t="s">
        <v>1410</v>
      </c>
    </row>
    <row r="400" spans="2:6" ht="14.25" x14ac:dyDescent="0.2">
      <c r="B400" t="str">
        <f t="shared" si="11"/>
        <v>Lang_394</v>
      </c>
      <c r="C400" t="s">
        <v>1111</v>
      </c>
      <c r="D400" s="392" t="str">
        <f>IF(DD_Current_Lang=1,TRANS_TBL[[#This Row],[ENGLISH]],TRANS_TBL[[#This Row],[FRANÇAIS]])</f>
        <v>Service Delivery Level 2 (2) - Lookups</v>
      </c>
      <c r="E400" t="s">
        <v>376</v>
      </c>
      <c r="F400" t="s">
        <v>1411</v>
      </c>
    </row>
    <row r="401" spans="2:6" ht="14.25" x14ac:dyDescent="0.2">
      <c r="B401" t="str">
        <f t="shared" si="11"/>
        <v>Lang_395</v>
      </c>
      <c r="C401" t="s">
        <v>1112</v>
      </c>
      <c r="D401" s="392" t="str">
        <f>IF(DD_Current_Lang=1,TRANS_TBL[[#This Row],[ENGLISH]],TRANS_TBL[[#This Row],[FRANÇAIS]])</f>
        <v>Service Delivery Level 2 (3) - Lookups</v>
      </c>
      <c r="E401" t="s">
        <v>377</v>
      </c>
      <c r="F401" t="s">
        <v>1412</v>
      </c>
    </row>
    <row r="402" spans="2:6" ht="14.25" x14ac:dyDescent="0.2">
      <c r="B402" t="str">
        <f t="shared" si="11"/>
        <v>Lang_396</v>
      </c>
      <c r="C402" t="s">
        <v>1113</v>
      </c>
      <c r="D402" s="392" t="str">
        <f>IF(DD_Current_Lang=1,TRANS_TBL[[#This Row],[ENGLISH]],TRANS_TBL[[#This Row],[FRANÇAIS]])</f>
        <v>Level 2 Activity - Lookups</v>
      </c>
      <c r="E402" t="s">
        <v>440</v>
      </c>
      <c r="F402" t="s">
        <v>1413</v>
      </c>
    </row>
    <row r="403" spans="2:6" ht="14.25" x14ac:dyDescent="0.2">
      <c r="B403" t="str">
        <f t="shared" si="11"/>
        <v>Lang_397</v>
      </c>
      <c r="C403" t="s">
        <v>1115</v>
      </c>
      <c r="D403" s="392" t="str">
        <f>IF(DD_Current_Lang=1,TRANS_TBL[[#This Row],[ENGLISH]],TRANS_TBL[[#This Row],[FRANÇAIS]])</f>
        <v>Supervision Activity Variables</v>
      </c>
      <c r="E403" t="s">
        <v>1114</v>
      </c>
      <c r="F403" t="s">
        <v>1414</v>
      </c>
    </row>
    <row r="404" spans="2:6" ht="14.25" x14ac:dyDescent="0.2">
      <c r="B404" t="str">
        <f t="shared" si="11"/>
        <v>Lang_398</v>
      </c>
      <c r="C404" t="s">
        <v>1116</v>
      </c>
      <c r="D404" s="392" t="str">
        <f>IF(DD_Current_Lang=1,TRANS_TBL[[#This Row],[ENGLISH]],TRANS_TBL[[#This Row],[FRANÇAIS]])</f>
        <v>Supervision Level 1 (1) - Lookups</v>
      </c>
      <c r="E404" t="s">
        <v>391</v>
      </c>
      <c r="F404" t="s">
        <v>1415</v>
      </c>
    </row>
    <row r="405" spans="2:6" ht="14.25" x14ac:dyDescent="0.2">
      <c r="B405" t="str">
        <f t="shared" si="11"/>
        <v>Lang_399</v>
      </c>
      <c r="C405" t="s">
        <v>1117</v>
      </c>
      <c r="D405" s="392" t="str">
        <f>IF(DD_Current_Lang=1,TRANS_TBL[[#This Row],[ENGLISH]],TRANS_TBL[[#This Row],[FRANÇAIS]])</f>
        <v>Supervision Level 1 (2) - Lookups</v>
      </c>
      <c r="E405" t="s">
        <v>372</v>
      </c>
      <c r="F405" t="s">
        <v>1416</v>
      </c>
    </row>
    <row r="406" spans="2:6" ht="14.25" x14ac:dyDescent="0.2">
      <c r="B406" t="str">
        <f t="shared" si="11"/>
        <v>Lang_400</v>
      </c>
      <c r="C406" t="s">
        <v>1120</v>
      </c>
      <c r="D406" s="392" t="str">
        <f>IF(DD_Current_Lang=1,TRANS_TBL[[#This Row],[ENGLISH]],TRANS_TBL[[#This Row],[FRANÇAIS]])</f>
        <v>Supervision Level 1 (3) - Lookups</v>
      </c>
      <c r="E406" t="s">
        <v>373</v>
      </c>
      <c r="F406" t="s">
        <v>1417</v>
      </c>
    </row>
    <row r="407" spans="2:6" ht="14.25" x14ac:dyDescent="0.2">
      <c r="B407" t="str">
        <f t="shared" si="11"/>
        <v>Lang_401</v>
      </c>
      <c r="C407" t="s">
        <v>1121</v>
      </c>
      <c r="D407" s="392" t="str">
        <f>IF(DD_Current_Lang=1,TRANS_TBL[[#This Row],[ENGLISH]],TRANS_TBL[[#This Row],[FRANÇAIS]])</f>
        <v>Supervision Level 1 (4) - Lookups</v>
      </c>
      <c r="E407" t="s">
        <v>383</v>
      </c>
      <c r="F407" t="s">
        <v>1418</v>
      </c>
    </row>
    <row r="408" spans="2:6" ht="14.25" x14ac:dyDescent="0.2">
      <c r="B408" t="str">
        <f t="shared" si="11"/>
        <v>Lang_402</v>
      </c>
      <c r="C408" t="s">
        <v>1122</v>
      </c>
      <c r="D408" s="392" t="str">
        <f>IF(DD_Current_Lang=1,TRANS_TBL[[#This Row],[ENGLISH]],TRANS_TBL[[#This Row],[FRANÇAIS]])</f>
        <v>Supervision Level 2 (1) - Lookups</v>
      </c>
      <c r="E408" t="s">
        <v>392</v>
      </c>
      <c r="F408" t="s">
        <v>1419</v>
      </c>
    </row>
    <row r="409" spans="2:6" ht="14.25" x14ac:dyDescent="0.2">
      <c r="B409" t="str">
        <f t="shared" si="11"/>
        <v>Lang_403</v>
      </c>
      <c r="C409" t="s">
        <v>1118</v>
      </c>
      <c r="D409" s="392" t="str">
        <f>IF(DD_Current_Lang=1,TRANS_TBL[[#This Row],[ENGLISH]],TRANS_TBL[[#This Row],[FRANÇAIS]])</f>
        <v>Supervision Level 2 (2) - Lookups</v>
      </c>
      <c r="E409" t="s">
        <v>374</v>
      </c>
      <c r="F409" t="s">
        <v>1420</v>
      </c>
    </row>
    <row r="410" spans="2:6" ht="14.25" x14ac:dyDescent="0.2">
      <c r="B410" t="str">
        <f t="shared" si="11"/>
        <v>Lang_404</v>
      </c>
      <c r="C410" t="s">
        <v>1119</v>
      </c>
      <c r="D410" s="392" t="str">
        <f>IF(DD_Current_Lang=1,TRANS_TBL[[#This Row],[ENGLISH]],TRANS_TBL[[#This Row],[FRANÇAIS]])</f>
        <v>Supervision Level 2 (3) - Lookups</v>
      </c>
      <c r="E410" t="s">
        <v>375</v>
      </c>
      <c r="F410" t="s">
        <v>1421</v>
      </c>
    </row>
    <row r="411" spans="2:6" ht="14.25" x14ac:dyDescent="0.2">
      <c r="B411" t="str">
        <f t="shared" si="11"/>
        <v>Lang_405</v>
      </c>
      <c r="C411" t="s">
        <v>1422</v>
      </c>
      <c r="D411" s="392" t="str">
        <f>IF(DD_Current_Lang=1,TRANS_TBL[[#This Row],[ENGLISH]],TRANS_TBL[[#This Row],[FRANÇAIS]])</f>
        <v>Language Translation</v>
      </c>
      <c r="E411" t="s">
        <v>651</v>
      </c>
      <c r="F411" t="s">
        <v>1426</v>
      </c>
    </row>
    <row r="412" spans="2:6" ht="14.25" x14ac:dyDescent="0.2">
      <c r="B412" t="str">
        <f t="shared" si="11"/>
        <v>Lang_406</v>
      </c>
      <c r="C412" t="s">
        <v>1423</v>
      </c>
      <c r="D412" s="392" t="str">
        <f>IF(DD_Current_Lang=1,TRANS_TBL[[#This Row],[ENGLISH]],TRANS_TBL[[#This Row],[FRANÇAIS]])</f>
        <v>Current Language</v>
      </c>
      <c r="E412" t="s">
        <v>652</v>
      </c>
      <c r="F412" t="s">
        <v>1427</v>
      </c>
    </row>
    <row r="413" spans="2:6" ht="14.25" x14ac:dyDescent="0.2">
      <c r="B413" t="str">
        <f t="shared" si="11"/>
        <v>Lang_407</v>
      </c>
      <c r="C413" t="s">
        <v>1424</v>
      </c>
      <c r="D413" s="392" t="str">
        <f>IF(DD_Current_Lang=1,TRANS_TBL[[#This Row],[ENGLISH]],TRANS_TBL[[#This Row],[FRANÇAIS]])</f>
        <v>Language Choice Table</v>
      </c>
      <c r="E413" t="s">
        <v>653</v>
      </c>
      <c r="F413" t="s">
        <v>1428</v>
      </c>
    </row>
    <row r="414" spans="2:6" ht="14.25" x14ac:dyDescent="0.2">
      <c r="B414" t="str">
        <f t="shared" si="11"/>
        <v>Lang_408</v>
      </c>
      <c r="C414" t="s">
        <v>1425</v>
      </c>
      <c r="D414" s="392" t="str">
        <f>IF(DD_Current_Lang=1,TRANS_TBL[[#This Row],[ENGLISH]],TRANS_TBL[[#This Row],[FRANÇAIS]])</f>
        <v>Data for Extraction</v>
      </c>
      <c r="E414" t="s">
        <v>710</v>
      </c>
      <c r="F414" t="s">
        <v>1429</v>
      </c>
    </row>
    <row r="415" spans="2:6" ht="14.25" x14ac:dyDescent="0.2">
      <c r="B415" t="str">
        <f t="shared" si="11"/>
        <v>Lang_409</v>
      </c>
      <c r="C415" t="s">
        <v>1438</v>
      </c>
      <c r="D415" s="392" t="str">
        <f>IF(DD_Current_Lang=1,TRANS_TBL[[#This Row],[ENGLISH]],TRANS_TBL[[#This Row],[FRANÇAIS]])</f>
        <v>Year(s) Selected:</v>
      </c>
      <c r="E415" t="s">
        <v>1439</v>
      </c>
      <c r="F415" t="s">
        <v>1440</v>
      </c>
    </row>
    <row r="416" spans="2:6" ht="14.25" x14ac:dyDescent="0.2">
      <c r="B416" t="str">
        <f t="shared" si="11"/>
        <v>Lang_410</v>
      </c>
      <c r="C416" t="s">
        <v>1442</v>
      </c>
      <c r="D416" s="392" t="str">
        <f>IF(DD_Current_Lang=1,TRANS_TBL[[#This Row],[ENGLISH]],TRANS_TBL[[#This Row],[FRANÇAIS]])</f>
        <v>Year Ending</v>
      </c>
      <c r="E416" t="s">
        <v>1441</v>
      </c>
      <c r="F416" t="s">
        <v>1558</v>
      </c>
    </row>
    <row r="417" spans="2:6" ht="14.25" x14ac:dyDescent="0.2">
      <c r="B417" t="str">
        <f t="shared" si="11"/>
        <v>Lang_411</v>
      </c>
      <c r="C417" t="s">
        <v>1444</v>
      </c>
      <c r="D417" s="392" t="str">
        <f>IF(DD_Current_Lang=1,TRANS_TBL[[#This Row],[ENGLISH]],TRANS_TBL[[#This Row],[FRANÇAIS]])</f>
        <v>Total Vaccines and Supplies</v>
      </c>
      <c r="E417" t="s">
        <v>1443</v>
      </c>
      <c r="F417" t="s">
        <v>1559</v>
      </c>
    </row>
    <row r="418" spans="2:6" ht="14.25" x14ac:dyDescent="0.2">
      <c r="B418" t="str">
        <f t="shared" si="11"/>
        <v>Lang_412</v>
      </c>
      <c r="C418" t="s">
        <v>1446</v>
      </c>
      <c r="D418" s="392" t="str">
        <f>IF(DD_Current_Lang=1,TRANS_TBL[[#This Row],[ENGLISH]],TRANS_TBL[[#This Row],[FRANÇAIS]])</f>
        <v>per Fully Immunized Person (FIP)</v>
      </c>
      <c r="E418" t="s">
        <v>1445</v>
      </c>
      <c r="F418" t="s">
        <v>1560</v>
      </c>
    </row>
    <row r="419" spans="2:6" ht="14.25" x14ac:dyDescent="0.2">
      <c r="B419" t="str">
        <f t="shared" si="11"/>
        <v>Lang_413</v>
      </c>
      <c r="C419" t="s">
        <v>1448</v>
      </c>
      <c r="D419" s="392" t="str">
        <f>IF(DD_Current_Lang=1,TRANS_TBL[[#This Row],[ENGLISH]],TRANS_TBL[[#This Row],[FRANÇAIS]])</f>
        <v>Retrospective Costs</v>
      </c>
      <c r="E419" t="s">
        <v>1447</v>
      </c>
      <c r="F419" t="s">
        <v>1561</v>
      </c>
    </row>
    <row r="420" spans="2:6" ht="14.25" x14ac:dyDescent="0.2">
      <c r="B420" t="str">
        <f t="shared" si="11"/>
        <v>Lang_414</v>
      </c>
      <c r="C420" t="s">
        <v>1450</v>
      </c>
      <c r="D420" s="392" t="str">
        <f>IF(DD_Current_Lang=1,TRANS_TBL[[#This Row],[ENGLISH]],TRANS_TBL[[#This Row],[FRANÇAIS]])</f>
        <v>Cost</v>
      </c>
      <c r="E420" t="s">
        <v>1449</v>
      </c>
      <c r="F420" t="s">
        <v>1562</v>
      </c>
    </row>
    <row r="421" spans="2:6" ht="14.25" x14ac:dyDescent="0.2">
      <c r="B421" t="str">
        <f t="shared" si="11"/>
        <v>Lang_415</v>
      </c>
      <c r="C421" t="s">
        <v>1451</v>
      </c>
      <c r="D421" s="392" t="str">
        <f>IF(DD_Current_Lang=1,TRANS_TBL[[#This Row],[ENGLISH]],TRANS_TBL[[#This Row],[FRANÇAIS]])</f>
        <v>Total</v>
      </c>
      <c r="E421" t="s">
        <v>1134</v>
      </c>
      <c r="F421" t="s">
        <v>1134</v>
      </c>
    </row>
    <row r="422" spans="2:6" ht="14.25" x14ac:dyDescent="0.2">
      <c r="B422" t="str">
        <f t="shared" si="11"/>
        <v>Lang_416</v>
      </c>
      <c r="C422" t="s">
        <v>1453</v>
      </c>
      <c r="D422" s="392" t="str">
        <f>IF(DD_Current_Lang=1,TRANS_TBL[[#This Row],[ENGLISH]],TRANS_TBL[[#This Row],[FRANÇAIS]])</f>
        <v>Average number of</v>
      </c>
      <c r="E422" t="s">
        <v>1452</v>
      </c>
      <c r="F422" t="s">
        <v>1563</v>
      </c>
    </row>
    <row r="423" spans="2:6" ht="14.25" x14ac:dyDescent="0.2">
      <c r="B423" t="str">
        <f t="shared" si="11"/>
        <v>Lang_417</v>
      </c>
      <c r="C423" t="s">
        <v>1455</v>
      </c>
      <c r="D423" s="392" t="str">
        <f>IF(DD_Current_Lang=1,TRANS_TBL[[#This Row],[ENGLISH]],TRANS_TBL[[#This Row],[FRANÇAIS]])</f>
        <v>per school</v>
      </c>
      <c r="E423" t="s">
        <v>1454</v>
      </c>
      <c r="F423" t="s">
        <v>1564</v>
      </c>
    </row>
    <row r="424" spans="2:6" ht="14.25" x14ac:dyDescent="0.2">
      <c r="B424" t="str">
        <f t="shared" si="11"/>
        <v>Lang_418</v>
      </c>
      <c r="C424" t="s">
        <v>1457</v>
      </c>
      <c r="D424" s="392" t="str">
        <f>IF(DD_Current_Lang=1,TRANS_TBL[[#This Row],[ENGLISH]],TRANS_TBL[[#This Row],[FRANÇAIS]])</f>
        <v>This is a</v>
      </c>
      <c r="E424" t="s">
        <v>1456</v>
      </c>
      <c r="F424" t="s">
        <v>1565</v>
      </c>
    </row>
    <row r="425" spans="2:6" ht="14.25" x14ac:dyDescent="0.2">
      <c r="B425" t="str">
        <f t="shared" ref="B425:B488" si="12">"Lang_"&amp;ROW()-6</f>
        <v>Lang_419</v>
      </c>
      <c r="C425" t="s">
        <v>1459</v>
      </c>
      <c r="D425" s="392" t="str">
        <f>IF(DD_Current_Lang=1,TRANS_TBL[[#This Row],[ENGLISH]],TRANS_TBL[[#This Row],[FRANÇAIS]])</f>
        <v>Complete ONLY</v>
      </c>
      <c r="E425" t="s">
        <v>1458</v>
      </c>
      <c r="F425" t="s">
        <v>1566</v>
      </c>
    </row>
    <row r="426" spans="2:6" ht="14.25" x14ac:dyDescent="0.2">
      <c r="B426" t="str">
        <f t="shared" si="12"/>
        <v>Lang_420</v>
      </c>
      <c r="C426" t="s">
        <v>1461</v>
      </c>
      <c r="D426" s="392" t="str">
        <f>IF(DD_Current_Lang=1,TRANS_TBL[[#This Row],[ENGLISH]],TRANS_TBL[[#This Row],[FRANÇAIS]])</f>
        <v>THIS LINK NOT FOR RETROSPECTIVE COSTING USE</v>
      </c>
      <c r="E426" t="s">
        <v>1460</v>
      </c>
      <c r="F426" t="s">
        <v>1567</v>
      </c>
    </row>
    <row r="427" spans="2:6" ht="14.25" x14ac:dyDescent="0.2">
      <c r="B427" t="str">
        <f t="shared" si="12"/>
        <v>Lang_421</v>
      </c>
      <c r="C427" t="s">
        <v>1470</v>
      </c>
      <c r="D427" s="392" t="str">
        <f>IF(DD_Current_Lang=1,TRANS_TBL[[#This Row],[ENGLISH]],TRANS_TBL[[#This Row],[FRANÇAIS]])</f>
        <v>Go to</v>
      </c>
      <c r="E427" t="s">
        <v>1462</v>
      </c>
      <c r="F427" t="s">
        <v>1568</v>
      </c>
    </row>
    <row r="428" spans="2:6" ht="14.25" x14ac:dyDescent="0.2">
      <c r="B428" t="str">
        <f t="shared" si="12"/>
        <v>Lang_422</v>
      </c>
      <c r="C428" t="s">
        <v>1464</v>
      </c>
      <c r="D428" s="392" t="str">
        <f>IF(DD_Current_Lang=1,TRANS_TBL[[#This Row],[ENGLISH]],TRANS_TBL[[#This Row],[FRANÇAIS]])</f>
        <v>THIS LINK NOT FOR COST PROJECTION USE</v>
      </c>
      <c r="E428" t="s">
        <v>1463</v>
      </c>
      <c r="F428" t="s">
        <v>1803</v>
      </c>
    </row>
    <row r="429" spans="2:6" ht="14.25" x14ac:dyDescent="0.2">
      <c r="B429" t="str">
        <f t="shared" si="12"/>
        <v>Lang_423</v>
      </c>
      <c r="C429" t="s">
        <v>1466</v>
      </c>
      <c r="D429" s="392" t="str">
        <f>IF(DD_Current_Lang=1,TRANS_TBL[[#This Row],[ENGLISH]],TRANS_TBL[[#This Row],[FRANÇAIS]])</f>
        <v>COST PROJECTION COUNTS - Assumptions</v>
      </c>
      <c r="E429" t="s">
        <v>1465</v>
      </c>
      <c r="F429" t="s">
        <v>1804</v>
      </c>
    </row>
    <row r="430" spans="2:6" ht="14.25" x14ac:dyDescent="0.2">
      <c r="B430" t="str">
        <f t="shared" si="12"/>
        <v>Lang_424</v>
      </c>
      <c r="C430" t="s">
        <v>1468</v>
      </c>
      <c r="D430" s="392" t="str">
        <f>IF(DD_Current_Lang=1,TRANS_TBL[[#This Row],[ENGLISH]],TRANS_TBL[[#This Row],[FRANÇAIS]])</f>
        <v>NOT A COST PROJECTION. SKIP THIS SECTION. USE THE RETROSPECTIVE TARGET POPULATON COUNTS - DATA Section.</v>
      </c>
      <c r="E430" t="s">
        <v>1467</v>
      </c>
      <c r="F430" t="s">
        <v>1805</v>
      </c>
    </row>
    <row r="431" spans="2:6" ht="14.25" x14ac:dyDescent="0.2">
      <c r="B431" t="str">
        <f t="shared" si="12"/>
        <v>Lang_425</v>
      </c>
      <c r="C431" t="s">
        <v>1471</v>
      </c>
      <c r="D431" s="392" t="str">
        <f>IF(DD_Current_Lang=1,TRANS_TBL[[#This Row],[ENGLISH]],TRANS_TBL[[#This Row],[FRANÇAIS]])</f>
        <v>Go to RETROSPECTIVE COSTING POPULATION COUNTS</v>
      </c>
      <c r="E431" t="s">
        <v>1469</v>
      </c>
      <c r="F431" t="s">
        <v>1569</v>
      </c>
    </row>
    <row r="432" spans="2:6" ht="14.25" x14ac:dyDescent="0.2">
      <c r="B432" t="str">
        <f t="shared" si="12"/>
        <v>Lang_426</v>
      </c>
      <c r="C432" t="s">
        <v>1473</v>
      </c>
      <c r="D432" s="392" t="str">
        <f>IF(DD_Current_Lang=1,TRANS_TBL[[#This Row],[ENGLISH]],TRANS_TBL[[#This Row],[FRANÇAIS]])</f>
        <v>Projected</v>
      </c>
      <c r="E432" t="s">
        <v>1472</v>
      </c>
      <c r="F432" t="s">
        <v>1806</v>
      </c>
    </row>
    <row r="433" spans="2:6" ht="14.25" x14ac:dyDescent="0.2">
      <c r="B433" t="str">
        <f t="shared" si="12"/>
        <v>Lang_427</v>
      </c>
      <c r="C433" t="s">
        <v>1474</v>
      </c>
      <c r="D433" s="392" t="str">
        <f>IF(DD_Current_Lang=1,TRANS_TBL[[#This Row],[ENGLISH]],TRANS_TBL[[#This Row],[FRANÇAIS]])</f>
        <v>Proportion (%) (Projected Calculation)</v>
      </c>
      <c r="E433" t="s">
        <v>1478</v>
      </c>
      <c r="F433" t="s">
        <v>1807</v>
      </c>
    </row>
    <row r="434" spans="2:6" ht="14.25" x14ac:dyDescent="0.2">
      <c r="B434" t="str">
        <f t="shared" si="12"/>
        <v>Lang_428</v>
      </c>
      <c r="C434" t="s">
        <v>1475</v>
      </c>
      <c r="D434" s="392" t="str">
        <f>IF(DD_Current_Lang=1,TRANS_TBL[[#This Row],[ENGLISH]],TRANS_TBL[[#This Row],[FRANÇAIS]])</f>
        <v>Proportion (%) (Projected) - AUTOCALCULATED</v>
      </c>
      <c r="E434" t="s">
        <v>1479</v>
      </c>
      <c r="F434" t="s">
        <v>1570</v>
      </c>
    </row>
    <row r="435" spans="2:6" ht="14.25" x14ac:dyDescent="0.2">
      <c r="B435" t="str">
        <f t="shared" si="12"/>
        <v>Lang_429</v>
      </c>
      <c r="C435" t="s">
        <v>1477</v>
      </c>
      <c r="D435" s="392" t="str">
        <f>IF(DD_Current_Lang=1,TRANS_TBL[[#This Row],[ENGLISH]],TRANS_TBL[[#This Row],[FRANÇAIS]])</f>
        <v>Proportion</v>
      </c>
      <c r="E435" t="s">
        <v>1476</v>
      </c>
      <c r="F435" t="s">
        <v>1476</v>
      </c>
    </row>
    <row r="436" spans="2:6" ht="14.25" x14ac:dyDescent="0.2">
      <c r="B436" t="str">
        <f t="shared" si="12"/>
        <v>Lang_430</v>
      </c>
      <c r="C436" t="s">
        <v>1481</v>
      </c>
      <c r="D436" s="392" t="str">
        <f>IF(DD_Current_Lang=1,TRANS_TBL[[#This Row],[ENGLISH]],TRANS_TBL[[#This Row],[FRANÇAIS]])</f>
        <v>All Age Groups</v>
      </c>
      <c r="E436" t="s">
        <v>1480</v>
      </c>
      <c r="F436" t="s">
        <v>1571</v>
      </c>
    </row>
    <row r="437" spans="2:6" ht="14.25" x14ac:dyDescent="0.2">
      <c r="B437" t="str">
        <f t="shared" si="12"/>
        <v>Lang_431</v>
      </c>
      <c r="C437" t="s">
        <v>1483</v>
      </c>
      <c r="D437" s="392" t="str">
        <f>IF(DD_Current_Lang=1,TRANS_TBL[[#This Row],[ENGLISH]],TRANS_TBL[[#This Row],[FRANÇAIS]])</f>
        <v>Subgroup Only</v>
      </c>
      <c r="E437" t="s">
        <v>1482</v>
      </c>
      <c r="F437" t="s">
        <v>1572</v>
      </c>
    </row>
    <row r="438" spans="2:6" ht="14.25" x14ac:dyDescent="0.2">
      <c r="B438" t="str">
        <f t="shared" si="12"/>
        <v>Lang_432</v>
      </c>
      <c r="C438" t="s">
        <v>1486</v>
      </c>
      <c r="D438" s="392" t="str">
        <f>IF(DD_Current_Lang=1,TRANS_TBL[[#This Row],[ENGLISH]],TRANS_TBL[[#This Row],[FRANÇAIS]])</f>
        <v>RETROSPECTIVE TARGET POPULATON  COUNTS - DATA</v>
      </c>
      <c r="E438" t="s">
        <v>1484</v>
      </c>
      <c r="F438" t="s">
        <v>1573</v>
      </c>
    </row>
    <row r="439" spans="2:6" ht="14.25" x14ac:dyDescent="0.2">
      <c r="B439" t="str">
        <f t="shared" si="12"/>
        <v>Lang_433</v>
      </c>
      <c r="C439" t="s">
        <v>1487</v>
      </c>
      <c r="D439" s="392" t="str">
        <f>IF(DD_Current_Lang=1,TRANS_TBL[[#This Row],[ENGLISH]],TRANS_TBL[[#This Row],[FRANÇAIS]])</f>
        <v>NOT A RETROSPECTIVE COSTING. SKIP THIS SECTION. USE THE COST PROJECTION COUNTS - Assumptions Section.</v>
      </c>
      <c r="E439" t="s">
        <v>1485</v>
      </c>
      <c r="F439" t="s">
        <v>1808</v>
      </c>
    </row>
    <row r="440" spans="2:6" ht="14.25" x14ac:dyDescent="0.2">
      <c r="B440" t="str">
        <f t="shared" si="12"/>
        <v>Lang_434</v>
      </c>
      <c r="C440" t="s">
        <v>1489</v>
      </c>
      <c r="D440" s="392" t="str">
        <f>IF(DD_Current_Lang=1,TRANS_TBL[[#This Row],[ENGLISH]],TRANS_TBL[[#This Row],[FRANÇAIS]])</f>
        <v>Retrospective Count</v>
      </c>
      <c r="E440" t="s">
        <v>1488</v>
      </c>
      <c r="F440" t="s">
        <v>1574</v>
      </c>
    </row>
    <row r="441" spans="2:6" ht="14.25" x14ac:dyDescent="0.2">
      <c r="B441" t="str">
        <f t="shared" si="12"/>
        <v>Lang_435</v>
      </c>
      <c r="C441" t="s">
        <v>1491</v>
      </c>
      <c r="D441" s="392" t="str">
        <f>IF(DD_Current_Lang=1,TRANS_TBL[[#This Row],[ENGLISH]],TRANS_TBL[[#This Row],[FRANÇAIS]])</f>
        <v>Go to COST PROJECTION COUNTS  - Assumptions</v>
      </c>
      <c r="E441" t="s">
        <v>1490</v>
      </c>
      <c r="F441" t="s">
        <v>1575</v>
      </c>
    </row>
    <row r="442" spans="2:6" ht="14.25" x14ac:dyDescent="0.2">
      <c r="B442" t="str">
        <f t="shared" si="12"/>
        <v>Lang_436</v>
      </c>
      <c r="C442" t="s">
        <v>1493</v>
      </c>
      <c r="D442" s="392" t="str">
        <f>IF(DD_Current_Lang=1,TRANS_TBL[[#This Row],[ENGLISH]],TRANS_TBL[[#This Row],[FRANÇAIS]])</f>
        <v>Entire</v>
      </c>
      <c r="E442" t="s">
        <v>1492</v>
      </c>
      <c r="F442" t="s">
        <v>1576</v>
      </c>
    </row>
    <row r="443" spans="2:6" ht="14.25" x14ac:dyDescent="0.2">
      <c r="B443" t="str">
        <f t="shared" si="12"/>
        <v>Lang_437</v>
      </c>
      <c r="C443" t="s">
        <v>1495</v>
      </c>
      <c r="D443" s="392" t="str">
        <f>IF(DD_Current_Lang=1,TRANS_TBL[[#This Row],[ENGLISH]],TRANS_TBL[[#This Row],[FRANÇAIS]])</f>
        <v>Count (Using Retrospective Data)</v>
      </c>
      <c r="E443" t="s">
        <v>1494</v>
      </c>
      <c r="F443" t="s">
        <v>1577</v>
      </c>
    </row>
    <row r="444" spans="2:6" ht="14.25" x14ac:dyDescent="0.2">
      <c r="B444" t="str">
        <f t="shared" si="12"/>
        <v>Lang_438</v>
      </c>
      <c r="C444" t="s">
        <v>1497</v>
      </c>
      <c r="D444" s="392" t="str">
        <f>IF(DD_Current_Lang=1,TRANS_TBL[[#This Row],[ENGLISH]],TRANS_TBL[[#This Row],[FRANÇAIS]])</f>
        <v>Portion (#) - Using Retrospective Data</v>
      </c>
      <c r="E444" t="s">
        <v>1496</v>
      </c>
      <c r="F444" t="s">
        <v>1578</v>
      </c>
    </row>
    <row r="445" spans="2:6" ht="14.25" x14ac:dyDescent="0.2">
      <c r="B445" t="str">
        <f t="shared" si="12"/>
        <v>Lang_439</v>
      </c>
      <c r="C445" t="s">
        <v>1499</v>
      </c>
      <c r="D445" s="392" t="str">
        <f>IF(DD_Current_Lang=1,TRANS_TBL[[#This Row],[ENGLISH]],TRANS_TBL[[#This Row],[FRANÇAIS]])</f>
        <v>Portion (#) - Using Retrospective Data (AUTOCALCULATED)</v>
      </c>
      <c r="E445" t="s">
        <v>1498</v>
      </c>
      <c r="F445" t="s">
        <v>1579</v>
      </c>
    </row>
    <row r="446" spans="2:6" ht="14.25" x14ac:dyDescent="0.2">
      <c r="B446" t="str">
        <f t="shared" si="12"/>
        <v>Lang_440</v>
      </c>
      <c r="C446" t="s">
        <v>1501</v>
      </c>
      <c r="D446" s="392" t="str">
        <f>IF(DD_Current_Lang=1,TRANS_TBL[[#This Row],[ENGLISH]],TRANS_TBL[[#This Row],[FRANÇAIS]])</f>
        <v>Segment</v>
      </c>
      <c r="E446" t="s">
        <v>1500</v>
      </c>
      <c r="F446" t="s">
        <v>1500</v>
      </c>
    </row>
    <row r="447" spans="2:6" ht="14.25" x14ac:dyDescent="0.2">
      <c r="B447" t="str">
        <f t="shared" si="12"/>
        <v>Lang_441</v>
      </c>
      <c r="C447" t="s">
        <v>1503</v>
      </c>
      <c r="D447" s="392" t="str">
        <f>IF(DD_Current_Lang=1,TRANS_TBL[[#This Row],[ENGLISH]],TRANS_TBL[[#This Row],[FRANÇAIS]])</f>
        <v>Proportion (%) of</v>
      </c>
      <c r="E447" t="s">
        <v>1502</v>
      </c>
      <c r="F447" t="s">
        <v>1580</v>
      </c>
    </row>
    <row r="448" spans="2:6" ht="14.25" x14ac:dyDescent="0.2">
      <c r="B448" t="str">
        <f t="shared" si="12"/>
        <v>Lang_442</v>
      </c>
      <c r="C448" t="s">
        <v>1505</v>
      </c>
      <c r="D448" s="392" t="str">
        <f>IF(DD_Current_Lang=1,TRANS_TBL[[#This Row],[ENGLISH]],TRANS_TBL[[#This Row],[FRANÇAIS]])</f>
        <v>Receiving</v>
      </c>
      <c r="E448" t="s">
        <v>1504</v>
      </c>
      <c r="F448" t="s">
        <v>1581</v>
      </c>
    </row>
    <row r="449" spans="2:6" ht="14.25" x14ac:dyDescent="0.2">
      <c r="B449" t="str">
        <f t="shared" si="12"/>
        <v>Lang_443</v>
      </c>
      <c r="C449" t="s">
        <v>1507</v>
      </c>
      <c r="D449" s="392" t="str">
        <f>IF(DD_Current_Lang=1,TRANS_TBL[[#This Row],[ENGLISH]],TRANS_TBL[[#This Row],[FRANÇAIS]])</f>
        <v>Projection</v>
      </c>
      <c r="E449" t="s">
        <v>1506</v>
      </c>
      <c r="F449" t="s">
        <v>1809</v>
      </c>
    </row>
    <row r="450" spans="2:6" ht="14.25" x14ac:dyDescent="0.2">
      <c r="B450" t="str">
        <f t="shared" si="12"/>
        <v>Lang_444</v>
      </c>
      <c r="C450" t="s">
        <v>1509</v>
      </c>
      <c r="D450" s="392" t="str">
        <f>IF(DD_Current_Lang=1,TRANS_TBL[[#This Row],[ENGLISH]],TRANS_TBL[[#This Row],[FRANÇAIS]])</f>
        <v>Number Receiving Vaccination</v>
      </c>
      <c r="E450" t="s">
        <v>1508</v>
      </c>
      <c r="F450" t="s">
        <v>1582</v>
      </c>
    </row>
    <row r="451" spans="2:6" ht="14.25" x14ac:dyDescent="0.2">
      <c r="B451" t="str">
        <f t="shared" si="12"/>
        <v>Lang_445</v>
      </c>
      <c r="C451" t="s">
        <v>1511</v>
      </c>
      <c r="D451" s="392" t="str">
        <f>IF(DD_Current_Lang=1,TRANS_TBL[[#This Row],[ENGLISH]],TRANS_TBL[[#This Row],[FRANÇAIS]])</f>
        <v>Coverage Projections</v>
      </c>
      <c r="E451" t="s">
        <v>1510</v>
      </c>
      <c r="F451" t="s">
        <v>1810</v>
      </c>
    </row>
    <row r="452" spans="2:6" ht="14.25" x14ac:dyDescent="0.2">
      <c r="B452" t="str">
        <f t="shared" si="12"/>
        <v>Lang_446</v>
      </c>
      <c r="C452" t="s">
        <v>1513</v>
      </c>
      <c r="D452" s="392" t="str">
        <f>IF(DD_Current_Lang=1,TRANS_TBL[[#This Row],[ENGLISH]],TRANS_TBL[[#This Row],[FRANÇAIS]])</f>
        <v>Drop-Out Rate</v>
      </c>
      <c r="E452" t="s">
        <v>1512</v>
      </c>
      <c r="F452" t="s">
        <v>1583</v>
      </c>
    </row>
    <row r="453" spans="2:6" ht="14.25" x14ac:dyDescent="0.2">
      <c r="B453" t="str">
        <f t="shared" si="12"/>
        <v>Lang_447</v>
      </c>
      <c r="C453" t="s">
        <v>1517</v>
      </c>
      <c r="D453" s="392" t="str">
        <f>IF(DD_Current_Lang=1,TRANS_TBL[[#This Row],[ENGLISH]],TRANS_TBL[[#This Row],[FRANÇAIS]])</f>
        <v>to</v>
      </c>
      <c r="E453" t="s">
        <v>1514</v>
      </c>
      <c r="F453" t="s">
        <v>1584</v>
      </c>
    </row>
    <row r="454" spans="2:6" ht="14.25" x14ac:dyDescent="0.2">
      <c r="B454" t="str">
        <f t="shared" si="12"/>
        <v>Lang_448</v>
      </c>
      <c r="C454" t="s">
        <v>1516</v>
      </c>
      <c r="D454" s="392" t="str">
        <f>IF(DD_Current_Lang=1,TRANS_TBL[[#This Row],[ENGLISH]],TRANS_TBL[[#This Row],[FRANÇAIS]])</f>
        <v>for</v>
      </c>
      <c r="E454" t="s">
        <v>1515</v>
      </c>
      <c r="F454" t="s">
        <v>1585</v>
      </c>
    </row>
    <row r="455" spans="2:6" ht="14.25" x14ac:dyDescent="0.2">
      <c r="B455" t="str">
        <f t="shared" si="12"/>
        <v>Lang_449</v>
      </c>
      <c r="C455" t="s">
        <v>1519</v>
      </c>
      <c r="D455" s="392" t="str">
        <f>IF(DD_Current_Lang=1,TRANS_TBL[[#This Row],[ENGLISH]],TRANS_TBL[[#This Row],[FRANÇAIS]])</f>
        <v>Subgroups</v>
      </c>
      <c r="E455" t="s">
        <v>1518</v>
      </c>
      <c r="F455" t="s">
        <v>1586</v>
      </c>
    </row>
    <row r="456" spans="2:6" ht="14.25" x14ac:dyDescent="0.2">
      <c r="B456" t="str">
        <f t="shared" si="12"/>
        <v>Lang_450</v>
      </c>
      <c r="C456" t="s">
        <v>1521</v>
      </c>
      <c r="D456" s="392" t="str">
        <f>IF(DD_Current_Lang=1,TRANS_TBL[[#This Row],[ENGLISH]],TRANS_TBL[[#This Row],[FRANÇAIS]])</f>
        <v>Vaccinations Received by All Target Populations through ANY Service Delivery Method (from Coverage Assumptions) (Projected)</v>
      </c>
      <c r="E456" t="s">
        <v>1520</v>
      </c>
      <c r="F456" t="s">
        <v>1811</v>
      </c>
    </row>
    <row r="457" spans="2:6" ht="14.25" x14ac:dyDescent="0.2">
      <c r="B457" t="str">
        <f t="shared" si="12"/>
        <v>Lang_451</v>
      </c>
      <c r="C457" t="s">
        <v>1523</v>
      </c>
      <c r="D457" s="392" t="str">
        <f>IF(DD_Current_Lang=1,TRANS_TBL[[#This Row],[ENGLISH]],TRANS_TBL[[#This Row],[FRANÇAIS]])</f>
        <v>Vaccinations Received by</v>
      </c>
      <c r="E457" t="s">
        <v>1522</v>
      </c>
      <c r="F457" t="s">
        <v>1587</v>
      </c>
    </row>
    <row r="458" spans="2:6" ht="14.25" x14ac:dyDescent="0.2">
      <c r="B458" t="str">
        <f t="shared" si="12"/>
        <v>Lang_452</v>
      </c>
      <c r="C458" t="s">
        <v>1525</v>
      </c>
      <c r="D458" s="392" t="str">
        <f>IF(DD_Current_Lang=1,TRANS_TBL[[#This Row],[ENGLISH]],TRANS_TBL[[#This Row],[FRANÇAIS]])</f>
        <v>Populations</v>
      </c>
      <c r="E458" t="s">
        <v>1524</v>
      </c>
      <c r="F458" t="s">
        <v>1524</v>
      </c>
    </row>
    <row r="459" spans="2:6" ht="14.25" x14ac:dyDescent="0.2">
      <c r="B459" t="str">
        <f t="shared" si="12"/>
        <v>Lang_453</v>
      </c>
      <c r="C459" t="s">
        <v>1527</v>
      </c>
      <c r="D459" s="392" t="str">
        <f>IF(DD_Current_Lang=1,TRANS_TBL[[#This Row],[ENGLISH]],TRANS_TBL[[#This Row],[FRANÇAIS]])</f>
        <v>Coverage (#) Retrospective Data</v>
      </c>
      <c r="E459" t="s">
        <v>1526</v>
      </c>
      <c r="F459" t="s">
        <v>1588</v>
      </c>
    </row>
    <row r="460" spans="2:6" ht="14.25" x14ac:dyDescent="0.2">
      <c r="B460" t="str">
        <f t="shared" si="12"/>
        <v>Lang_454</v>
      </c>
      <c r="C460" t="s">
        <v>1529</v>
      </c>
      <c r="D460" s="392" t="str">
        <f>IF(DD_Current_Lang=1,TRANS_TBL[[#This Row],[ENGLISH]],TRANS_TBL[[#This Row],[FRANÇAIS]])</f>
        <v>Vaccination</v>
      </c>
      <c r="E460" t="s">
        <v>1528</v>
      </c>
      <c r="F460" t="s">
        <v>1528</v>
      </c>
    </row>
    <row r="461" spans="2:6" ht="14.25" x14ac:dyDescent="0.2">
      <c r="B461" t="str">
        <f t="shared" si="12"/>
        <v>Lang_455</v>
      </c>
      <c r="C461" t="s">
        <v>1531</v>
      </c>
      <c r="D461" s="392" t="str">
        <f>IF(DD_Current_Lang=1,TRANS_TBL[[#This Row],[ENGLISH]],TRANS_TBL[[#This Row],[FRANÇAIS]])</f>
        <v>Total Number of</v>
      </c>
      <c r="E461" t="s">
        <v>1530</v>
      </c>
      <c r="F461" t="s">
        <v>1589</v>
      </c>
    </row>
    <row r="462" spans="2:6" ht="14.25" x14ac:dyDescent="0.2">
      <c r="B462" t="str">
        <f t="shared" si="12"/>
        <v>Lang_456</v>
      </c>
      <c r="C462" t="s">
        <v>1533</v>
      </c>
      <c r="D462" s="392" t="str">
        <f>IF(DD_Current_Lang=1,TRANS_TBL[[#This Row],[ENGLISH]],TRANS_TBL[[#This Row],[FRANÇAIS]])</f>
        <v>Vaccinations Received by All Target Populations through ANY Service Delivery Method (from Coverage Assumptions) (Retrospective)</v>
      </c>
      <c r="E462" t="s">
        <v>1532</v>
      </c>
      <c r="F462" t="s">
        <v>1590</v>
      </c>
    </row>
    <row r="463" spans="2:6" ht="14.25" x14ac:dyDescent="0.2">
      <c r="B463" t="str">
        <f t="shared" si="12"/>
        <v>Lang_457</v>
      </c>
      <c r="C463" t="s">
        <v>1535</v>
      </c>
      <c r="D463" s="392" t="str">
        <f>IF(DD_Current_Lang=1,TRANS_TBL[[#This Row],[ENGLISH]],TRANS_TBL[[#This Row],[FRANÇAIS]])</f>
        <v>Average Number of Vaccinations Delivered During</v>
      </c>
      <c r="E463" t="s">
        <v>1534</v>
      </c>
      <c r="F463" t="s">
        <v>1680</v>
      </c>
    </row>
    <row r="464" spans="2:6" ht="14.25" x14ac:dyDescent="0.2">
      <c r="B464" t="str">
        <f t="shared" si="12"/>
        <v>Lang_458</v>
      </c>
      <c r="C464" t="s">
        <v>1537</v>
      </c>
      <c r="D464" s="392" t="str">
        <f>IF(DD_Current_Lang=1,TRANS_TBL[[#This Row],[ENGLISH]],TRANS_TBL[[#This Row],[FRANÇAIS]])</f>
        <v>Activity</v>
      </c>
      <c r="E464" t="s">
        <v>1536</v>
      </c>
      <c r="F464" t="s">
        <v>1681</v>
      </c>
    </row>
    <row r="465" spans="2:6" ht="14.25" x14ac:dyDescent="0.2">
      <c r="B465" t="str">
        <f t="shared" si="12"/>
        <v>Lang_459</v>
      </c>
      <c r="C465" t="s">
        <v>4020</v>
      </c>
      <c r="D465" s="392" t="str">
        <f>IF(DD_Current_Lang=1,TRANS_TBL[[#This Row],[ENGLISH]],TRANS_TBL[[#This Row],[FRANÇAIS]])</f>
        <v>Projection or Retrospective</v>
      </c>
      <c r="E465" t="s">
        <v>4021</v>
      </c>
      <c r="F465" t="s">
        <v>4022</v>
      </c>
    </row>
    <row r="466" spans="2:6" ht="14.25" x14ac:dyDescent="0.2">
      <c r="B466" t="str">
        <f t="shared" si="12"/>
        <v>Lang_460</v>
      </c>
      <c r="C466" t="s">
        <v>1507</v>
      </c>
      <c r="D466" s="392" t="str">
        <f>IF(DD_Current_Lang=1,TRANS_TBL[[#This Row],[ENGLISH]],TRANS_TBL[[#This Row],[FRANÇAIS]])</f>
        <v>Projection</v>
      </c>
      <c r="E466" t="s">
        <v>1506</v>
      </c>
      <c r="F466" t="s">
        <v>1506</v>
      </c>
    </row>
    <row r="467" spans="2:6" ht="14.25" x14ac:dyDescent="0.2">
      <c r="B467" t="str">
        <f t="shared" si="12"/>
        <v>Lang_461</v>
      </c>
      <c r="C467" t="s">
        <v>1539</v>
      </c>
      <c r="D467" s="392" t="str">
        <f>IF(DD_Current_Lang=1,TRANS_TBL[[#This Row],[ENGLISH]],TRANS_TBL[[#This Row],[FRANÇAIS]])</f>
        <v>Results (Numbers)</v>
      </c>
      <c r="E467" t="s">
        <v>1538</v>
      </c>
      <c r="F467" t="s">
        <v>1682</v>
      </c>
    </row>
    <row r="468" spans="2:6" ht="14.25" x14ac:dyDescent="0.2">
      <c r="B468" t="str">
        <f t="shared" si="12"/>
        <v>Lang_462</v>
      </c>
      <c r="C468" t="s">
        <v>1541</v>
      </c>
      <c r="D468" s="392" t="str">
        <f>IF(DD_Current_Lang=1,TRANS_TBL[[#This Row],[ENGLISH]],TRANS_TBL[[#This Row],[FRANÇAIS]])</f>
        <v>from Coverage Assumptions</v>
      </c>
      <c r="E468" t="s">
        <v>1540</v>
      </c>
      <c r="F468" t="s">
        <v>1683</v>
      </c>
    </row>
    <row r="469" spans="2:6" ht="14.25" x14ac:dyDescent="0.2">
      <c r="B469" t="str">
        <f t="shared" si="12"/>
        <v>Lang_463</v>
      </c>
      <c r="C469" t="s">
        <v>1543</v>
      </c>
      <c r="D469" s="392" t="str">
        <f>IF(DD_Current_Lang=1,TRANS_TBL[[#This Row],[ENGLISH]],TRANS_TBL[[#This Row],[FRANÇAIS]])</f>
        <v>Activities</v>
      </c>
      <c r="E469" t="s">
        <v>1542</v>
      </c>
      <c r="F469" t="s">
        <v>1684</v>
      </c>
    </row>
    <row r="470" spans="2:6" ht="14.25" x14ac:dyDescent="0.2">
      <c r="B470" t="str">
        <f t="shared" si="12"/>
        <v>Lang_464</v>
      </c>
      <c r="C470" t="s">
        <v>1545</v>
      </c>
      <c r="D470" s="392" t="str">
        <f>IF(DD_Current_Lang=1,TRANS_TBL[[#This Row],[ENGLISH]],TRANS_TBL[[#This Row],[FRANÇAIS]])</f>
        <v>Retrospective</v>
      </c>
      <c r="E470" t="s">
        <v>1544</v>
      </c>
      <c r="F470" t="s">
        <v>1685</v>
      </c>
    </row>
    <row r="471" spans="2:6" ht="14.25" x14ac:dyDescent="0.2">
      <c r="B471" t="str">
        <f t="shared" si="12"/>
        <v>Lang_465</v>
      </c>
      <c r="C471" t="s">
        <v>1547</v>
      </c>
      <c r="D471" s="392" t="str">
        <f>IF(DD_Current_Lang=1,TRANS_TBL[[#This Row],[ENGLISH]],TRANS_TBL[[#This Row],[FRANÇAIS]])</f>
        <v>Single Activity Cost - Annual Assumptions</v>
      </c>
      <c r="E471" t="s">
        <v>1546</v>
      </c>
      <c r="F471" t="s">
        <v>1686</v>
      </c>
    </row>
    <row r="472" spans="2:6" ht="14.25" x14ac:dyDescent="0.2">
      <c r="B472" t="str">
        <f t="shared" si="12"/>
        <v>Lang_466</v>
      </c>
      <c r="C472" t="s">
        <v>1549</v>
      </c>
      <c r="D472" s="392" t="str">
        <f>IF(DD_Current_Lang=1,TRANS_TBL[[#This Row],[ENGLISH]],TRANS_TBL[[#This Row],[FRANÇAIS]])</f>
        <v>Cost of a Single</v>
      </c>
      <c r="E472" t="s">
        <v>1548</v>
      </c>
      <c r="F472" t="s">
        <v>1687</v>
      </c>
    </row>
    <row r="473" spans="2:6" ht="14.25" x14ac:dyDescent="0.2">
      <c r="B473" t="str">
        <f t="shared" si="12"/>
        <v>Lang_467</v>
      </c>
      <c r="C473" t="s">
        <v>1551</v>
      </c>
      <c r="D473" s="392" t="str">
        <f>IF(DD_Current_Lang=1,TRANS_TBL[[#This Row],[ENGLISH]],TRANS_TBL[[#This Row],[FRANÇAIS]])</f>
        <v>Name</v>
      </c>
      <c r="E473" t="s">
        <v>1550</v>
      </c>
      <c r="F473" t="s">
        <v>1688</v>
      </c>
    </row>
    <row r="474" spans="2:6" ht="14.25" x14ac:dyDescent="0.2">
      <c r="B474" t="str">
        <f t="shared" si="12"/>
        <v>Lang_468</v>
      </c>
      <c r="C474" t="s">
        <v>1553</v>
      </c>
      <c r="D474" s="392" t="str">
        <f>IF(DD_Current_Lang=1,TRANS_TBL[[#This Row],[ENGLISH]],TRANS_TBL[[#This Row],[FRANÇAIS]])</f>
        <v>Projected or Retrospective</v>
      </c>
      <c r="E474" t="s">
        <v>1552</v>
      </c>
      <c r="F474" t="s">
        <v>1689</v>
      </c>
    </row>
    <row r="475" spans="2:6" ht="14.25" x14ac:dyDescent="0.2">
      <c r="B475" t="str">
        <f t="shared" si="12"/>
        <v>Lang_469</v>
      </c>
      <c r="C475" t="s">
        <v>1555</v>
      </c>
      <c r="D475" s="392" t="str">
        <f>IF(DD_Current_Lang=1,TRANS_TBL[[#This Row],[ENGLISH]],TRANS_TBL[[#This Row],[FRANÇAIS]])</f>
        <v>Number of</v>
      </c>
      <c r="E475" t="s">
        <v>1554</v>
      </c>
      <c r="F475" t="s">
        <v>1690</v>
      </c>
    </row>
    <row r="476" spans="2:6" ht="14.25" x14ac:dyDescent="0.2">
      <c r="B476" t="str">
        <f t="shared" si="12"/>
        <v>Lang_470</v>
      </c>
      <c r="C476" t="s">
        <v>1557</v>
      </c>
      <c r="D476" s="392" t="str">
        <f>IF(DD_Current_Lang=1,TRANS_TBL[[#This Row],[ENGLISH]],TRANS_TBL[[#This Row],[FRANÇAIS]])</f>
        <v>Activities - Annual Assumptions</v>
      </c>
      <c r="E476" t="s">
        <v>1556</v>
      </c>
      <c r="F476" t="s">
        <v>1691</v>
      </c>
    </row>
    <row r="477" spans="2:6" ht="14.25" x14ac:dyDescent="0.2">
      <c r="B477" t="str">
        <f t="shared" si="12"/>
        <v>Lang_471</v>
      </c>
      <c r="C477" t="s">
        <v>1592</v>
      </c>
      <c r="D477" s="392" t="str">
        <f>IF(DD_Current_Lang=1,TRANS_TBL[[#This Row],[ENGLISH]],TRANS_TBL[[#This Row],[FRANÇAIS]])</f>
        <v>Recurrent</v>
      </c>
      <c r="E477" t="s">
        <v>1591</v>
      </c>
      <c r="F477" t="s">
        <v>1692</v>
      </c>
    </row>
    <row r="478" spans="2:6" ht="14.25" x14ac:dyDescent="0.2">
      <c r="B478" t="str">
        <f t="shared" si="12"/>
        <v>Lang_472</v>
      </c>
      <c r="C478" t="s">
        <v>1594</v>
      </c>
      <c r="D478" s="392" t="str">
        <f>IF(DD_Current_Lang=1,TRANS_TBL[[#This Row],[ENGLISH]],TRANS_TBL[[#This Row],[FRANÇAIS]])</f>
        <v>Annualized</v>
      </c>
      <c r="E478" t="s">
        <v>1593</v>
      </c>
      <c r="F478" t="s">
        <v>1816</v>
      </c>
    </row>
    <row r="479" spans="2:6" ht="14.25" x14ac:dyDescent="0.2">
      <c r="B479" t="str">
        <f t="shared" si="12"/>
        <v>Lang_473</v>
      </c>
      <c r="C479" t="s">
        <v>1600</v>
      </c>
      <c r="D479" s="392" t="str">
        <f>IF(DD_Current_Lang=1,TRANS_TBL[[#This Row],[ENGLISH]],TRANS_TBL[[#This Row],[FRANÇAIS]])</f>
        <v>Price per Unit Financial</v>
      </c>
      <c r="E479" t="s">
        <v>1601</v>
      </c>
      <c r="F479" t="s">
        <v>1693</v>
      </c>
    </row>
    <row r="480" spans="2:6" ht="14.25" x14ac:dyDescent="0.2">
      <c r="B480" t="str">
        <f t="shared" si="12"/>
        <v>Lang_474</v>
      </c>
      <c r="C480" t="s">
        <v>1603</v>
      </c>
      <c r="D480" s="392" t="str">
        <f>IF(DD_Current_Lang=1,TRANS_TBL[[#This Row],[ENGLISH]],TRANS_TBL[[#This Row],[FRANÇAIS]])</f>
        <v>Price per Unit Economic</v>
      </c>
      <c r="E480" t="s">
        <v>1602</v>
      </c>
      <c r="F480" t="s">
        <v>1694</v>
      </c>
    </row>
    <row r="481" spans="2:6" ht="14.25" x14ac:dyDescent="0.2">
      <c r="B481" t="str">
        <f t="shared" si="12"/>
        <v>Lang_475</v>
      </c>
      <c r="C481" t="s">
        <v>1605</v>
      </c>
      <c r="D481" s="392" t="str">
        <f>IF(DD_Current_Lang=1,TRANS_TBL[[#This Row],[ENGLISH]],TRANS_TBL[[#This Row],[FRANÇAIS]])</f>
        <v>Projected Calculation</v>
      </c>
      <c r="E481" t="s">
        <v>1604</v>
      </c>
      <c r="F481" t="s">
        <v>1812</v>
      </c>
    </row>
    <row r="482" spans="2:6" ht="14.25" x14ac:dyDescent="0.2">
      <c r="B482" t="str">
        <f t="shared" si="12"/>
        <v>Lang_476</v>
      </c>
      <c r="C482" t="s">
        <v>1607</v>
      </c>
      <c r="D482" s="392" t="str">
        <f>IF(DD_Current_Lang=1,TRANS_TBL[[#This Row],[ENGLISH]],TRANS_TBL[[#This Row],[FRANÇAIS]])</f>
        <v>Eligible</v>
      </c>
      <c r="E482" t="s">
        <v>1606</v>
      </c>
      <c r="F482" t="s">
        <v>1695</v>
      </c>
    </row>
    <row r="483" spans="2:6" ht="14.25" x14ac:dyDescent="0.2">
      <c r="B483" t="str">
        <f t="shared" si="12"/>
        <v>Lang_477</v>
      </c>
      <c r="C483" t="s">
        <v>1609</v>
      </c>
      <c r="D483" s="392" t="str">
        <f>IF(DD_Current_Lang=1,TRANS_TBL[[#This Row],[ENGLISH]],TRANS_TBL[[#This Row],[FRANÇAIS]])</f>
        <v>All Target Populations</v>
      </c>
      <c r="E483" t="s">
        <v>1608</v>
      </c>
      <c r="F483" t="s">
        <v>1696</v>
      </c>
    </row>
    <row r="484" spans="2:6" ht="14.25" x14ac:dyDescent="0.2">
      <c r="B484" t="str">
        <f t="shared" si="12"/>
        <v>Lang_478</v>
      </c>
      <c r="C484" t="s">
        <v>1611</v>
      </c>
      <c r="D484" s="392" t="str">
        <f>IF(DD_Current_Lang=1,TRANS_TBL[[#This Row],[ENGLISH]],TRANS_TBL[[#This Row],[FRANÇAIS]])</f>
        <v>AUTOCALCULATED</v>
      </c>
      <c r="E484" t="s">
        <v>1610</v>
      </c>
      <c r="F484" t="s">
        <v>1697</v>
      </c>
    </row>
    <row r="485" spans="2:6" ht="14.25" x14ac:dyDescent="0.2">
      <c r="B485" t="str">
        <f t="shared" si="12"/>
        <v>Lang_479</v>
      </c>
      <c r="C485" t="s">
        <v>1613</v>
      </c>
      <c r="D485" s="392" t="str">
        <f>IF(DD_Current_Lang=1,TRANS_TBL[[#This Row],[ENGLISH]],TRANS_TBL[[#This Row],[FRANÇAIS]])</f>
        <v>Coverage - Retrospective Data</v>
      </c>
      <c r="E485" t="s">
        <v>1612</v>
      </c>
      <c r="F485" t="s">
        <v>1698</v>
      </c>
    </row>
    <row r="486" spans="2:6" ht="14.25" x14ac:dyDescent="0.2">
      <c r="B486" t="str">
        <f t="shared" si="12"/>
        <v>Lang_480</v>
      </c>
      <c r="C486" t="s">
        <v>1615</v>
      </c>
      <c r="D486" s="392" t="str">
        <f>IF(DD_Current_Lang=1,TRANS_TBL[[#This Row],[ENGLISH]],TRANS_TBL[[#This Row],[FRANÇAIS]])</f>
        <v>All Target Populations Coverage</v>
      </c>
      <c r="E486" t="s">
        <v>1614</v>
      </c>
      <c r="F486" t="s">
        <v>1699</v>
      </c>
    </row>
    <row r="487" spans="2:6" ht="14.25" x14ac:dyDescent="0.2">
      <c r="B487" t="str">
        <f t="shared" si="12"/>
        <v>Lang_481</v>
      </c>
      <c r="C487" t="s">
        <v>4023</v>
      </c>
      <c r="D487" s="392" t="str">
        <f>IF(DD_Current_Lang=1,TRANS_TBL[[#This Row],[ENGLISH]],TRANS_TBL[[#This Row],[FRANÇAIS]])</f>
        <v>Projection Projection</v>
      </c>
      <c r="E487" t="s">
        <v>4024</v>
      </c>
      <c r="F487" t="s">
        <v>4025</v>
      </c>
    </row>
    <row r="488" spans="2:6" ht="14.25" x14ac:dyDescent="0.2">
      <c r="B488" t="str">
        <f t="shared" si="12"/>
        <v>Lang_482</v>
      </c>
      <c r="C488" t="s">
        <v>1617</v>
      </c>
      <c r="D488" s="392" t="str">
        <f>IF(DD_Current_Lang=1,TRANS_TBL[[#This Row],[ENGLISH]],TRANS_TBL[[#This Row],[FRANÇAIS]])</f>
        <v>Summary Costs (Annual)</v>
      </c>
      <c r="E488" t="s">
        <v>1616</v>
      </c>
      <c r="F488" t="s">
        <v>1700</v>
      </c>
    </row>
    <row r="489" spans="2:6" ht="14.25" x14ac:dyDescent="0.2">
      <c r="B489" t="str">
        <f t="shared" ref="B489:B550" si="13">"Lang_"&amp;ROW()-6</f>
        <v>Lang_483</v>
      </c>
      <c r="C489" t="s">
        <v>1619</v>
      </c>
      <c r="D489" s="392" t="str">
        <f>IF(DD_Current_Lang=1,TRANS_TBL[[#This Row],[ENGLISH]],TRANS_TBL[[#This Row],[FRANÇAIS]])</f>
        <v>in a</v>
      </c>
      <c r="E489" t="s">
        <v>1618</v>
      </c>
      <c r="F489" t="s">
        <v>1701</v>
      </c>
    </row>
    <row r="490" spans="2:6" ht="14.25" x14ac:dyDescent="0.2">
      <c r="B490" t="str">
        <f t="shared" si="13"/>
        <v>Lang_484</v>
      </c>
      <c r="C490" t="s">
        <v>1621</v>
      </c>
      <c r="D490" s="392" t="str">
        <f>IF(DD_Current_Lang=1,TRANS_TBL[[#This Row],[ENGLISH]],TRANS_TBL[[#This Row],[FRANÇAIS]])</f>
        <v>Detailed Cost Summary</v>
      </c>
      <c r="E490" t="s">
        <v>1620</v>
      </c>
      <c r="F490" t="s">
        <v>1702</v>
      </c>
    </row>
    <row r="491" spans="2:6" ht="14.25" x14ac:dyDescent="0.2">
      <c r="B491" t="str">
        <f t="shared" si="13"/>
        <v>Lang_485</v>
      </c>
      <c r="C491" t="s">
        <v>1633</v>
      </c>
      <c r="D491" s="392" t="str">
        <f>IF(DD_Current_Lang=1,TRANS_TBL[[#This Row],[ENGLISH]],TRANS_TBL[[#This Row],[FRANÇAIS]])</f>
        <v>Detailed Activity Costing Worksheet - Instructions</v>
      </c>
      <c r="E491" t="s">
        <v>1630</v>
      </c>
      <c r="F491" t="s">
        <v>1703</v>
      </c>
    </row>
    <row r="492" spans="2:6" ht="14.25" x14ac:dyDescent="0.2">
      <c r="B492" t="str">
        <f t="shared" si="13"/>
        <v>Lang_486</v>
      </c>
      <c r="C492" t="s">
        <v>1632</v>
      </c>
      <c r="D492" s="392" t="str">
        <f>IF(DD_Current_Lang=1,TRANS_TBL[[#This Row],[ENGLISH]],TRANS_TBL[[#This Row],[FRANÇAIS]])</f>
        <v>Detailed Activity Costing Worksheet - Currency Selection</v>
      </c>
      <c r="E492" t="s">
        <v>1631</v>
      </c>
      <c r="F492" t="s">
        <v>1704</v>
      </c>
    </row>
    <row r="493" spans="2:6" ht="14.25" x14ac:dyDescent="0.2">
      <c r="B493" t="str">
        <f t="shared" si="13"/>
        <v>Lang_487</v>
      </c>
      <c r="C493" t="s">
        <v>1623</v>
      </c>
      <c r="D493" s="392" t="str">
        <f>IF(DD_Current_Lang=1,TRANS_TBL[[#This Row],[ENGLISH]],TRANS_TBL[[#This Row],[FRANÇAIS]])</f>
        <v>Detailed Personnel Cost Assumptions</v>
      </c>
      <c r="E493" t="s">
        <v>1622</v>
      </c>
      <c r="F493" t="s">
        <v>1705</v>
      </c>
    </row>
    <row r="494" spans="2:6" ht="14.25" x14ac:dyDescent="0.2">
      <c r="B494" t="str">
        <f t="shared" si="13"/>
        <v>Lang_488</v>
      </c>
      <c r="C494" t="s">
        <v>1625</v>
      </c>
      <c r="D494" s="392" t="str">
        <f>IF(DD_Current_Lang=1,TRANS_TBL[[#This Row],[ENGLISH]],TRANS_TBL[[#This Row],[FRANÇAIS]])</f>
        <v>Detailed Allowance Cost Assumptions</v>
      </c>
      <c r="E494" t="s">
        <v>1624</v>
      </c>
      <c r="F494" t="s">
        <v>1706</v>
      </c>
    </row>
    <row r="495" spans="2:6" ht="14.25" x14ac:dyDescent="0.2">
      <c r="B495" t="str">
        <f t="shared" si="13"/>
        <v>Lang_489</v>
      </c>
      <c r="C495" t="s">
        <v>1627</v>
      </c>
      <c r="D495" s="392" t="str">
        <f>IF(DD_Current_Lang=1,TRANS_TBL[[#This Row],[ENGLISH]],TRANS_TBL[[#This Row],[FRANÇAIS]])</f>
        <v>Detailed Supply and Material Cost Assumptions</v>
      </c>
      <c r="E495" t="s">
        <v>1626</v>
      </c>
      <c r="F495" t="s">
        <v>1707</v>
      </c>
    </row>
    <row r="496" spans="2:6" ht="14.25" x14ac:dyDescent="0.2">
      <c r="B496" t="str">
        <f t="shared" si="13"/>
        <v>Lang_490</v>
      </c>
      <c r="C496" t="s">
        <v>1629</v>
      </c>
      <c r="D496" s="392" t="str">
        <f>IF(DD_Current_Lang=1,TRANS_TBL[[#This Row],[ENGLISH]],TRANS_TBL[[#This Row],[FRANÇAIS]])</f>
        <v>Detailed Other Direct Cost Assumptions</v>
      </c>
      <c r="E496" t="s">
        <v>1628</v>
      </c>
      <c r="F496" t="s">
        <v>1708</v>
      </c>
    </row>
    <row r="497" spans="2:6" ht="14.25" x14ac:dyDescent="0.2">
      <c r="B497" t="str">
        <f t="shared" si="13"/>
        <v>Lang_491</v>
      </c>
      <c r="C497" t="s">
        <v>1635</v>
      </c>
      <c r="D497" s="392" t="str">
        <f>IF(DD_Current_Lang=1,TRANS_TBL[[#This Row],[ENGLISH]],TRANS_TBL[[#This Row],[FRANÇAIS]])</f>
        <v>Cost per Activity Unit</v>
      </c>
      <c r="E497" t="s">
        <v>1634</v>
      </c>
      <c r="F497" t="s">
        <v>1709</v>
      </c>
    </row>
    <row r="498" spans="2:6" ht="14.25" x14ac:dyDescent="0.2">
      <c r="B498" t="str">
        <f t="shared" si="13"/>
        <v>Lang_492</v>
      </c>
      <c r="C498" t="s">
        <v>1637</v>
      </c>
      <c r="D498" s="392" t="str">
        <f>IF(DD_Current_Lang=1,TRANS_TBL[[#This Row],[ENGLISH]],TRANS_TBL[[#This Row],[FRANÇAIS]])</f>
        <v>Error in</v>
      </c>
      <c r="E498" t="s">
        <v>1636</v>
      </c>
      <c r="F498" t="s">
        <v>1710</v>
      </c>
    </row>
    <row r="499" spans="2:6" ht="14.25" x14ac:dyDescent="0.2">
      <c r="B499" t="str">
        <f t="shared" si="13"/>
        <v>Lang_493</v>
      </c>
      <c r="C499" t="s">
        <v>1639</v>
      </c>
      <c r="D499" s="392" t="str">
        <f>IF(DD_Current_Lang=1,TRANS_TBL[[#This Row],[ENGLISH]],TRANS_TBL[[#This Row],[FRANÇAIS]])</f>
        <v>Errors Detected</v>
      </c>
      <c r="E499" t="s">
        <v>1638</v>
      </c>
      <c r="F499" t="s">
        <v>1711</v>
      </c>
    </row>
    <row r="500" spans="2:6" ht="14.25" x14ac:dyDescent="0.2">
      <c r="B500" t="str">
        <f t="shared" si="13"/>
        <v>Lang_494</v>
      </c>
      <c r="C500" t="s">
        <v>1641</v>
      </c>
      <c r="D500" s="392" t="str">
        <f>IF(DD_Current_Lang=1,TRANS_TBL[[#This Row],[ENGLISH]],TRANS_TBL[[#This Row],[FRANÇAIS]])</f>
        <v>Miscellaneous Check</v>
      </c>
      <c r="E500" t="s">
        <v>1640</v>
      </c>
      <c r="F500" t="s">
        <v>1712</v>
      </c>
    </row>
    <row r="501" spans="2:6" ht="14.25" x14ac:dyDescent="0.2">
      <c r="B501" t="str">
        <f t="shared" si="13"/>
        <v>Lang_495</v>
      </c>
      <c r="C501" t="s">
        <v>1643</v>
      </c>
      <c r="D501" s="392" t="str">
        <f>IF(DD_Current_Lang=1,TRANS_TBL[[#This Row],[ENGLISH]],TRANS_TBL[[#This Row],[FRANÇAIS]])</f>
        <v>Alert in</v>
      </c>
      <c r="E501" t="s">
        <v>1642</v>
      </c>
      <c r="F501" t="s">
        <v>1713</v>
      </c>
    </row>
    <row r="502" spans="2:6" ht="14.25" x14ac:dyDescent="0.2">
      <c r="B502" t="str">
        <f t="shared" si="13"/>
        <v>Lang_496</v>
      </c>
      <c r="C502" t="s">
        <v>1645</v>
      </c>
      <c r="D502" s="392" t="str">
        <f>IF(DD_Current_Lang=1,TRANS_TBL[[#This Row],[ENGLISH]],TRANS_TBL[[#This Row],[FRANÇAIS]])</f>
        <v>Alerts Detected</v>
      </c>
      <c r="E502" t="s">
        <v>1644</v>
      </c>
      <c r="F502" t="s">
        <v>1714</v>
      </c>
    </row>
    <row r="503" spans="2:6" ht="14.25" x14ac:dyDescent="0.2">
      <c r="B503" t="str">
        <f t="shared" si="13"/>
        <v>Lang_497</v>
      </c>
      <c r="C503" t="s">
        <v>1647</v>
      </c>
      <c r="D503" s="392" t="str">
        <f>IF(DD_Current_Lang=1,TRANS_TBL[[#This Row],[ENGLISH]],TRANS_TBL[[#This Row],[FRANÇAIS]])</f>
        <v>Vaccinations Administered (Projected)</v>
      </c>
      <c r="E503" t="s">
        <v>1646</v>
      </c>
      <c r="F503" t="s">
        <v>1813</v>
      </c>
    </row>
    <row r="504" spans="2:6" ht="14.25" x14ac:dyDescent="0.2">
      <c r="B504" t="str">
        <f t="shared" si="13"/>
        <v>Lang_498</v>
      </c>
      <c r="C504" t="s">
        <v>1649</v>
      </c>
      <c r="D504" s="392" t="str">
        <f>IF(DD_Current_Lang=1,TRANS_TBL[[#This Row],[ENGLISH]],TRANS_TBL[[#This Row],[FRANÇAIS]])</f>
        <v>Vaccinations Administered (Retrospective)</v>
      </c>
      <c r="E504" t="s">
        <v>1648</v>
      </c>
      <c r="F504" t="s">
        <v>1715</v>
      </c>
    </row>
    <row r="505" spans="2:6" ht="14.25" x14ac:dyDescent="0.2">
      <c r="B505" t="str">
        <f t="shared" si="13"/>
        <v>Lang_499</v>
      </c>
      <c r="C505" t="s">
        <v>1651</v>
      </c>
      <c r="D505" s="392" t="str">
        <f>IF(DD_Current_Lang=1,TRANS_TBL[[#This Row],[ENGLISH]],TRANS_TBL[[#This Row],[FRANÇAIS]])</f>
        <v>Vaccine Doses Procured</v>
      </c>
      <c r="E505" t="s">
        <v>1650</v>
      </c>
      <c r="F505" t="s">
        <v>1716</v>
      </c>
    </row>
    <row r="506" spans="2:6" ht="14.25" x14ac:dyDescent="0.2">
      <c r="B506" t="str">
        <f t="shared" si="13"/>
        <v>Lang_500</v>
      </c>
      <c r="C506" t="s">
        <v>1653</v>
      </c>
      <c r="D506" s="392" t="str">
        <f>IF(DD_Current_Lang=1,TRANS_TBL[[#This Row],[ENGLISH]],TRANS_TBL[[#This Row],[FRANÇAIS]])</f>
        <v>Syringes Procured</v>
      </c>
      <c r="E506" t="s">
        <v>1652</v>
      </c>
      <c r="F506" t="s">
        <v>1717</v>
      </c>
    </row>
    <row r="507" spans="2:6" ht="14.25" x14ac:dyDescent="0.2">
      <c r="B507" t="str">
        <f t="shared" si="13"/>
        <v>Lang_501</v>
      </c>
      <c r="C507" t="s">
        <v>1655</v>
      </c>
      <c r="D507" s="392" t="str">
        <f>IF(DD_Current_Lang=1,TRANS_TBL[[#This Row],[ENGLISH]],TRANS_TBL[[#This Row],[FRANÇAIS]])</f>
        <v>Safety Boxes Procured</v>
      </c>
      <c r="E507" t="s">
        <v>1654</v>
      </c>
      <c r="F507" t="s">
        <v>1718</v>
      </c>
    </row>
    <row r="508" spans="2:6" ht="14.25" x14ac:dyDescent="0.2">
      <c r="B508" t="str">
        <f t="shared" si="13"/>
        <v>Lang_502</v>
      </c>
      <c r="C508" t="s">
        <v>1657</v>
      </c>
      <c r="D508" s="392" t="str">
        <f>IF(DD_Current_Lang=1,TRANS_TBL[[#This Row],[ENGLISH]],TRANS_TBL[[#This Row],[FRANÇAIS]])</f>
        <v>Vaccine Costs</v>
      </c>
      <c r="E508" t="s">
        <v>1656</v>
      </c>
      <c r="F508" t="s">
        <v>1719</v>
      </c>
    </row>
    <row r="509" spans="2:6" ht="14.25" x14ac:dyDescent="0.2">
      <c r="B509" t="str">
        <f t="shared" si="13"/>
        <v>Lang_503</v>
      </c>
      <c r="C509" t="s">
        <v>1659</v>
      </c>
      <c r="D509" s="392" t="str">
        <f>IF(DD_Current_Lang=1,TRANS_TBL[[#This Row],[ENGLISH]],TRANS_TBL[[#This Row],[FRANÇAIS]])</f>
        <v>Local Currency - Financial</v>
      </c>
      <c r="E509" t="s">
        <v>1658</v>
      </c>
      <c r="F509" t="s">
        <v>1720</v>
      </c>
    </row>
    <row r="510" spans="2:6" ht="14.25" x14ac:dyDescent="0.2">
      <c r="B510" t="str">
        <f t="shared" si="13"/>
        <v>Lang_504</v>
      </c>
      <c r="C510" t="s">
        <v>1660</v>
      </c>
      <c r="D510" s="392" t="str">
        <f>IF(DD_Current_Lang=1,TRANS_TBL[[#This Row],[ENGLISH]],TRANS_TBL[[#This Row],[FRANÇAIS]])</f>
        <v>Local Currency - Economic</v>
      </c>
      <c r="E510" t="s">
        <v>1661</v>
      </c>
      <c r="F510" t="s">
        <v>1721</v>
      </c>
    </row>
    <row r="511" spans="2:6" ht="14.25" x14ac:dyDescent="0.2">
      <c r="B511" t="str">
        <f t="shared" si="13"/>
        <v>Lang_505</v>
      </c>
      <c r="C511" t="s">
        <v>1664</v>
      </c>
      <c r="D511" s="392" t="str">
        <f>IF(DD_Current_Lang=1,TRANS_TBL[[#This Row],[ENGLISH]],TRANS_TBL[[#This Row],[FRANÇAIS]])</f>
        <v>International Currency - Financial</v>
      </c>
      <c r="E511" t="s">
        <v>1662</v>
      </c>
      <c r="F511" t="s">
        <v>1722</v>
      </c>
    </row>
    <row r="512" spans="2:6" ht="14.25" x14ac:dyDescent="0.2">
      <c r="B512" t="str">
        <f t="shared" si="13"/>
        <v>Lang_506</v>
      </c>
      <c r="C512" t="s">
        <v>1665</v>
      </c>
      <c r="D512" s="392" t="str">
        <f>IF(DD_Current_Lang=1,TRANS_TBL[[#This Row],[ENGLISH]],TRANS_TBL[[#This Row],[FRANÇAIS]])</f>
        <v>International Currency - Economic</v>
      </c>
      <c r="E512" t="s">
        <v>1663</v>
      </c>
      <c r="F512" t="s">
        <v>1723</v>
      </c>
    </row>
    <row r="513" spans="2:6" ht="14.25" x14ac:dyDescent="0.2">
      <c r="B513" t="str">
        <f t="shared" si="13"/>
        <v>Lang_507</v>
      </c>
      <c r="C513" t="s">
        <v>1667</v>
      </c>
      <c r="D513" s="392" t="str">
        <f>IF(DD_Current_Lang=1,TRANS_TBL[[#This Row],[ENGLISH]],TRANS_TBL[[#This Row],[FRANÇAIS]])</f>
        <v>Syringe Costs</v>
      </c>
      <c r="E513" t="s">
        <v>1666</v>
      </c>
      <c r="F513" t="s">
        <v>1724</v>
      </c>
    </row>
    <row r="514" spans="2:6" ht="14.25" x14ac:dyDescent="0.2">
      <c r="B514" t="str">
        <f t="shared" si="13"/>
        <v>Lang_508</v>
      </c>
      <c r="C514" t="s">
        <v>1669</v>
      </c>
      <c r="D514" s="392" t="str">
        <f>IF(DD_Current_Lang=1,TRANS_TBL[[#This Row],[ENGLISH]],TRANS_TBL[[#This Row],[FRANÇAIS]])</f>
        <v>Safety Box Costs</v>
      </c>
      <c r="E514" t="s">
        <v>1668</v>
      </c>
      <c r="F514" t="s">
        <v>1780</v>
      </c>
    </row>
    <row r="515" spans="2:6" ht="14.25" x14ac:dyDescent="0.2">
      <c r="B515" t="str">
        <f t="shared" si="13"/>
        <v>Lang_509</v>
      </c>
      <c r="C515" t="s">
        <v>1671</v>
      </c>
      <c r="D515" s="392" t="str">
        <f>IF(DD_Current_Lang=1,TRANS_TBL[[#This Row],[ENGLISH]],TRANS_TBL[[#This Row],[FRANÇAIS]])</f>
        <v>Single Activity Cost Outputs - Annual</v>
      </c>
      <c r="E515" t="s">
        <v>1670</v>
      </c>
      <c r="F515" t="s">
        <v>1725</v>
      </c>
    </row>
    <row r="516" spans="2:6" ht="14.25" x14ac:dyDescent="0.2">
      <c r="B516" t="str">
        <f t="shared" si="13"/>
        <v>Lang_510</v>
      </c>
      <c r="C516" t="s">
        <v>1673</v>
      </c>
      <c r="D516" s="392" t="str">
        <f>IF(DD_Current_Lang=1,TRANS_TBL[[#This Row],[ENGLISH]],TRANS_TBL[[#This Row],[FRANÇAIS]])</f>
        <v>Personnel - Outputs</v>
      </c>
      <c r="E516" t="s">
        <v>1672</v>
      </c>
      <c r="F516" t="s">
        <v>1726</v>
      </c>
    </row>
    <row r="517" spans="2:6" ht="14.25" x14ac:dyDescent="0.2">
      <c r="B517" t="str">
        <f t="shared" si="13"/>
        <v>Lang_511</v>
      </c>
      <c r="C517" t="s">
        <v>1675</v>
      </c>
      <c r="D517" s="392" t="str">
        <f>IF(DD_Current_Lang=1,TRANS_TBL[[#This Row],[ENGLISH]],TRANS_TBL[[#This Row],[FRANÇAIS]])</f>
        <v>Allowances - Outputs</v>
      </c>
      <c r="E517" t="s">
        <v>1674</v>
      </c>
      <c r="F517" t="s">
        <v>1727</v>
      </c>
    </row>
    <row r="518" spans="2:6" ht="14.25" x14ac:dyDescent="0.2">
      <c r="B518" t="str">
        <f t="shared" si="13"/>
        <v>Lang_512</v>
      </c>
      <c r="C518" t="s">
        <v>1677</v>
      </c>
      <c r="D518" s="392" t="str">
        <f>IF(DD_Current_Lang=1,TRANS_TBL[[#This Row],[ENGLISH]],TRANS_TBL[[#This Row],[FRANÇAIS]])</f>
        <v>Supplies and Materials - Outputs</v>
      </c>
      <c r="E518" t="s">
        <v>1676</v>
      </c>
      <c r="F518" t="s">
        <v>1728</v>
      </c>
    </row>
    <row r="519" spans="2:6" ht="14.25" x14ac:dyDescent="0.2">
      <c r="B519" t="str">
        <f t="shared" si="13"/>
        <v>Lang_513</v>
      </c>
      <c r="C519" t="s">
        <v>1679</v>
      </c>
      <c r="D519" s="392" t="str">
        <f>IF(DD_Current_Lang=1,TRANS_TBL[[#This Row],[ENGLISH]],TRANS_TBL[[#This Row],[FRANÇAIS]])</f>
        <v>Other Direct Costs - Outputs</v>
      </c>
      <c r="E519" t="s">
        <v>1678</v>
      </c>
      <c r="F519" t="s">
        <v>1729</v>
      </c>
    </row>
    <row r="520" spans="2:6" ht="14.25" x14ac:dyDescent="0.2">
      <c r="B520" t="str">
        <f t="shared" si="13"/>
        <v>Lang_514</v>
      </c>
      <c r="C520" t="s">
        <v>1815</v>
      </c>
      <c r="D520" s="392" t="str">
        <f>IF(DD_Current_Lang=1,TRANS_TBL[[#This Row],[ENGLISH]],TRANS_TBL[[#This Row],[FRANÇAIS]])</f>
        <v>Activities - Annual Assumptions (Projected or Retrospective)</v>
      </c>
      <c r="E520" t="s">
        <v>1814</v>
      </c>
      <c r="F520" t="s">
        <v>1821</v>
      </c>
    </row>
    <row r="521" spans="2:6" ht="14.25" x14ac:dyDescent="0.2">
      <c r="B521" t="str">
        <f t="shared" si="13"/>
        <v>Lang_515</v>
      </c>
      <c r="C521" t="s">
        <v>1819</v>
      </c>
      <c r="D521" s="392" t="str">
        <f>IF(DD_Current_Lang=1,TRANS_TBL[[#This Row],[ENGLISH]],TRANS_TBL[[#This Row],[FRANÇAIS]])</f>
        <v>Single Activity Cost - Annual Assumptions (Projected or Retrospective)</v>
      </c>
      <c r="E521" t="s">
        <v>1820</v>
      </c>
      <c r="F521" t="s">
        <v>1822</v>
      </c>
    </row>
    <row r="522" spans="2:6" ht="14.25" x14ac:dyDescent="0.2">
      <c r="B522" t="str">
        <f t="shared" si="13"/>
        <v>Lang_516</v>
      </c>
      <c r="C522" t="s">
        <v>1823</v>
      </c>
      <c r="D522" s="392" t="str">
        <f>IF(DD_Current_Lang=1,TRANS_TBL[[#This Row],[ENGLISH]],TRANS_TBL[[#This Row],[FRANÇAIS]])</f>
        <v>Cost Projection</v>
      </c>
      <c r="E522" t="s">
        <v>216</v>
      </c>
      <c r="F522" t="s">
        <v>1826</v>
      </c>
    </row>
    <row r="523" spans="2:6" ht="14.25" x14ac:dyDescent="0.2">
      <c r="B523" t="str">
        <f t="shared" si="13"/>
        <v>Lang_517</v>
      </c>
      <c r="C523" t="s">
        <v>1824</v>
      </c>
      <c r="D523" s="392" t="str">
        <f>IF(DD_Current_Lang=1,TRANS_TBL[[#This Row],[ENGLISH]],TRANS_TBL[[#This Row],[FRANÇAIS]])</f>
        <v>Retrospective Costing</v>
      </c>
      <c r="E523" t="s">
        <v>217</v>
      </c>
      <c r="F523" t="s">
        <v>1825</v>
      </c>
    </row>
    <row r="524" spans="2:6" ht="14.25" x14ac:dyDescent="0.2">
      <c r="B524" t="str">
        <f t="shared" si="13"/>
        <v>Lang_518</v>
      </c>
      <c r="C524" t="s">
        <v>1827</v>
      </c>
      <c r="D524" s="392" t="str">
        <f>IF(DD_Current_Lang=1,TRANS_TBL[[#This Row],[ENGLISH]],TRANS_TBL[[#This Row],[FRANÇAIS]])</f>
        <v>HPV Vaccination Module</v>
      </c>
      <c r="E524" t="s">
        <v>4029</v>
      </c>
      <c r="F524" t="s">
        <v>4030</v>
      </c>
    </row>
    <row r="525" spans="2:6" ht="14.25" x14ac:dyDescent="0.2">
      <c r="B525" t="str">
        <f t="shared" si="13"/>
        <v>Lang_519</v>
      </c>
      <c r="C525" t="s">
        <v>1828</v>
      </c>
      <c r="D525" s="392" t="str">
        <f>IF(DD_Current_Lang=1,TRANS_TBL[[#This Row],[ENGLISH]],TRANS_TBL[[#This Row],[FRANÇAIS]])</f>
        <v>Proportions (%)</v>
      </c>
      <c r="E525" t="s">
        <v>1829</v>
      </c>
      <c r="F525" t="s">
        <v>1829</v>
      </c>
    </row>
    <row r="526" spans="2:6" ht="14.25" x14ac:dyDescent="0.2">
      <c r="B526" t="str">
        <f t="shared" si="13"/>
        <v>Lang_520</v>
      </c>
      <c r="C526" t="s">
        <v>1834</v>
      </c>
      <c r="D526" s="392" t="str">
        <f>IF(DD_Current_Lang=1,TRANS_TBL[[#This Row],[ENGLISH]],TRANS_TBL[[#This Row],[FRANÇAIS]])</f>
        <v>Introduction</v>
      </c>
      <c r="E526" t="s">
        <v>219</v>
      </c>
      <c r="F526" t="s">
        <v>219</v>
      </c>
    </row>
    <row r="527" spans="2:6" ht="14.25" x14ac:dyDescent="0.2">
      <c r="B527" t="str">
        <f t="shared" si="13"/>
        <v>Lang_521</v>
      </c>
      <c r="C527" t="s">
        <v>1836</v>
      </c>
      <c r="D527" s="392" t="str">
        <f>IF(DD_Current_Lang=1,TRANS_TBL[[#This Row],[ENGLISH]],TRANS_TBL[[#This Row],[FRANÇAIS]])</f>
        <v>Use Detailed Cost Worksheet</v>
      </c>
      <c r="E527" t="s">
        <v>222</v>
      </c>
      <c r="F527" t="s">
        <v>1837</v>
      </c>
    </row>
    <row r="528" spans="2:6" ht="14.25" x14ac:dyDescent="0.2">
      <c r="B528" t="str">
        <f t="shared" si="13"/>
        <v>Lang_522</v>
      </c>
      <c r="C528" t="s">
        <v>1835</v>
      </c>
      <c r="D528" s="392" t="str">
        <f>IF(DD_Current_Lang=1,TRANS_TBL[[#This Row],[ENGLISH]],TRANS_TBL[[#This Row],[FRANÇAIS]])</f>
        <v>Enter Cost Estimates Directly</v>
      </c>
      <c r="E528" t="s">
        <v>223</v>
      </c>
      <c r="F528" t="s">
        <v>1838</v>
      </c>
    </row>
    <row r="529" spans="2:6" ht="14.25" x14ac:dyDescent="0.2">
      <c r="B529" t="str">
        <f t="shared" si="13"/>
        <v>Lang_523</v>
      </c>
      <c r="C529" t="s">
        <v>3998</v>
      </c>
      <c r="D529" s="392" t="str">
        <f>IF(DD_Current_Lang=1,TRANS_TBL[[#This Row],[ENGLISH]],TRANS_TBL[[#This Row],[FRANÇAIS]])</f>
        <v>Can't Divide by Zero</v>
      </c>
      <c r="E529" t="s">
        <v>3999</v>
      </c>
      <c r="F529" t="s">
        <v>4000</v>
      </c>
    </row>
    <row r="530" spans="2:6" ht="14.25" x14ac:dyDescent="0.2">
      <c r="B530" t="str">
        <f t="shared" si="13"/>
        <v>Lang_524</v>
      </c>
      <c r="D530" s="392">
        <f>IF(DD_Current_Lang=1,TRANS_TBL[[#This Row],[ENGLISH]],TRANS_TBL[[#This Row],[FRANÇAIS]])</f>
        <v>0</v>
      </c>
    </row>
    <row r="531" spans="2:6" ht="14.25" x14ac:dyDescent="0.2">
      <c r="B531" t="str">
        <f t="shared" si="13"/>
        <v>Lang_525</v>
      </c>
      <c r="D531" s="392">
        <f>IF(DD_Current_Lang=1,TRANS_TBL[[#This Row],[ENGLISH]],TRANS_TBL[[#This Row],[FRANÇAIS]])</f>
        <v>0</v>
      </c>
    </row>
    <row r="532" spans="2:6" ht="14.25" x14ac:dyDescent="0.2">
      <c r="B532" t="str">
        <f t="shared" si="13"/>
        <v>Lang_526</v>
      </c>
      <c r="D532" s="392">
        <f>IF(DD_Current_Lang=1,TRANS_TBL[[#This Row],[ENGLISH]],TRANS_TBL[[#This Row],[FRANÇAIS]])</f>
        <v>0</v>
      </c>
    </row>
    <row r="533" spans="2:6" ht="14.25" x14ac:dyDescent="0.2">
      <c r="B533" t="str">
        <f t="shared" si="13"/>
        <v>Lang_527</v>
      </c>
      <c r="D533" s="392">
        <f>IF(DD_Current_Lang=1,TRANS_TBL[[#This Row],[ENGLISH]],TRANS_TBL[[#This Row],[FRANÇAIS]])</f>
        <v>0</v>
      </c>
    </row>
    <row r="534" spans="2:6" ht="14.25" x14ac:dyDescent="0.2">
      <c r="B534" t="str">
        <f t="shared" si="13"/>
        <v>Lang_528</v>
      </c>
      <c r="D534" s="392">
        <f>IF(DD_Current_Lang=1,TRANS_TBL[[#This Row],[ENGLISH]],TRANS_TBL[[#This Row],[FRANÇAIS]])</f>
        <v>0</v>
      </c>
    </row>
    <row r="535" spans="2:6" ht="14.25" x14ac:dyDescent="0.2">
      <c r="B535" t="str">
        <f t="shared" si="13"/>
        <v>Lang_529</v>
      </c>
      <c r="D535" s="392">
        <f>IF(DD_Current_Lang=1,TRANS_TBL[[#This Row],[ENGLISH]],TRANS_TBL[[#This Row],[FRANÇAIS]])</f>
        <v>0</v>
      </c>
    </row>
    <row r="536" spans="2:6" ht="14.25" x14ac:dyDescent="0.2">
      <c r="B536" t="str">
        <f t="shared" si="13"/>
        <v>Lang_530</v>
      </c>
      <c r="D536" s="392">
        <f>IF(DD_Current_Lang=1,TRANS_TBL[[#This Row],[ENGLISH]],TRANS_TBL[[#This Row],[FRANÇAIS]])</f>
        <v>0</v>
      </c>
    </row>
    <row r="537" spans="2:6" ht="14.25" x14ac:dyDescent="0.2">
      <c r="B537" t="str">
        <f t="shared" si="13"/>
        <v>Lang_531</v>
      </c>
      <c r="D537" s="392">
        <f>IF(DD_Current_Lang=1,TRANS_TBL[[#This Row],[ENGLISH]],TRANS_TBL[[#This Row],[FRANÇAIS]])</f>
        <v>0</v>
      </c>
    </row>
    <row r="538" spans="2:6" ht="14.25" x14ac:dyDescent="0.2">
      <c r="B538" t="str">
        <f t="shared" si="13"/>
        <v>Lang_532</v>
      </c>
      <c r="D538" s="392">
        <f>IF(DD_Current_Lang=1,TRANS_TBL[[#This Row],[ENGLISH]],TRANS_TBL[[#This Row],[FRANÇAIS]])</f>
        <v>0</v>
      </c>
    </row>
    <row r="539" spans="2:6" ht="14.25" x14ac:dyDescent="0.2">
      <c r="B539" t="str">
        <f t="shared" si="13"/>
        <v>Lang_533</v>
      </c>
      <c r="D539" s="392">
        <f>IF(DD_Current_Lang=1,TRANS_TBL[[#This Row],[ENGLISH]],TRANS_TBL[[#This Row],[FRANÇAIS]])</f>
        <v>0</v>
      </c>
    </row>
    <row r="540" spans="2:6" ht="14.25" x14ac:dyDescent="0.2">
      <c r="B540" t="str">
        <f t="shared" si="13"/>
        <v>Lang_534</v>
      </c>
      <c r="D540" s="392">
        <f>IF(DD_Current_Lang=1,TRANS_TBL[[#This Row],[ENGLISH]],TRANS_TBL[[#This Row],[FRANÇAIS]])</f>
        <v>0</v>
      </c>
    </row>
    <row r="541" spans="2:6" ht="14.25" x14ac:dyDescent="0.2">
      <c r="B541" t="str">
        <f t="shared" si="13"/>
        <v>Lang_535</v>
      </c>
      <c r="D541" s="392">
        <f>IF(DD_Current_Lang=1,TRANS_TBL[[#This Row],[ENGLISH]],TRANS_TBL[[#This Row],[FRANÇAIS]])</f>
        <v>0</v>
      </c>
    </row>
    <row r="542" spans="2:6" ht="14.25" x14ac:dyDescent="0.2">
      <c r="B542" t="str">
        <f t="shared" si="13"/>
        <v>Lang_536</v>
      </c>
      <c r="D542" s="392">
        <f>IF(DD_Current_Lang=1,TRANS_TBL[[#This Row],[ENGLISH]],TRANS_TBL[[#This Row],[FRANÇAIS]])</f>
        <v>0</v>
      </c>
    </row>
    <row r="543" spans="2:6" ht="14.25" x14ac:dyDescent="0.2">
      <c r="B543" t="str">
        <f t="shared" si="13"/>
        <v>Lang_537</v>
      </c>
      <c r="D543" s="392">
        <f>IF(DD_Current_Lang=1,TRANS_TBL[[#This Row],[ENGLISH]],TRANS_TBL[[#This Row],[FRANÇAIS]])</f>
        <v>0</v>
      </c>
    </row>
    <row r="544" spans="2:6" ht="14.25" x14ac:dyDescent="0.2">
      <c r="B544" t="str">
        <f t="shared" si="13"/>
        <v>Lang_538</v>
      </c>
      <c r="D544" s="392">
        <f>IF(DD_Current_Lang=1,TRANS_TBL[[#This Row],[ENGLISH]],TRANS_TBL[[#This Row],[FRANÇAIS]])</f>
        <v>0</v>
      </c>
    </row>
    <row r="545" spans="2:4" ht="14.25" x14ac:dyDescent="0.2">
      <c r="B545" t="str">
        <f t="shared" si="13"/>
        <v>Lang_539</v>
      </c>
      <c r="D545" s="392">
        <f>IF(DD_Current_Lang=1,TRANS_TBL[[#This Row],[ENGLISH]],TRANS_TBL[[#This Row],[FRANÇAIS]])</f>
        <v>0</v>
      </c>
    </row>
    <row r="546" spans="2:4" ht="14.25" x14ac:dyDescent="0.2">
      <c r="B546" t="str">
        <f t="shared" si="13"/>
        <v>Lang_540</v>
      </c>
      <c r="D546" s="392">
        <f>IF(DD_Current_Lang=1,TRANS_TBL[[#This Row],[ENGLISH]],TRANS_TBL[[#This Row],[FRANÇAIS]])</f>
        <v>0</v>
      </c>
    </row>
    <row r="547" spans="2:4" ht="14.25" x14ac:dyDescent="0.2">
      <c r="B547" t="str">
        <f t="shared" si="13"/>
        <v>Lang_541</v>
      </c>
      <c r="D547" s="392">
        <f>IF(DD_Current_Lang=1,TRANS_TBL[[#This Row],[ENGLISH]],TRANS_TBL[[#This Row],[FRANÇAIS]])</f>
        <v>0</v>
      </c>
    </row>
    <row r="548" spans="2:4" ht="14.25" x14ac:dyDescent="0.2">
      <c r="B548" t="str">
        <f t="shared" si="13"/>
        <v>Lang_542</v>
      </c>
      <c r="D548" s="392">
        <f>IF(DD_Current_Lang=1,TRANS_TBL[[#This Row],[ENGLISH]],TRANS_TBL[[#This Row],[FRANÇAIS]])</f>
        <v>0</v>
      </c>
    </row>
    <row r="549" spans="2:4" ht="14.25" x14ac:dyDescent="0.2">
      <c r="B549" t="str">
        <f t="shared" si="13"/>
        <v>Lang_543</v>
      </c>
      <c r="D549" s="392">
        <f>IF(DD_Current_Lang=1,TRANS_TBL[[#This Row],[ENGLISH]],TRANS_TBL[[#This Row],[FRANÇAIS]])</f>
        <v>0</v>
      </c>
    </row>
    <row r="550" spans="2:4" ht="14.25" x14ac:dyDescent="0.2">
      <c r="B550" t="str">
        <f t="shared" si="13"/>
        <v>Lang_544</v>
      </c>
      <c r="D550" s="392">
        <f>IF(DD_Current_Lang=1,TRANS_TBL[[#This Row],[ENGLISH]],TRANS_TBL[[#This Row],[FRANÇAIS]])</f>
        <v>0</v>
      </c>
    </row>
    <row r="551" spans="2:4" ht="14.25" x14ac:dyDescent="0.2">
      <c r="B551" t="str">
        <f t="shared" ref="B551:B614" si="14">"Lang_"&amp;ROW()-6</f>
        <v>Lang_545</v>
      </c>
      <c r="D551" s="392">
        <f>IF(DD_Current_Lang=1,TRANS_TBL[[#This Row],[ENGLISH]],TRANS_TBL[[#This Row],[FRANÇAIS]])</f>
        <v>0</v>
      </c>
    </row>
    <row r="552" spans="2:4" ht="14.25" x14ac:dyDescent="0.2">
      <c r="B552" t="str">
        <f t="shared" si="14"/>
        <v>Lang_546</v>
      </c>
      <c r="D552" s="392">
        <f>IF(DD_Current_Lang=1,TRANS_TBL[[#This Row],[ENGLISH]],TRANS_TBL[[#This Row],[FRANÇAIS]])</f>
        <v>0</v>
      </c>
    </row>
    <row r="553" spans="2:4" ht="14.25" x14ac:dyDescent="0.2">
      <c r="B553" t="str">
        <f t="shared" si="14"/>
        <v>Lang_547</v>
      </c>
      <c r="D553" s="392">
        <f>IF(DD_Current_Lang=1,TRANS_TBL[[#This Row],[ENGLISH]],TRANS_TBL[[#This Row],[FRANÇAIS]])</f>
        <v>0</v>
      </c>
    </row>
    <row r="554" spans="2:4" ht="14.25" x14ac:dyDescent="0.2">
      <c r="B554" t="str">
        <f t="shared" si="14"/>
        <v>Lang_548</v>
      </c>
      <c r="D554" s="392">
        <f>IF(DD_Current_Lang=1,TRANS_TBL[[#This Row],[ENGLISH]],TRANS_TBL[[#This Row],[FRANÇAIS]])</f>
        <v>0</v>
      </c>
    </row>
    <row r="555" spans="2:4" ht="14.25" x14ac:dyDescent="0.2">
      <c r="B555" t="str">
        <f t="shared" si="14"/>
        <v>Lang_549</v>
      </c>
      <c r="D555" s="392">
        <f>IF(DD_Current_Lang=1,TRANS_TBL[[#This Row],[ENGLISH]],TRANS_TBL[[#This Row],[FRANÇAIS]])</f>
        <v>0</v>
      </c>
    </row>
    <row r="556" spans="2:4" ht="14.25" x14ac:dyDescent="0.2">
      <c r="B556" t="str">
        <f t="shared" si="14"/>
        <v>Lang_550</v>
      </c>
      <c r="D556" s="392">
        <f>IF(DD_Current_Lang=1,TRANS_TBL[[#This Row],[ENGLISH]],TRANS_TBL[[#This Row],[FRANÇAIS]])</f>
        <v>0</v>
      </c>
    </row>
    <row r="557" spans="2:4" ht="14.25" x14ac:dyDescent="0.2">
      <c r="B557" t="str">
        <f t="shared" si="14"/>
        <v>Lang_551</v>
      </c>
      <c r="D557" s="392">
        <f>IF(DD_Current_Lang=1,TRANS_TBL[[#This Row],[ENGLISH]],TRANS_TBL[[#This Row],[FRANÇAIS]])</f>
        <v>0</v>
      </c>
    </row>
    <row r="558" spans="2:4" ht="14.25" x14ac:dyDescent="0.2">
      <c r="B558" t="str">
        <f t="shared" si="14"/>
        <v>Lang_552</v>
      </c>
      <c r="D558" s="392">
        <f>IF(DD_Current_Lang=1,TRANS_TBL[[#This Row],[ENGLISH]],TRANS_TBL[[#This Row],[FRANÇAIS]])</f>
        <v>0</v>
      </c>
    </row>
    <row r="559" spans="2:4" ht="14.25" x14ac:dyDescent="0.2">
      <c r="B559" t="str">
        <f t="shared" si="14"/>
        <v>Lang_553</v>
      </c>
      <c r="D559" s="392">
        <f>IF(DD_Current_Lang=1,TRANS_TBL[[#This Row],[ENGLISH]],TRANS_TBL[[#This Row],[FRANÇAIS]])</f>
        <v>0</v>
      </c>
    </row>
    <row r="560" spans="2:4" ht="14.25" x14ac:dyDescent="0.2">
      <c r="B560" t="str">
        <f t="shared" si="14"/>
        <v>Lang_554</v>
      </c>
      <c r="D560" s="392">
        <f>IF(DD_Current_Lang=1,TRANS_TBL[[#This Row],[ENGLISH]],TRANS_TBL[[#This Row],[FRANÇAIS]])</f>
        <v>0</v>
      </c>
    </row>
    <row r="561" spans="2:4" ht="14.25" x14ac:dyDescent="0.2">
      <c r="B561" t="str">
        <f t="shared" si="14"/>
        <v>Lang_555</v>
      </c>
      <c r="D561" s="392">
        <f>IF(DD_Current_Lang=1,TRANS_TBL[[#This Row],[ENGLISH]],TRANS_TBL[[#This Row],[FRANÇAIS]])</f>
        <v>0</v>
      </c>
    </row>
    <row r="562" spans="2:4" ht="14.25" x14ac:dyDescent="0.2">
      <c r="B562" t="str">
        <f t="shared" si="14"/>
        <v>Lang_556</v>
      </c>
      <c r="D562" s="392">
        <f>IF(DD_Current_Lang=1,TRANS_TBL[[#This Row],[ENGLISH]],TRANS_TBL[[#This Row],[FRANÇAIS]])</f>
        <v>0</v>
      </c>
    </row>
    <row r="563" spans="2:4" ht="14.25" x14ac:dyDescent="0.2">
      <c r="B563" t="str">
        <f t="shared" si="14"/>
        <v>Lang_557</v>
      </c>
      <c r="D563" s="392">
        <f>IF(DD_Current_Lang=1,TRANS_TBL[[#This Row],[ENGLISH]],TRANS_TBL[[#This Row],[FRANÇAIS]])</f>
        <v>0</v>
      </c>
    </row>
    <row r="564" spans="2:4" ht="14.25" x14ac:dyDescent="0.2">
      <c r="B564" t="str">
        <f t="shared" si="14"/>
        <v>Lang_558</v>
      </c>
      <c r="D564" s="392">
        <f>IF(DD_Current_Lang=1,TRANS_TBL[[#This Row],[ENGLISH]],TRANS_TBL[[#This Row],[FRANÇAIS]])</f>
        <v>0</v>
      </c>
    </row>
    <row r="565" spans="2:4" ht="14.25" x14ac:dyDescent="0.2">
      <c r="B565" t="str">
        <f t="shared" si="14"/>
        <v>Lang_559</v>
      </c>
      <c r="D565" s="392">
        <f>IF(DD_Current_Lang=1,TRANS_TBL[[#This Row],[ENGLISH]],TRANS_TBL[[#This Row],[FRANÇAIS]])</f>
        <v>0</v>
      </c>
    </row>
    <row r="566" spans="2:4" ht="14.25" x14ac:dyDescent="0.2">
      <c r="B566" t="str">
        <f t="shared" si="14"/>
        <v>Lang_560</v>
      </c>
      <c r="D566" s="392">
        <f>IF(DD_Current_Lang=1,TRANS_TBL[[#This Row],[ENGLISH]],TRANS_TBL[[#This Row],[FRANÇAIS]])</f>
        <v>0</v>
      </c>
    </row>
    <row r="567" spans="2:4" ht="14.25" x14ac:dyDescent="0.2">
      <c r="B567" t="str">
        <f t="shared" si="14"/>
        <v>Lang_561</v>
      </c>
      <c r="D567" s="392">
        <f>IF(DD_Current_Lang=1,TRANS_TBL[[#This Row],[ENGLISH]],TRANS_TBL[[#This Row],[FRANÇAIS]])</f>
        <v>0</v>
      </c>
    </row>
    <row r="568" spans="2:4" ht="14.25" x14ac:dyDescent="0.2">
      <c r="B568" t="str">
        <f t="shared" si="14"/>
        <v>Lang_562</v>
      </c>
      <c r="D568" s="392">
        <f>IF(DD_Current_Lang=1,TRANS_TBL[[#This Row],[ENGLISH]],TRANS_TBL[[#This Row],[FRANÇAIS]])</f>
        <v>0</v>
      </c>
    </row>
    <row r="569" spans="2:4" ht="14.25" x14ac:dyDescent="0.2">
      <c r="B569" t="str">
        <f t="shared" si="14"/>
        <v>Lang_563</v>
      </c>
      <c r="D569" s="392">
        <f>IF(DD_Current_Lang=1,TRANS_TBL[[#This Row],[ENGLISH]],TRANS_TBL[[#This Row],[FRANÇAIS]])</f>
        <v>0</v>
      </c>
    </row>
    <row r="570" spans="2:4" ht="14.25" x14ac:dyDescent="0.2">
      <c r="B570" t="str">
        <f t="shared" si="14"/>
        <v>Lang_564</v>
      </c>
      <c r="D570" s="392">
        <f>IF(DD_Current_Lang=1,TRANS_TBL[[#This Row],[ENGLISH]],TRANS_TBL[[#This Row],[FRANÇAIS]])</f>
        <v>0</v>
      </c>
    </row>
    <row r="571" spans="2:4" ht="14.25" x14ac:dyDescent="0.2">
      <c r="B571" t="str">
        <f t="shared" si="14"/>
        <v>Lang_565</v>
      </c>
      <c r="D571" s="392">
        <f>IF(DD_Current_Lang=1,TRANS_TBL[[#This Row],[ENGLISH]],TRANS_TBL[[#This Row],[FRANÇAIS]])</f>
        <v>0</v>
      </c>
    </row>
    <row r="572" spans="2:4" ht="14.25" x14ac:dyDescent="0.2">
      <c r="B572" t="str">
        <f t="shared" si="14"/>
        <v>Lang_566</v>
      </c>
      <c r="D572" s="392">
        <f>IF(DD_Current_Lang=1,TRANS_TBL[[#This Row],[ENGLISH]],TRANS_TBL[[#This Row],[FRANÇAIS]])</f>
        <v>0</v>
      </c>
    </row>
    <row r="573" spans="2:4" ht="14.25" x14ac:dyDescent="0.2">
      <c r="B573" t="str">
        <f t="shared" si="14"/>
        <v>Lang_567</v>
      </c>
      <c r="D573" s="392">
        <f>IF(DD_Current_Lang=1,TRANS_TBL[[#This Row],[ENGLISH]],TRANS_TBL[[#This Row],[FRANÇAIS]])</f>
        <v>0</v>
      </c>
    </row>
    <row r="574" spans="2:4" ht="14.25" x14ac:dyDescent="0.2">
      <c r="B574" t="str">
        <f t="shared" si="14"/>
        <v>Lang_568</v>
      </c>
      <c r="D574" s="392">
        <f>IF(DD_Current_Lang=1,TRANS_TBL[[#This Row],[ENGLISH]],TRANS_TBL[[#This Row],[FRANÇAIS]])</f>
        <v>0</v>
      </c>
    </row>
    <row r="575" spans="2:4" ht="14.25" x14ac:dyDescent="0.2">
      <c r="B575" t="str">
        <f t="shared" si="14"/>
        <v>Lang_569</v>
      </c>
      <c r="D575" s="392">
        <f>IF(DD_Current_Lang=1,TRANS_TBL[[#This Row],[ENGLISH]],TRANS_TBL[[#This Row],[FRANÇAIS]])</f>
        <v>0</v>
      </c>
    </row>
    <row r="576" spans="2:4" ht="14.25" x14ac:dyDescent="0.2">
      <c r="B576" t="str">
        <f t="shared" si="14"/>
        <v>Lang_570</v>
      </c>
      <c r="D576" s="392">
        <f>IF(DD_Current_Lang=1,TRANS_TBL[[#This Row],[ENGLISH]],TRANS_TBL[[#This Row],[FRANÇAIS]])</f>
        <v>0</v>
      </c>
    </row>
    <row r="577" spans="2:4" ht="14.25" x14ac:dyDescent="0.2">
      <c r="B577" t="str">
        <f t="shared" si="14"/>
        <v>Lang_571</v>
      </c>
      <c r="D577" s="392">
        <f>IF(DD_Current_Lang=1,TRANS_TBL[[#This Row],[ENGLISH]],TRANS_TBL[[#This Row],[FRANÇAIS]])</f>
        <v>0</v>
      </c>
    </row>
    <row r="578" spans="2:4" ht="14.25" x14ac:dyDescent="0.2">
      <c r="B578" t="str">
        <f t="shared" si="14"/>
        <v>Lang_572</v>
      </c>
      <c r="D578" s="392">
        <f>IF(DD_Current_Lang=1,TRANS_TBL[[#This Row],[ENGLISH]],TRANS_TBL[[#This Row],[FRANÇAIS]])</f>
        <v>0</v>
      </c>
    </row>
    <row r="579" spans="2:4" ht="14.25" x14ac:dyDescent="0.2">
      <c r="B579" t="str">
        <f t="shared" si="14"/>
        <v>Lang_573</v>
      </c>
      <c r="D579" s="392">
        <f>IF(DD_Current_Lang=1,TRANS_TBL[[#This Row],[ENGLISH]],TRANS_TBL[[#This Row],[FRANÇAIS]])</f>
        <v>0</v>
      </c>
    </row>
    <row r="580" spans="2:4" ht="14.25" x14ac:dyDescent="0.2">
      <c r="B580" t="str">
        <f t="shared" si="14"/>
        <v>Lang_574</v>
      </c>
      <c r="D580" s="392">
        <f>IF(DD_Current_Lang=1,TRANS_TBL[[#This Row],[ENGLISH]],TRANS_TBL[[#This Row],[FRANÇAIS]])</f>
        <v>0</v>
      </c>
    </row>
    <row r="581" spans="2:4" ht="14.25" x14ac:dyDescent="0.2">
      <c r="B581" t="str">
        <f t="shared" si="14"/>
        <v>Lang_575</v>
      </c>
      <c r="D581" s="392">
        <f>IF(DD_Current_Lang=1,TRANS_TBL[[#This Row],[ENGLISH]],TRANS_TBL[[#This Row],[FRANÇAIS]])</f>
        <v>0</v>
      </c>
    </row>
    <row r="582" spans="2:4" ht="14.25" x14ac:dyDescent="0.2">
      <c r="B582" t="str">
        <f t="shared" si="14"/>
        <v>Lang_576</v>
      </c>
      <c r="D582" s="392">
        <f>IF(DD_Current_Lang=1,TRANS_TBL[[#This Row],[ENGLISH]],TRANS_TBL[[#This Row],[FRANÇAIS]])</f>
        <v>0</v>
      </c>
    </row>
    <row r="583" spans="2:4" ht="14.25" x14ac:dyDescent="0.2">
      <c r="B583" t="str">
        <f t="shared" si="14"/>
        <v>Lang_577</v>
      </c>
      <c r="D583" s="392">
        <f>IF(DD_Current_Lang=1,TRANS_TBL[[#This Row],[ENGLISH]],TRANS_TBL[[#This Row],[FRANÇAIS]])</f>
        <v>0</v>
      </c>
    </row>
    <row r="584" spans="2:4" ht="14.25" x14ac:dyDescent="0.2">
      <c r="B584" t="str">
        <f t="shared" si="14"/>
        <v>Lang_578</v>
      </c>
      <c r="D584" s="392">
        <f>IF(DD_Current_Lang=1,TRANS_TBL[[#This Row],[ENGLISH]],TRANS_TBL[[#This Row],[FRANÇAIS]])</f>
        <v>0</v>
      </c>
    </row>
    <row r="585" spans="2:4" ht="14.25" x14ac:dyDescent="0.2">
      <c r="B585" t="str">
        <f t="shared" si="14"/>
        <v>Lang_579</v>
      </c>
      <c r="D585" s="392">
        <f>IF(DD_Current_Lang=1,TRANS_TBL[[#This Row],[ENGLISH]],TRANS_TBL[[#This Row],[FRANÇAIS]])</f>
        <v>0</v>
      </c>
    </row>
    <row r="586" spans="2:4" ht="14.25" x14ac:dyDescent="0.2">
      <c r="B586" t="str">
        <f t="shared" si="14"/>
        <v>Lang_580</v>
      </c>
      <c r="D586" s="392">
        <f>IF(DD_Current_Lang=1,TRANS_TBL[[#This Row],[ENGLISH]],TRANS_TBL[[#This Row],[FRANÇAIS]])</f>
        <v>0</v>
      </c>
    </row>
    <row r="587" spans="2:4" ht="14.25" x14ac:dyDescent="0.2">
      <c r="B587" t="str">
        <f t="shared" si="14"/>
        <v>Lang_581</v>
      </c>
      <c r="D587" s="392">
        <f>IF(DD_Current_Lang=1,TRANS_TBL[[#This Row],[ENGLISH]],TRANS_TBL[[#This Row],[FRANÇAIS]])</f>
        <v>0</v>
      </c>
    </row>
    <row r="588" spans="2:4" ht="14.25" x14ac:dyDescent="0.2">
      <c r="B588" t="str">
        <f t="shared" si="14"/>
        <v>Lang_582</v>
      </c>
      <c r="D588" s="392">
        <f>IF(DD_Current_Lang=1,TRANS_TBL[[#This Row],[ENGLISH]],TRANS_TBL[[#This Row],[FRANÇAIS]])</f>
        <v>0</v>
      </c>
    </row>
    <row r="589" spans="2:4" ht="14.25" x14ac:dyDescent="0.2">
      <c r="B589" t="str">
        <f t="shared" si="14"/>
        <v>Lang_583</v>
      </c>
      <c r="D589" s="392">
        <f>IF(DD_Current_Lang=1,TRANS_TBL[[#This Row],[ENGLISH]],TRANS_TBL[[#This Row],[FRANÇAIS]])</f>
        <v>0</v>
      </c>
    </row>
    <row r="590" spans="2:4" ht="14.25" x14ac:dyDescent="0.2">
      <c r="B590" t="str">
        <f t="shared" si="14"/>
        <v>Lang_584</v>
      </c>
      <c r="D590" s="392">
        <f>IF(DD_Current_Lang=1,TRANS_TBL[[#This Row],[ENGLISH]],TRANS_TBL[[#This Row],[FRANÇAIS]])</f>
        <v>0</v>
      </c>
    </row>
    <row r="591" spans="2:4" ht="14.25" x14ac:dyDescent="0.2">
      <c r="B591" t="str">
        <f t="shared" si="14"/>
        <v>Lang_585</v>
      </c>
      <c r="D591" s="392">
        <f>IF(DD_Current_Lang=1,TRANS_TBL[[#This Row],[ENGLISH]],TRANS_TBL[[#This Row],[FRANÇAIS]])</f>
        <v>0</v>
      </c>
    </row>
    <row r="592" spans="2:4" ht="14.25" x14ac:dyDescent="0.2">
      <c r="B592" t="str">
        <f t="shared" si="14"/>
        <v>Lang_586</v>
      </c>
      <c r="D592" s="392">
        <f>IF(DD_Current_Lang=1,TRANS_TBL[[#This Row],[ENGLISH]],TRANS_TBL[[#This Row],[FRANÇAIS]])</f>
        <v>0</v>
      </c>
    </row>
    <row r="593" spans="2:4" ht="14.25" x14ac:dyDescent="0.2">
      <c r="B593" t="str">
        <f t="shared" si="14"/>
        <v>Lang_587</v>
      </c>
      <c r="D593" s="392">
        <f>IF(DD_Current_Lang=1,TRANS_TBL[[#This Row],[ENGLISH]],TRANS_TBL[[#This Row],[FRANÇAIS]])</f>
        <v>0</v>
      </c>
    </row>
    <row r="594" spans="2:4" ht="14.25" x14ac:dyDescent="0.2">
      <c r="B594" t="str">
        <f t="shared" si="14"/>
        <v>Lang_588</v>
      </c>
      <c r="D594" s="392">
        <f>IF(DD_Current_Lang=1,TRANS_TBL[[#This Row],[ENGLISH]],TRANS_TBL[[#This Row],[FRANÇAIS]])</f>
        <v>0</v>
      </c>
    </row>
    <row r="595" spans="2:4" ht="14.25" x14ac:dyDescent="0.2">
      <c r="B595" t="str">
        <f t="shared" si="14"/>
        <v>Lang_589</v>
      </c>
      <c r="D595" s="392">
        <f>IF(DD_Current_Lang=1,TRANS_TBL[[#This Row],[ENGLISH]],TRANS_TBL[[#This Row],[FRANÇAIS]])</f>
        <v>0</v>
      </c>
    </row>
    <row r="596" spans="2:4" ht="14.25" x14ac:dyDescent="0.2">
      <c r="B596" t="str">
        <f t="shared" si="14"/>
        <v>Lang_590</v>
      </c>
      <c r="D596" s="392">
        <f>IF(DD_Current_Lang=1,TRANS_TBL[[#This Row],[ENGLISH]],TRANS_TBL[[#This Row],[FRANÇAIS]])</f>
        <v>0</v>
      </c>
    </row>
    <row r="597" spans="2:4" ht="14.25" x14ac:dyDescent="0.2">
      <c r="B597" t="str">
        <f t="shared" si="14"/>
        <v>Lang_591</v>
      </c>
      <c r="D597" s="392">
        <f>IF(DD_Current_Lang=1,TRANS_TBL[[#This Row],[ENGLISH]],TRANS_TBL[[#This Row],[FRANÇAIS]])</f>
        <v>0</v>
      </c>
    </row>
    <row r="598" spans="2:4" ht="14.25" x14ac:dyDescent="0.2">
      <c r="B598" t="str">
        <f t="shared" si="14"/>
        <v>Lang_592</v>
      </c>
      <c r="D598" s="392">
        <f>IF(DD_Current_Lang=1,TRANS_TBL[[#This Row],[ENGLISH]],TRANS_TBL[[#This Row],[FRANÇAIS]])</f>
        <v>0</v>
      </c>
    </row>
    <row r="599" spans="2:4" ht="14.25" x14ac:dyDescent="0.2">
      <c r="B599" t="str">
        <f t="shared" si="14"/>
        <v>Lang_593</v>
      </c>
      <c r="D599" s="392">
        <f>IF(DD_Current_Lang=1,TRANS_TBL[[#This Row],[ENGLISH]],TRANS_TBL[[#This Row],[FRANÇAIS]])</f>
        <v>0</v>
      </c>
    </row>
    <row r="600" spans="2:4" ht="14.25" x14ac:dyDescent="0.2">
      <c r="B600" t="str">
        <f t="shared" si="14"/>
        <v>Lang_594</v>
      </c>
      <c r="D600" s="392">
        <f>IF(DD_Current_Lang=1,TRANS_TBL[[#This Row],[ENGLISH]],TRANS_TBL[[#This Row],[FRANÇAIS]])</f>
        <v>0</v>
      </c>
    </row>
    <row r="601" spans="2:4" ht="14.25" x14ac:dyDescent="0.2">
      <c r="B601" t="str">
        <f t="shared" si="14"/>
        <v>Lang_595</v>
      </c>
      <c r="D601" s="392">
        <f>IF(DD_Current_Lang=1,TRANS_TBL[[#This Row],[ENGLISH]],TRANS_TBL[[#This Row],[FRANÇAIS]])</f>
        <v>0</v>
      </c>
    </row>
    <row r="602" spans="2:4" ht="14.25" x14ac:dyDescent="0.2">
      <c r="B602" t="str">
        <f t="shared" si="14"/>
        <v>Lang_596</v>
      </c>
      <c r="D602" s="392">
        <f>IF(DD_Current_Lang=1,TRANS_TBL[[#This Row],[ENGLISH]],TRANS_TBL[[#This Row],[FRANÇAIS]])</f>
        <v>0</v>
      </c>
    </row>
    <row r="603" spans="2:4" ht="14.25" x14ac:dyDescent="0.2">
      <c r="B603" t="str">
        <f t="shared" si="14"/>
        <v>Lang_597</v>
      </c>
      <c r="D603" s="392">
        <f>IF(DD_Current_Lang=1,TRANS_TBL[[#This Row],[ENGLISH]],TRANS_TBL[[#This Row],[FRANÇAIS]])</f>
        <v>0</v>
      </c>
    </row>
    <row r="604" spans="2:4" ht="14.25" x14ac:dyDescent="0.2">
      <c r="B604" t="str">
        <f t="shared" si="14"/>
        <v>Lang_598</v>
      </c>
      <c r="D604" s="392">
        <f>IF(DD_Current_Lang=1,TRANS_TBL[[#This Row],[ENGLISH]],TRANS_TBL[[#This Row],[FRANÇAIS]])</f>
        <v>0</v>
      </c>
    </row>
    <row r="605" spans="2:4" ht="14.25" x14ac:dyDescent="0.2">
      <c r="B605" t="str">
        <f t="shared" si="14"/>
        <v>Lang_599</v>
      </c>
      <c r="D605" s="392">
        <f>IF(DD_Current_Lang=1,TRANS_TBL[[#This Row],[ENGLISH]],TRANS_TBL[[#This Row],[FRANÇAIS]])</f>
        <v>0</v>
      </c>
    </row>
    <row r="606" spans="2:4" ht="14.25" x14ac:dyDescent="0.2">
      <c r="B606" t="str">
        <f t="shared" si="14"/>
        <v>Lang_600</v>
      </c>
      <c r="D606" s="392">
        <f>IF(DD_Current_Lang=1,TRANS_TBL[[#This Row],[ENGLISH]],TRANS_TBL[[#This Row],[FRANÇAIS]])</f>
        <v>0</v>
      </c>
    </row>
    <row r="607" spans="2:4" ht="14.25" x14ac:dyDescent="0.2">
      <c r="B607" t="str">
        <f t="shared" si="14"/>
        <v>Lang_601</v>
      </c>
      <c r="D607" s="392">
        <f>IF(DD_Current_Lang=1,TRANS_TBL[[#This Row],[ENGLISH]],TRANS_TBL[[#This Row],[FRANÇAIS]])</f>
        <v>0</v>
      </c>
    </row>
    <row r="608" spans="2:4" ht="14.25" x14ac:dyDescent="0.2">
      <c r="B608" t="str">
        <f t="shared" si="14"/>
        <v>Lang_602</v>
      </c>
      <c r="D608" s="392">
        <f>IF(DD_Current_Lang=1,TRANS_TBL[[#This Row],[ENGLISH]],TRANS_TBL[[#This Row],[FRANÇAIS]])</f>
        <v>0</v>
      </c>
    </row>
    <row r="609" spans="2:4" ht="14.25" x14ac:dyDescent="0.2">
      <c r="B609" t="str">
        <f t="shared" si="14"/>
        <v>Lang_603</v>
      </c>
      <c r="D609" s="392">
        <f>IF(DD_Current_Lang=1,TRANS_TBL[[#This Row],[ENGLISH]],TRANS_TBL[[#This Row],[FRANÇAIS]])</f>
        <v>0</v>
      </c>
    </row>
    <row r="610" spans="2:4" ht="14.25" x14ac:dyDescent="0.2">
      <c r="B610" t="str">
        <f t="shared" si="14"/>
        <v>Lang_604</v>
      </c>
      <c r="D610" s="392">
        <f>IF(DD_Current_Lang=1,TRANS_TBL[[#This Row],[ENGLISH]],TRANS_TBL[[#This Row],[FRANÇAIS]])</f>
        <v>0</v>
      </c>
    </row>
    <row r="611" spans="2:4" ht="14.25" x14ac:dyDescent="0.2">
      <c r="B611" t="str">
        <f t="shared" si="14"/>
        <v>Lang_605</v>
      </c>
      <c r="D611" s="392">
        <f>IF(DD_Current_Lang=1,TRANS_TBL[[#This Row],[ENGLISH]],TRANS_TBL[[#This Row],[FRANÇAIS]])</f>
        <v>0</v>
      </c>
    </row>
    <row r="612" spans="2:4" ht="14.25" x14ac:dyDescent="0.2">
      <c r="B612" t="str">
        <f t="shared" si="14"/>
        <v>Lang_606</v>
      </c>
      <c r="D612" s="392">
        <f>IF(DD_Current_Lang=1,TRANS_TBL[[#This Row],[ENGLISH]],TRANS_TBL[[#This Row],[FRANÇAIS]])</f>
        <v>0</v>
      </c>
    </row>
    <row r="613" spans="2:4" ht="14.25" x14ac:dyDescent="0.2">
      <c r="B613" t="str">
        <f t="shared" si="14"/>
        <v>Lang_607</v>
      </c>
      <c r="D613" s="392">
        <f>IF(DD_Current_Lang=1,TRANS_TBL[[#This Row],[ENGLISH]],TRANS_TBL[[#This Row],[FRANÇAIS]])</f>
        <v>0</v>
      </c>
    </row>
    <row r="614" spans="2:4" ht="14.25" x14ac:dyDescent="0.2">
      <c r="B614" t="str">
        <f t="shared" si="14"/>
        <v>Lang_608</v>
      </c>
      <c r="D614" s="392">
        <f>IF(DD_Current_Lang=1,TRANS_TBL[[#This Row],[ENGLISH]],TRANS_TBL[[#This Row],[FRANÇAIS]])</f>
        <v>0</v>
      </c>
    </row>
    <row r="615" spans="2:4" ht="14.25" x14ac:dyDescent="0.2">
      <c r="B615" t="str">
        <f t="shared" ref="B615:B678" si="15">"Lang_"&amp;ROW()-6</f>
        <v>Lang_609</v>
      </c>
      <c r="D615" s="392">
        <f>IF(DD_Current_Lang=1,TRANS_TBL[[#This Row],[ENGLISH]],TRANS_TBL[[#This Row],[FRANÇAIS]])</f>
        <v>0</v>
      </c>
    </row>
    <row r="616" spans="2:4" ht="14.25" x14ac:dyDescent="0.2">
      <c r="B616" t="str">
        <f t="shared" si="15"/>
        <v>Lang_610</v>
      </c>
      <c r="D616" s="392">
        <f>IF(DD_Current_Lang=1,TRANS_TBL[[#This Row],[ENGLISH]],TRANS_TBL[[#This Row],[FRANÇAIS]])</f>
        <v>0</v>
      </c>
    </row>
    <row r="617" spans="2:4" ht="14.25" x14ac:dyDescent="0.2">
      <c r="B617" t="str">
        <f t="shared" si="15"/>
        <v>Lang_611</v>
      </c>
      <c r="D617" s="392">
        <f>IF(DD_Current_Lang=1,TRANS_TBL[[#This Row],[ENGLISH]],TRANS_TBL[[#This Row],[FRANÇAIS]])</f>
        <v>0</v>
      </c>
    </row>
    <row r="618" spans="2:4" ht="14.25" x14ac:dyDescent="0.2">
      <c r="B618" t="str">
        <f t="shared" si="15"/>
        <v>Lang_612</v>
      </c>
      <c r="D618" s="392">
        <f>IF(DD_Current_Lang=1,TRANS_TBL[[#This Row],[ENGLISH]],TRANS_TBL[[#This Row],[FRANÇAIS]])</f>
        <v>0</v>
      </c>
    </row>
    <row r="619" spans="2:4" ht="14.25" x14ac:dyDescent="0.2">
      <c r="B619" t="str">
        <f t="shared" si="15"/>
        <v>Lang_613</v>
      </c>
      <c r="D619" s="392">
        <f>IF(DD_Current_Lang=1,TRANS_TBL[[#This Row],[ENGLISH]],TRANS_TBL[[#This Row],[FRANÇAIS]])</f>
        <v>0</v>
      </c>
    </row>
    <row r="620" spans="2:4" ht="14.25" x14ac:dyDescent="0.2">
      <c r="B620" t="str">
        <f t="shared" si="15"/>
        <v>Lang_614</v>
      </c>
      <c r="D620" s="392">
        <f>IF(DD_Current_Lang=1,TRANS_TBL[[#This Row],[ENGLISH]],TRANS_TBL[[#This Row],[FRANÇAIS]])</f>
        <v>0</v>
      </c>
    </row>
    <row r="621" spans="2:4" ht="14.25" x14ac:dyDescent="0.2">
      <c r="B621" t="str">
        <f t="shared" si="15"/>
        <v>Lang_615</v>
      </c>
      <c r="D621" s="392">
        <f>IF(DD_Current_Lang=1,TRANS_TBL[[#This Row],[ENGLISH]],TRANS_TBL[[#This Row],[FRANÇAIS]])</f>
        <v>0</v>
      </c>
    </row>
    <row r="622" spans="2:4" ht="14.25" x14ac:dyDescent="0.2">
      <c r="B622" t="str">
        <f t="shared" si="15"/>
        <v>Lang_616</v>
      </c>
      <c r="D622" s="392">
        <f>IF(DD_Current_Lang=1,TRANS_TBL[[#This Row],[ENGLISH]],TRANS_TBL[[#This Row],[FRANÇAIS]])</f>
        <v>0</v>
      </c>
    </row>
    <row r="623" spans="2:4" ht="14.25" x14ac:dyDescent="0.2">
      <c r="B623" t="str">
        <f t="shared" si="15"/>
        <v>Lang_617</v>
      </c>
      <c r="D623" s="392">
        <f>IF(DD_Current_Lang=1,TRANS_TBL[[#This Row],[ENGLISH]],TRANS_TBL[[#This Row],[FRANÇAIS]])</f>
        <v>0</v>
      </c>
    </row>
    <row r="624" spans="2:4" ht="14.25" x14ac:dyDescent="0.2">
      <c r="B624" t="str">
        <f t="shared" si="15"/>
        <v>Lang_618</v>
      </c>
      <c r="D624" s="392">
        <f>IF(DD_Current_Lang=1,TRANS_TBL[[#This Row],[ENGLISH]],TRANS_TBL[[#This Row],[FRANÇAIS]])</f>
        <v>0</v>
      </c>
    </row>
    <row r="625" spans="2:4" ht="14.25" x14ac:dyDescent="0.2">
      <c r="B625" t="str">
        <f t="shared" si="15"/>
        <v>Lang_619</v>
      </c>
      <c r="D625" s="392">
        <f>IF(DD_Current_Lang=1,TRANS_TBL[[#This Row],[ENGLISH]],TRANS_TBL[[#This Row],[FRANÇAIS]])</f>
        <v>0</v>
      </c>
    </row>
    <row r="626" spans="2:4" ht="14.25" x14ac:dyDescent="0.2">
      <c r="B626" t="str">
        <f t="shared" si="15"/>
        <v>Lang_620</v>
      </c>
      <c r="D626" s="392">
        <f>IF(DD_Current_Lang=1,TRANS_TBL[[#This Row],[ENGLISH]],TRANS_TBL[[#This Row],[FRANÇAIS]])</f>
        <v>0</v>
      </c>
    </row>
    <row r="627" spans="2:4" ht="14.25" x14ac:dyDescent="0.2">
      <c r="B627" t="str">
        <f t="shared" si="15"/>
        <v>Lang_621</v>
      </c>
      <c r="D627" s="392">
        <f>IF(DD_Current_Lang=1,TRANS_TBL[[#This Row],[ENGLISH]],TRANS_TBL[[#This Row],[FRANÇAIS]])</f>
        <v>0</v>
      </c>
    </row>
    <row r="628" spans="2:4" ht="14.25" x14ac:dyDescent="0.2">
      <c r="B628" t="str">
        <f t="shared" si="15"/>
        <v>Lang_622</v>
      </c>
      <c r="D628" s="392">
        <f>IF(DD_Current_Lang=1,TRANS_TBL[[#This Row],[ENGLISH]],TRANS_TBL[[#This Row],[FRANÇAIS]])</f>
        <v>0</v>
      </c>
    </row>
    <row r="629" spans="2:4" ht="14.25" x14ac:dyDescent="0.2">
      <c r="B629" t="str">
        <f t="shared" si="15"/>
        <v>Lang_623</v>
      </c>
      <c r="D629" s="392">
        <f>IF(DD_Current_Lang=1,TRANS_TBL[[#This Row],[ENGLISH]],TRANS_TBL[[#This Row],[FRANÇAIS]])</f>
        <v>0</v>
      </c>
    </row>
    <row r="630" spans="2:4" ht="14.25" x14ac:dyDescent="0.2">
      <c r="B630" t="str">
        <f t="shared" si="15"/>
        <v>Lang_624</v>
      </c>
      <c r="D630" s="392">
        <f>IF(DD_Current_Lang=1,TRANS_TBL[[#This Row],[ENGLISH]],TRANS_TBL[[#This Row],[FRANÇAIS]])</f>
        <v>0</v>
      </c>
    </row>
    <row r="631" spans="2:4" ht="14.25" x14ac:dyDescent="0.2">
      <c r="B631" t="str">
        <f t="shared" si="15"/>
        <v>Lang_625</v>
      </c>
      <c r="D631" s="392">
        <f>IF(DD_Current_Lang=1,TRANS_TBL[[#This Row],[ENGLISH]],TRANS_TBL[[#This Row],[FRANÇAIS]])</f>
        <v>0</v>
      </c>
    </row>
    <row r="632" spans="2:4" ht="14.25" x14ac:dyDescent="0.2">
      <c r="B632" t="str">
        <f t="shared" si="15"/>
        <v>Lang_626</v>
      </c>
      <c r="D632" s="392">
        <f>IF(DD_Current_Lang=1,TRANS_TBL[[#This Row],[ENGLISH]],TRANS_TBL[[#This Row],[FRANÇAIS]])</f>
        <v>0</v>
      </c>
    </row>
    <row r="633" spans="2:4" ht="14.25" x14ac:dyDescent="0.2">
      <c r="B633" t="str">
        <f t="shared" si="15"/>
        <v>Lang_627</v>
      </c>
      <c r="D633" s="392">
        <f>IF(DD_Current_Lang=1,TRANS_TBL[[#This Row],[ENGLISH]],TRANS_TBL[[#This Row],[FRANÇAIS]])</f>
        <v>0</v>
      </c>
    </row>
    <row r="634" spans="2:4" ht="14.25" x14ac:dyDescent="0.2">
      <c r="B634" t="str">
        <f t="shared" si="15"/>
        <v>Lang_628</v>
      </c>
      <c r="D634" s="392">
        <f>IF(DD_Current_Lang=1,TRANS_TBL[[#This Row],[ENGLISH]],TRANS_TBL[[#This Row],[FRANÇAIS]])</f>
        <v>0</v>
      </c>
    </row>
    <row r="635" spans="2:4" ht="14.25" x14ac:dyDescent="0.2">
      <c r="B635" t="str">
        <f t="shared" si="15"/>
        <v>Lang_629</v>
      </c>
      <c r="D635" s="392">
        <f>IF(DD_Current_Lang=1,TRANS_TBL[[#This Row],[ENGLISH]],TRANS_TBL[[#This Row],[FRANÇAIS]])</f>
        <v>0</v>
      </c>
    </row>
    <row r="636" spans="2:4" ht="14.25" x14ac:dyDescent="0.2">
      <c r="B636" t="str">
        <f t="shared" si="15"/>
        <v>Lang_630</v>
      </c>
      <c r="D636" s="392">
        <f>IF(DD_Current_Lang=1,TRANS_TBL[[#This Row],[ENGLISH]],TRANS_TBL[[#This Row],[FRANÇAIS]])</f>
        <v>0</v>
      </c>
    </row>
    <row r="637" spans="2:4" ht="14.25" x14ac:dyDescent="0.2">
      <c r="B637" t="str">
        <f t="shared" si="15"/>
        <v>Lang_631</v>
      </c>
      <c r="D637" s="392">
        <f>IF(DD_Current_Lang=1,TRANS_TBL[[#This Row],[ENGLISH]],TRANS_TBL[[#This Row],[FRANÇAIS]])</f>
        <v>0</v>
      </c>
    </row>
    <row r="638" spans="2:4" ht="14.25" x14ac:dyDescent="0.2">
      <c r="B638" t="str">
        <f t="shared" si="15"/>
        <v>Lang_632</v>
      </c>
      <c r="D638" s="392">
        <f>IF(DD_Current_Lang=1,TRANS_TBL[[#This Row],[ENGLISH]],TRANS_TBL[[#This Row],[FRANÇAIS]])</f>
        <v>0</v>
      </c>
    </row>
    <row r="639" spans="2:4" ht="14.25" x14ac:dyDescent="0.2">
      <c r="B639" t="str">
        <f t="shared" si="15"/>
        <v>Lang_633</v>
      </c>
      <c r="D639" s="392">
        <f>IF(DD_Current_Lang=1,TRANS_TBL[[#This Row],[ENGLISH]],TRANS_TBL[[#This Row],[FRANÇAIS]])</f>
        <v>0</v>
      </c>
    </row>
    <row r="640" spans="2:4" ht="14.25" x14ac:dyDescent="0.2">
      <c r="B640" t="str">
        <f t="shared" si="15"/>
        <v>Lang_634</v>
      </c>
      <c r="D640" s="392">
        <f>IF(DD_Current_Lang=1,TRANS_TBL[[#This Row],[ENGLISH]],TRANS_TBL[[#This Row],[FRANÇAIS]])</f>
        <v>0</v>
      </c>
    </row>
    <row r="641" spans="2:4" ht="14.25" x14ac:dyDescent="0.2">
      <c r="B641" t="str">
        <f t="shared" si="15"/>
        <v>Lang_635</v>
      </c>
      <c r="D641" s="392">
        <f>IF(DD_Current_Lang=1,TRANS_TBL[[#This Row],[ENGLISH]],TRANS_TBL[[#This Row],[FRANÇAIS]])</f>
        <v>0</v>
      </c>
    </row>
    <row r="642" spans="2:4" ht="14.25" x14ac:dyDescent="0.2">
      <c r="B642" t="str">
        <f t="shared" si="15"/>
        <v>Lang_636</v>
      </c>
      <c r="D642" s="392">
        <f>IF(DD_Current_Lang=1,TRANS_TBL[[#This Row],[ENGLISH]],TRANS_TBL[[#This Row],[FRANÇAIS]])</f>
        <v>0</v>
      </c>
    </row>
    <row r="643" spans="2:4" ht="14.25" x14ac:dyDescent="0.2">
      <c r="B643" t="str">
        <f t="shared" si="15"/>
        <v>Lang_637</v>
      </c>
      <c r="D643" s="392">
        <f>IF(DD_Current_Lang=1,TRANS_TBL[[#This Row],[ENGLISH]],TRANS_TBL[[#This Row],[FRANÇAIS]])</f>
        <v>0</v>
      </c>
    </row>
    <row r="644" spans="2:4" ht="14.25" x14ac:dyDescent="0.2">
      <c r="B644" t="str">
        <f t="shared" si="15"/>
        <v>Lang_638</v>
      </c>
      <c r="D644" s="392">
        <f>IF(DD_Current_Lang=1,TRANS_TBL[[#This Row],[ENGLISH]],TRANS_TBL[[#This Row],[FRANÇAIS]])</f>
        <v>0</v>
      </c>
    </row>
    <row r="645" spans="2:4" ht="14.25" x14ac:dyDescent="0.2">
      <c r="B645" t="str">
        <f t="shared" si="15"/>
        <v>Lang_639</v>
      </c>
      <c r="D645" s="392">
        <f>IF(DD_Current_Lang=1,TRANS_TBL[[#This Row],[ENGLISH]],TRANS_TBL[[#This Row],[FRANÇAIS]])</f>
        <v>0</v>
      </c>
    </row>
    <row r="646" spans="2:4" ht="14.25" x14ac:dyDescent="0.2">
      <c r="B646" t="str">
        <f t="shared" si="15"/>
        <v>Lang_640</v>
      </c>
      <c r="D646" s="392">
        <f>IF(DD_Current_Lang=1,TRANS_TBL[[#This Row],[ENGLISH]],TRANS_TBL[[#This Row],[FRANÇAIS]])</f>
        <v>0</v>
      </c>
    </row>
    <row r="647" spans="2:4" ht="14.25" x14ac:dyDescent="0.2">
      <c r="B647" t="str">
        <f t="shared" si="15"/>
        <v>Lang_641</v>
      </c>
      <c r="D647" s="392">
        <f>IF(DD_Current_Lang=1,TRANS_TBL[[#This Row],[ENGLISH]],TRANS_TBL[[#This Row],[FRANÇAIS]])</f>
        <v>0</v>
      </c>
    </row>
    <row r="648" spans="2:4" ht="14.25" x14ac:dyDescent="0.2">
      <c r="B648" t="str">
        <f t="shared" si="15"/>
        <v>Lang_642</v>
      </c>
      <c r="D648" s="392">
        <f>IF(DD_Current_Lang=1,TRANS_TBL[[#This Row],[ENGLISH]],TRANS_TBL[[#This Row],[FRANÇAIS]])</f>
        <v>0</v>
      </c>
    </row>
    <row r="649" spans="2:4" ht="14.25" x14ac:dyDescent="0.2">
      <c r="B649" t="str">
        <f t="shared" si="15"/>
        <v>Lang_643</v>
      </c>
      <c r="D649" s="392">
        <f>IF(DD_Current_Lang=1,TRANS_TBL[[#This Row],[ENGLISH]],TRANS_TBL[[#This Row],[FRANÇAIS]])</f>
        <v>0</v>
      </c>
    </row>
    <row r="650" spans="2:4" ht="14.25" x14ac:dyDescent="0.2">
      <c r="B650" t="str">
        <f t="shared" si="15"/>
        <v>Lang_644</v>
      </c>
      <c r="D650" s="392">
        <f>IF(DD_Current_Lang=1,TRANS_TBL[[#This Row],[ENGLISH]],TRANS_TBL[[#This Row],[FRANÇAIS]])</f>
        <v>0</v>
      </c>
    </row>
    <row r="651" spans="2:4" ht="14.25" x14ac:dyDescent="0.2">
      <c r="B651" t="str">
        <f t="shared" si="15"/>
        <v>Lang_645</v>
      </c>
      <c r="D651" s="392">
        <f>IF(DD_Current_Lang=1,TRANS_TBL[[#This Row],[ENGLISH]],TRANS_TBL[[#This Row],[FRANÇAIS]])</f>
        <v>0</v>
      </c>
    </row>
    <row r="652" spans="2:4" ht="14.25" x14ac:dyDescent="0.2">
      <c r="B652" t="str">
        <f t="shared" si="15"/>
        <v>Lang_646</v>
      </c>
      <c r="D652" s="392">
        <f>IF(DD_Current_Lang=1,TRANS_TBL[[#This Row],[ENGLISH]],TRANS_TBL[[#This Row],[FRANÇAIS]])</f>
        <v>0</v>
      </c>
    </row>
    <row r="653" spans="2:4" ht="14.25" x14ac:dyDescent="0.2">
      <c r="B653" t="str">
        <f t="shared" si="15"/>
        <v>Lang_647</v>
      </c>
      <c r="D653" s="392">
        <f>IF(DD_Current_Lang=1,TRANS_TBL[[#This Row],[ENGLISH]],TRANS_TBL[[#This Row],[FRANÇAIS]])</f>
        <v>0</v>
      </c>
    </row>
    <row r="654" spans="2:4" ht="14.25" x14ac:dyDescent="0.2">
      <c r="B654" t="str">
        <f t="shared" si="15"/>
        <v>Lang_648</v>
      </c>
      <c r="D654" s="392">
        <f>IF(DD_Current_Lang=1,TRANS_TBL[[#This Row],[ENGLISH]],TRANS_TBL[[#This Row],[FRANÇAIS]])</f>
        <v>0</v>
      </c>
    </row>
    <row r="655" spans="2:4" ht="14.25" x14ac:dyDescent="0.2">
      <c r="B655" t="str">
        <f t="shared" si="15"/>
        <v>Lang_649</v>
      </c>
      <c r="D655" s="392">
        <f>IF(DD_Current_Lang=1,TRANS_TBL[[#This Row],[ENGLISH]],TRANS_TBL[[#This Row],[FRANÇAIS]])</f>
        <v>0</v>
      </c>
    </row>
    <row r="656" spans="2:4" ht="14.25" x14ac:dyDescent="0.2">
      <c r="B656" t="str">
        <f t="shared" si="15"/>
        <v>Lang_650</v>
      </c>
      <c r="D656" s="392">
        <f>IF(DD_Current_Lang=1,TRANS_TBL[[#This Row],[ENGLISH]],TRANS_TBL[[#This Row],[FRANÇAIS]])</f>
        <v>0</v>
      </c>
    </row>
    <row r="657" spans="2:4" ht="14.25" x14ac:dyDescent="0.2">
      <c r="B657" t="str">
        <f t="shared" si="15"/>
        <v>Lang_651</v>
      </c>
      <c r="D657" s="392">
        <f>IF(DD_Current_Lang=1,TRANS_TBL[[#This Row],[ENGLISH]],TRANS_TBL[[#This Row],[FRANÇAIS]])</f>
        <v>0</v>
      </c>
    </row>
    <row r="658" spans="2:4" ht="14.25" x14ac:dyDescent="0.2">
      <c r="B658" t="str">
        <f t="shared" si="15"/>
        <v>Lang_652</v>
      </c>
      <c r="D658" s="392">
        <f>IF(DD_Current_Lang=1,TRANS_TBL[[#This Row],[ENGLISH]],TRANS_TBL[[#This Row],[FRANÇAIS]])</f>
        <v>0</v>
      </c>
    </row>
    <row r="659" spans="2:4" ht="14.25" x14ac:dyDescent="0.2">
      <c r="B659" t="str">
        <f t="shared" si="15"/>
        <v>Lang_653</v>
      </c>
      <c r="D659" s="392">
        <f>IF(DD_Current_Lang=1,TRANS_TBL[[#This Row],[ENGLISH]],TRANS_TBL[[#This Row],[FRANÇAIS]])</f>
        <v>0</v>
      </c>
    </row>
    <row r="660" spans="2:4" ht="14.25" x14ac:dyDescent="0.2">
      <c r="B660" t="str">
        <f t="shared" si="15"/>
        <v>Lang_654</v>
      </c>
      <c r="D660" s="392">
        <f>IF(DD_Current_Lang=1,TRANS_TBL[[#This Row],[ENGLISH]],TRANS_TBL[[#This Row],[FRANÇAIS]])</f>
        <v>0</v>
      </c>
    </row>
    <row r="661" spans="2:4" ht="14.25" x14ac:dyDescent="0.2">
      <c r="B661" t="str">
        <f t="shared" si="15"/>
        <v>Lang_655</v>
      </c>
      <c r="D661" s="392">
        <f>IF(DD_Current_Lang=1,TRANS_TBL[[#This Row],[ENGLISH]],TRANS_TBL[[#This Row],[FRANÇAIS]])</f>
        <v>0</v>
      </c>
    </row>
    <row r="662" spans="2:4" ht="14.25" x14ac:dyDescent="0.2">
      <c r="B662" t="str">
        <f t="shared" si="15"/>
        <v>Lang_656</v>
      </c>
      <c r="D662" s="392">
        <f>IF(DD_Current_Lang=1,TRANS_TBL[[#This Row],[ENGLISH]],TRANS_TBL[[#This Row],[FRANÇAIS]])</f>
        <v>0</v>
      </c>
    </row>
    <row r="663" spans="2:4" ht="14.25" x14ac:dyDescent="0.2">
      <c r="B663" t="str">
        <f t="shared" si="15"/>
        <v>Lang_657</v>
      </c>
      <c r="D663" s="392">
        <f>IF(DD_Current_Lang=1,TRANS_TBL[[#This Row],[ENGLISH]],TRANS_TBL[[#This Row],[FRANÇAIS]])</f>
        <v>0</v>
      </c>
    </row>
    <row r="664" spans="2:4" ht="14.25" x14ac:dyDescent="0.2">
      <c r="B664" t="str">
        <f t="shared" si="15"/>
        <v>Lang_658</v>
      </c>
      <c r="D664" s="392">
        <f>IF(DD_Current_Lang=1,TRANS_TBL[[#This Row],[ENGLISH]],TRANS_TBL[[#This Row],[FRANÇAIS]])</f>
        <v>0</v>
      </c>
    </row>
    <row r="665" spans="2:4" ht="14.25" x14ac:dyDescent="0.2">
      <c r="B665" t="str">
        <f t="shared" si="15"/>
        <v>Lang_659</v>
      </c>
      <c r="D665" s="392">
        <f>IF(DD_Current_Lang=1,TRANS_TBL[[#This Row],[ENGLISH]],TRANS_TBL[[#This Row],[FRANÇAIS]])</f>
        <v>0</v>
      </c>
    </row>
    <row r="666" spans="2:4" ht="14.25" x14ac:dyDescent="0.2">
      <c r="B666" t="str">
        <f t="shared" si="15"/>
        <v>Lang_660</v>
      </c>
      <c r="D666" s="392">
        <f>IF(DD_Current_Lang=1,TRANS_TBL[[#This Row],[ENGLISH]],TRANS_TBL[[#This Row],[FRANÇAIS]])</f>
        <v>0</v>
      </c>
    </row>
    <row r="667" spans="2:4" ht="14.25" x14ac:dyDescent="0.2">
      <c r="B667" t="str">
        <f t="shared" si="15"/>
        <v>Lang_661</v>
      </c>
      <c r="D667" s="392">
        <f>IF(DD_Current_Lang=1,TRANS_TBL[[#This Row],[ENGLISH]],TRANS_TBL[[#This Row],[FRANÇAIS]])</f>
        <v>0</v>
      </c>
    </row>
    <row r="668" spans="2:4" ht="14.25" x14ac:dyDescent="0.2">
      <c r="B668" t="str">
        <f t="shared" si="15"/>
        <v>Lang_662</v>
      </c>
      <c r="D668" s="392">
        <f>IF(DD_Current_Lang=1,TRANS_TBL[[#This Row],[ENGLISH]],TRANS_TBL[[#This Row],[FRANÇAIS]])</f>
        <v>0</v>
      </c>
    </row>
    <row r="669" spans="2:4" ht="14.25" x14ac:dyDescent="0.2">
      <c r="B669" t="str">
        <f t="shared" si="15"/>
        <v>Lang_663</v>
      </c>
      <c r="D669" s="392">
        <f>IF(DD_Current_Lang=1,TRANS_TBL[[#This Row],[ENGLISH]],TRANS_TBL[[#This Row],[FRANÇAIS]])</f>
        <v>0</v>
      </c>
    </row>
    <row r="670" spans="2:4" ht="14.25" x14ac:dyDescent="0.2">
      <c r="B670" t="str">
        <f t="shared" si="15"/>
        <v>Lang_664</v>
      </c>
      <c r="D670" s="392">
        <f>IF(DD_Current_Lang=1,TRANS_TBL[[#This Row],[ENGLISH]],TRANS_TBL[[#This Row],[FRANÇAIS]])</f>
        <v>0</v>
      </c>
    </row>
    <row r="671" spans="2:4" ht="14.25" x14ac:dyDescent="0.2">
      <c r="B671" t="str">
        <f t="shared" si="15"/>
        <v>Lang_665</v>
      </c>
      <c r="D671" s="392">
        <f>IF(DD_Current_Lang=1,TRANS_TBL[[#This Row],[ENGLISH]],TRANS_TBL[[#This Row],[FRANÇAIS]])</f>
        <v>0</v>
      </c>
    </row>
    <row r="672" spans="2:4" ht="14.25" x14ac:dyDescent="0.2">
      <c r="B672" t="str">
        <f t="shared" si="15"/>
        <v>Lang_666</v>
      </c>
      <c r="D672" s="392">
        <f>IF(DD_Current_Lang=1,TRANS_TBL[[#This Row],[ENGLISH]],TRANS_TBL[[#This Row],[FRANÇAIS]])</f>
        <v>0</v>
      </c>
    </row>
    <row r="673" spans="2:4" ht="14.25" x14ac:dyDescent="0.2">
      <c r="B673" t="str">
        <f t="shared" si="15"/>
        <v>Lang_667</v>
      </c>
      <c r="D673" s="392">
        <f>IF(DD_Current_Lang=1,TRANS_TBL[[#This Row],[ENGLISH]],TRANS_TBL[[#This Row],[FRANÇAIS]])</f>
        <v>0</v>
      </c>
    </row>
    <row r="674" spans="2:4" ht="14.25" x14ac:dyDescent="0.2">
      <c r="B674" t="str">
        <f t="shared" si="15"/>
        <v>Lang_668</v>
      </c>
      <c r="D674" s="392">
        <f>IF(DD_Current_Lang=1,TRANS_TBL[[#This Row],[ENGLISH]],TRANS_TBL[[#This Row],[FRANÇAIS]])</f>
        <v>0</v>
      </c>
    </row>
    <row r="675" spans="2:4" ht="14.25" x14ac:dyDescent="0.2">
      <c r="B675" t="str">
        <f t="shared" si="15"/>
        <v>Lang_669</v>
      </c>
      <c r="D675" s="392">
        <f>IF(DD_Current_Lang=1,TRANS_TBL[[#This Row],[ENGLISH]],TRANS_TBL[[#This Row],[FRANÇAIS]])</f>
        <v>0</v>
      </c>
    </row>
    <row r="676" spans="2:4" ht="14.25" x14ac:dyDescent="0.2">
      <c r="B676" t="str">
        <f t="shared" si="15"/>
        <v>Lang_670</v>
      </c>
      <c r="D676" s="392">
        <f>IF(DD_Current_Lang=1,TRANS_TBL[[#This Row],[ENGLISH]],TRANS_TBL[[#This Row],[FRANÇAIS]])</f>
        <v>0</v>
      </c>
    </row>
    <row r="677" spans="2:4" ht="14.25" x14ac:dyDescent="0.2">
      <c r="B677" t="str">
        <f t="shared" si="15"/>
        <v>Lang_671</v>
      </c>
      <c r="D677" s="392">
        <f>IF(DD_Current_Lang=1,TRANS_TBL[[#This Row],[ENGLISH]],TRANS_TBL[[#This Row],[FRANÇAIS]])</f>
        <v>0</v>
      </c>
    </row>
    <row r="678" spans="2:4" ht="14.25" x14ac:dyDescent="0.2">
      <c r="B678" t="str">
        <f t="shared" si="15"/>
        <v>Lang_672</v>
      </c>
      <c r="D678" s="392">
        <f>IF(DD_Current_Lang=1,TRANS_TBL[[#This Row],[ENGLISH]],TRANS_TBL[[#This Row],[FRANÇAIS]])</f>
        <v>0</v>
      </c>
    </row>
    <row r="679" spans="2:4" ht="14.25" x14ac:dyDescent="0.2">
      <c r="B679" t="str">
        <f t="shared" ref="B679:B742" si="16">"Lang_"&amp;ROW()-6</f>
        <v>Lang_673</v>
      </c>
      <c r="D679" s="392">
        <f>IF(DD_Current_Lang=1,TRANS_TBL[[#This Row],[ENGLISH]],TRANS_TBL[[#This Row],[FRANÇAIS]])</f>
        <v>0</v>
      </c>
    </row>
    <row r="680" spans="2:4" ht="14.25" x14ac:dyDescent="0.2">
      <c r="B680" t="str">
        <f t="shared" si="16"/>
        <v>Lang_674</v>
      </c>
      <c r="D680" s="392">
        <f>IF(DD_Current_Lang=1,TRANS_TBL[[#This Row],[ENGLISH]],TRANS_TBL[[#This Row],[FRANÇAIS]])</f>
        <v>0</v>
      </c>
    </row>
    <row r="681" spans="2:4" ht="14.25" x14ac:dyDescent="0.2">
      <c r="B681" t="str">
        <f t="shared" si="16"/>
        <v>Lang_675</v>
      </c>
      <c r="D681" s="392">
        <f>IF(DD_Current_Lang=1,TRANS_TBL[[#This Row],[ENGLISH]],TRANS_TBL[[#This Row],[FRANÇAIS]])</f>
        <v>0</v>
      </c>
    </row>
    <row r="682" spans="2:4" ht="14.25" x14ac:dyDescent="0.2">
      <c r="B682" t="str">
        <f t="shared" si="16"/>
        <v>Lang_676</v>
      </c>
      <c r="D682" s="392">
        <f>IF(DD_Current_Lang=1,TRANS_TBL[[#This Row],[ENGLISH]],TRANS_TBL[[#This Row],[FRANÇAIS]])</f>
        <v>0</v>
      </c>
    </row>
    <row r="683" spans="2:4" ht="14.25" x14ac:dyDescent="0.2">
      <c r="B683" t="str">
        <f t="shared" si="16"/>
        <v>Lang_677</v>
      </c>
      <c r="D683" s="392">
        <f>IF(DD_Current_Lang=1,TRANS_TBL[[#This Row],[ENGLISH]],TRANS_TBL[[#This Row],[FRANÇAIS]])</f>
        <v>0</v>
      </c>
    </row>
    <row r="684" spans="2:4" ht="14.25" x14ac:dyDescent="0.2">
      <c r="B684" t="str">
        <f t="shared" si="16"/>
        <v>Lang_678</v>
      </c>
      <c r="D684" s="392">
        <f>IF(DD_Current_Lang=1,TRANS_TBL[[#This Row],[ENGLISH]],TRANS_TBL[[#This Row],[FRANÇAIS]])</f>
        <v>0</v>
      </c>
    </row>
    <row r="685" spans="2:4" ht="14.25" x14ac:dyDescent="0.2">
      <c r="B685" t="str">
        <f t="shared" si="16"/>
        <v>Lang_679</v>
      </c>
      <c r="D685" s="392">
        <f>IF(DD_Current_Lang=1,TRANS_TBL[[#This Row],[ENGLISH]],TRANS_TBL[[#This Row],[FRANÇAIS]])</f>
        <v>0</v>
      </c>
    </row>
    <row r="686" spans="2:4" ht="14.25" x14ac:dyDescent="0.2">
      <c r="B686" t="str">
        <f t="shared" si="16"/>
        <v>Lang_680</v>
      </c>
      <c r="D686" s="392">
        <f>IF(DD_Current_Lang=1,TRANS_TBL[[#This Row],[ENGLISH]],TRANS_TBL[[#This Row],[FRANÇAIS]])</f>
        <v>0</v>
      </c>
    </row>
    <row r="687" spans="2:4" ht="14.25" x14ac:dyDescent="0.2">
      <c r="B687" t="str">
        <f t="shared" si="16"/>
        <v>Lang_681</v>
      </c>
      <c r="D687" s="392">
        <f>IF(DD_Current_Lang=1,TRANS_TBL[[#This Row],[ENGLISH]],TRANS_TBL[[#This Row],[FRANÇAIS]])</f>
        <v>0</v>
      </c>
    </row>
    <row r="688" spans="2:4" ht="14.25" x14ac:dyDescent="0.2">
      <c r="B688" t="str">
        <f t="shared" si="16"/>
        <v>Lang_682</v>
      </c>
      <c r="D688" s="392">
        <f>IF(DD_Current_Lang=1,TRANS_TBL[[#This Row],[ENGLISH]],TRANS_TBL[[#This Row],[FRANÇAIS]])</f>
        <v>0</v>
      </c>
    </row>
    <row r="689" spans="2:4" ht="14.25" x14ac:dyDescent="0.2">
      <c r="B689" t="str">
        <f t="shared" si="16"/>
        <v>Lang_683</v>
      </c>
      <c r="D689" s="392">
        <f>IF(DD_Current_Lang=1,TRANS_TBL[[#This Row],[ENGLISH]],TRANS_TBL[[#This Row],[FRANÇAIS]])</f>
        <v>0</v>
      </c>
    </row>
    <row r="690" spans="2:4" ht="14.25" x14ac:dyDescent="0.2">
      <c r="B690" t="str">
        <f t="shared" si="16"/>
        <v>Lang_684</v>
      </c>
      <c r="D690" s="392">
        <f>IF(DD_Current_Lang=1,TRANS_TBL[[#This Row],[ENGLISH]],TRANS_TBL[[#This Row],[FRANÇAIS]])</f>
        <v>0</v>
      </c>
    </row>
    <row r="691" spans="2:4" ht="14.25" x14ac:dyDescent="0.2">
      <c r="B691" t="str">
        <f t="shared" si="16"/>
        <v>Lang_685</v>
      </c>
      <c r="D691" s="392">
        <f>IF(DD_Current_Lang=1,TRANS_TBL[[#This Row],[ENGLISH]],TRANS_TBL[[#This Row],[FRANÇAIS]])</f>
        <v>0</v>
      </c>
    </row>
    <row r="692" spans="2:4" ht="14.25" x14ac:dyDescent="0.2">
      <c r="B692" t="str">
        <f t="shared" si="16"/>
        <v>Lang_686</v>
      </c>
      <c r="D692" s="392">
        <f>IF(DD_Current_Lang=1,TRANS_TBL[[#This Row],[ENGLISH]],TRANS_TBL[[#This Row],[FRANÇAIS]])</f>
        <v>0</v>
      </c>
    </row>
    <row r="693" spans="2:4" ht="14.25" x14ac:dyDescent="0.2">
      <c r="B693" t="str">
        <f t="shared" si="16"/>
        <v>Lang_687</v>
      </c>
      <c r="D693" s="392">
        <f>IF(DD_Current_Lang=1,TRANS_TBL[[#This Row],[ENGLISH]],TRANS_TBL[[#This Row],[FRANÇAIS]])</f>
        <v>0</v>
      </c>
    </row>
    <row r="694" spans="2:4" ht="14.25" x14ac:dyDescent="0.2">
      <c r="B694" t="str">
        <f t="shared" si="16"/>
        <v>Lang_688</v>
      </c>
      <c r="D694" s="392">
        <f>IF(DD_Current_Lang=1,TRANS_TBL[[#This Row],[ENGLISH]],TRANS_TBL[[#This Row],[FRANÇAIS]])</f>
        <v>0</v>
      </c>
    </row>
    <row r="695" spans="2:4" ht="14.25" x14ac:dyDescent="0.2">
      <c r="B695" t="str">
        <f t="shared" si="16"/>
        <v>Lang_689</v>
      </c>
      <c r="D695" s="392">
        <f>IF(DD_Current_Lang=1,TRANS_TBL[[#This Row],[ENGLISH]],TRANS_TBL[[#This Row],[FRANÇAIS]])</f>
        <v>0</v>
      </c>
    </row>
    <row r="696" spans="2:4" ht="14.25" x14ac:dyDescent="0.2">
      <c r="B696" t="str">
        <f t="shared" si="16"/>
        <v>Lang_690</v>
      </c>
      <c r="D696" s="392">
        <f>IF(DD_Current_Lang=1,TRANS_TBL[[#This Row],[ENGLISH]],TRANS_TBL[[#This Row],[FRANÇAIS]])</f>
        <v>0</v>
      </c>
    </row>
    <row r="697" spans="2:4" ht="14.25" x14ac:dyDescent="0.2">
      <c r="B697" t="str">
        <f t="shared" si="16"/>
        <v>Lang_691</v>
      </c>
      <c r="D697" s="392">
        <f>IF(DD_Current_Lang=1,TRANS_TBL[[#This Row],[ENGLISH]],TRANS_TBL[[#This Row],[FRANÇAIS]])</f>
        <v>0</v>
      </c>
    </row>
    <row r="698" spans="2:4" ht="14.25" x14ac:dyDescent="0.2">
      <c r="B698" t="str">
        <f t="shared" si="16"/>
        <v>Lang_692</v>
      </c>
      <c r="D698" s="392">
        <f>IF(DD_Current_Lang=1,TRANS_TBL[[#This Row],[ENGLISH]],TRANS_TBL[[#This Row],[FRANÇAIS]])</f>
        <v>0</v>
      </c>
    </row>
    <row r="699" spans="2:4" ht="14.25" x14ac:dyDescent="0.2">
      <c r="B699" t="str">
        <f t="shared" si="16"/>
        <v>Lang_693</v>
      </c>
      <c r="D699" s="392">
        <f>IF(DD_Current_Lang=1,TRANS_TBL[[#This Row],[ENGLISH]],TRANS_TBL[[#This Row],[FRANÇAIS]])</f>
        <v>0</v>
      </c>
    </row>
    <row r="700" spans="2:4" ht="14.25" x14ac:dyDescent="0.2">
      <c r="B700" t="str">
        <f t="shared" si="16"/>
        <v>Lang_694</v>
      </c>
      <c r="D700" s="392">
        <f>IF(DD_Current_Lang=1,TRANS_TBL[[#This Row],[ENGLISH]],TRANS_TBL[[#This Row],[FRANÇAIS]])</f>
        <v>0</v>
      </c>
    </row>
    <row r="701" spans="2:4" ht="14.25" x14ac:dyDescent="0.2">
      <c r="B701" t="str">
        <f t="shared" si="16"/>
        <v>Lang_695</v>
      </c>
      <c r="D701" s="392">
        <f>IF(DD_Current_Lang=1,TRANS_TBL[[#This Row],[ENGLISH]],TRANS_TBL[[#This Row],[FRANÇAIS]])</f>
        <v>0</v>
      </c>
    </row>
    <row r="702" spans="2:4" ht="14.25" x14ac:dyDescent="0.2">
      <c r="B702" t="str">
        <f t="shared" si="16"/>
        <v>Lang_696</v>
      </c>
      <c r="D702" s="392">
        <f>IF(DD_Current_Lang=1,TRANS_TBL[[#This Row],[ENGLISH]],TRANS_TBL[[#This Row],[FRANÇAIS]])</f>
        <v>0</v>
      </c>
    </row>
    <row r="703" spans="2:4" ht="14.25" x14ac:dyDescent="0.2">
      <c r="B703" t="str">
        <f t="shared" si="16"/>
        <v>Lang_697</v>
      </c>
      <c r="D703" s="392">
        <f>IF(DD_Current_Lang=1,TRANS_TBL[[#This Row],[ENGLISH]],TRANS_TBL[[#This Row],[FRANÇAIS]])</f>
        <v>0</v>
      </c>
    </row>
    <row r="704" spans="2:4" ht="14.25" x14ac:dyDescent="0.2">
      <c r="B704" t="str">
        <f t="shared" si="16"/>
        <v>Lang_698</v>
      </c>
      <c r="D704" s="392">
        <f>IF(DD_Current_Lang=1,TRANS_TBL[[#This Row],[ENGLISH]],TRANS_TBL[[#This Row],[FRANÇAIS]])</f>
        <v>0</v>
      </c>
    </row>
    <row r="705" spans="2:4" ht="14.25" x14ac:dyDescent="0.2">
      <c r="B705" t="str">
        <f t="shared" si="16"/>
        <v>Lang_699</v>
      </c>
      <c r="D705" s="392">
        <f>IF(DD_Current_Lang=1,TRANS_TBL[[#This Row],[ENGLISH]],TRANS_TBL[[#This Row],[FRANÇAIS]])</f>
        <v>0</v>
      </c>
    </row>
    <row r="706" spans="2:4" ht="14.25" x14ac:dyDescent="0.2">
      <c r="B706" t="str">
        <f t="shared" si="16"/>
        <v>Lang_700</v>
      </c>
      <c r="D706" s="392">
        <f>IF(DD_Current_Lang=1,TRANS_TBL[[#This Row],[ENGLISH]],TRANS_TBL[[#This Row],[FRANÇAIS]])</f>
        <v>0</v>
      </c>
    </row>
    <row r="707" spans="2:4" ht="14.25" x14ac:dyDescent="0.2">
      <c r="B707" t="str">
        <f t="shared" si="16"/>
        <v>Lang_701</v>
      </c>
      <c r="D707" s="392">
        <f>IF(DD_Current_Lang=1,TRANS_TBL[[#This Row],[ENGLISH]],TRANS_TBL[[#This Row],[FRANÇAIS]])</f>
        <v>0</v>
      </c>
    </row>
    <row r="708" spans="2:4" ht="14.25" x14ac:dyDescent="0.2">
      <c r="B708" t="str">
        <f t="shared" si="16"/>
        <v>Lang_702</v>
      </c>
      <c r="D708" s="392">
        <f>IF(DD_Current_Lang=1,TRANS_TBL[[#This Row],[ENGLISH]],TRANS_TBL[[#This Row],[FRANÇAIS]])</f>
        <v>0</v>
      </c>
    </row>
    <row r="709" spans="2:4" ht="14.25" x14ac:dyDescent="0.2">
      <c r="B709" t="str">
        <f t="shared" si="16"/>
        <v>Lang_703</v>
      </c>
      <c r="D709" s="392">
        <f>IF(DD_Current_Lang=1,TRANS_TBL[[#This Row],[ENGLISH]],TRANS_TBL[[#This Row],[FRANÇAIS]])</f>
        <v>0</v>
      </c>
    </row>
    <row r="710" spans="2:4" ht="14.25" x14ac:dyDescent="0.2">
      <c r="B710" t="str">
        <f t="shared" si="16"/>
        <v>Lang_704</v>
      </c>
      <c r="D710" s="392">
        <f>IF(DD_Current_Lang=1,TRANS_TBL[[#This Row],[ENGLISH]],TRANS_TBL[[#This Row],[FRANÇAIS]])</f>
        <v>0</v>
      </c>
    </row>
    <row r="711" spans="2:4" ht="14.25" x14ac:dyDescent="0.2">
      <c r="B711" t="str">
        <f t="shared" si="16"/>
        <v>Lang_705</v>
      </c>
      <c r="D711" s="392">
        <f>IF(DD_Current_Lang=1,TRANS_TBL[[#This Row],[ENGLISH]],TRANS_TBL[[#This Row],[FRANÇAIS]])</f>
        <v>0</v>
      </c>
    </row>
    <row r="712" spans="2:4" ht="14.25" x14ac:dyDescent="0.2">
      <c r="B712" t="str">
        <f t="shared" si="16"/>
        <v>Lang_706</v>
      </c>
      <c r="D712" s="392">
        <f>IF(DD_Current_Lang=1,TRANS_TBL[[#This Row],[ENGLISH]],TRANS_TBL[[#This Row],[FRANÇAIS]])</f>
        <v>0</v>
      </c>
    </row>
    <row r="713" spans="2:4" ht="14.25" x14ac:dyDescent="0.2">
      <c r="B713" t="str">
        <f t="shared" si="16"/>
        <v>Lang_707</v>
      </c>
      <c r="D713" s="392">
        <f>IF(DD_Current_Lang=1,TRANS_TBL[[#This Row],[ENGLISH]],TRANS_TBL[[#This Row],[FRANÇAIS]])</f>
        <v>0</v>
      </c>
    </row>
    <row r="714" spans="2:4" ht="14.25" x14ac:dyDescent="0.2">
      <c r="B714" t="str">
        <f t="shared" si="16"/>
        <v>Lang_708</v>
      </c>
      <c r="D714" s="392">
        <f>IF(DD_Current_Lang=1,TRANS_TBL[[#This Row],[ENGLISH]],TRANS_TBL[[#This Row],[FRANÇAIS]])</f>
        <v>0</v>
      </c>
    </row>
    <row r="715" spans="2:4" ht="14.25" x14ac:dyDescent="0.2">
      <c r="B715" t="str">
        <f t="shared" si="16"/>
        <v>Lang_709</v>
      </c>
      <c r="D715" s="392">
        <f>IF(DD_Current_Lang=1,TRANS_TBL[[#This Row],[ENGLISH]],TRANS_TBL[[#This Row],[FRANÇAIS]])</f>
        <v>0</v>
      </c>
    </row>
    <row r="716" spans="2:4" ht="14.25" x14ac:dyDescent="0.2">
      <c r="B716" t="str">
        <f t="shared" si="16"/>
        <v>Lang_710</v>
      </c>
      <c r="D716" s="392">
        <f>IF(DD_Current_Lang=1,TRANS_TBL[[#This Row],[ENGLISH]],TRANS_TBL[[#This Row],[FRANÇAIS]])</f>
        <v>0</v>
      </c>
    </row>
    <row r="717" spans="2:4" ht="14.25" x14ac:dyDescent="0.2">
      <c r="B717" t="str">
        <f t="shared" si="16"/>
        <v>Lang_711</v>
      </c>
      <c r="D717" s="392">
        <f>IF(DD_Current_Lang=1,TRANS_TBL[[#This Row],[ENGLISH]],TRANS_TBL[[#This Row],[FRANÇAIS]])</f>
        <v>0</v>
      </c>
    </row>
    <row r="718" spans="2:4" ht="14.25" x14ac:dyDescent="0.2">
      <c r="B718" t="str">
        <f t="shared" si="16"/>
        <v>Lang_712</v>
      </c>
      <c r="D718" s="392">
        <f>IF(DD_Current_Lang=1,TRANS_TBL[[#This Row],[ENGLISH]],TRANS_TBL[[#This Row],[FRANÇAIS]])</f>
        <v>0</v>
      </c>
    </row>
    <row r="719" spans="2:4" ht="14.25" x14ac:dyDescent="0.2">
      <c r="B719" t="str">
        <f t="shared" si="16"/>
        <v>Lang_713</v>
      </c>
      <c r="D719" s="392">
        <f>IF(DD_Current_Lang=1,TRANS_TBL[[#This Row],[ENGLISH]],TRANS_TBL[[#This Row],[FRANÇAIS]])</f>
        <v>0</v>
      </c>
    </row>
    <row r="720" spans="2:4" ht="14.25" x14ac:dyDescent="0.2">
      <c r="B720" t="str">
        <f t="shared" si="16"/>
        <v>Lang_714</v>
      </c>
      <c r="D720" s="392">
        <f>IF(DD_Current_Lang=1,TRANS_TBL[[#This Row],[ENGLISH]],TRANS_TBL[[#This Row],[FRANÇAIS]])</f>
        <v>0</v>
      </c>
    </row>
    <row r="721" spans="2:4" ht="14.25" x14ac:dyDescent="0.2">
      <c r="B721" t="str">
        <f t="shared" si="16"/>
        <v>Lang_715</v>
      </c>
      <c r="D721" s="392">
        <f>IF(DD_Current_Lang=1,TRANS_TBL[[#This Row],[ENGLISH]],TRANS_TBL[[#This Row],[FRANÇAIS]])</f>
        <v>0</v>
      </c>
    </row>
    <row r="722" spans="2:4" ht="14.25" x14ac:dyDescent="0.2">
      <c r="B722" t="str">
        <f t="shared" si="16"/>
        <v>Lang_716</v>
      </c>
      <c r="D722" s="392">
        <f>IF(DD_Current_Lang=1,TRANS_TBL[[#This Row],[ENGLISH]],TRANS_TBL[[#This Row],[FRANÇAIS]])</f>
        <v>0</v>
      </c>
    </row>
    <row r="723" spans="2:4" ht="14.25" x14ac:dyDescent="0.2">
      <c r="B723" t="str">
        <f t="shared" si="16"/>
        <v>Lang_717</v>
      </c>
      <c r="D723" s="392">
        <f>IF(DD_Current_Lang=1,TRANS_TBL[[#This Row],[ENGLISH]],TRANS_TBL[[#This Row],[FRANÇAIS]])</f>
        <v>0</v>
      </c>
    </row>
    <row r="724" spans="2:4" ht="14.25" x14ac:dyDescent="0.2">
      <c r="B724" t="str">
        <f t="shared" si="16"/>
        <v>Lang_718</v>
      </c>
      <c r="D724" s="392">
        <f>IF(DD_Current_Lang=1,TRANS_TBL[[#This Row],[ENGLISH]],TRANS_TBL[[#This Row],[FRANÇAIS]])</f>
        <v>0</v>
      </c>
    </row>
    <row r="725" spans="2:4" ht="14.25" x14ac:dyDescent="0.2">
      <c r="B725" t="str">
        <f t="shared" si="16"/>
        <v>Lang_719</v>
      </c>
      <c r="D725" s="392">
        <f>IF(DD_Current_Lang=1,TRANS_TBL[[#This Row],[ENGLISH]],TRANS_TBL[[#This Row],[FRANÇAIS]])</f>
        <v>0</v>
      </c>
    </row>
    <row r="726" spans="2:4" ht="14.25" x14ac:dyDescent="0.2">
      <c r="B726" t="str">
        <f t="shared" si="16"/>
        <v>Lang_720</v>
      </c>
      <c r="D726" s="392">
        <f>IF(DD_Current_Lang=1,TRANS_TBL[[#This Row],[ENGLISH]],TRANS_TBL[[#This Row],[FRANÇAIS]])</f>
        <v>0</v>
      </c>
    </row>
    <row r="727" spans="2:4" ht="14.25" x14ac:dyDescent="0.2">
      <c r="B727" t="str">
        <f t="shared" si="16"/>
        <v>Lang_721</v>
      </c>
      <c r="D727" s="392">
        <f>IF(DD_Current_Lang=1,TRANS_TBL[[#This Row],[ENGLISH]],TRANS_TBL[[#This Row],[FRANÇAIS]])</f>
        <v>0</v>
      </c>
    </row>
    <row r="728" spans="2:4" ht="14.25" x14ac:dyDescent="0.2">
      <c r="B728" t="str">
        <f t="shared" si="16"/>
        <v>Lang_722</v>
      </c>
      <c r="D728" s="392">
        <f>IF(DD_Current_Lang=1,TRANS_TBL[[#This Row],[ENGLISH]],TRANS_TBL[[#This Row],[FRANÇAIS]])</f>
        <v>0</v>
      </c>
    </row>
    <row r="729" spans="2:4" ht="14.25" x14ac:dyDescent="0.2">
      <c r="B729" t="str">
        <f t="shared" si="16"/>
        <v>Lang_723</v>
      </c>
      <c r="D729" s="392">
        <f>IF(DD_Current_Lang=1,TRANS_TBL[[#This Row],[ENGLISH]],TRANS_TBL[[#This Row],[FRANÇAIS]])</f>
        <v>0</v>
      </c>
    </row>
    <row r="730" spans="2:4" ht="14.25" x14ac:dyDescent="0.2">
      <c r="B730" t="str">
        <f t="shared" si="16"/>
        <v>Lang_724</v>
      </c>
      <c r="D730" s="392">
        <f>IF(DD_Current_Lang=1,TRANS_TBL[[#This Row],[ENGLISH]],TRANS_TBL[[#This Row],[FRANÇAIS]])</f>
        <v>0</v>
      </c>
    </row>
    <row r="731" spans="2:4" ht="14.25" x14ac:dyDescent="0.2">
      <c r="B731" t="str">
        <f t="shared" si="16"/>
        <v>Lang_725</v>
      </c>
      <c r="D731" s="392">
        <f>IF(DD_Current_Lang=1,TRANS_TBL[[#This Row],[ENGLISH]],TRANS_TBL[[#This Row],[FRANÇAIS]])</f>
        <v>0</v>
      </c>
    </row>
    <row r="732" spans="2:4" ht="14.25" x14ac:dyDescent="0.2">
      <c r="B732" t="str">
        <f t="shared" si="16"/>
        <v>Lang_726</v>
      </c>
      <c r="D732" s="392">
        <f>IF(DD_Current_Lang=1,TRANS_TBL[[#This Row],[ENGLISH]],TRANS_TBL[[#This Row],[FRANÇAIS]])</f>
        <v>0</v>
      </c>
    </row>
    <row r="733" spans="2:4" ht="14.25" x14ac:dyDescent="0.2">
      <c r="B733" t="str">
        <f t="shared" si="16"/>
        <v>Lang_727</v>
      </c>
      <c r="D733" s="392">
        <f>IF(DD_Current_Lang=1,TRANS_TBL[[#This Row],[ENGLISH]],TRANS_TBL[[#This Row],[FRANÇAIS]])</f>
        <v>0</v>
      </c>
    </row>
    <row r="734" spans="2:4" ht="14.25" x14ac:dyDescent="0.2">
      <c r="B734" t="str">
        <f t="shared" si="16"/>
        <v>Lang_728</v>
      </c>
      <c r="D734" s="392">
        <f>IF(DD_Current_Lang=1,TRANS_TBL[[#This Row],[ENGLISH]],TRANS_TBL[[#This Row],[FRANÇAIS]])</f>
        <v>0</v>
      </c>
    </row>
    <row r="735" spans="2:4" ht="14.25" x14ac:dyDescent="0.2">
      <c r="B735" t="str">
        <f t="shared" si="16"/>
        <v>Lang_729</v>
      </c>
      <c r="D735" s="392">
        <f>IF(DD_Current_Lang=1,TRANS_TBL[[#This Row],[ENGLISH]],TRANS_TBL[[#This Row],[FRANÇAIS]])</f>
        <v>0</v>
      </c>
    </row>
    <row r="736" spans="2:4" ht="14.25" x14ac:dyDescent="0.2">
      <c r="B736" t="str">
        <f t="shared" si="16"/>
        <v>Lang_730</v>
      </c>
      <c r="D736" s="392">
        <f>IF(DD_Current_Lang=1,TRANS_TBL[[#This Row],[ENGLISH]],TRANS_TBL[[#This Row],[FRANÇAIS]])</f>
        <v>0</v>
      </c>
    </row>
    <row r="737" spans="2:4" ht="14.25" x14ac:dyDescent="0.2">
      <c r="B737" t="str">
        <f t="shared" si="16"/>
        <v>Lang_731</v>
      </c>
      <c r="D737" s="392">
        <f>IF(DD_Current_Lang=1,TRANS_TBL[[#This Row],[ENGLISH]],TRANS_TBL[[#This Row],[FRANÇAIS]])</f>
        <v>0</v>
      </c>
    </row>
    <row r="738" spans="2:4" ht="14.25" x14ac:dyDescent="0.2">
      <c r="B738" t="str">
        <f t="shared" si="16"/>
        <v>Lang_732</v>
      </c>
      <c r="D738" s="392">
        <f>IF(DD_Current_Lang=1,TRANS_TBL[[#This Row],[ENGLISH]],TRANS_TBL[[#This Row],[FRANÇAIS]])</f>
        <v>0</v>
      </c>
    </row>
    <row r="739" spans="2:4" ht="14.25" x14ac:dyDescent="0.2">
      <c r="B739" t="str">
        <f t="shared" si="16"/>
        <v>Lang_733</v>
      </c>
      <c r="D739" s="392">
        <f>IF(DD_Current_Lang=1,TRANS_TBL[[#This Row],[ENGLISH]],TRANS_TBL[[#This Row],[FRANÇAIS]])</f>
        <v>0</v>
      </c>
    </row>
    <row r="740" spans="2:4" ht="14.25" x14ac:dyDescent="0.2">
      <c r="B740" t="str">
        <f t="shared" si="16"/>
        <v>Lang_734</v>
      </c>
      <c r="D740" s="392">
        <f>IF(DD_Current_Lang=1,TRANS_TBL[[#This Row],[ENGLISH]],TRANS_TBL[[#This Row],[FRANÇAIS]])</f>
        <v>0</v>
      </c>
    </row>
    <row r="741" spans="2:4" ht="14.25" x14ac:dyDescent="0.2">
      <c r="B741" t="str">
        <f t="shared" si="16"/>
        <v>Lang_735</v>
      </c>
      <c r="D741" s="392">
        <f>IF(DD_Current_Lang=1,TRANS_TBL[[#This Row],[ENGLISH]],TRANS_TBL[[#This Row],[FRANÇAIS]])</f>
        <v>0</v>
      </c>
    </row>
    <row r="742" spans="2:4" ht="14.25" x14ac:dyDescent="0.2">
      <c r="B742" t="str">
        <f t="shared" si="16"/>
        <v>Lang_736</v>
      </c>
      <c r="D742" s="392">
        <f>IF(DD_Current_Lang=1,TRANS_TBL[[#This Row],[ENGLISH]],TRANS_TBL[[#This Row],[FRANÇAIS]])</f>
        <v>0</v>
      </c>
    </row>
    <row r="743" spans="2:4" ht="14.25" x14ac:dyDescent="0.2">
      <c r="B743" t="str">
        <f t="shared" ref="B743:B806" si="17">"Lang_"&amp;ROW()-6</f>
        <v>Lang_737</v>
      </c>
      <c r="D743" s="392">
        <f>IF(DD_Current_Lang=1,TRANS_TBL[[#This Row],[ENGLISH]],TRANS_TBL[[#This Row],[FRANÇAIS]])</f>
        <v>0</v>
      </c>
    </row>
    <row r="744" spans="2:4" ht="14.25" x14ac:dyDescent="0.2">
      <c r="B744" t="str">
        <f t="shared" si="17"/>
        <v>Lang_738</v>
      </c>
      <c r="D744" s="392">
        <f>IF(DD_Current_Lang=1,TRANS_TBL[[#This Row],[ENGLISH]],TRANS_TBL[[#This Row],[FRANÇAIS]])</f>
        <v>0</v>
      </c>
    </row>
    <row r="745" spans="2:4" ht="14.25" x14ac:dyDescent="0.2">
      <c r="B745" t="str">
        <f t="shared" si="17"/>
        <v>Lang_739</v>
      </c>
      <c r="D745" s="392">
        <f>IF(DD_Current_Lang=1,TRANS_TBL[[#This Row],[ENGLISH]],TRANS_TBL[[#This Row],[FRANÇAIS]])</f>
        <v>0</v>
      </c>
    </row>
    <row r="746" spans="2:4" ht="14.25" x14ac:dyDescent="0.2">
      <c r="B746" t="str">
        <f t="shared" si="17"/>
        <v>Lang_740</v>
      </c>
      <c r="D746" s="392">
        <f>IF(DD_Current_Lang=1,TRANS_TBL[[#This Row],[ENGLISH]],TRANS_TBL[[#This Row],[FRANÇAIS]])</f>
        <v>0</v>
      </c>
    </row>
    <row r="747" spans="2:4" ht="14.25" x14ac:dyDescent="0.2">
      <c r="B747" t="str">
        <f t="shared" si="17"/>
        <v>Lang_741</v>
      </c>
      <c r="D747" s="392">
        <f>IF(DD_Current_Lang=1,TRANS_TBL[[#This Row],[ENGLISH]],TRANS_TBL[[#This Row],[FRANÇAIS]])</f>
        <v>0</v>
      </c>
    </row>
    <row r="748" spans="2:4" ht="14.25" x14ac:dyDescent="0.2">
      <c r="B748" t="str">
        <f t="shared" si="17"/>
        <v>Lang_742</v>
      </c>
      <c r="D748" s="392">
        <f>IF(DD_Current_Lang=1,TRANS_TBL[[#This Row],[ENGLISH]],TRANS_TBL[[#This Row],[FRANÇAIS]])</f>
        <v>0</v>
      </c>
    </row>
    <row r="749" spans="2:4" ht="14.25" x14ac:dyDescent="0.2">
      <c r="B749" t="str">
        <f t="shared" si="17"/>
        <v>Lang_743</v>
      </c>
      <c r="D749" s="392">
        <f>IF(DD_Current_Lang=1,TRANS_TBL[[#This Row],[ENGLISH]],TRANS_TBL[[#This Row],[FRANÇAIS]])</f>
        <v>0</v>
      </c>
    </row>
    <row r="750" spans="2:4" ht="14.25" x14ac:dyDescent="0.2">
      <c r="B750" t="str">
        <f t="shared" si="17"/>
        <v>Lang_744</v>
      </c>
      <c r="D750" s="392">
        <f>IF(DD_Current_Lang=1,TRANS_TBL[[#This Row],[ENGLISH]],TRANS_TBL[[#This Row],[FRANÇAIS]])</f>
        <v>0</v>
      </c>
    </row>
    <row r="751" spans="2:4" ht="14.25" x14ac:dyDescent="0.2">
      <c r="B751" t="str">
        <f t="shared" si="17"/>
        <v>Lang_745</v>
      </c>
      <c r="D751" s="392">
        <f>IF(DD_Current_Lang=1,TRANS_TBL[[#This Row],[ENGLISH]],TRANS_TBL[[#This Row],[FRANÇAIS]])</f>
        <v>0</v>
      </c>
    </row>
    <row r="752" spans="2:4" ht="14.25" x14ac:dyDescent="0.2">
      <c r="B752" t="str">
        <f t="shared" si="17"/>
        <v>Lang_746</v>
      </c>
      <c r="D752" s="392">
        <f>IF(DD_Current_Lang=1,TRANS_TBL[[#This Row],[ENGLISH]],TRANS_TBL[[#This Row],[FRANÇAIS]])</f>
        <v>0</v>
      </c>
    </row>
    <row r="753" spans="2:4" ht="14.25" x14ac:dyDescent="0.2">
      <c r="B753" t="str">
        <f t="shared" si="17"/>
        <v>Lang_747</v>
      </c>
      <c r="D753" s="392">
        <f>IF(DD_Current_Lang=1,TRANS_TBL[[#This Row],[ENGLISH]],TRANS_TBL[[#This Row],[FRANÇAIS]])</f>
        <v>0</v>
      </c>
    </row>
    <row r="754" spans="2:4" ht="14.25" x14ac:dyDescent="0.2">
      <c r="B754" t="str">
        <f t="shared" si="17"/>
        <v>Lang_748</v>
      </c>
      <c r="D754" s="392">
        <f>IF(DD_Current_Lang=1,TRANS_TBL[[#This Row],[ENGLISH]],TRANS_TBL[[#This Row],[FRANÇAIS]])</f>
        <v>0</v>
      </c>
    </row>
    <row r="755" spans="2:4" ht="14.25" x14ac:dyDescent="0.2">
      <c r="B755" t="str">
        <f t="shared" si="17"/>
        <v>Lang_749</v>
      </c>
      <c r="D755" s="392">
        <f>IF(DD_Current_Lang=1,TRANS_TBL[[#This Row],[ENGLISH]],TRANS_TBL[[#This Row],[FRANÇAIS]])</f>
        <v>0</v>
      </c>
    </row>
    <row r="756" spans="2:4" ht="14.25" x14ac:dyDescent="0.2">
      <c r="B756" t="str">
        <f t="shared" si="17"/>
        <v>Lang_750</v>
      </c>
      <c r="D756" s="392">
        <f>IF(DD_Current_Lang=1,TRANS_TBL[[#This Row],[ENGLISH]],TRANS_TBL[[#This Row],[FRANÇAIS]])</f>
        <v>0</v>
      </c>
    </row>
    <row r="757" spans="2:4" ht="14.25" x14ac:dyDescent="0.2">
      <c r="B757" t="str">
        <f t="shared" si="17"/>
        <v>Lang_751</v>
      </c>
      <c r="D757" s="392">
        <f>IF(DD_Current_Lang=1,TRANS_TBL[[#This Row],[ENGLISH]],TRANS_TBL[[#This Row],[FRANÇAIS]])</f>
        <v>0</v>
      </c>
    </row>
    <row r="758" spans="2:4" ht="14.25" x14ac:dyDescent="0.2">
      <c r="B758" t="str">
        <f t="shared" si="17"/>
        <v>Lang_752</v>
      </c>
      <c r="D758" s="392">
        <f>IF(DD_Current_Lang=1,TRANS_TBL[[#This Row],[ENGLISH]],TRANS_TBL[[#This Row],[FRANÇAIS]])</f>
        <v>0</v>
      </c>
    </row>
    <row r="759" spans="2:4" ht="14.25" x14ac:dyDescent="0.2">
      <c r="B759" t="str">
        <f t="shared" si="17"/>
        <v>Lang_753</v>
      </c>
      <c r="D759" s="392">
        <f>IF(DD_Current_Lang=1,TRANS_TBL[[#This Row],[ENGLISH]],TRANS_TBL[[#This Row],[FRANÇAIS]])</f>
        <v>0</v>
      </c>
    </row>
    <row r="760" spans="2:4" ht="14.25" x14ac:dyDescent="0.2">
      <c r="B760" t="str">
        <f t="shared" si="17"/>
        <v>Lang_754</v>
      </c>
      <c r="D760" s="392">
        <f>IF(DD_Current_Lang=1,TRANS_TBL[[#This Row],[ENGLISH]],TRANS_TBL[[#This Row],[FRANÇAIS]])</f>
        <v>0</v>
      </c>
    </row>
    <row r="761" spans="2:4" ht="14.25" x14ac:dyDescent="0.2">
      <c r="B761" t="str">
        <f t="shared" si="17"/>
        <v>Lang_755</v>
      </c>
      <c r="D761" s="392">
        <f>IF(DD_Current_Lang=1,TRANS_TBL[[#This Row],[ENGLISH]],TRANS_TBL[[#This Row],[FRANÇAIS]])</f>
        <v>0</v>
      </c>
    </row>
    <row r="762" spans="2:4" ht="14.25" x14ac:dyDescent="0.2">
      <c r="B762" t="str">
        <f t="shared" si="17"/>
        <v>Lang_756</v>
      </c>
      <c r="D762" s="392">
        <f>IF(DD_Current_Lang=1,TRANS_TBL[[#This Row],[ENGLISH]],TRANS_TBL[[#This Row],[FRANÇAIS]])</f>
        <v>0</v>
      </c>
    </row>
    <row r="763" spans="2:4" ht="14.25" x14ac:dyDescent="0.2">
      <c r="B763" t="str">
        <f t="shared" si="17"/>
        <v>Lang_757</v>
      </c>
      <c r="D763" s="392">
        <f>IF(DD_Current_Lang=1,TRANS_TBL[[#This Row],[ENGLISH]],TRANS_TBL[[#This Row],[FRANÇAIS]])</f>
        <v>0</v>
      </c>
    </row>
    <row r="764" spans="2:4" ht="14.25" x14ac:dyDescent="0.2">
      <c r="B764" t="str">
        <f t="shared" si="17"/>
        <v>Lang_758</v>
      </c>
      <c r="D764" s="392">
        <f>IF(DD_Current_Lang=1,TRANS_TBL[[#This Row],[ENGLISH]],TRANS_TBL[[#This Row],[FRANÇAIS]])</f>
        <v>0</v>
      </c>
    </row>
    <row r="765" spans="2:4" ht="14.25" x14ac:dyDescent="0.2">
      <c r="B765" t="str">
        <f t="shared" si="17"/>
        <v>Lang_759</v>
      </c>
      <c r="D765" s="392">
        <f>IF(DD_Current_Lang=1,TRANS_TBL[[#This Row],[ENGLISH]],TRANS_TBL[[#This Row],[FRANÇAIS]])</f>
        <v>0</v>
      </c>
    </row>
    <row r="766" spans="2:4" ht="14.25" x14ac:dyDescent="0.2">
      <c r="B766" t="str">
        <f t="shared" si="17"/>
        <v>Lang_760</v>
      </c>
      <c r="D766" s="392">
        <f>IF(DD_Current_Lang=1,TRANS_TBL[[#This Row],[ENGLISH]],TRANS_TBL[[#This Row],[FRANÇAIS]])</f>
        <v>0</v>
      </c>
    </row>
    <row r="767" spans="2:4" ht="14.25" x14ac:dyDescent="0.2">
      <c r="B767" t="str">
        <f t="shared" si="17"/>
        <v>Lang_761</v>
      </c>
      <c r="D767" s="392">
        <f>IF(DD_Current_Lang=1,TRANS_TBL[[#This Row],[ENGLISH]],TRANS_TBL[[#This Row],[FRANÇAIS]])</f>
        <v>0</v>
      </c>
    </row>
    <row r="768" spans="2:4" ht="14.25" x14ac:dyDescent="0.2">
      <c r="B768" t="str">
        <f t="shared" si="17"/>
        <v>Lang_762</v>
      </c>
      <c r="D768" s="392">
        <f>IF(DD_Current_Lang=1,TRANS_TBL[[#This Row],[ENGLISH]],TRANS_TBL[[#This Row],[FRANÇAIS]])</f>
        <v>0</v>
      </c>
    </row>
    <row r="769" spans="2:4" ht="14.25" x14ac:dyDescent="0.2">
      <c r="B769" t="str">
        <f t="shared" si="17"/>
        <v>Lang_763</v>
      </c>
      <c r="D769" s="392">
        <f>IF(DD_Current_Lang=1,TRANS_TBL[[#This Row],[ENGLISH]],TRANS_TBL[[#This Row],[FRANÇAIS]])</f>
        <v>0</v>
      </c>
    </row>
    <row r="770" spans="2:4" ht="14.25" x14ac:dyDescent="0.2">
      <c r="B770" t="str">
        <f t="shared" si="17"/>
        <v>Lang_764</v>
      </c>
      <c r="D770" s="392">
        <f>IF(DD_Current_Lang=1,TRANS_TBL[[#This Row],[ENGLISH]],TRANS_TBL[[#This Row],[FRANÇAIS]])</f>
        <v>0</v>
      </c>
    </row>
    <row r="771" spans="2:4" ht="14.25" x14ac:dyDescent="0.2">
      <c r="B771" t="str">
        <f t="shared" si="17"/>
        <v>Lang_765</v>
      </c>
      <c r="D771" s="392">
        <f>IF(DD_Current_Lang=1,TRANS_TBL[[#This Row],[ENGLISH]],TRANS_TBL[[#This Row],[FRANÇAIS]])</f>
        <v>0</v>
      </c>
    </row>
    <row r="772" spans="2:4" ht="14.25" x14ac:dyDescent="0.2">
      <c r="B772" t="str">
        <f t="shared" si="17"/>
        <v>Lang_766</v>
      </c>
      <c r="D772" s="392">
        <f>IF(DD_Current_Lang=1,TRANS_TBL[[#This Row],[ENGLISH]],TRANS_TBL[[#This Row],[FRANÇAIS]])</f>
        <v>0</v>
      </c>
    </row>
    <row r="773" spans="2:4" ht="14.25" x14ac:dyDescent="0.2">
      <c r="B773" t="str">
        <f t="shared" si="17"/>
        <v>Lang_767</v>
      </c>
      <c r="D773" s="392">
        <f>IF(DD_Current_Lang=1,TRANS_TBL[[#This Row],[ENGLISH]],TRANS_TBL[[#This Row],[FRANÇAIS]])</f>
        <v>0</v>
      </c>
    </row>
    <row r="774" spans="2:4" ht="14.25" x14ac:dyDescent="0.2">
      <c r="B774" t="str">
        <f t="shared" si="17"/>
        <v>Lang_768</v>
      </c>
      <c r="D774" s="392">
        <f>IF(DD_Current_Lang=1,TRANS_TBL[[#This Row],[ENGLISH]],TRANS_TBL[[#This Row],[FRANÇAIS]])</f>
        <v>0</v>
      </c>
    </row>
    <row r="775" spans="2:4" ht="14.25" x14ac:dyDescent="0.2">
      <c r="B775" t="str">
        <f t="shared" si="17"/>
        <v>Lang_769</v>
      </c>
      <c r="D775" s="392">
        <f>IF(DD_Current_Lang=1,TRANS_TBL[[#This Row],[ENGLISH]],TRANS_TBL[[#This Row],[FRANÇAIS]])</f>
        <v>0</v>
      </c>
    </row>
    <row r="776" spans="2:4" ht="14.25" x14ac:dyDescent="0.2">
      <c r="B776" t="str">
        <f t="shared" si="17"/>
        <v>Lang_770</v>
      </c>
      <c r="D776" s="392">
        <f>IF(DD_Current_Lang=1,TRANS_TBL[[#This Row],[ENGLISH]],TRANS_TBL[[#This Row],[FRANÇAIS]])</f>
        <v>0</v>
      </c>
    </row>
    <row r="777" spans="2:4" ht="14.25" x14ac:dyDescent="0.2">
      <c r="B777" t="str">
        <f t="shared" si="17"/>
        <v>Lang_771</v>
      </c>
      <c r="D777" s="392">
        <f>IF(DD_Current_Lang=1,TRANS_TBL[[#This Row],[ENGLISH]],TRANS_TBL[[#This Row],[FRANÇAIS]])</f>
        <v>0</v>
      </c>
    </row>
    <row r="778" spans="2:4" ht="14.25" x14ac:dyDescent="0.2">
      <c r="B778" t="str">
        <f t="shared" si="17"/>
        <v>Lang_772</v>
      </c>
      <c r="D778" s="392">
        <f>IF(DD_Current_Lang=1,TRANS_TBL[[#This Row],[ENGLISH]],TRANS_TBL[[#This Row],[FRANÇAIS]])</f>
        <v>0</v>
      </c>
    </row>
    <row r="779" spans="2:4" ht="14.25" x14ac:dyDescent="0.2">
      <c r="B779" t="str">
        <f t="shared" si="17"/>
        <v>Lang_773</v>
      </c>
      <c r="D779" s="392">
        <f>IF(DD_Current_Lang=1,TRANS_TBL[[#This Row],[ENGLISH]],TRANS_TBL[[#This Row],[FRANÇAIS]])</f>
        <v>0</v>
      </c>
    </row>
    <row r="780" spans="2:4" ht="14.25" x14ac:dyDescent="0.2">
      <c r="B780" t="str">
        <f t="shared" si="17"/>
        <v>Lang_774</v>
      </c>
      <c r="D780" s="392">
        <f>IF(DD_Current_Lang=1,TRANS_TBL[[#This Row],[ENGLISH]],TRANS_TBL[[#This Row],[FRANÇAIS]])</f>
        <v>0</v>
      </c>
    </row>
    <row r="781" spans="2:4" ht="14.25" x14ac:dyDescent="0.2">
      <c r="B781" t="str">
        <f t="shared" si="17"/>
        <v>Lang_775</v>
      </c>
      <c r="D781" s="392">
        <f>IF(DD_Current_Lang=1,TRANS_TBL[[#This Row],[ENGLISH]],TRANS_TBL[[#This Row],[FRANÇAIS]])</f>
        <v>0</v>
      </c>
    </row>
    <row r="782" spans="2:4" ht="14.25" x14ac:dyDescent="0.2">
      <c r="B782" t="str">
        <f t="shared" si="17"/>
        <v>Lang_776</v>
      </c>
      <c r="D782" s="392">
        <f>IF(DD_Current_Lang=1,TRANS_TBL[[#This Row],[ENGLISH]],TRANS_TBL[[#This Row],[FRANÇAIS]])</f>
        <v>0</v>
      </c>
    </row>
    <row r="783" spans="2:4" ht="14.25" x14ac:dyDescent="0.2">
      <c r="B783" t="str">
        <f t="shared" si="17"/>
        <v>Lang_777</v>
      </c>
      <c r="D783" s="392">
        <f>IF(DD_Current_Lang=1,TRANS_TBL[[#This Row],[ENGLISH]],TRANS_TBL[[#This Row],[FRANÇAIS]])</f>
        <v>0</v>
      </c>
    </row>
    <row r="784" spans="2:4" ht="14.25" x14ac:dyDescent="0.2">
      <c r="B784" t="str">
        <f t="shared" si="17"/>
        <v>Lang_778</v>
      </c>
      <c r="D784" s="392">
        <f>IF(DD_Current_Lang=1,TRANS_TBL[[#This Row],[ENGLISH]],TRANS_TBL[[#This Row],[FRANÇAIS]])</f>
        <v>0</v>
      </c>
    </row>
    <row r="785" spans="2:4" ht="14.25" x14ac:dyDescent="0.2">
      <c r="B785" t="str">
        <f t="shared" si="17"/>
        <v>Lang_779</v>
      </c>
      <c r="D785" s="392">
        <f>IF(DD_Current_Lang=1,TRANS_TBL[[#This Row],[ENGLISH]],TRANS_TBL[[#This Row],[FRANÇAIS]])</f>
        <v>0</v>
      </c>
    </row>
    <row r="786" spans="2:4" ht="14.25" x14ac:dyDescent="0.2">
      <c r="B786" t="str">
        <f t="shared" si="17"/>
        <v>Lang_780</v>
      </c>
      <c r="D786" s="392">
        <f>IF(DD_Current_Lang=1,TRANS_TBL[[#This Row],[ENGLISH]],TRANS_TBL[[#This Row],[FRANÇAIS]])</f>
        <v>0</v>
      </c>
    </row>
    <row r="787" spans="2:4" ht="14.25" x14ac:dyDescent="0.2">
      <c r="B787" t="str">
        <f t="shared" si="17"/>
        <v>Lang_781</v>
      </c>
      <c r="D787" s="392">
        <f>IF(DD_Current_Lang=1,TRANS_TBL[[#This Row],[ENGLISH]],TRANS_TBL[[#This Row],[FRANÇAIS]])</f>
        <v>0</v>
      </c>
    </row>
    <row r="788" spans="2:4" ht="14.25" x14ac:dyDescent="0.2">
      <c r="B788" t="str">
        <f t="shared" si="17"/>
        <v>Lang_782</v>
      </c>
      <c r="D788" s="392">
        <f>IF(DD_Current_Lang=1,TRANS_TBL[[#This Row],[ENGLISH]],TRANS_TBL[[#This Row],[FRANÇAIS]])</f>
        <v>0</v>
      </c>
    </row>
    <row r="789" spans="2:4" ht="14.25" x14ac:dyDescent="0.2">
      <c r="B789" t="str">
        <f t="shared" si="17"/>
        <v>Lang_783</v>
      </c>
      <c r="D789" s="392">
        <f>IF(DD_Current_Lang=1,TRANS_TBL[[#This Row],[ENGLISH]],TRANS_TBL[[#This Row],[FRANÇAIS]])</f>
        <v>0</v>
      </c>
    </row>
    <row r="790" spans="2:4" ht="14.25" x14ac:dyDescent="0.2">
      <c r="B790" t="str">
        <f t="shared" si="17"/>
        <v>Lang_784</v>
      </c>
      <c r="D790" s="392">
        <f>IF(DD_Current_Lang=1,TRANS_TBL[[#This Row],[ENGLISH]],TRANS_TBL[[#This Row],[FRANÇAIS]])</f>
        <v>0</v>
      </c>
    </row>
    <row r="791" spans="2:4" ht="14.25" x14ac:dyDescent="0.2">
      <c r="B791" t="str">
        <f t="shared" si="17"/>
        <v>Lang_785</v>
      </c>
      <c r="D791" s="392">
        <f>IF(DD_Current_Lang=1,TRANS_TBL[[#This Row],[ENGLISH]],TRANS_TBL[[#This Row],[FRANÇAIS]])</f>
        <v>0</v>
      </c>
    </row>
    <row r="792" spans="2:4" ht="14.25" x14ac:dyDescent="0.2">
      <c r="B792" t="str">
        <f t="shared" si="17"/>
        <v>Lang_786</v>
      </c>
      <c r="D792" s="392">
        <f>IF(DD_Current_Lang=1,TRANS_TBL[[#This Row],[ENGLISH]],TRANS_TBL[[#This Row],[FRANÇAIS]])</f>
        <v>0</v>
      </c>
    </row>
    <row r="793" spans="2:4" ht="14.25" x14ac:dyDescent="0.2">
      <c r="B793" t="str">
        <f t="shared" si="17"/>
        <v>Lang_787</v>
      </c>
      <c r="D793" s="392">
        <f>IF(DD_Current_Lang=1,TRANS_TBL[[#This Row],[ENGLISH]],TRANS_TBL[[#This Row],[FRANÇAIS]])</f>
        <v>0</v>
      </c>
    </row>
    <row r="794" spans="2:4" ht="14.25" x14ac:dyDescent="0.2">
      <c r="B794" t="str">
        <f t="shared" si="17"/>
        <v>Lang_788</v>
      </c>
      <c r="D794" s="392">
        <f>IF(DD_Current_Lang=1,TRANS_TBL[[#This Row],[ENGLISH]],TRANS_TBL[[#This Row],[FRANÇAIS]])</f>
        <v>0</v>
      </c>
    </row>
    <row r="795" spans="2:4" ht="14.25" x14ac:dyDescent="0.2">
      <c r="B795" t="str">
        <f t="shared" si="17"/>
        <v>Lang_789</v>
      </c>
      <c r="D795" s="392">
        <f>IF(DD_Current_Lang=1,TRANS_TBL[[#This Row],[ENGLISH]],TRANS_TBL[[#This Row],[FRANÇAIS]])</f>
        <v>0</v>
      </c>
    </row>
    <row r="796" spans="2:4" ht="14.25" x14ac:dyDescent="0.2">
      <c r="B796" t="str">
        <f t="shared" si="17"/>
        <v>Lang_790</v>
      </c>
      <c r="D796" s="392">
        <f>IF(DD_Current_Lang=1,TRANS_TBL[[#This Row],[ENGLISH]],TRANS_TBL[[#This Row],[FRANÇAIS]])</f>
        <v>0</v>
      </c>
    </row>
    <row r="797" spans="2:4" ht="14.25" x14ac:dyDescent="0.2">
      <c r="B797" t="str">
        <f t="shared" si="17"/>
        <v>Lang_791</v>
      </c>
      <c r="D797" s="392">
        <f>IF(DD_Current_Lang=1,TRANS_TBL[[#This Row],[ENGLISH]],TRANS_TBL[[#This Row],[FRANÇAIS]])</f>
        <v>0</v>
      </c>
    </row>
    <row r="798" spans="2:4" ht="14.25" x14ac:dyDescent="0.2">
      <c r="B798" t="str">
        <f t="shared" si="17"/>
        <v>Lang_792</v>
      </c>
      <c r="D798" s="392">
        <f>IF(DD_Current_Lang=1,TRANS_TBL[[#This Row],[ENGLISH]],TRANS_TBL[[#This Row],[FRANÇAIS]])</f>
        <v>0</v>
      </c>
    </row>
    <row r="799" spans="2:4" ht="14.25" x14ac:dyDescent="0.2">
      <c r="B799" t="str">
        <f t="shared" si="17"/>
        <v>Lang_793</v>
      </c>
      <c r="D799" s="392">
        <f>IF(DD_Current_Lang=1,TRANS_TBL[[#This Row],[ENGLISH]],TRANS_TBL[[#This Row],[FRANÇAIS]])</f>
        <v>0</v>
      </c>
    </row>
    <row r="800" spans="2:4" ht="14.25" x14ac:dyDescent="0.2">
      <c r="B800" t="str">
        <f t="shared" si="17"/>
        <v>Lang_794</v>
      </c>
      <c r="D800" s="392">
        <f>IF(DD_Current_Lang=1,TRANS_TBL[[#This Row],[ENGLISH]],TRANS_TBL[[#This Row],[FRANÇAIS]])</f>
        <v>0</v>
      </c>
    </row>
    <row r="801" spans="2:4" ht="14.25" x14ac:dyDescent="0.2">
      <c r="B801" t="str">
        <f t="shared" si="17"/>
        <v>Lang_795</v>
      </c>
      <c r="D801" s="392">
        <f>IF(DD_Current_Lang=1,TRANS_TBL[[#This Row],[ENGLISH]],TRANS_TBL[[#This Row],[FRANÇAIS]])</f>
        <v>0</v>
      </c>
    </row>
    <row r="802" spans="2:4" ht="14.25" x14ac:dyDescent="0.2">
      <c r="B802" t="str">
        <f t="shared" si="17"/>
        <v>Lang_796</v>
      </c>
      <c r="D802" s="392">
        <f>IF(DD_Current_Lang=1,TRANS_TBL[[#This Row],[ENGLISH]],TRANS_TBL[[#This Row],[FRANÇAIS]])</f>
        <v>0</v>
      </c>
    </row>
    <row r="803" spans="2:4" ht="14.25" x14ac:dyDescent="0.2">
      <c r="B803" t="str">
        <f t="shared" si="17"/>
        <v>Lang_797</v>
      </c>
      <c r="D803" s="392">
        <f>IF(DD_Current_Lang=1,TRANS_TBL[[#This Row],[ENGLISH]],TRANS_TBL[[#This Row],[FRANÇAIS]])</f>
        <v>0</v>
      </c>
    </row>
    <row r="804" spans="2:4" ht="14.25" x14ac:dyDescent="0.2">
      <c r="B804" t="str">
        <f t="shared" si="17"/>
        <v>Lang_798</v>
      </c>
      <c r="D804" s="392">
        <f>IF(DD_Current_Lang=1,TRANS_TBL[[#This Row],[ENGLISH]],TRANS_TBL[[#This Row],[FRANÇAIS]])</f>
        <v>0</v>
      </c>
    </row>
    <row r="805" spans="2:4" ht="14.25" x14ac:dyDescent="0.2">
      <c r="B805" t="str">
        <f t="shared" si="17"/>
        <v>Lang_799</v>
      </c>
      <c r="D805" s="392">
        <f>IF(DD_Current_Lang=1,TRANS_TBL[[#This Row],[ENGLISH]],TRANS_TBL[[#This Row],[FRANÇAIS]])</f>
        <v>0</v>
      </c>
    </row>
    <row r="806" spans="2:4" ht="14.25" x14ac:dyDescent="0.2">
      <c r="B806" t="str">
        <f t="shared" si="17"/>
        <v>Lang_800</v>
      </c>
      <c r="D806" s="392">
        <f>IF(DD_Current_Lang=1,TRANS_TBL[[#This Row],[ENGLISH]],TRANS_TBL[[#This Row],[FRANÇAIS]])</f>
        <v>0</v>
      </c>
    </row>
    <row r="807" spans="2:4" ht="14.25" x14ac:dyDescent="0.2">
      <c r="B807" t="str">
        <f t="shared" ref="B807:B870" si="18">"Lang_"&amp;ROW()-6</f>
        <v>Lang_801</v>
      </c>
      <c r="D807" s="392">
        <f>IF(DD_Current_Lang=1,TRANS_TBL[[#This Row],[ENGLISH]],TRANS_TBL[[#This Row],[FRANÇAIS]])</f>
        <v>0</v>
      </c>
    </row>
    <row r="808" spans="2:4" ht="14.25" x14ac:dyDescent="0.2">
      <c r="B808" t="str">
        <f t="shared" si="18"/>
        <v>Lang_802</v>
      </c>
      <c r="D808" s="392">
        <f>IF(DD_Current_Lang=1,TRANS_TBL[[#This Row],[ENGLISH]],TRANS_TBL[[#This Row],[FRANÇAIS]])</f>
        <v>0</v>
      </c>
    </row>
    <row r="809" spans="2:4" ht="14.25" x14ac:dyDescent="0.2">
      <c r="B809" t="str">
        <f t="shared" si="18"/>
        <v>Lang_803</v>
      </c>
      <c r="D809" s="392">
        <f>IF(DD_Current_Lang=1,TRANS_TBL[[#This Row],[ENGLISH]],TRANS_TBL[[#This Row],[FRANÇAIS]])</f>
        <v>0</v>
      </c>
    </row>
    <row r="810" spans="2:4" ht="14.25" x14ac:dyDescent="0.2">
      <c r="B810" t="str">
        <f t="shared" si="18"/>
        <v>Lang_804</v>
      </c>
      <c r="D810" s="392">
        <f>IF(DD_Current_Lang=1,TRANS_TBL[[#This Row],[ENGLISH]],TRANS_TBL[[#This Row],[FRANÇAIS]])</f>
        <v>0</v>
      </c>
    </row>
    <row r="811" spans="2:4" ht="14.25" x14ac:dyDescent="0.2">
      <c r="B811" t="str">
        <f t="shared" si="18"/>
        <v>Lang_805</v>
      </c>
      <c r="D811" s="392">
        <f>IF(DD_Current_Lang=1,TRANS_TBL[[#This Row],[ENGLISH]],TRANS_TBL[[#This Row],[FRANÇAIS]])</f>
        <v>0</v>
      </c>
    </row>
    <row r="812" spans="2:4" ht="14.25" x14ac:dyDescent="0.2">
      <c r="B812" t="str">
        <f t="shared" si="18"/>
        <v>Lang_806</v>
      </c>
      <c r="D812" s="392">
        <f>IF(DD_Current_Lang=1,TRANS_TBL[[#This Row],[ENGLISH]],TRANS_TBL[[#This Row],[FRANÇAIS]])</f>
        <v>0</v>
      </c>
    </row>
    <row r="813" spans="2:4" ht="14.25" x14ac:dyDescent="0.2">
      <c r="B813" t="str">
        <f t="shared" si="18"/>
        <v>Lang_807</v>
      </c>
      <c r="D813" s="392">
        <f>IF(DD_Current_Lang=1,TRANS_TBL[[#This Row],[ENGLISH]],TRANS_TBL[[#This Row],[FRANÇAIS]])</f>
        <v>0</v>
      </c>
    </row>
    <row r="814" spans="2:4" ht="14.25" x14ac:dyDescent="0.2">
      <c r="B814" t="str">
        <f t="shared" si="18"/>
        <v>Lang_808</v>
      </c>
      <c r="D814" s="392">
        <f>IF(DD_Current_Lang=1,TRANS_TBL[[#This Row],[ENGLISH]],TRANS_TBL[[#This Row],[FRANÇAIS]])</f>
        <v>0</v>
      </c>
    </row>
    <row r="815" spans="2:4" ht="14.25" x14ac:dyDescent="0.2">
      <c r="B815" t="str">
        <f t="shared" si="18"/>
        <v>Lang_809</v>
      </c>
      <c r="D815" s="392">
        <f>IF(DD_Current_Lang=1,TRANS_TBL[[#This Row],[ENGLISH]],TRANS_TBL[[#This Row],[FRANÇAIS]])</f>
        <v>0</v>
      </c>
    </row>
    <row r="816" spans="2:4" ht="14.25" x14ac:dyDescent="0.2">
      <c r="B816" t="str">
        <f t="shared" si="18"/>
        <v>Lang_810</v>
      </c>
      <c r="D816" s="392">
        <f>IF(DD_Current_Lang=1,TRANS_TBL[[#This Row],[ENGLISH]],TRANS_TBL[[#This Row],[FRANÇAIS]])</f>
        <v>0</v>
      </c>
    </row>
    <row r="817" spans="2:4" ht="14.25" x14ac:dyDescent="0.2">
      <c r="B817" t="str">
        <f t="shared" si="18"/>
        <v>Lang_811</v>
      </c>
      <c r="D817" s="392">
        <f>IF(DD_Current_Lang=1,TRANS_TBL[[#This Row],[ENGLISH]],TRANS_TBL[[#This Row],[FRANÇAIS]])</f>
        <v>0</v>
      </c>
    </row>
    <row r="818" spans="2:4" ht="14.25" x14ac:dyDescent="0.2">
      <c r="B818" t="str">
        <f t="shared" si="18"/>
        <v>Lang_812</v>
      </c>
      <c r="D818" s="392">
        <f>IF(DD_Current_Lang=1,TRANS_TBL[[#This Row],[ENGLISH]],TRANS_TBL[[#This Row],[FRANÇAIS]])</f>
        <v>0</v>
      </c>
    </row>
    <row r="819" spans="2:4" ht="14.25" x14ac:dyDescent="0.2">
      <c r="B819" t="str">
        <f t="shared" si="18"/>
        <v>Lang_813</v>
      </c>
      <c r="D819" s="392">
        <f>IF(DD_Current_Lang=1,TRANS_TBL[[#This Row],[ENGLISH]],TRANS_TBL[[#This Row],[FRANÇAIS]])</f>
        <v>0</v>
      </c>
    </row>
    <row r="820" spans="2:4" ht="14.25" x14ac:dyDescent="0.2">
      <c r="B820" t="str">
        <f t="shared" si="18"/>
        <v>Lang_814</v>
      </c>
      <c r="D820" s="392">
        <f>IF(DD_Current_Lang=1,TRANS_TBL[[#This Row],[ENGLISH]],TRANS_TBL[[#This Row],[FRANÇAIS]])</f>
        <v>0</v>
      </c>
    </row>
    <row r="821" spans="2:4" ht="14.25" x14ac:dyDescent="0.2">
      <c r="B821" t="str">
        <f t="shared" si="18"/>
        <v>Lang_815</v>
      </c>
      <c r="D821" s="392">
        <f>IF(DD_Current_Lang=1,TRANS_TBL[[#This Row],[ENGLISH]],TRANS_TBL[[#This Row],[FRANÇAIS]])</f>
        <v>0</v>
      </c>
    </row>
    <row r="822" spans="2:4" ht="14.25" x14ac:dyDescent="0.2">
      <c r="B822" t="str">
        <f t="shared" si="18"/>
        <v>Lang_816</v>
      </c>
      <c r="D822" s="392">
        <f>IF(DD_Current_Lang=1,TRANS_TBL[[#This Row],[ENGLISH]],TRANS_TBL[[#This Row],[FRANÇAIS]])</f>
        <v>0</v>
      </c>
    </row>
    <row r="823" spans="2:4" ht="14.25" x14ac:dyDescent="0.2">
      <c r="B823" t="str">
        <f t="shared" si="18"/>
        <v>Lang_817</v>
      </c>
      <c r="D823" s="392">
        <f>IF(DD_Current_Lang=1,TRANS_TBL[[#This Row],[ENGLISH]],TRANS_TBL[[#This Row],[FRANÇAIS]])</f>
        <v>0</v>
      </c>
    </row>
    <row r="824" spans="2:4" ht="14.25" x14ac:dyDescent="0.2">
      <c r="B824" t="str">
        <f t="shared" si="18"/>
        <v>Lang_818</v>
      </c>
      <c r="D824" s="392">
        <f>IF(DD_Current_Lang=1,TRANS_TBL[[#This Row],[ENGLISH]],TRANS_TBL[[#This Row],[FRANÇAIS]])</f>
        <v>0</v>
      </c>
    </row>
    <row r="825" spans="2:4" ht="14.25" x14ac:dyDescent="0.2">
      <c r="B825" t="str">
        <f t="shared" si="18"/>
        <v>Lang_819</v>
      </c>
      <c r="D825" s="392">
        <f>IF(DD_Current_Lang=1,TRANS_TBL[[#This Row],[ENGLISH]],TRANS_TBL[[#This Row],[FRANÇAIS]])</f>
        <v>0</v>
      </c>
    </row>
    <row r="826" spans="2:4" ht="14.25" x14ac:dyDescent="0.2">
      <c r="B826" t="str">
        <f t="shared" si="18"/>
        <v>Lang_820</v>
      </c>
      <c r="D826" s="392">
        <f>IF(DD_Current_Lang=1,TRANS_TBL[[#This Row],[ENGLISH]],TRANS_TBL[[#This Row],[FRANÇAIS]])</f>
        <v>0</v>
      </c>
    </row>
    <row r="827" spans="2:4" ht="14.25" x14ac:dyDescent="0.2">
      <c r="B827" t="str">
        <f t="shared" si="18"/>
        <v>Lang_821</v>
      </c>
      <c r="D827" s="392">
        <f>IF(DD_Current_Lang=1,TRANS_TBL[[#This Row],[ENGLISH]],TRANS_TBL[[#This Row],[FRANÇAIS]])</f>
        <v>0</v>
      </c>
    </row>
    <row r="828" spans="2:4" ht="14.25" x14ac:dyDescent="0.2">
      <c r="B828" t="str">
        <f t="shared" si="18"/>
        <v>Lang_822</v>
      </c>
      <c r="D828" s="392">
        <f>IF(DD_Current_Lang=1,TRANS_TBL[[#This Row],[ENGLISH]],TRANS_TBL[[#This Row],[FRANÇAIS]])</f>
        <v>0</v>
      </c>
    </row>
    <row r="829" spans="2:4" ht="14.25" x14ac:dyDescent="0.2">
      <c r="B829" t="str">
        <f t="shared" si="18"/>
        <v>Lang_823</v>
      </c>
      <c r="D829" s="392">
        <f>IF(DD_Current_Lang=1,TRANS_TBL[[#This Row],[ENGLISH]],TRANS_TBL[[#This Row],[FRANÇAIS]])</f>
        <v>0</v>
      </c>
    </row>
    <row r="830" spans="2:4" ht="14.25" x14ac:dyDescent="0.2">
      <c r="B830" t="str">
        <f t="shared" si="18"/>
        <v>Lang_824</v>
      </c>
      <c r="D830" s="392">
        <f>IF(DD_Current_Lang=1,TRANS_TBL[[#This Row],[ENGLISH]],TRANS_TBL[[#This Row],[FRANÇAIS]])</f>
        <v>0</v>
      </c>
    </row>
    <row r="831" spans="2:4" ht="14.25" x14ac:dyDescent="0.2">
      <c r="B831" t="str">
        <f t="shared" si="18"/>
        <v>Lang_825</v>
      </c>
      <c r="D831" s="392">
        <f>IF(DD_Current_Lang=1,TRANS_TBL[[#This Row],[ENGLISH]],TRANS_TBL[[#This Row],[FRANÇAIS]])</f>
        <v>0</v>
      </c>
    </row>
    <row r="832" spans="2:4" ht="14.25" x14ac:dyDescent="0.2">
      <c r="B832" t="str">
        <f t="shared" si="18"/>
        <v>Lang_826</v>
      </c>
      <c r="D832" s="392">
        <f>IF(DD_Current_Lang=1,TRANS_TBL[[#This Row],[ENGLISH]],TRANS_TBL[[#This Row],[FRANÇAIS]])</f>
        <v>0</v>
      </c>
    </row>
    <row r="833" spans="2:4" ht="14.25" x14ac:dyDescent="0.2">
      <c r="B833" t="str">
        <f t="shared" si="18"/>
        <v>Lang_827</v>
      </c>
      <c r="D833" s="392">
        <f>IF(DD_Current_Lang=1,TRANS_TBL[[#This Row],[ENGLISH]],TRANS_TBL[[#This Row],[FRANÇAIS]])</f>
        <v>0</v>
      </c>
    </row>
    <row r="834" spans="2:4" ht="14.25" x14ac:dyDescent="0.2">
      <c r="B834" t="str">
        <f t="shared" si="18"/>
        <v>Lang_828</v>
      </c>
      <c r="D834" s="392">
        <f>IF(DD_Current_Lang=1,TRANS_TBL[[#This Row],[ENGLISH]],TRANS_TBL[[#This Row],[FRANÇAIS]])</f>
        <v>0</v>
      </c>
    </row>
    <row r="835" spans="2:4" ht="14.25" x14ac:dyDescent="0.2">
      <c r="B835" t="str">
        <f t="shared" si="18"/>
        <v>Lang_829</v>
      </c>
      <c r="D835" s="392">
        <f>IF(DD_Current_Lang=1,TRANS_TBL[[#This Row],[ENGLISH]],TRANS_TBL[[#This Row],[FRANÇAIS]])</f>
        <v>0</v>
      </c>
    </row>
    <row r="836" spans="2:4" ht="14.25" x14ac:dyDescent="0.2">
      <c r="B836" t="str">
        <f t="shared" si="18"/>
        <v>Lang_830</v>
      </c>
      <c r="D836" s="392">
        <f>IF(DD_Current_Lang=1,TRANS_TBL[[#This Row],[ENGLISH]],TRANS_TBL[[#This Row],[FRANÇAIS]])</f>
        <v>0</v>
      </c>
    </row>
    <row r="837" spans="2:4" ht="14.25" x14ac:dyDescent="0.2">
      <c r="B837" t="str">
        <f t="shared" si="18"/>
        <v>Lang_831</v>
      </c>
      <c r="D837" s="392">
        <f>IF(DD_Current_Lang=1,TRANS_TBL[[#This Row],[ENGLISH]],TRANS_TBL[[#This Row],[FRANÇAIS]])</f>
        <v>0</v>
      </c>
    </row>
    <row r="838" spans="2:4" ht="14.25" x14ac:dyDescent="0.2">
      <c r="B838" t="str">
        <f t="shared" si="18"/>
        <v>Lang_832</v>
      </c>
      <c r="D838" s="392">
        <f>IF(DD_Current_Lang=1,TRANS_TBL[[#This Row],[ENGLISH]],TRANS_TBL[[#This Row],[FRANÇAIS]])</f>
        <v>0</v>
      </c>
    </row>
    <row r="839" spans="2:4" ht="14.25" x14ac:dyDescent="0.2">
      <c r="B839" t="str">
        <f t="shared" si="18"/>
        <v>Lang_833</v>
      </c>
      <c r="D839" s="392">
        <f>IF(DD_Current_Lang=1,TRANS_TBL[[#This Row],[ENGLISH]],TRANS_TBL[[#This Row],[FRANÇAIS]])</f>
        <v>0</v>
      </c>
    </row>
    <row r="840" spans="2:4" ht="14.25" x14ac:dyDescent="0.2">
      <c r="B840" t="str">
        <f t="shared" si="18"/>
        <v>Lang_834</v>
      </c>
      <c r="D840" s="392">
        <f>IF(DD_Current_Lang=1,TRANS_TBL[[#This Row],[ENGLISH]],TRANS_TBL[[#This Row],[FRANÇAIS]])</f>
        <v>0</v>
      </c>
    </row>
    <row r="841" spans="2:4" ht="14.25" x14ac:dyDescent="0.2">
      <c r="B841" t="str">
        <f t="shared" si="18"/>
        <v>Lang_835</v>
      </c>
      <c r="D841" s="392">
        <f>IF(DD_Current_Lang=1,TRANS_TBL[[#This Row],[ENGLISH]],TRANS_TBL[[#This Row],[FRANÇAIS]])</f>
        <v>0</v>
      </c>
    </row>
    <row r="842" spans="2:4" ht="14.25" x14ac:dyDescent="0.2">
      <c r="B842" t="str">
        <f t="shared" si="18"/>
        <v>Lang_836</v>
      </c>
      <c r="D842" s="392">
        <f>IF(DD_Current_Lang=1,TRANS_TBL[[#This Row],[ENGLISH]],TRANS_TBL[[#This Row],[FRANÇAIS]])</f>
        <v>0</v>
      </c>
    </row>
    <row r="843" spans="2:4" ht="14.25" x14ac:dyDescent="0.2">
      <c r="B843" t="str">
        <f t="shared" si="18"/>
        <v>Lang_837</v>
      </c>
      <c r="D843" s="392">
        <f>IF(DD_Current_Lang=1,TRANS_TBL[[#This Row],[ENGLISH]],TRANS_TBL[[#This Row],[FRANÇAIS]])</f>
        <v>0</v>
      </c>
    </row>
    <row r="844" spans="2:4" ht="14.25" x14ac:dyDescent="0.2">
      <c r="B844" t="str">
        <f t="shared" si="18"/>
        <v>Lang_838</v>
      </c>
      <c r="D844" s="392">
        <f>IF(DD_Current_Lang=1,TRANS_TBL[[#This Row],[ENGLISH]],TRANS_TBL[[#This Row],[FRANÇAIS]])</f>
        <v>0</v>
      </c>
    </row>
    <row r="845" spans="2:4" ht="14.25" x14ac:dyDescent="0.2">
      <c r="B845" t="str">
        <f t="shared" si="18"/>
        <v>Lang_839</v>
      </c>
      <c r="D845" s="392">
        <f>IF(DD_Current_Lang=1,TRANS_TBL[[#This Row],[ENGLISH]],TRANS_TBL[[#This Row],[FRANÇAIS]])</f>
        <v>0</v>
      </c>
    </row>
    <row r="846" spans="2:4" ht="14.25" x14ac:dyDescent="0.2">
      <c r="B846" t="str">
        <f t="shared" si="18"/>
        <v>Lang_840</v>
      </c>
      <c r="D846" s="392">
        <f>IF(DD_Current_Lang=1,TRANS_TBL[[#This Row],[ENGLISH]],TRANS_TBL[[#This Row],[FRANÇAIS]])</f>
        <v>0</v>
      </c>
    </row>
    <row r="847" spans="2:4" ht="14.25" x14ac:dyDescent="0.2">
      <c r="B847" t="str">
        <f t="shared" si="18"/>
        <v>Lang_841</v>
      </c>
      <c r="D847" s="392">
        <f>IF(DD_Current_Lang=1,TRANS_TBL[[#This Row],[ENGLISH]],TRANS_TBL[[#This Row],[FRANÇAIS]])</f>
        <v>0</v>
      </c>
    </row>
    <row r="848" spans="2:4" ht="14.25" x14ac:dyDescent="0.2">
      <c r="B848" t="str">
        <f t="shared" si="18"/>
        <v>Lang_842</v>
      </c>
      <c r="D848" s="392">
        <f>IF(DD_Current_Lang=1,TRANS_TBL[[#This Row],[ENGLISH]],TRANS_TBL[[#This Row],[FRANÇAIS]])</f>
        <v>0</v>
      </c>
    </row>
    <row r="849" spans="2:4" ht="14.25" x14ac:dyDescent="0.2">
      <c r="B849" t="str">
        <f t="shared" si="18"/>
        <v>Lang_843</v>
      </c>
      <c r="D849" s="392">
        <f>IF(DD_Current_Lang=1,TRANS_TBL[[#This Row],[ENGLISH]],TRANS_TBL[[#This Row],[FRANÇAIS]])</f>
        <v>0</v>
      </c>
    </row>
    <row r="850" spans="2:4" ht="14.25" x14ac:dyDescent="0.2">
      <c r="B850" t="str">
        <f t="shared" si="18"/>
        <v>Lang_844</v>
      </c>
      <c r="D850" s="392">
        <f>IF(DD_Current_Lang=1,TRANS_TBL[[#This Row],[ENGLISH]],TRANS_TBL[[#This Row],[FRANÇAIS]])</f>
        <v>0</v>
      </c>
    </row>
    <row r="851" spans="2:4" ht="14.25" x14ac:dyDescent="0.2">
      <c r="B851" t="str">
        <f t="shared" si="18"/>
        <v>Lang_845</v>
      </c>
      <c r="D851" s="392">
        <f>IF(DD_Current_Lang=1,TRANS_TBL[[#This Row],[ENGLISH]],TRANS_TBL[[#This Row],[FRANÇAIS]])</f>
        <v>0</v>
      </c>
    </row>
    <row r="852" spans="2:4" ht="14.25" x14ac:dyDescent="0.2">
      <c r="B852" t="str">
        <f t="shared" si="18"/>
        <v>Lang_846</v>
      </c>
      <c r="D852" s="392">
        <f>IF(DD_Current_Lang=1,TRANS_TBL[[#This Row],[ENGLISH]],TRANS_TBL[[#This Row],[FRANÇAIS]])</f>
        <v>0</v>
      </c>
    </row>
    <row r="853" spans="2:4" ht="14.25" x14ac:dyDescent="0.2">
      <c r="B853" t="str">
        <f t="shared" si="18"/>
        <v>Lang_847</v>
      </c>
      <c r="D853" s="392">
        <f>IF(DD_Current_Lang=1,TRANS_TBL[[#This Row],[ENGLISH]],TRANS_TBL[[#This Row],[FRANÇAIS]])</f>
        <v>0</v>
      </c>
    </row>
    <row r="854" spans="2:4" ht="14.25" x14ac:dyDescent="0.2">
      <c r="B854" t="str">
        <f t="shared" si="18"/>
        <v>Lang_848</v>
      </c>
      <c r="D854" s="392">
        <f>IF(DD_Current_Lang=1,TRANS_TBL[[#This Row],[ENGLISH]],TRANS_TBL[[#This Row],[FRANÇAIS]])</f>
        <v>0</v>
      </c>
    </row>
    <row r="855" spans="2:4" ht="14.25" x14ac:dyDescent="0.2">
      <c r="B855" t="str">
        <f t="shared" si="18"/>
        <v>Lang_849</v>
      </c>
      <c r="D855" s="392">
        <f>IF(DD_Current_Lang=1,TRANS_TBL[[#This Row],[ENGLISH]],TRANS_TBL[[#This Row],[FRANÇAIS]])</f>
        <v>0</v>
      </c>
    </row>
    <row r="856" spans="2:4" ht="14.25" x14ac:dyDescent="0.2">
      <c r="B856" t="str">
        <f t="shared" si="18"/>
        <v>Lang_850</v>
      </c>
      <c r="D856" s="392">
        <f>IF(DD_Current_Lang=1,TRANS_TBL[[#This Row],[ENGLISH]],TRANS_TBL[[#This Row],[FRANÇAIS]])</f>
        <v>0</v>
      </c>
    </row>
    <row r="857" spans="2:4" ht="14.25" x14ac:dyDescent="0.2">
      <c r="B857" t="str">
        <f t="shared" si="18"/>
        <v>Lang_851</v>
      </c>
      <c r="D857" s="392">
        <f>IF(DD_Current_Lang=1,TRANS_TBL[[#This Row],[ENGLISH]],TRANS_TBL[[#This Row],[FRANÇAIS]])</f>
        <v>0</v>
      </c>
    </row>
    <row r="858" spans="2:4" ht="14.25" x14ac:dyDescent="0.2">
      <c r="B858" t="str">
        <f t="shared" si="18"/>
        <v>Lang_852</v>
      </c>
      <c r="D858" s="392">
        <f>IF(DD_Current_Lang=1,TRANS_TBL[[#This Row],[ENGLISH]],TRANS_TBL[[#This Row],[FRANÇAIS]])</f>
        <v>0</v>
      </c>
    </row>
    <row r="859" spans="2:4" ht="14.25" x14ac:dyDescent="0.2">
      <c r="B859" t="str">
        <f t="shared" si="18"/>
        <v>Lang_853</v>
      </c>
      <c r="D859" s="392">
        <f>IF(DD_Current_Lang=1,TRANS_TBL[[#This Row],[ENGLISH]],TRANS_TBL[[#This Row],[FRANÇAIS]])</f>
        <v>0</v>
      </c>
    </row>
    <row r="860" spans="2:4" ht="14.25" x14ac:dyDescent="0.2">
      <c r="B860" t="str">
        <f t="shared" si="18"/>
        <v>Lang_854</v>
      </c>
      <c r="D860" s="392">
        <f>IF(DD_Current_Lang=1,TRANS_TBL[[#This Row],[ENGLISH]],TRANS_TBL[[#This Row],[FRANÇAIS]])</f>
        <v>0</v>
      </c>
    </row>
    <row r="861" spans="2:4" ht="14.25" x14ac:dyDescent="0.2">
      <c r="B861" t="str">
        <f t="shared" si="18"/>
        <v>Lang_855</v>
      </c>
      <c r="D861" s="392">
        <f>IF(DD_Current_Lang=1,TRANS_TBL[[#This Row],[ENGLISH]],TRANS_TBL[[#This Row],[FRANÇAIS]])</f>
        <v>0</v>
      </c>
    </row>
    <row r="862" spans="2:4" ht="14.25" x14ac:dyDescent="0.2">
      <c r="B862" t="str">
        <f t="shared" si="18"/>
        <v>Lang_856</v>
      </c>
      <c r="D862" s="392">
        <f>IF(DD_Current_Lang=1,TRANS_TBL[[#This Row],[ENGLISH]],TRANS_TBL[[#This Row],[FRANÇAIS]])</f>
        <v>0</v>
      </c>
    </row>
    <row r="863" spans="2:4" ht="14.25" x14ac:dyDescent="0.2">
      <c r="B863" t="str">
        <f t="shared" si="18"/>
        <v>Lang_857</v>
      </c>
      <c r="D863" s="392">
        <f>IF(DD_Current_Lang=1,TRANS_TBL[[#This Row],[ENGLISH]],TRANS_TBL[[#This Row],[FRANÇAIS]])</f>
        <v>0</v>
      </c>
    </row>
    <row r="864" spans="2:4" ht="14.25" x14ac:dyDescent="0.2">
      <c r="B864" t="str">
        <f t="shared" si="18"/>
        <v>Lang_858</v>
      </c>
      <c r="D864" s="392">
        <f>IF(DD_Current_Lang=1,TRANS_TBL[[#This Row],[ENGLISH]],TRANS_TBL[[#This Row],[FRANÇAIS]])</f>
        <v>0</v>
      </c>
    </row>
    <row r="865" spans="2:4" ht="14.25" x14ac:dyDescent="0.2">
      <c r="B865" t="str">
        <f t="shared" si="18"/>
        <v>Lang_859</v>
      </c>
      <c r="D865" s="392">
        <f>IF(DD_Current_Lang=1,TRANS_TBL[[#This Row],[ENGLISH]],TRANS_TBL[[#This Row],[FRANÇAIS]])</f>
        <v>0</v>
      </c>
    </row>
    <row r="866" spans="2:4" ht="14.25" x14ac:dyDescent="0.2">
      <c r="B866" t="str">
        <f t="shared" si="18"/>
        <v>Lang_860</v>
      </c>
      <c r="D866" s="392">
        <f>IF(DD_Current_Lang=1,TRANS_TBL[[#This Row],[ENGLISH]],TRANS_TBL[[#This Row],[FRANÇAIS]])</f>
        <v>0</v>
      </c>
    </row>
    <row r="867" spans="2:4" ht="14.25" x14ac:dyDescent="0.2">
      <c r="B867" t="str">
        <f t="shared" si="18"/>
        <v>Lang_861</v>
      </c>
      <c r="D867" s="392">
        <f>IF(DD_Current_Lang=1,TRANS_TBL[[#This Row],[ENGLISH]],TRANS_TBL[[#This Row],[FRANÇAIS]])</f>
        <v>0</v>
      </c>
    </row>
    <row r="868" spans="2:4" ht="14.25" x14ac:dyDescent="0.2">
      <c r="B868" t="str">
        <f t="shared" si="18"/>
        <v>Lang_862</v>
      </c>
      <c r="D868" s="392">
        <f>IF(DD_Current_Lang=1,TRANS_TBL[[#This Row],[ENGLISH]],TRANS_TBL[[#This Row],[FRANÇAIS]])</f>
        <v>0</v>
      </c>
    </row>
    <row r="869" spans="2:4" ht="14.25" x14ac:dyDescent="0.2">
      <c r="B869" t="str">
        <f t="shared" si="18"/>
        <v>Lang_863</v>
      </c>
      <c r="D869" s="392">
        <f>IF(DD_Current_Lang=1,TRANS_TBL[[#This Row],[ENGLISH]],TRANS_TBL[[#This Row],[FRANÇAIS]])</f>
        <v>0</v>
      </c>
    </row>
    <row r="870" spans="2:4" ht="14.25" x14ac:dyDescent="0.2">
      <c r="B870" t="str">
        <f t="shared" si="18"/>
        <v>Lang_864</v>
      </c>
      <c r="D870" s="392">
        <f>IF(DD_Current_Lang=1,TRANS_TBL[[#This Row],[ENGLISH]],TRANS_TBL[[#This Row],[FRANÇAIS]])</f>
        <v>0</v>
      </c>
    </row>
    <row r="871" spans="2:4" ht="14.25" x14ac:dyDescent="0.2">
      <c r="B871" t="str">
        <f t="shared" ref="B871:B878" si="19">"Lang_"&amp;ROW()-6</f>
        <v>Lang_865</v>
      </c>
      <c r="D871" s="392">
        <f>IF(DD_Current_Lang=1,TRANS_TBL[[#This Row],[ENGLISH]],TRANS_TBL[[#This Row],[FRANÇAIS]])</f>
        <v>0</v>
      </c>
    </row>
    <row r="872" spans="2:4" ht="14.25" x14ac:dyDescent="0.2">
      <c r="B872" t="str">
        <f t="shared" si="19"/>
        <v>Lang_866</v>
      </c>
      <c r="D872" s="392">
        <f>IF(DD_Current_Lang=1,TRANS_TBL[[#This Row],[ENGLISH]],TRANS_TBL[[#This Row],[FRANÇAIS]])</f>
        <v>0</v>
      </c>
    </row>
    <row r="873" spans="2:4" ht="14.25" x14ac:dyDescent="0.2">
      <c r="B873" t="str">
        <f t="shared" si="19"/>
        <v>Lang_867</v>
      </c>
      <c r="D873" s="392">
        <f>IF(DD_Current_Lang=1,TRANS_TBL[[#This Row],[ENGLISH]],TRANS_TBL[[#This Row],[FRANÇAIS]])</f>
        <v>0</v>
      </c>
    </row>
    <row r="874" spans="2:4" ht="14.25" x14ac:dyDescent="0.2">
      <c r="B874" t="str">
        <f t="shared" si="19"/>
        <v>Lang_868</v>
      </c>
      <c r="D874" s="392">
        <f>IF(DD_Current_Lang=1,TRANS_TBL[[#This Row],[ENGLISH]],TRANS_TBL[[#This Row],[FRANÇAIS]])</f>
        <v>0</v>
      </c>
    </row>
    <row r="875" spans="2:4" ht="14.25" x14ac:dyDescent="0.2">
      <c r="B875" t="str">
        <f t="shared" si="19"/>
        <v>Lang_869</v>
      </c>
      <c r="D875" s="392">
        <f>IF(DD_Current_Lang=1,TRANS_TBL[[#This Row],[ENGLISH]],TRANS_TBL[[#This Row],[FRANÇAIS]])</f>
        <v>0</v>
      </c>
    </row>
    <row r="876" spans="2:4" ht="14.25" x14ac:dyDescent="0.2">
      <c r="B876" t="str">
        <f t="shared" si="19"/>
        <v>Lang_870</v>
      </c>
      <c r="D876" s="392">
        <f>IF(DD_Current_Lang=1,TRANS_TBL[[#This Row],[ENGLISH]],TRANS_TBL[[#This Row],[FRANÇAIS]])</f>
        <v>0</v>
      </c>
    </row>
    <row r="877" spans="2:4" ht="14.25" x14ac:dyDescent="0.2">
      <c r="B877" t="str">
        <f t="shared" si="19"/>
        <v>Lang_871</v>
      </c>
      <c r="D877" s="392">
        <f>IF(DD_Current_Lang=1,TRANS_TBL[[#This Row],[ENGLISH]],TRANS_TBL[[#This Row],[FRANÇAIS]])</f>
        <v>0</v>
      </c>
    </row>
    <row r="878" spans="2:4" ht="14.25" x14ac:dyDescent="0.2">
      <c r="B878" t="str">
        <f t="shared" si="19"/>
        <v>Lang_872</v>
      </c>
      <c r="D878" s="392">
        <f>IF(DD_Current_Lang=1,TRANS_TBL[[#This Row],[ENGLISH]],TRANS_TBL[[#This Row],[FRANÇAIS]])</f>
        <v>0</v>
      </c>
    </row>
  </sheetData>
  <dataValidations disablePrompts="1" count="1">
    <dataValidation type="whole" showDropDown="1" showErrorMessage="1" errorTitle="Drop Down Box Cell Link" error="The value in a drop down box cell link must be a whole number within the control's lookup range rows." sqref="D3" xr:uid="{00000000-0002-0000-0100-000000000000}">
      <formula1>1</formula1>
      <formula2>ROWS($E$2:$E$3)</formula2>
    </dataValidation>
  </dataValidations>
  <hyperlinks>
    <hyperlink ref="A1" location="Contents!A1" tooltip="Go to Table of Contents" display="±" xr:uid="{00000000-0004-0000-01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>
    <tabColor rgb="FFFFC000"/>
    <pageSetUpPr autoPageBreaks="0" fitToPage="1"/>
  </sheetPr>
  <dimension ref="A1:R335"/>
  <sheetViews>
    <sheetView showGridLines="0" zoomScaleNormal="100" workbookViewId="0">
      <pane xSplit="1" ySplit="7" topLeftCell="B8" activePane="bottomRight" state="frozen"/>
      <selection activeCell="U25" sqref="U25"/>
      <selection pane="topRight" activeCell="U25" sqref="U25"/>
      <selection pane="bottomLeft" activeCell="U25" sqref="U25"/>
      <selection pane="bottomRight" activeCell="J27" sqref="J27"/>
    </sheetView>
  </sheetViews>
  <sheetFormatPr defaultColWidth="11.7109375" defaultRowHeight="12" zeroHeight="1" x14ac:dyDescent="0.2"/>
  <cols>
    <col min="1" max="2" width="3.7109375" customWidth="1"/>
    <col min="3" max="3" width="5.7109375" customWidth="1"/>
    <col min="4" max="4" width="35.7109375" customWidth="1"/>
    <col min="5" max="5" width="30.7109375" customWidth="1"/>
    <col min="6" max="6" width="15.7109375" customWidth="1"/>
    <col min="7" max="7" width="10.7109375" customWidth="1"/>
    <col min="9" max="9" width="15.7109375" customWidth="1"/>
    <col min="10" max="14" width="20.7109375" customWidth="1"/>
  </cols>
  <sheetData>
    <row r="1" spans="1:14" ht="15" x14ac:dyDescent="0.2">
      <c r="A1" s="35" t="s">
        <v>128</v>
      </c>
      <c r="B1" s="31" t="str">
        <f>Lang_IEC_Social_Mobilisation_Activities_Annual_Assumptions</f>
        <v>IEC/ Social Mobilisation Activities - Annual Assumptions</v>
      </c>
    </row>
    <row r="2" spans="1:14" ht="12.75" x14ac:dyDescent="0.2">
      <c r="A2" s="36"/>
      <c r="B2" s="45" t="str">
        <f ca="1">Model_Name</f>
        <v>Cervical Cancer Prevention and Control Costing (C4P) Tool (Cost Projection)</v>
      </c>
    </row>
    <row r="3" spans="1:14" s="10" customFormat="1" x14ac:dyDescent="0.2">
      <c r="A3" s="421" t="s">
        <v>5</v>
      </c>
      <c r="B3" s="90" t="str">
        <f>Lang_Year_Ending</f>
        <v>Year Ending</v>
      </c>
      <c r="C3" s="90"/>
      <c r="D3" s="90"/>
      <c r="E3" s="90"/>
      <c r="F3" s="90"/>
      <c r="G3" s="90"/>
      <c r="H3" s="90"/>
      <c r="I3" s="90"/>
      <c r="J3" s="106">
        <f t="shared" ref="J3:N3" si="0">J7</f>
        <v>2019</v>
      </c>
      <c r="K3" s="106">
        <f t="shared" si="0"/>
        <v>2020</v>
      </c>
      <c r="L3" s="106">
        <f t="shared" si="0"/>
        <v>2021</v>
      </c>
      <c r="M3" s="106">
        <f t="shared" si="0"/>
        <v>2022</v>
      </c>
      <c r="N3" s="106">
        <f t="shared" si="0"/>
        <v>2023</v>
      </c>
    </row>
    <row r="4" spans="1:14" s="10" customFormat="1" hidden="1" x14ac:dyDescent="0.2">
      <c r="B4" s="50" t="str">
        <f>Lang_Period_Start_Date</f>
        <v>Period Start Date</v>
      </c>
      <c r="J4" s="340">
        <f>EDATE(TS_Start_Date,(J6-1)*TS_Mths_In_Yr)</f>
        <v>43466</v>
      </c>
      <c r="K4" s="340">
        <f>EDATE(TS_Start_Date,(K6-1)*TS_Mths_In_Yr)</f>
        <v>43831</v>
      </c>
      <c r="L4" s="340">
        <f>EDATE(TS_Start_Date,(L6-1)*TS_Mths_In_Yr)</f>
        <v>44197</v>
      </c>
      <c r="M4" s="340">
        <f>EDATE(TS_Start_Date,(M6-1)*TS_Mths_In_Yr)</f>
        <v>44562</v>
      </c>
      <c r="N4" s="340">
        <f>EDATE(TS_Start_Date,(N6-1)*TS_Mths_In_Yr)</f>
        <v>44927</v>
      </c>
    </row>
    <row r="5" spans="1:14" s="10" customFormat="1" hidden="1" x14ac:dyDescent="0.2">
      <c r="B5" s="50" t="str">
        <f>Lang_Period_End_Date</f>
        <v>Period End Date</v>
      </c>
      <c r="J5" s="340">
        <f>EDATE(J4,TS_Mths_In_Yr)-1</f>
        <v>43830</v>
      </c>
      <c r="K5" s="340">
        <f>EDATE(K4,TS_Mths_In_Yr)-1</f>
        <v>44196</v>
      </c>
      <c r="L5" s="340">
        <f>EDATE(L4,TS_Mths_In_Yr)-1</f>
        <v>44561</v>
      </c>
      <c r="M5" s="340">
        <f>EDATE(M4,TS_Mths_In_Yr)-1</f>
        <v>44926</v>
      </c>
      <c r="N5" s="340">
        <f>EDATE(N4,TS_Mths_In_Yr)-1</f>
        <v>45291</v>
      </c>
    </row>
    <row r="6" spans="1:14" s="10" customFormat="1" hidden="1" x14ac:dyDescent="0.2">
      <c r="B6" s="50" t="str">
        <f>Lang_Counter</f>
        <v>Counter</v>
      </c>
      <c r="J6" s="42">
        <f>COLUMNS($J6:J6)</f>
        <v>1</v>
      </c>
      <c r="K6" s="42">
        <f>COLUMNS($J6:K6)</f>
        <v>2</v>
      </c>
      <c r="L6" s="42">
        <f>COLUMNS($J6:L6)</f>
        <v>3</v>
      </c>
      <c r="M6" s="42">
        <f>COLUMNS($J6:M6)</f>
        <v>4</v>
      </c>
      <c r="N6" s="42">
        <f>COLUMNS($J6:N6)</f>
        <v>5</v>
      </c>
    </row>
    <row r="7" spans="1:14" s="10" customFormat="1" hidden="1" x14ac:dyDescent="0.2">
      <c r="B7" s="91" t="str">
        <f>Lang_Financial_Year</f>
        <v>Financial Year</v>
      </c>
      <c r="C7" s="69"/>
      <c r="D7" s="69"/>
      <c r="E7" s="69"/>
      <c r="F7" s="69"/>
      <c r="G7" s="69"/>
      <c r="H7" s="69"/>
      <c r="I7" s="69"/>
      <c r="J7" s="341">
        <f t="shared" ref="J7:N7" si="1">YEAR(J5)</f>
        <v>2019</v>
      </c>
      <c r="K7" s="341">
        <f t="shared" si="1"/>
        <v>2020</v>
      </c>
      <c r="L7" s="341">
        <f t="shared" si="1"/>
        <v>2021</v>
      </c>
      <c r="M7" s="341">
        <f t="shared" si="1"/>
        <v>2022</v>
      </c>
      <c r="N7" s="341">
        <f t="shared" si="1"/>
        <v>2023</v>
      </c>
    </row>
    <row r="8" spans="1:14" s="10" customFormat="1" collapsed="1" x14ac:dyDescent="0.2"/>
    <row r="9" spans="1:14" s="10" customFormat="1" x14ac:dyDescent="0.2">
      <c r="A9" s="12" t="s">
        <v>125</v>
      </c>
      <c r="B9" s="13" t="str">
        <f>HL_TOP_ACTV_4_Name&amp;" "&amp;Lang_Name</f>
        <v>IEC Soc Mob  Activity # 1 (Not in Use) Name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1:14" s="10" customFormat="1" x14ac:dyDescent="0.2"/>
    <row r="11" spans="1:14" s="10" customFormat="1" x14ac:dyDescent="0.2">
      <c r="D11" s="55" t="str">
        <f>Lang_IEC_Social_Mobilisation_Activity_Name</f>
        <v>IEC/ Social Mobilisation Activity Name</v>
      </c>
    </row>
    <row r="12" spans="1:14" s="10" customFormat="1" x14ac:dyDescent="0.2">
      <c r="D12" s="75" t="s">
        <v>486</v>
      </c>
    </row>
    <row r="13" spans="1:14" s="10" customFormat="1" x14ac:dyDescent="0.2"/>
    <row r="14" spans="1:14" s="10" customFormat="1" x14ac:dyDescent="0.2">
      <c r="A14" s="12" t="s">
        <v>125</v>
      </c>
      <c r="B14" s="13" t="str">
        <f>HL_TOP_ACTV_4_Name&amp;" "&amp;Lang_Single_Activity_Cost_Annual_Assumptions_Projected_Or_Retrospective</f>
        <v>IEC Soc Mob  Activity # 1 (Not in Use) Single Activity Cost - Annual Assumptions (Projected or Retrospective)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</row>
    <row r="15" spans="1:14" s="10" customFormat="1" x14ac:dyDescent="0.2"/>
    <row r="16" spans="1:14" s="10" customFormat="1" x14ac:dyDescent="0.2">
      <c r="D16" s="50" t="str">
        <f>Lang_Select_Input_Currency</f>
        <v>Select Input Currency</v>
      </c>
      <c r="E16" s="72">
        <v>1</v>
      </c>
    </row>
    <row r="17" spans="3:14" s="10" customFormat="1" x14ac:dyDescent="0.2"/>
    <row r="18" spans="3:14" s="10" customFormat="1" x14ac:dyDescent="0.2">
      <c r="D18" s="50" t="str">
        <f>Lang_Select_Costing_Input_Method</f>
        <v>Select Costing Input Method</v>
      </c>
      <c r="E18" s="72">
        <v>2</v>
      </c>
    </row>
    <row r="19" spans="3:14" s="10" customFormat="1" x14ac:dyDescent="0.2">
      <c r="E19" s="76" t="str">
        <f>Lang_GoTo&amp;" "&amp;HL_TOP_ACTV_4_Detailed_Costing_Worksheet</f>
        <v>Go to IEC Soc Mob  Activity # 1 (Not in Use) -  Detailed Activity Costing Worksheet - Instructions</v>
      </c>
    </row>
    <row r="20" spans="3:14" s="10" customFormat="1" x14ac:dyDescent="0.2">
      <c r="C20" s="55" t="s">
        <v>208</v>
      </c>
      <c r="D20" s="74" t="str">
        <f>Lang_Detailed_Costing_Worksheet_Estimate</f>
        <v>Detailed Costing Worksheet Estimate</v>
      </c>
    </row>
    <row r="21" spans="3:14" s="10" customFormat="1" x14ac:dyDescent="0.2">
      <c r="F21" s="366" t="str">
        <f>SOCMOB_Lu!$D$13</f>
        <v>LCU</v>
      </c>
      <c r="G21" s="366" t="str">
        <f>SOCMOB_Lu!$D$12</f>
        <v>USD</v>
      </c>
      <c r="J21" s="366" t="str">
        <f ca="1">OFFSET(SOCMOB_Lu!$D$11,DD_TOP_ACTV_4_Annual_Currency_Used,0)</f>
        <v>USD</v>
      </c>
      <c r="K21" s="366" t="str">
        <f ca="1">OFFSET(SOCMOB_Lu!$D$11,DD_TOP_ACTV_4_Annual_Currency_Used,0)</f>
        <v>USD</v>
      </c>
      <c r="L21" s="366" t="str">
        <f ca="1">OFFSET(SOCMOB_Lu!$D$11,DD_TOP_ACTV_4_Annual_Currency_Used,0)</f>
        <v>USD</v>
      </c>
      <c r="M21" s="366" t="str">
        <f ca="1">OFFSET(SOCMOB_Lu!$D$11,DD_TOP_ACTV_4_Annual_Currency_Used,0)</f>
        <v>USD</v>
      </c>
      <c r="N21" s="366" t="str">
        <f ca="1">OFFSET(SOCMOB_Lu!$D$11,DD_TOP_ACTV_4_Annual_Currency_Used,0)</f>
        <v>USD</v>
      </c>
    </row>
    <row r="22" spans="3:14" s="10" customFormat="1" x14ac:dyDescent="0.2">
      <c r="D22" s="53" t="str">
        <f>SOCMOB_Lu!$D$32&amp;" "&amp;Lang_Cost_Of_A_Single&amp;" "&amp;SOCIAL_MOBILISATION!$D$12&amp;" "&amp;Lang_Activity</f>
        <v>Financial Cost of a Single IEC Soc Mob  Activity # 1 (Not in Use) Activity</v>
      </c>
      <c r="F22" s="41">
        <f>COSTS_DETAILED_SUMMARY!E229</f>
        <v>0</v>
      </c>
      <c r="G22" s="116">
        <f>COSTS_DETAILED_SUMMARY!G229</f>
        <v>0</v>
      </c>
      <c r="J22" s="79">
        <f>IF(DD_TOP_ACTV_4_Annual_Currency_Used=2,COSTS_DETAILED_SUMMARY!$E229,COSTS_DETAILED_SUMMARY!$G229)</f>
        <v>0</v>
      </c>
      <c r="K22" s="79">
        <f>IF(DD_TOP_ACTV_4_Annual_Currency_Used=2,COSTS_DETAILED_SUMMARY!$E229,COSTS_DETAILED_SUMMARY!$G229)</f>
        <v>0</v>
      </c>
      <c r="L22" s="79">
        <f>IF(DD_TOP_ACTV_4_Annual_Currency_Used=2,COSTS_DETAILED_SUMMARY!$E229,COSTS_DETAILED_SUMMARY!$G229)</f>
        <v>0</v>
      </c>
      <c r="M22" s="79">
        <f>IF(DD_TOP_ACTV_4_Annual_Currency_Used=2,COSTS_DETAILED_SUMMARY!$E229,COSTS_DETAILED_SUMMARY!$G229)</f>
        <v>0</v>
      </c>
      <c r="N22" s="79">
        <f>IF(DD_TOP_ACTV_4_Annual_Currency_Used=2,COSTS_DETAILED_SUMMARY!$E229,COSTS_DETAILED_SUMMARY!$G229)</f>
        <v>0</v>
      </c>
    </row>
    <row r="23" spans="3:14" s="10" customFormat="1" x14ac:dyDescent="0.2">
      <c r="D23" s="53" t="str">
        <f>SOCMOB_Lu!$D$33&amp;" "&amp;Lang_Cost_Of_A_Single&amp;" "&amp;SOCIAL_MOBILISATION!$D$12&amp;" "&amp;Lang_Activity</f>
        <v>Economic Cost of a Single IEC Soc Mob  Activity # 1 (Not in Use) Activity</v>
      </c>
      <c r="F23" s="41">
        <f>COSTS_DETAILED_SUMMARY!F229</f>
        <v>0</v>
      </c>
      <c r="G23" s="116">
        <f>COSTS_DETAILED_SUMMARY!H229</f>
        <v>0</v>
      </c>
      <c r="J23" s="79">
        <f>IF(DD_TOP_ACTV_4_Annual_Currency_Used=2,COSTS_DETAILED_SUMMARY!$F229,COSTS_DETAILED_SUMMARY!$H229)</f>
        <v>0</v>
      </c>
      <c r="K23" s="79">
        <f>IF(DD_TOP_ACTV_4_Annual_Currency_Used=2,COSTS_DETAILED_SUMMARY!$F229,COSTS_DETAILED_SUMMARY!$H229)</f>
        <v>0</v>
      </c>
      <c r="L23" s="79">
        <f>IF(DD_TOP_ACTV_4_Annual_Currency_Used=2,COSTS_DETAILED_SUMMARY!$F229,COSTS_DETAILED_SUMMARY!$H229)</f>
        <v>0</v>
      </c>
      <c r="M23" s="79">
        <f>IF(DD_TOP_ACTV_4_Annual_Currency_Used=2,COSTS_DETAILED_SUMMARY!$F229,COSTS_DETAILED_SUMMARY!$H229)</f>
        <v>0</v>
      </c>
      <c r="N23" s="79">
        <f>IF(DD_TOP_ACTV_4_Annual_Currency_Used=2,COSTS_DETAILED_SUMMARY!$F229,COSTS_DETAILED_SUMMARY!$H229)</f>
        <v>0</v>
      </c>
    </row>
    <row r="24" spans="3:14" s="10" customFormat="1" x14ac:dyDescent="0.2"/>
    <row r="25" spans="3:14" s="10" customFormat="1" x14ac:dyDescent="0.2"/>
    <row r="26" spans="3:14" s="10" customFormat="1" x14ac:dyDescent="0.2">
      <c r="C26" s="55" t="s">
        <v>210</v>
      </c>
      <c r="D26" s="74" t="str">
        <f>Lang_Direct_User_Entry_Cost_Estimate</f>
        <v>Direct User Entry Cost Estimate</v>
      </c>
      <c r="J26" s="366" t="str">
        <f ca="1">OFFSET(SOCMOB_Lu!$D$11,DD_TOP_ACTV_4_Annual_Currency_Used,0)</f>
        <v>USD</v>
      </c>
      <c r="K26" s="366" t="str">
        <f ca="1">OFFSET(SOCMOB_Lu!$D$11,DD_TOP_ACTV_4_Annual_Currency_Used,0)</f>
        <v>USD</v>
      </c>
      <c r="L26" s="366" t="str">
        <f ca="1">OFFSET(SOCMOB_Lu!$D$11,DD_TOP_ACTV_4_Annual_Currency_Used,0)</f>
        <v>USD</v>
      </c>
      <c r="M26" s="366" t="str">
        <f ca="1">OFFSET(SOCMOB_Lu!$D$11,DD_TOP_ACTV_4_Annual_Currency_Used,0)</f>
        <v>USD</v>
      </c>
      <c r="N26" s="366" t="str">
        <f ca="1">OFFSET(SOCMOB_Lu!$D$11,DD_TOP_ACTV_4_Annual_Currency_Used,0)</f>
        <v>USD</v>
      </c>
    </row>
    <row r="27" spans="3:14" s="10" customFormat="1" x14ac:dyDescent="0.2">
      <c r="D27" s="53" t="str">
        <f>SOCMOB_Lu!$D$32&amp;" "&amp;Lang_Cost_Of_A_Single&amp;" "&amp;SOCIAL_MOBILISATION!$D$12&amp;" "&amp;Lang_Activity</f>
        <v>Financial Cost of a Single IEC Soc Mob  Activity # 1 (Not in Use) Activity</v>
      </c>
      <c r="J27" s="80">
        <v>0</v>
      </c>
      <c r="K27" s="80">
        <v>0</v>
      </c>
      <c r="L27" s="80">
        <v>0</v>
      </c>
      <c r="M27" s="80">
        <v>0</v>
      </c>
      <c r="N27" s="80">
        <v>0</v>
      </c>
    </row>
    <row r="28" spans="3:14" s="10" customFormat="1" x14ac:dyDescent="0.2">
      <c r="D28" s="53" t="str">
        <f>SOCMOB_Lu!$D$33&amp;" "&amp;Lang_Cost_Of_A_Single&amp;" "&amp;SOCIAL_MOBILISATION!$D$12&amp;" "&amp;Lang_Activity</f>
        <v>Economic Cost of a Single IEC Soc Mob  Activity # 1 (Not in Use) Activity</v>
      </c>
      <c r="J28" s="80">
        <v>0</v>
      </c>
      <c r="K28" s="80">
        <v>0</v>
      </c>
      <c r="L28" s="80">
        <v>0</v>
      </c>
      <c r="M28" s="80">
        <v>0</v>
      </c>
      <c r="N28" s="80">
        <v>0</v>
      </c>
    </row>
    <row r="29" spans="3:14" s="10" customFormat="1" x14ac:dyDescent="0.2">
      <c r="D29" s="55" t="str">
        <f>Lang_Error_Check_Checks_If_Override_Input_economic_Cost_Is_Less_Than_Financial_Cost</f>
        <v>ERROR CHECK (CHECKS IF OVERRIDE INPUT ECONOMIC COST IS LESS THAN FINANCIAL COST)</v>
      </c>
      <c r="H29" s="145">
        <f>IF(ISERROR(SUM(J29:N29)),1,MIN(SUM(J29:N29),1))</f>
        <v>0</v>
      </c>
      <c r="J29" s="42">
        <f t="shared" ref="J29:N29" si="2">IF(J28&lt;J27,1,0)</f>
        <v>0</v>
      </c>
      <c r="K29" s="42">
        <f t="shared" si="2"/>
        <v>0</v>
      </c>
      <c r="L29" s="42">
        <f t="shared" si="2"/>
        <v>0</v>
      </c>
      <c r="M29" s="42">
        <f t="shared" si="2"/>
        <v>0</v>
      </c>
      <c r="N29" s="42">
        <f t="shared" si="2"/>
        <v>0</v>
      </c>
    </row>
    <row r="30" spans="3:14" s="10" customFormat="1" x14ac:dyDescent="0.2"/>
    <row r="31" spans="3:14" s="10" customFormat="1" x14ac:dyDescent="0.2">
      <c r="D31" s="74" t="str">
        <f>Lang_Source_Of_Information_Notes</f>
        <v>Notes and Sources of Information</v>
      </c>
    </row>
    <row r="32" spans="3:14" s="10" customFormat="1" x14ac:dyDescent="0.2">
      <c r="D32" s="482" t="s">
        <v>596</v>
      </c>
      <c r="E32" s="482"/>
    </row>
    <row r="33" spans="1:18" s="10" customFormat="1" x14ac:dyDescent="0.2">
      <c r="D33" s="482" t="s">
        <v>596</v>
      </c>
      <c r="E33" s="482"/>
      <c r="R33" s="10" t="s">
        <v>39</v>
      </c>
    </row>
    <row r="34" spans="1:18" s="10" customFormat="1" x14ac:dyDescent="0.2">
      <c r="D34" s="482" t="s">
        <v>596</v>
      </c>
      <c r="E34" s="482"/>
    </row>
    <row r="35" spans="1:18" s="10" customFormat="1" x14ac:dyDescent="0.2"/>
    <row r="36" spans="1:18" s="10" customFormat="1" x14ac:dyDescent="0.2">
      <c r="A36" s="12" t="s">
        <v>125</v>
      </c>
      <c r="B36" s="13" t="str">
        <f>Lang_Number_Of&amp;" "&amp;SOCIAL_MOBILISATION!$D$12&amp;" "&amp;Lang_Activities_Annual_Assumptions_Projected_Or_Retrospective</f>
        <v>Number of IEC Soc Mob  Activity # 1 (Not in Use) Activities - Annual Assumptions (Projected or Retrospective)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</row>
    <row r="37" spans="1:18" s="10" customFormat="1" x14ac:dyDescent="0.2"/>
    <row r="38" spans="1:18" s="10" customFormat="1" x14ac:dyDescent="0.2">
      <c r="D38" s="53" t="str">
        <f>$D$12&amp;" - "&amp;Lang_Number_Of_Activities_Per_Year&amp;" ("&amp;Lang_Projected_Or_Retrospective&amp;")"</f>
        <v>IEC Soc Mob  Activity # 1 (Not in Use) - Number of Activities per Year (Projected or Retrospective)</v>
      </c>
      <c r="J38" s="80">
        <v>0</v>
      </c>
      <c r="K38" s="80">
        <v>0</v>
      </c>
      <c r="L38" s="80">
        <v>0</v>
      </c>
      <c r="M38" s="80">
        <v>0</v>
      </c>
      <c r="N38" s="80">
        <v>0</v>
      </c>
    </row>
    <row r="39" spans="1:18" s="10" customFormat="1" x14ac:dyDescent="0.2"/>
    <row r="40" spans="1:18" s="10" customFormat="1" x14ac:dyDescent="0.2">
      <c r="D40" s="74" t="str">
        <f>Lang_Source_Of_Information_Notes</f>
        <v>Notes and Sources of Information</v>
      </c>
    </row>
    <row r="41" spans="1:18" s="10" customFormat="1" x14ac:dyDescent="0.2">
      <c r="D41" s="482" t="s">
        <v>596</v>
      </c>
      <c r="E41" s="482"/>
    </row>
    <row r="42" spans="1:18" s="10" customFormat="1" x14ac:dyDescent="0.2">
      <c r="D42" s="482" t="s">
        <v>596</v>
      </c>
      <c r="E42" s="482"/>
    </row>
    <row r="43" spans="1:18" s="10" customFormat="1" x14ac:dyDescent="0.2">
      <c r="D43" s="482" t="s">
        <v>596</v>
      </c>
      <c r="E43" s="482"/>
    </row>
    <row r="44" spans="1:18" s="10" customFormat="1" x14ac:dyDescent="0.2">
      <c r="D44" s="76" t="str">
        <f>Lang_GoTo&amp;" "&amp;HL_TOP_ACTV_4_Activity_Summary_Costs_Annual</f>
        <v>Go to IEC Soc Mob  Activity # 1 (Not in Use) - Summary Costs (Annual)</v>
      </c>
    </row>
    <row r="45" spans="1:18" s="10" customFormat="1" x14ac:dyDescent="0.2"/>
    <row r="46" spans="1:18" s="10" customFormat="1" x14ac:dyDescent="0.2">
      <c r="A46" s="12" t="s">
        <v>125</v>
      </c>
      <c r="B46" s="13" t="str">
        <f>HL_TOP_ACTV_15_Name&amp;" "&amp;Lang_Name</f>
        <v>IEC Soc Mob  Activity # 2 (Not in Use) Name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</row>
    <row r="47" spans="1:18" s="10" customFormat="1" x14ac:dyDescent="0.2"/>
    <row r="48" spans="1:18" s="10" customFormat="1" x14ac:dyDescent="0.2">
      <c r="D48" s="55" t="str">
        <f>Lang_IEC_Social_Mobilisation_Activity_Name</f>
        <v>IEC/ Social Mobilisation Activity Name</v>
      </c>
    </row>
    <row r="49" spans="1:14" s="10" customFormat="1" x14ac:dyDescent="0.2">
      <c r="D49" s="75" t="s">
        <v>487</v>
      </c>
    </row>
    <row r="50" spans="1:14" s="10" customFormat="1" x14ac:dyDescent="0.2"/>
    <row r="51" spans="1:14" s="10" customFormat="1" x14ac:dyDescent="0.2">
      <c r="A51" s="12" t="s">
        <v>125</v>
      </c>
      <c r="B51" s="13" t="str">
        <f>HL_TOP_ACTV_15_Name&amp;" "&amp;Lang_Single_Activity_Cost_Annual_Assumptions_Projected_Or_Retrospective</f>
        <v>IEC Soc Mob  Activity # 2 (Not in Use) Single Activity Cost - Annual Assumptions (Projected or Retrospective)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</row>
    <row r="52" spans="1:14" s="10" customFormat="1" x14ac:dyDescent="0.2"/>
    <row r="53" spans="1:14" s="10" customFormat="1" x14ac:dyDescent="0.2">
      <c r="D53" s="50" t="str">
        <f>Lang_Select_Input_Currency</f>
        <v>Select Input Currency</v>
      </c>
      <c r="E53" s="72">
        <v>1</v>
      </c>
    </row>
    <row r="54" spans="1:14" s="10" customFormat="1" x14ac:dyDescent="0.2"/>
    <row r="55" spans="1:14" s="10" customFormat="1" x14ac:dyDescent="0.2">
      <c r="D55" s="50" t="str">
        <f>Lang_Select_Costing_Input_Method</f>
        <v>Select Costing Input Method</v>
      </c>
      <c r="E55" s="72">
        <v>2</v>
      </c>
    </row>
    <row r="56" spans="1:14" s="10" customFormat="1" x14ac:dyDescent="0.2">
      <c r="E56" s="76" t="str">
        <f>Lang_GoTo&amp;" "&amp;HL_TOP_ACTV_15_Detailed_Costing_Worksheet</f>
        <v>Go to IEC Soc Mob  Activity # 2 (Not in Use) -  Detailed Activity Costing Worksheet - Instructions</v>
      </c>
    </row>
    <row r="57" spans="1:14" s="10" customFormat="1" x14ac:dyDescent="0.2">
      <c r="C57" s="55" t="s">
        <v>208</v>
      </c>
      <c r="D57" s="74" t="str">
        <f>Lang_Detailed_Costing_Worksheet_Estimate</f>
        <v>Detailed Costing Worksheet Estimate</v>
      </c>
    </row>
    <row r="58" spans="1:14" s="10" customFormat="1" x14ac:dyDescent="0.2">
      <c r="F58" s="366" t="str">
        <f>SOCMOB_Lu!$D$48</f>
        <v>LCU</v>
      </c>
      <c r="G58" s="366" t="str">
        <f>SOCMOB_Lu!$D$47</f>
        <v>USD</v>
      </c>
      <c r="J58" s="366" t="str">
        <f ca="1">OFFSET(SOCMOB_Lu!$D$46,DD_TOP_ACTV_15_Annual_Currency_Used,0)</f>
        <v>USD</v>
      </c>
      <c r="K58" s="366" t="str">
        <f ca="1">OFFSET(SOCMOB_Lu!$D$46,DD_TOP_ACTV_15_Annual_Currency_Used,0)</f>
        <v>USD</v>
      </c>
      <c r="L58" s="366" t="str">
        <f ca="1">OFFSET(SOCMOB_Lu!$D$46,DD_TOP_ACTV_15_Annual_Currency_Used,0)</f>
        <v>USD</v>
      </c>
      <c r="M58" s="366" t="str">
        <f ca="1">OFFSET(SOCMOB_Lu!$D$46,DD_TOP_ACTV_15_Annual_Currency_Used,0)</f>
        <v>USD</v>
      </c>
      <c r="N58" s="366" t="str">
        <f ca="1">OFFSET(SOCMOB_Lu!$D$46,DD_TOP_ACTV_15_Annual_Currency_Used,0)</f>
        <v>USD</v>
      </c>
    </row>
    <row r="59" spans="1:14" s="10" customFormat="1" x14ac:dyDescent="0.2">
      <c r="D59" s="53" t="str">
        <f>SOCMOB_Lu!$D$67&amp;" "&amp;Lang_Cost_Of_A_Single&amp;" "&amp;$D$49&amp;" "&amp;Lang_Activity</f>
        <v>Financial Cost of a Single IEC Soc Mob  Activity # 2 (Not in Use) Activity</v>
      </c>
      <c r="F59" s="41">
        <f>COSTS_DETAILED_SUMMARY!E244</f>
        <v>0</v>
      </c>
      <c r="G59" s="116">
        <f>COSTS_DETAILED_SUMMARY!G244</f>
        <v>0</v>
      </c>
      <c r="J59" s="79">
        <f>IF(DD_TOP_ACTV_15_Annual_Currency_Used=2,COSTS_DETAILED_SUMMARY!$E244,COSTS_DETAILED_SUMMARY!$G244)</f>
        <v>0</v>
      </c>
      <c r="K59" s="79">
        <f>IF(DD_TOP_ACTV_15_Annual_Currency_Used=2,COSTS_DETAILED_SUMMARY!$E244,COSTS_DETAILED_SUMMARY!$G244)</f>
        <v>0</v>
      </c>
      <c r="L59" s="79">
        <f>IF(DD_TOP_ACTV_15_Annual_Currency_Used=2,COSTS_DETAILED_SUMMARY!$E244,COSTS_DETAILED_SUMMARY!$G244)</f>
        <v>0</v>
      </c>
      <c r="M59" s="79">
        <f>IF(DD_TOP_ACTV_15_Annual_Currency_Used=2,COSTS_DETAILED_SUMMARY!$E244,COSTS_DETAILED_SUMMARY!$G244)</f>
        <v>0</v>
      </c>
      <c r="N59" s="79">
        <f>IF(DD_TOP_ACTV_15_Annual_Currency_Used=2,COSTS_DETAILED_SUMMARY!$E244,COSTS_DETAILED_SUMMARY!$G244)</f>
        <v>0</v>
      </c>
    </row>
    <row r="60" spans="1:14" s="10" customFormat="1" x14ac:dyDescent="0.2">
      <c r="D60" s="53" t="str">
        <f>SOCMOB_Lu!$D$68&amp;" "&amp;Lang_Cost_Of_A_Single&amp;" "&amp;$D$49&amp;" "&amp;Lang_Activity</f>
        <v>Economic Cost of a Single IEC Soc Mob  Activity # 2 (Not in Use) Activity</v>
      </c>
      <c r="F60" s="41">
        <f>COSTS_DETAILED_SUMMARY!F244</f>
        <v>0</v>
      </c>
      <c r="G60" s="116">
        <f>COSTS_DETAILED_SUMMARY!H244</f>
        <v>0</v>
      </c>
      <c r="J60" s="79">
        <f>IF(DD_TOP_ACTV_15_Annual_Currency_Used=2,COSTS_DETAILED_SUMMARY!$F244,COSTS_DETAILED_SUMMARY!$H244)</f>
        <v>0</v>
      </c>
      <c r="K60" s="79">
        <f>IF(DD_TOP_ACTV_15_Annual_Currency_Used=2,COSTS_DETAILED_SUMMARY!$F244,COSTS_DETAILED_SUMMARY!$H244)</f>
        <v>0</v>
      </c>
      <c r="L60" s="79">
        <f>IF(DD_TOP_ACTV_15_Annual_Currency_Used=2,COSTS_DETAILED_SUMMARY!$F244,COSTS_DETAILED_SUMMARY!$H244)</f>
        <v>0</v>
      </c>
      <c r="M60" s="79">
        <f>IF(DD_TOP_ACTV_15_Annual_Currency_Used=2,COSTS_DETAILED_SUMMARY!$F244,COSTS_DETAILED_SUMMARY!$H244)</f>
        <v>0</v>
      </c>
      <c r="N60" s="79">
        <f>IF(DD_TOP_ACTV_15_Annual_Currency_Used=2,COSTS_DETAILED_SUMMARY!$F244,COSTS_DETAILED_SUMMARY!$H244)</f>
        <v>0</v>
      </c>
    </row>
    <row r="61" spans="1:14" s="10" customFormat="1" x14ac:dyDescent="0.2"/>
    <row r="62" spans="1:14" s="10" customFormat="1" x14ac:dyDescent="0.2"/>
    <row r="63" spans="1:14" s="10" customFormat="1" x14ac:dyDescent="0.2">
      <c r="C63" s="55" t="s">
        <v>210</v>
      </c>
      <c r="D63" s="74" t="str">
        <f>Lang_Direct_User_Entry_Cost_Estimate</f>
        <v>Direct User Entry Cost Estimate</v>
      </c>
      <c r="J63" s="366" t="str">
        <f ca="1">OFFSET(SOCMOB_Lu!$D$46,DD_TOP_ACTV_15_Annual_Currency_Used,0)</f>
        <v>USD</v>
      </c>
      <c r="K63" s="366" t="str">
        <f ca="1">OFFSET(SOCMOB_Lu!$D$46,DD_TOP_ACTV_15_Annual_Currency_Used,0)</f>
        <v>USD</v>
      </c>
      <c r="L63" s="366" t="str">
        <f ca="1">OFFSET(SOCMOB_Lu!$D$46,DD_TOP_ACTV_15_Annual_Currency_Used,0)</f>
        <v>USD</v>
      </c>
      <c r="M63" s="366" t="str">
        <f ca="1">OFFSET(SOCMOB_Lu!$D$46,DD_TOP_ACTV_15_Annual_Currency_Used,0)</f>
        <v>USD</v>
      </c>
      <c r="N63" s="366" t="str">
        <f ca="1">OFFSET(SOCMOB_Lu!$D$46,DD_TOP_ACTV_15_Annual_Currency_Used,0)</f>
        <v>USD</v>
      </c>
    </row>
    <row r="64" spans="1:14" s="10" customFormat="1" x14ac:dyDescent="0.2">
      <c r="D64" s="53" t="str">
        <f>SOCMOB_Lu!$D$67&amp;" "&amp;Lang_Cost_Of_A_Single&amp;" "&amp;$D$49&amp;" "&amp;Lang_Activity</f>
        <v>Financial Cost of a Single IEC Soc Mob  Activity # 2 (Not in Use) Activity</v>
      </c>
      <c r="J64" s="80">
        <v>0</v>
      </c>
      <c r="K64" s="80">
        <v>0</v>
      </c>
      <c r="L64" s="80">
        <v>0</v>
      </c>
      <c r="M64" s="80">
        <v>0</v>
      </c>
      <c r="N64" s="80">
        <v>0</v>
      </c>
    </row>
    <row r="65" spans="1:14" s="10" customFormat="1" x14ac:dyDescent="0.2">
      <c r="D65" s="53" t="str">
        <f>SOCMOB_Lu!$D$68&amp;" "&amp;Lang_Cost_Of_A_Single&amp;" "&amp;$D$49&amp;" "&amp;Lang_Activity</f>
        <v>Economic Cost of a Single IEC Soc Mob  Activity # 2 (Not in Use) Activity</v>
      </c>
      <c r="J65" s="80">
        <v>0</v>
      </c>
      <c r="K65" s="80">
        <v>0</v>
      </c>
      <c r="L65" s="80">
        <v>0</v>
      </c>
      <c r="M65" s="80">
        <v>0</v>
      </c>
      <c r="N65" s="80">
        <v>0</v>
      </c>
    </row>
    <row r="66" spans="1:14" s="10" customFormat="1" x14ac:dyDescent="0.2">
      <c r="D66" s="55" t="str">
        <f>Lang_Error_Check_Checks_If_Override_Input_economic_Cost_Is_Less_Than_Financial_Cost</f>
        <v>ERROR CHECK (CHECKS IF OVERRIDE INPUT ECONOMIC COST IS LESS THAN FINANCIAL COST)</v>
      </c>
      <c r="H66" s="145">
        <f>IF(ISERROR(SUM(J66:N66)),1,MIN(SUM(J66:N66),1))</f>
        <v>0</v>
      </c>
      <c r="J66" s="42">
        <f t="shared" ref="J66:N66" si="3">IF(J65&lt;J64,1,0)</f>
        <v>0</v>
      </c>
      <c r="K66" s="42">
        <f t="shared" si="3"/>
        <v>0</v>
      </c>
      <c r="L66" s="42">
        <f t="shared" si="3"/>
        <v>0</v>
      </c>
      <c r="M66" s="42">
        <f t="shared" si="3"/>
        <v>0</v>
      </c>
      <c r="N66" s="42">
        <f t="shared" si="3"/>
        <v>0</v>
      </c>
    </row>
    <row r="67" spans="1:14" s="10" customFormat="1" x14ac:dyDescent="0.2"/>
    <row r="68" spans="1:14" s="10" customFormat="1" x14ac:dyDescent="0.2">
      <c r="D68" s="74" t="str">
        <f>Lang_Source_Of_Information_Notes</f>
        <v>Notes and Sources of Information</v>
      </c>
    </row>
    <row r="69" spans="1:14" s="10" customFormat="1" x14ac:dyDescent="0.2">
      <c r="D69" s="482" t="s">
        <v>596</v>
      </c>
      <c r="E69" s="482"/>
    </row>
    <row r="70" spans="1:14" s="10" customFormat="1" x14ac:dyDescent="0.2">
      <c r="D70" s="482" t="s">
        <v>596</v>
      </c>
      <c r="E70" s="482"/>
    </row>
    <row r="71" spans="1:14" s="10" customFormat="1" x14ac:dyDescent="0.2">
      <c r="D71" s="482" t="s">
        <v>596</v>
      </c>
      <c r="E71" s="482"/>
    </row>
    <row r="72" spans="1:14" s="10" customFormat="1" x14ac:dyDescent="0.2"/>
    <row r="73" spans="1:14" s="10" customFormat="1" x14ac:dyDescent="0.2">
      <c r="A73" s="12" t="s">
        <v>125</v>
      </c>
      <c r="B73" s="13" t="str">
        <f>Lang_Number_Of&amp;" "&amp;$D$49&amp;" "&amp;Lang_Activities_Annual_Assumptions_Projected_Or_Retrospective</f>
        <v>Number of IEC Soc Mob  Activity # 2 (Not in Use) Activities - Annual Assumptions (Projected or Retrospective)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</row>
    <row r="74" spans="1:14" s="10" customFormat="1" x14ac:dyDescent="0.2"/>
    <row r="75" spans="1:14" s="10" customFormat="1" x14ac:dyDescent="0.2">
      <c r="D75" s="53" t="str">
        <f>$D$49&amp;" - "&amp;Lang_Number_Of_Activities_Per_Year&amp;" ("&amp;Lang_Projected_Or_Retrospective&amp;")"</f>
        <v>IEC Soc Mob  Activity # 2 (Not in Use) - Number of Activities per Year (Projected or Retrospective)</v>
      </c>
      <c r="J75" s="80">
        <v>0</v>
      </c>
      <c r="K75" s="80">
        <v>0</v>
      </c>
      <c r="L75" s="80">
        <v>0</v>
      </c>
      <c r="M75" s="80">
        <v>0</v>
      </c>
      <c r="N75" s="80">
        <v>0</v>
      </c>
    </row>
    <row r="76" spans="1:14" s="10" customFormat="1" x14ac:dyDescent="0.2"/>
    <row r="77" spans="1:14" s="10" customFormat="1" x14ac:dyDescent="0.2">
      <c r="D77" s="74" t="str">
        <f>Lang_Source_Of_Information_Notes</f>
        <v>Notes and Sources of Information</v>
      </c>
    </row>
    <row r="78" spans="1:14" s="10" customFormat="1" x14ac:dyDescent="0.2">
      <c r="D78" s="482" t="s">
        <v>596</v>
      </c>
      <c r="E78" s="482"/>
    </row>
    <row r="79" spans="1:14" s="10" customFormat="1" x14ac:dyDescent="0.2">
      <c r="D79" s="482" t="s">
        <v>596</v>
      </c>
      <c r="E79" s="482"/>
    </row>
    <row r="80" spans="1:14" s="10" customFormat="1" x14ac:dyDescent="0.2">
      <c r="D80" s="482" t="s">
        <v>596</v>
      </c>
      <c r="E80" s="482"/>
    </row>
    <row r="81" spans="1:14" s="10" customFormat="1" x14ac:dyDescent="0.2">
      <c r="D81" s="76" t="str">
        <f>Lang_GoTo&amp;" "&amp;HL_TOP_ACTV_15_Activity_Summary_Costs_Annual</f>
        <v>Go to IEC Soc Mob  Activity # 2 (Not in Use) - Summary Costs (Annual)</v>
      </c>
    </row>
    <row r="82" spans="1:14" s="10" customFormat="1" x14ac:dyDescent="0.2"/>
    <row r="83" spans="1:14" s="10" customFormat="1" x14ac:dyDescent="0.2">
      <c r="A83" s="12" t="s">
        <v>125</v>
      </c>
      <c r="B83" s="13" t="str">
        <f>HL_TOP_ACTV_16_Name&amp;" "&amp;Lang_Name</f>
        <v>IEC Soc Mob  Activity # 3 (Not in Use) Name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</row>
    <row r="84" spans="1:14" s="10" customFormat="1" x14ac:dyDescent="0.2"/>
    <row r="85" spans="1:14" s="10" customFormat="1" x14ac:dyDescent="0.2">
      <c r="D85" s="55" t="str">
        <f>Lang_IEC_Social_Mobilisation_Activity_Name</f>
        <v>IEC/ Social Mobilisation Activity Name</v>
      </c>
    </row>
    <row r="86" spans="1:14" s="10" customFormat="1" x14ac:dyDescent="0.2">
      <c r="D86" s="75" t="s">
        <v>488</v>
      </c>
    </row>
    <row r="87" spans="1:14" s="10" customFormat="1" x14ac:dyDescent="0.2"/>
    <row r="88" spans="1:14" s="10" customFormat="1" x14ac:dyDescent="0.2">
      <c r="A88" s="12" t="s">
        <v>125</v>
      </c>
      <c r="B88" s="13" t="str">
        <f>HL_TOP_ACTV_16_Name&amp;" "&amp;Lang_Single_Activity_Cost_Annual_Assumptions_Projected_Or_Retrospective</f>
        <v>IEC Soc Mob  Activity # 3 (Not in Use) Single Activity Cost - Annual Assumptions (Projected or Retrospective)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10" customFormat="1" x14ac:dyDescent="0.2"/>
    <row r="90" spans="1:14" s="10" customFormat="1" x14ac:dyDescent="0.2">
      <c r="D90" s="50" t="str">
        <f>Lang_Select_Input_Currency</f>
        <v>Select Input Currency</v>
      </c>
      <c r="E90" s="72">
        <v>1</v>
      </c>
    </row>
    <row r="91" spans="1:14" s="10" customFormat="1" x14ac:dyDescent="0.2"/>
    <row r="92" spans="1:14" s="10" customFormat="1" x14ac:dyDescent="0.2">
      <c r="D92" s="50" t="str">
        <f>Lang_Select_Costing_Input_Method</f>
        <v>Select Costing Input Method</v>
      </c>
      <c r="E92" s="72">
        <v>2</v>
      </c>
    </row>
    <row r="93" spans="1:14" s="10" customFormat="1" x14ac:dyDescent="0.2">
      <c r="E93" s="76" t="str">
        <f>Lang_GoTo&amp;" "&amp;HL_TOP_ACTV_16_Detailed_Costing_Worksheet</f>
        <v>Go to IEC Soc Mob  Activity # 3 (Not in Use) -  Detailed Activity Costing Worksheet - Instructions</v>
      </c>
    </row>
    <row r="94" spans="1:14" s="10" customFormat="1" x14ac:dyDescent="0.2">
      <c r="C94" s="55" t="s">
        <v>208</v>
      </c>
      <c r="D94" s="74" t="str">
        <f>Lang_Detailed_Costing_Worksheet_Estimate</f>
        <v>Detailed Costing Worksheet Estimate</v>
      </c>
    </row>
    <row r="95" spans="1:14" s="10" customFormat="1" x14ac:dyDescent="0.2">
      <c r="F95" s="366" t="str">
        <f>SOCMOB_Lu!$D$83</f>
        <v>LCU</v>
      </c>
      <c r="G95" s="366" t="str">
        <f>SOCMOB_Lu!$D$82</f>
        <v>USD</v>
      </c>
      <c r="J95" s="366" t="str">
        <f ca="1">OFFSET(SOCMOB_Lu!$D$81,DD_TOP_ACTV_16_Annual_Currency_Used,0)</f>
        <v>USD</v>
      </c>
      <c r="K95" s="366" t="str">
        <f ca="1">OFFSET(SOCMOB_Lu!$D$81,DD_TOP_ACTV_16_Annual_Currency_Used,0)</f>
        <v>USD</v>
      </c>
      <c r="L95" s="366" t="str">
        <f ca="1">OFFSET(SOCMOB_Lu!$D$81,DD_TOP_ACTV_16_Annual_Currency_Used,0)</f>
        <v>USD</v>
      </c>
      <c r="M95" s="366" t="str">
        <f ca="1">OFFSET(SOCMOB_Lu!$D$81,DD_TOP_ACTV_16_Annual_Currency_Used,0)</f>
        <v>USD</v>
      </c>
      <c r="N95" s="366" t="str">
        <f ca="1">OFFSET(SOCMOB_Lu!$D$81,DD_TOP_ACTV_16_Annual_Currency_Used,0)</f>
        <v>USD</v>
      </c>
    </row>
    <row r="96" spans="1:14" s="10" customFormat="1" x14ac:dyDescent="0.2">
      <c r="D96" s="53" t="str">
        <f>SOCMOB_Lu!$D$102&amp;" "&amp;Lang_Cost_Of_A_Single&amp;" "&amp;$D$86&amp;" "&amp;Lang_Activity</f>
        <v>Financial Cost of a Single IEC Soc Mob  Activity # 3 (Not in Use) Activity</v>
      </c>
      <c r="F96" s="41">
        <f>COSTS_DETAILED_SUMMARY!E259</f>
        <v>0</v>
      </c>
      <c r="G96" s="116">
        <f>COSTS_DETAILED_SUMMARY!G259</f>
        <v>0</v>
      </c>
      <c r="J96" s="79">
        <f>IF(DD_TOP_ACTV_16_Annual_Currency_Used=2,COSTS_DETAILED_SUMMARY!$E259,COSTS_DETAILED_SUMMARY!$G259)</f>
        <v>0</v>
      </c>
      <c r="K96" s="79">
        <f>IF(DD_TOP_ACTV_16_Annual_Currency_Used=2,COSTS_DETAILED_SUMMARY!$E259,COSTS_DETAILED_SUMMARY!$G259)</f>
        <v>0</v>
      </c>
      <c r="L96" s="79">
        <f>IF(DD_TOP_ACTV_16_Annual_Currency_Used=2,COSTS_DETAILED_SUMMARY!$E259,COSTS_DETAILED_SUMMARY!$G259)</f>
        <v>0</v>
      </c>
      <c r="M96" s="79">
        <f>IF(DD_TOP_ACTV_16_Annual_Currency_Used=2,COSTS_DETAILED_SUMMARY!$E259,COSTS_DETAILED_SUMMARY!$G259)</f>
        <v>0</v>
      </c>
      <c r="N96" s="79">
        <f>IF(DD_TOP_ACTV_16_Annual_Currency_Used=2,COSTS_DETAILED_SUMMARY!$E259,COSTS_DETAILED_SUMMARY!$G259)</f>
        <v>0</v>
      </c>
    </row>
    <row r="97" spans="1:14" s="10" customFormat="1" x14ac:dyDescent="0.2">
      <c r="D97" s="53" t="str">
        <f>SOCMOB_Lu!$D$103&amp;" "&amp;Lang_Cost_Of_A_Single&amp;" "&amp;$D$86&amp;" "&amp;Lang_Activity</f>
        <v>Economic Cost of a Single IEC Soc Mob  Activity # 3 (Not in Use) Activity</v>
      </c>
      <c r="F97" s="41">
        <f>COSTS_DETAILED_SUMMARY!F259</f>
        <v>0</v>
      </c>
      <c r="G97" s="116">
        <f>COSTS_DETAILED_SUMMARY!H259</f>
        <v>0</v>
      </c>
      <c r="J97" s="79">
        <f>IF(DD_TOP_ACTV_16_Annual_Currency_Used=2,COSTS_DETAILED_SUMMARY!$F259,COSTS_DETAILED_SUMMARY!$H259)</f>
        <v>0</v>
      </c>
      <c r="K97" s="79">
        <f>IF(DD_TOP_ACTV_16_Annual_Currency_Used=2,COSTS_DETAILED_SUMMARY!$F259,COSTS_DETAILED_SUMMARY!$H259)</f>
        <v>0</v>
      </c>
      <c r="L97" s="79">
        <f>IF(DD_TOP_ACTV_16_Annual_Currency_Used=2,COSTS_DETAILED_SUMMARY!$F259,COSTS_DETAILED_SUMMARY!$H259)</f>
        <v>0</v>
      </c>
      <c r="M97" s="79">
        <f>IF(DD_TOP_ACTV_16_Annual_Currency_Used=2,COSTS_DETAILED_SUMMARY!$F259,COSTS_DETAILED_SUMMARY!$H259)</f>
        <v>0</v>
      </c>
      <c r="N97" s="79">
        <f>IF(DD_TOP_ACTV_16_Annual_Currency_Used=2,COSTS_DETAILED_SUMMARY!$F259,COSTS_DETAILED_SUMMARY!$H259)</f>
        <v>0</v>
      </c>
    </row>
    <row r="98" spans="1:14" s="10" customFormat="1" x14ac:dyDescent="0.2"/>
    <row r="99" spans="1:14" s="10" customFormat="1" x14ac:dyDescent="0.2"/>
    <row r="100" spans="1:14" s="10" customFormat="1" x14ac:dyDescent="0.2">
      <c r="C100" s="55" t="s">
        <v>210</v>
      </c>
      <c r="D100" s="74" t="str">
        <f>Lang_Direct_User_Entry_Cost_Estimate</f>
        <v>Direct User Entry Cost Estimate</v>
      </c>
      <c r="J100" s="366" t="str">
        <f ca="1">OFFSET(SOCMOB_Lu!$D$81,DD_TOP_ACTV_16_Annual_Currency_Used,0)</f>
        <v>USD</v>
      </c>
      <c r="K100" s="366" t="str">
        <f ca="1">OFFSET(SOCMOB_Lu!$D$81,DD_TOP_ACTV_16_Annual_Currency_Used,0)</f>
        <v>USD</v>
      </c>
      <c r="L100" s="366" t="str">
        <f ca="1">OFFSET(SOCMOB_Lu!$D$81,DD_TOP_ACTV_16_Annual_Currency_Used,0)</f>
        <v>USD</v>
      </c>
      <c r="M100" s="366" t="str">
        <f ca="1">OFFSET(SOCMOB_Lu!$D$81,DD_TOP_ACTV_16_Annual_Currency_Used,0)</f>
        <v>USD</v>
      </c>
      <c r="N100" s="366" t="str">
        <f ca="1">OFFSET(SOCMOB_Lu!$D$81,DD_TOP_ACTV_16_Annual_Currency_Used,0)</f>
        <v>USD</v>
      </c>
    </row>
    <row r="101" spans="1:14" s="10" customFormat="1" x14ac:dyDescent="0.2">
      <c r="D101" s="53" t="str">
        <f>SOCMOB_Lu!$D$102&amp;" "&amp;Lang_Cost_Of_A_Single&amp;" "&amp;$D$86&amp;" "&amp;Lang_Activity</f>
        <v>Financial Cost of a Single IEC Soc Mob  Activity # 3 (Not in Use) Activity</v>
      </c>
      <c r="J101" s="80">
        <v>0</v>
      </c>
      <c r="K101" s="80">
        <v>0</v>
      </c>
      <c r="L101" s="80">
        <v>0</v>
      </c>
      <c r="M101" s="80">
        <v>0</v>
      </c>
      <c r="N101" s="80">
        <v>0</v>
      </c>
    </row>
    <row r="102" spans="1:14" s="10" customFormat="1" x14ac:dyDescent="0.2">
      <c r="D102" s="53" t="str">
        <f>SOCMOB_Lu!$D$103&amp;" "&amp;Lang_Cost_Of_A_Single&amp;" "&amp;$D$86&amp;" "&amp;Lang_Activity</f>
        <v>Economic Cost of a Single IEC Soc Mob  Activity # 3 (Not in Use) Activity</v>
      </c>
      <c r="J102" s="80">
        <v>0</v>
      </c>
      <c r="K102" s="80">
        <v>0</v>
      </c>
      <c r="L102" s="80">
        <v>0</v>
      </c>
      <c r="M102" s="80">
        <v>0</v>
      </c>
      <c r="N102" s="80">
        <v>0</v>
      </c>
    </row>
    <row r="103" spans="1:14" s="10" customFormat="1" x14ac:dyDescent="0.2">
      <c r="D103" s="55" t="str">
        <f>Lang_Error_Check_Checks_If_Override_Input_economic_Cost_Is_Less_Than_Financial_Cost</f>
        <v>ERROR CHECK (CHECKS IF OVERRIDE INPUT ECONOMIC COST IS LESS THAN FINANCIAL COST)</v>
      </c>
      <c r="H103" s="145">
        <f>IF(ISERROR(SUM(J103:N103)),1,MIN(SUM(J103:N103),1))</f>
        <v>0</v>
      </c>
      <c r="J103" s="42">
        <f t="shared" ref="J103:N103" si="4">IF(J102&lt;J101,1,0)</f>
        <v>0</v>
      </c>
      <c r="K103" s="42">
        <f t="shared" si="4"/>
        <v>0</v>
      </c>
      <c r="L103" s="42">
        <f t="shared" si="4"/>
        <v>0</v>
      </c>
      <c r="M103" s="42">
        <f t="shared" si="4"/>
        <v>0</v>
      </c>
      <c r="N103" s="42">
        <f t="shared" si="4"/>
        <v>0</v>
      </c>
    </row>
    <row r="104" spans="1:14" s="10" customFormat="1" x14ac:dyDescent="0.2"/>
    <row r="105" spans="1:14" s="10" customFormat="1" x14ac:dyDescent="0.2">
      <c r="D105" s="74" t="str">
        <f>Lang_Source_Of_Information_Notes</f>
        <v>Notes and Sources of Information</v>
      </c>
    </row>
    <row r="106" spans="1:14" s="10" customFormat="1" x14ac:dyDescent="0.2">
      <c r="D106" s="482" t="s">
        <v>596</v>
      </c>
      <c r="E106" s="482"/>
    </row>
    <row r="107" spans="1:14" s="10" customFormat="1" x14ac:dyDescent="0.2">
      <c r="D107" s="482" t="s">
        <v>596</v>
      </c>
      <c r="E107" s="482"/>
    </row>
    <row r="108" spans="1:14" s="10" customFormat="1" x14ac:dyDescent="0.2">
      <c r="D108" s="482" t="s">
        <v>596</v>
      </c>
      <c r="E108" s="482"/>
    </row>
    <row r="109" spans="1:14" s="10" customFormat="1" x14ac:dyDescent="0.2"/>
    <row r="110" spans="1:14" s="10" customFormat="1" x14ac:dyDescent="0.2">
      <c r="A110" s="12" t="s">
        <v>125</v>
      </c>
      <c r="B110" s="13" t="str">
        <f>Lang_Number_Of&amp;" "&amp;$D$86&amp;" "&amp;Lang_Activities_Annual_Assumptions_Projected_Or_Retrospective</f>
        <v>Number of IEC Soc Mob  Activity # 3 (Not in Use) Activities - Annual Assumptions (Projected or Retrospective)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</row>
    <row r="111" spans="1:14" s="10" customFormat="1" x14ac:dyDescent="0.2"/>
    <row r="112" spans="1:14" s="10" customFormat="1" x14ac:dyDescent="0.2">
      <c r="D112" s="53" t="str">
        <f>$D$86&amp;" - "&amp;Lang_Number_Of_Activities_Per_Year&amp;" ("&amp;Lang_Projected_Or_Retrospective&amp;")"</f>
        <v>IEC Soc Mob  Activity # 3 (Not in Use) - Number of Activities per Year (Projected or Retrospective)</v>
      </c>
      <c r="J112" s="80">
        <v>0</v>
      </c>
      <c r="K112" s="80">
        <v>0</v>
      </c>
      <c r="L112" s="80">
        <v>0</v>
      </c>
      <c r="M112" s="80">
        <v>0</v>
      </c>
      <c r="N112" s="80">
        <v>0</v>
      </c>
    </row>
    <row r="113" spans="1:14" s="10" customFormat="1" x14ac:dyDescent="0.2"/>
    <row r="114" spans="1:14" s="10" customFormat="1" x14ac:dyDescent="0.2">
      <c r="D114" s="74" t="str">
        <f>Lang_Source_Of_Information_Notes</f>
        <v>Notes and Sources of Information</v>
      </c>
    </row>
    <row r="115" spans="1:14" s="10" customFormat="1" x14ac:dyDescent="0.2">
      <c r="D115" s="482" t="s">
        <v>596</v>
      </c>
      <c r="E115" s="482"/>
    </row>
    <row r="116" spans="1:14" s="10" customFormat="1" x14ac:dyDescent="0.2">
      <c r="D116" s="482" t="s">
        <v>596</v>
      </c>
      <c r="E116" s="482"/>
    </row>
    <row r="117" spans="1:14" s="10" customFormat="1" x14ac:dyDescent="0.2">
      <c r="D117" s="482" t="s">
        <v>596</v>
      </c>
      <c r="E117" s="482"/>
    </row>
    <row r="118" spans="1:14" s="10" customFormat="1" x14ac:dyDescent="0.2">
      <c r="D118" s="76" t="str">
        <f>Lang_GoTo&amp;" "&amp;HL_TOP_ACTV_16_Activity_Summary_Costs_Annual</f>
        <v>Go to IEC Soc Mob  Activity # 3 (Not in Use) - Summary Costs (Annual)</v>
      </c>
    </row>
    <row r="119" spans="1:14" s="10" customFormat="1" x14ac:dyDescent="0.2"/>
    <row r="120" spans="1:14" s="10" customFormat="1" x14ac:dyDescent="0.2">
      <c r="A120" s="12" t="s">
        <v>125</v>
      </c>
      <c r="B120" s="13" t="str">
        <f>HL_LVL2_ACTV_4_Name&amp;" "&amp;Lang_Name</f>
        <v>IEC Soc Mob  Activity # 4  (Not in Use) Name</v>
      </c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</row>
    <row r="121" spans="1:14" s="10" customFormat="1" x14ac:dyDescent="0.2"/>
    <row r="122" spans="1:14" s="10" customFormat="1" x14ac:dyDescent="0.2">
      <c r="D122" s="55" t="str">
        <f>Lang_IEC_Social_Mobilisation_Activity_Name</f>
        <v>IEC/ Social Mobilisation Activity Name</v>
      </c>
    </row>
    <row r="123" spans="1:14" s="10" customFormat="1" x14ac:dyDescent="0.2">
      <c r="D123" s="75" t="s">
        <v>489</v>
      </c>
    </row>
    <row r="124" spans="1:14" s="10" customFormat="1" x14ac:dyDescent="0.2"/>
    <row r="125" spans="1:14" s="10" customFormat="1" x14ac:dyDescent="0.2">
      <c r="A125" s="12" t="s">
        <v>125</v>
      </c>
      <c r="B125" s="13" t="str">
        <f>HL_LVL2_ACTV_4_Name&amp;" "&amp;Lang_Single_Activity_Cost_Annual_Assumptions_Projected_Or_Retrospective</f>
        <v>IEC Soc Mob  Activity # 4  (Not in Use) Single Activity Cost - Annual Assumptions (Projected or Retrospective)</v>
      </c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</row>
    <row r="126" spans="1:14" s="10" customFormat="1" x14ac:dyDescent="0.2"/>
    <row r="127" spans="1:14" s="10" customFormat="1" x14ac:dyDescent="0.2">
      <c r="D127" s="114" t="str">
        <f>HL_LVL2_ACTV_4_Name</f>
        <v>IEC Soc Mob  Activity # 4  (Not in Use)</v>
      </c>
    </row>
    <row r="128" spans="1:14" s="10" customFormat="1" x14ac:dyDescent="0.2"/>
    <row r="129" spans="3:14" s="10" customFormat="1" x14ac:dyDescent="0.2">
      <c r="D129" s="50" t="str">
        <f>Lang_Select_Input_Currency</f>
        <v>Select Input Currency</v>
      </c>
      <c r="E129" s="72">
        <v>1</v>
      </c>
    </row>
    <row r="130" spans="3:14" s="10" customFormat="1" x14ac:dyDescent="0.2"/>
    <row r="131" spans="3:14" s="10" customFormat="1" x14ac:dyDescent="0.2">
      <c r="D131" s="50" t="str">
        <f>Lang_Select_Costing_Input_Method</f>
        <v>Select Costing Input Method</v>
      </c>
      <c r="E131" s="72">
        <v>2</v>
      </c>
    </row>
    <row r="132" spans="3:14" s="10" customFormat="1" x14ac:dyDescent="0.2">
      <c r="E132" s="76" t="str">
        <f>Lang_GoTo&amp;" "&amp;HL_LVL2_ACTV_4_Detailed_Costing_Worksheet</f>
        <v>Go to IEC Soc Mob  Activity # 4  (Not in Use) -  Detailed Activity Costing Worksheet - Instructions</v>
      </c>
    </row>
    <row r="133" spans="3:14" s="10" customFormat="1" x14ac:dyDescent="0.2">
      <c r="C133" s="55" t="s">
        <v>208</v>
      </c>
      <c r="D133" s="74" t="str">
        <f>Lang_Detailed_Costing_Worksheet_Estimate</f>
        <v>Detailed Costing Worksheet Estimate</v>
      </c>
    </row>
    <row r="134" spans="3:14" s="10" customFormat="1" x14ac:dyDescent="0.2">
      <c r="F134" s="366" t="str">
        <f>SOCMOB_Lu!$D$118</f>
        <v>LCU</v>
      </c>
      <c r="G134" s="366" t="str">
        <f>SOCMOB_Lu!$D$117</f>
        <v>USD</v>
      </c>
      <c r="J134" s="366" t="str">
        <f ca="1">OFFSET(SOCMOB_Lu!$D$116,DD_LVL2_ACTV_4_Annual_Currency_Select,0)</f>
        <v>USD</v>
      </c>
      <c r="K134" s="366" t="str">
        <f ca="1">OFFSET(SOCMOB_Lu!$D$116,DD_LVL2_ACTV_4_Annual_Currency_Select,0)</f>
        <v>USD</v>
      </c>
      <c r="L134" s="366" t="str">
        <f ca="1">OFFSET(SOCMOB_Lu!$D$116,DD_LVL2_ACTV_4_Annual_Currency_Select,0)</f>
        <v>USD</v>
      </c>
      <c r="M134" s="366" t="str">
        <f ca="1">OFFSET(SOCMOB_Lu!$D$116,DD_LVL2_ACTV_4_Annual_Currency_Select,0)</f>
        <v>USD</v>
      </c>
      <c r="N134" s="366" t="str">
        <f ca="1">OFFSET(SOCMOB_Lu!$D$116,DD_LVL2_ACTV_4_Annual_Currency_Select,0)</f>
        <v>USD</v>
      </c>
    </row>
    <row r="135" spans="3:14" s="10" customFormat="1" x14ac:dyDescent="0.2">
      <c r="D135" s="53" t="str">
        <f>SOCMOB_Lu!$D$137&amp;" "&amp;Lang_Cost_Of_A_Single&amp;" "&amp;SOCIAL_MOBILISATION!$D$123&amp;" "&amp;Lang_Activity</f>
        <v>Financial Cost of a Single IEC Soc Mob  Activity # 4  (Not in Use) Activity</v>
      </c>
      <c r="F135" s="41">
        <f>COSTS_DETAILED_SUMMARY!E275</f>
        <v>0</v>
      </c>
      <c r="G135" s="116">
        <f>COSTS_DETAILED_SUMMARY!G275</f>
        <v>0</v>
      </c>
      <c r="J135" s="79">
        <f>IF(DD_LVL2_ACTV_4_Annual_Currency_Select=2,COSTS_DETAILED_SUMMARY!$E275,COSTS_DETAILED_SUMMARY!$G275)</f>
        <v>0</v>
      </c>
      <c r="K135" s="79">
        <f>IF(DD_LVL2_ACTV_4_Annual_Currency_Select=2,COSTS_DETAILED_SUMMARY!$E275,COSTS_DETAILED_SUMMARY!$G275)</f>
        <v>0</v>
      </c>
      <c r="L135" s="79">
        <f>IF(DD_LVL2_ACTV_4_Annual_Currency_Select=2,COSTS_DETAILED_SUMMARY!$E275,COSTS_DETAILED_SUMMARY!$G275)</f>
        <v>0</v>
      </c>
      <c r="M135" s="79">
        <f>IF(DD_LVL2_ACTV_4_Annual_Currency_Select=2,COSTS_DETAILED_SUMMARY!$E275,COSTS_DETAILED_SUMMARY!$G275)</f>
        <v>0</v>
      </c>
      <c r="N135" s="79">
        <f>IF(DD_LVL2_ACTV_4_Annual_Currency_Select=2,COSTS_DETAILED_SUMMARY!$E275,COSTS_DETAILED_SUMMARY!$G275)</f>
        <v>0</v>
      </c>
    </row>
    <row r="136" spans="3:14" s="10" customFormat="1" x14ac:dyDescent="0.2">
      <c r="D136" s="53" t="str">
        <f>SOCMOB_Lu!$D$138&amp;" "&amp;Lang_Cost_Of_A_Single&amp;" "&amp;SOCIAL_MOBILISATION!$D$123&amp;" "&amp;Lang_Activity</f>
        <v>Economic Cost of a Single IEC Soc Mob  Activity # 4  (Not in Use) Activity</v>
      </c>
      <c r="F136" s="41">
        <f>COSTS_DETAILED_SUMMARY!F275</f>
        <v>0</v>
      </c>
      <c r="G136" s="116">
        <f>COSTS_DETAILED_SUMMARY!H275</f>
        <v>0</v>
      </c>
      <c r="J136" s="79">
        <f>IF(DD_LVL2_ACTV_4_Annual_Currency_Select=2,COSTS_DETAILED_SUMMARY!$F275,COSTS_DETAILED_SUMMARY!$H275)</f>
        <v>0</v>
      </c>
      <c r="K136" s="79">
        <f>IF(DD_LVL2_ACTV_4_Annual_Currency_Select=2,COSTS_DETAILED_SUMMARY!$F275,COSTS_DETAILED_SUMMARY!$H275)</f>
        <v>0</v>
      </c>
      <c r="L136" s="79">
        <f>IF(DD_LVL2_ACTV_4_Annual_Currency_Select=2,COSTS_DETAILED_SUMMARY!$F275,COSTS_DETAILED_SUMMARY!$H275)</f>
        <v>0</v>
      </c>
      <c r="M136" s="79">
        <f>IF(DD_LVL2_ACTV_4_Annual_Currency_Select=2,COSTS_DETAILED_SUMMARY!$F275,COSTS_DETAILED_SUMMARY!$H275)</f>
        <v>0</v>
      </c>
      <c r="N136" s="79">
        <f>IF(DD_LVL2_ACTV_4_Annual_Currency_Select=2,COSTS_DETAILED_SUMMARY!$F275,COSTS_DETAILED_SUMMARY!$H275)</f>
        <v>0</v>
      </c>
    </row>
    <row r="137" spans="3:14" s="10" customFormat="1" x14ac:dyDescent="0.2"/>
    <row r="138" spans="3:14" s="10" customFormat="1" x14ac:dyDescent="0.2"/>
    <row r="139" spans="3:14" s="10" customFormat="1" x14ac:dyDescent="0.2">
      <c r="C139" s="55" t="s">
        <v>210</v>
      </c>
      <c r="D139" s="74" t="str">
        <f>Lang_Direct_User_Entry_Cost_Estimate</f>
        <v>Direct User Entry Cost Estimate</v>
      </c>
      <c r="J139" s="366" t="str">
        <f ca="1">OFFSET(SOCMOB_Lu!$D$116,DD_LVL2_ACTV_4_Annual_Currency_Select,0)</f>
        <v>USD</v>
      </c>
      <c r="K139" s="366" t="str">
        <f ca="1">OFFSET(SOCMOB_Lu!$D$116,DD_LVL2_ACTV_4_Annual_Currency_Select,0)</f>
        <v>USD</v>
      </c>
      <c r="L139" s="366" t="str">
        <f ca="1">OFFSET(SOCMOB_Lu!$D$116,DD_LVL2_ACTV_4_Annual_Currency_Select,0)</f>
        <v>USD</v>
      </c>
      <c r="M139" s="366" t="str">
        <f ca="1">OFFSET(SOCMOB_Lu!$D$116,DD_LVL2_ACTV_4_Annual_Currency_Select,0)</f>
        <v>USD</v>
      </c>
      <c r="N139" s="366" t="str">
        <f ca="1">OFFSET(SOCMOB_Lu!$D$116,DD_LVL2_ACTV_4_Annual_Currency_Select,0)</f>
        <v>USD</v>
      </c>
    </row>
    <row r="140" spans="3:14" s="10" customFormat="1" x14ac:dyDescent="0.2">
      <c r="D140" s="53" t="str">
        <f>SOCMOB_Lu!$D$137&amp;" "&amp;Lang_Cost_Of_A_Single&amp;" "&amp;SOCIAL_MOBILISATION!$D$123&amp;" "&amp;Lang_Activity</f>
        <v>Financial Cost of a Single IEC Soc Mob  Activity # 4  (Not in Use) Activity</v>
      </c>
      <c r="J140" s="80">
        <v>0</v>
      </c>
      <c r="K140" s="80">
        <v>0</v>
      </c>
      <c r="L140" s="80">
        <v>0</v>
      </c>
      <c r="M140" s="80">
        <v>0</v>
      </c>
      <c r="N140" s="80">
        <v>0</v>
      </c>
    </row>
    <row r="141" spans="3:14" s="10" customFormat="1" x14ac:dyDescent="0.2">
      <c r="D141" s="53" t="str">
        <f>SOCMOB_Lu!$D$138&amp;" "&amp;Lang_Cost_Of_A_Single&amp;" "&amp;SOCIAL_MOBILISATION!$D$123&amp;" "&amp;Lang_Activity</f>
        <v>Economic Cost of a Single IEC Soc Mob  Activity # 4  (Not in Use) Activity</v>
      </c>
      <c r="J141" s="80">
        <v>0</v>
      </c>
      <c r="K141" s="80">
        <v>0</v>
      </c>
      <c r="L141" s="80">
        <v>0</v>
      </c>
      <c r="M141" s="80">
        <v>0</v>
      </c>
      <c r="N141" s="80">
        <v>0</v>
      </c>
    </row>
    <row r="142" spans="3:14" s="10" customFormat="1" x14ac:dyDescent="0.2">
      <c r="D142" s="55" t="str">
        <f>Lang_Error_Check_Checks_If_Override_Input_economic_Cost_Is_Less_Than_Financial_Cost</f>
        <v>ERROR CHECK (CHECKS IF OVERRIDE INPUT ECONOMIC COST IS LESS THAN FINANCIAL COST)</v>
      </c>
      <c r="H142" s="145">
        <f>IF(ISERROR(SUM(J142:N142)),1,MIN(SUM(J142:N142),1))</f>
        <v>0</v>
      </c>
      <c r="J142" s="42">
        <f t="shared" ref="J142:N142" si="5">IF(J141&lt;J140,1,0)</f>
        <v>0</v>
      </c>
      <c r="K142" s="42">
        <f t="shared" si="5"/>
        <v>0</v>
      </c>
      <c r="L142" s="42">
        <f t="shared" si="5"/>
        <v>0</v>
      </c>
      <c r="M142" s="42">
        <f t="shared" si="5"/>
        <v>0</v>
      </c>
      <c r="N142" s="42">
        <f t="shared" si="5"/>
        <v>0</v>
      </c>
    </row>
    <row r="143" spans="3:14" s="10" customFormat="1" x14ac:dyDescent="0.2"/>
    <row r="144" spans="3:14" s="10" customFormat="1" x14ac:dyDescent="0.2">
      <c r="D144" s="74" t="str">
        <f>Lang_Source_Of_Information_Notes</f>
        <v>Notes and Sources of Information</v>
      </c>
    </row>
    <row r="145" spans="1:14" s="10" customFormat="1" x14ac:dyDescent="0.2">
      <c r="D145" s="482" t="s">
        <v>596</v>
      </c>
      <c r="E145" s="482"/>
    </row>
    <row r="146" spans="1:14" s="10" customFormat="1" x14ac:dyDescent="0.2">
      <c r="D146" s="482" t="s">
        <v>596</v>
      </c>
      <c r="E146" s="482"/>
    </row>
    <row r="147" spans="1:14" s="10" customFormat="1" x14ac:dyDescent="0.2">
      <c r="D147" s="482" t="s">
        <v>596</v>
      </c>
      <c r="E147" s="482"/>
    </row>
    <row r="148" spans="1:14" s="10" customFormat="1" x14ac:dyDescent="0.2"/>
    <row r="149" spans="1:14" s="10" customFormat="1" x14ac:dyDescent="0.2">
      <c r="A149" s="12" t="s">
        <v>125</v>
      </c>
      <c r="B149" s="13" t="str">
        <f>Lang_Number_Of&amp;" "&amp;SOCIAL_MOBILISATION!$D$123&amp;" "&amp;Lang_Activities_Annual_Assumptions_Projected_Or_Retrospective</f>
        <v>Number of IEC Soc Mob  Activity # 4  (Not in Use) Activities - Annual Assumptions (Projected or Retrospective)</v>
      </c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</row>
    <row r="150" spans="1:14" s="10" customFormat="1" x14ac:dyDescent="0.2"/>
    <row r="151" spans="1:14" s="10" customFormat="1" x14ac:dyDescent="0.2">
      <c r="D151" s="71" t="str">
        <f>HL_LVL2_ACTV_4_Name&amp;" - "&amp;Lang_Number_Of_Activities_Per_Year&amp;" ("&amp;Lang_Projected_Or_Retrospective&amp;")"</f>
        <v>IEC Soc Mob  Activity # 4  (Not in Use) - Number of Activities per Year (Projected or Retrospective)</v>
      </c>
    </row>
    <row r="152" spans="1:14" s="10" customFormat="1" x14ac:dyDescent="0.2"/>
    <row r="153" spans="1:14" s="10" customFormat="1" x14ac:dyDescent="0.2">
      <c r="D153" s="50" t="str">
        <f>Lang_Number_Of_Activities_Per_Year</f>
        <v>Number of Activities per Year</v>
      </c>
      <c r="J153" s="324">
        <v>0</v>
      </c>
      <c r="K153" s="324">
        <v>0</v>
      </c>
      <c r="L153" s="324">
        <v>0</v>
      </c>
      <c r="M153" s="324">
        <v>0</v>
      </c>
      <c r="N153" s="324">
        <v>0</v>
      </c>
    </row>
    <row r="154" spans="1:14" s="10" customFormat="1" hidden="1" x14ac:dyDescent="0.2">
      <c r="D154" s="71" t="str">
        <f>D151</f>
        <v>IEC Soc Mob  Activity # 4  (Not in Use) - Number of Activities per Year (Projected or Retrospective)</v>
      </c>
      <c r="J154" s="41">
        <f t="shared" ref="J154:N154" si="6">SUM(J153:J153)</f>
        <v>0</v>
      </c>
      <c r="K154" s="41">
        <f t="shared" si="6"/>
        <v>0</v>
      </c>
      <c r="L154" s="41">
        <f t="shared" si="6"/>
        <v>0</v>
      </c>
      <c r="M154" s="41">
        <f t="shared" si="6"/>
        <v>0</v>
      </c>
      <c r="N154" s="41">
        <f t="shared" si="6"/>
        <v>0</v>
      </c>
    </row>
    <row r="155" spans="1:14" s="10" customFormat="1" x14ac:dyDescent="0.2"/>
    <row r="156" spans="1:14" s="10" customFormat="1" x14ac:dyDescent="0.2">
      <c r="D156" s="74" t="str">
        <f>Lang_Source_Of_Information_Notes</f>
        <v>Notes and Sources of Information</v>
      </c>
    </row>
    <row r="157" spans="1:14" s="10" customFormat="1" x14ac:dyDescent="0.2">
      <c r="D157" s="482" t="s">
        <v>596</v>
      </c>
      <c r="E157" s="482"/>
    </row>
    <row r="158" spans="1:14" s="10" customFormat="1" x14ac:dyDescent="0.2">
      <c r="D158" s="482" t="s">
        <v>596</v>
      </c>
      <c r="E158" s="482"/>
    </row>
    <row r="159" spans="1:14" s="10" customFormat="1" x14ac:dyDescent="0.2">
      <c r="D159" s="482" t="s">
        <v>596</v>
      </c>
      <c r="E159" s="482"/>
    </row>
    <row r="160" spans="1:14" s="10" customFormat="1" x14ac:dyDescent="0.2"/>
    <row r="161" spans="1:14" s="10" customFormat="1" x14ac:dyDescent="0.2">
      <c r="D161" s="76" t="str">
        <f>Lang_GoTo&amp;" "&amp;HL_LVL2_ACTV_4_Activity_Summary_Costs_Annual</f>
        <v>Go to IEC Soc Mob  Activity # 4  (Not in Use) - Summary Costs (Annual)</v>
      </c>
    </row>
    <row r="162" spans="1:14" s="10" customFormat="1" x14ac:dyDescent="0.2"/>
    <row r="163" spans="1:14" s="10" customFormat="1" x14ac:dyDescent="0.2">
      <c r="A163" s="12" t="s">
        <v>125</v>
      </c>
      <c r="B163" s="13" t="str">
        <f>HL_LVL2_ACTV_10_Name&amp;" "&amp;Lang_Name</f>
        <v>IEC Soc Mob  Activity # 5  (Not in Use) Name</v>
      </c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</row>
    <row r="164" spans="1:14" s="10" customFormat="1" x14ac:dyDescent="0.2"/>
    <row r="165" spans="1:14" s="10" customFormat="1" x14ac:dyDescent="0.2">
      <c r="D165" s="55" t="str">
        <f>Lang_IEC_Social_Mobilisation_Activity_Name</f>
        <v>IEC/ Social Mobilisation Activity Name</v>
      </c>
    </row>
    <row r="166" spans="1:14" s="10" customFormat="1" x14ac:dyDescent="0.2">
      <c r="D166" s="75" t="s">
        <v>490</v>
      </c>
    </row>
    <row r="167" spans="1:14" s="10" customFormat="1" x14ac:dyDescent="0.2"/>
    <row r="168" spans="1:14" s="10" customFormat="1" x14ac:dyDescent="0.2">
      <c r="A168" s="12" t="s">
        <v>125</v>
      </c>
      <c r="B168" s="13" t="str">
        <f>HL_LVL2_ACTV_10_Name&amp;" "&amp;Lang_Single_Activity_Cost_Annual_Assumptions_Projected_Or_Retrospective</f>
        <v>IEC Soc Mob  Activity # 5  (Not in Use) Single Activity Cost - Annual Assumptions (Projected or Retrospective)</v>
      </c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</row>
    <row r="169" spans="1:14" s="10" customFormat="1" x14ac:dyDescent="0.2"/>
    <row r="170" spans="1:14" s="10" customFormat="1" x14ac:dyDescent="0.2">
      <c r="D170" s="114" t="str">
        <f>HL_LVL2_ACTV_10_Name</f>
        <v>IEC Soc Mob  Activity # 5  (Not in Use)</v>
      </c>
    </row>
    <row r="171" spans="1:14" s="10" customFormat="1" x14ac:dyDescent="0.2"/>
    <row r="172" spans="1:14" s="10" customFormat="1" x14ac:dyDescent="0.2">
      <c r="D172" s="50" t="str">
        <f>Lang_Select_Input_Currency</f>
        <v>Select Input Currency</v>
      </c>
      <c r="E172" s="72">
        <v>1</v>
      </c>
    </row>
    <row r="173" spans="1:14" s="10" customFormat="1" x14ac:dyDescent="0.2"/>
    <row r="174" spans="1:14" s="10" customFormat="1" x14ac:dyDescent="0.2">
      <c r="D174" s="50" t="str">
        <f>Lang_Select_Costing_Input_Method</f>
        <v>Select Costing Input Method</v>
      </c>
      <c r="E174" s="72">
        <v>2</v>
      </c>
    </row>
    <row r="175" spans="1:14" s="10" customFormat="1" x14ac:dyDescent="0.2">
      <c r="E175" s="76" t="str">
        <f>Lang_GoTo&amp;" "&amp;HL_LVL2_ACTV_10_Detailed_Costing_Worksheet</f>
        <v>Go to IEC Soc Mob  Activity # 5  (Not in Use) -  Detailed Activity Costing Worksheet - Instructions</v>
      </c>
    </row>
    <row r="176" spans="1:14" s="10" customFormat="1" x14ac:dyDescent="0.2">
      <c r="C176" s="55" t="s">
        <v>208</v>
      </c>
      <c r="D176" s="74" t="str">
        <f>Lang_Detailed_Costing_Worksheet_Estimate</f>
        <v>Detailed Costing Worksheet Estimate</v>
      </c>
    </row>
    <row r="177" spans="1:14" s="10" customFormat="1" x14ac:dyDescent="0.2">
      <c r="F177" s="366" t="str">
        <f>SOCMOB_Lu!$D$153</f>
        <v>LCU</v>
      </c>
      <c r="G177" s="366" t="str">
        <f>SOCMOB_Lu!$D$152</f>
        <v>USD</v>
      </c>
      <c r="J177" s="366" t="str">
        <f ca="1">OFFSET(SOCMOB_Lu!$D$151,DD_LVL2_ACTV_10_Annual_Currency_Select,0)</f>
        <v>USD</v>
      </c>
      <c r="K177" s="366" t="str">
        <f ca="1">OFFSET(SOCMOB_Lu!$D$151,DD_LVL2_ACTV_10_Annual_Currency_Select,0)</f>
        <v>USD</v>
      </c>
      <c r="L177" s="366" t="str">
        <f ca="1">OFFSET(SOCMOB_Lu!$D$151,DD_LVL2_ACTV_10_Annual_Currency_Select,0)</f>
        <v>USD</v>
      </c>
      <c r="M177" s="366" t="str">
        <f ca="1">OFFSET(SOCMOB_Lu!$D$151,DD_LVL2_ACTV_10_Annual_Currency_Select,0)</f>
        <v>USD</v>
      </c>
      <c r="N177" s="366" t="str">
        <f ca="1">OFFSET(SOCMOB_Lu!$D$151,DD_LVL2_ACTV_10_Annual_Currency_Select,0)</f>
        <v>USD</v>
      </c>
    </row>
    <row r="178" spans="1:14" s="10" customFormat="1" x14ac:dyDescent="0.2">
      <c r="D178" s="53" t="str">
        <f>SOCMOB_Lu!$D$172&amp;" "&amp;Lang_Cost_Of_A_Single&amp;" "&amp;$D$166&amp;" "&amp;Lang_Activity</f>
        <v>Financial Cost of a Single IEC Soc Mob  Activity # 5  (Not in Use) Activity</v>
      </c>
      <c r="F178" s="41">
        <f>COSTS_DETAILED_SUMMARY!E291</f>
        <v>0</v>
      </c>
      <c r="G178" s="116">
        <f>COSTS_DETAILED_SUMMARY!G291</f>
        <v>0</v>
      </c>
      <c r="J178" s="79">
        <f>IF(DD_LVL2_ACTV_10_Annual_Currency_Select=2,COSTS_DETAILED_SUMMARY!$E291,COSTS_DETAILED_SUMMARY!$G291)</f>
        <v>0</v>
      </c>
      <c r="K178" s="79">
        <f>IF(DD_LVL2_ACTV_10_Annual_Currency_Select=2,COSTS_DETAILED_SUMMARY!$E291,COSTS_DETAILED_SUMMARY!$G291)</f>
        <v>0</v>
      </c>
      <c r="L178" s="79">
        <f>IF(DD_LVL2_ACTV_10_Annual_Currency_Select=2,COSTS_DETAILED_SUMMARY!$E291,COSTS_DETAILED_SUMMARY!$G291)</f>
        <v>0</v>
      </c>
      <c r="M178" s="79">
        <f>IF(DD_LVL2_ACTV_10_Annual_Currency_Select=2,COSTS_DETAILED_SUMMARY!$E291,COSTS_DETAILED_SUMMARY!$G291)</f>
        <v>0</v>
      </c>
      <c r="N178" s="79">
        <f>IF(DD_LVL2_ACTV_10_Annual_Currency_Select=2,COSTS_DETAILED_SUMMARY!$E291,COSTS_DETAILED_SUMMARY!$G291)</f>
        <v>0</v>
      </c>
    </row>
    <row r="179" spans="1:14" s="10" customFormat="1" x14ac:dyDescent="0.2">
      <c r="D179" s="53" t="str">
        <f>SOCMOB_Lu!$D$173&amp;" "&amp;Lang_Cost_Of_A_Single&amp;" "&amp;$D$166&amp;" "&amp;Lang_Activity</f>
        <v>Economic Cost of a Single IEC Soc Mob  Activity # 5  (Not in Use) Activity</v>
      </c>
      <c r="F179" s="41">
        <f>COSTS_DETAILED_SUMMARY!F291</f>
        <v>0</v>
      </c>
      <c r="G179" s="116">
        <f>COSTS_DETAILED_SUMMARY!H291</f>
        <v>0</v>
      </c>
      <c r="J179" s="79">
        <f>IF(DD_LVL2_ACTV_10_Annual_Currency_Select=2,COSTS_DETAILED_SUMMARY!$F291,COSTS_DETAILED_SUMMARY!$H291)</f>
        <v>0</v>
      </c>
      <c r="K179" s="79">
        <f>IF(DD_LVL2_ACTV_10_Annual_Currency_Select=2,COSTS_DETAILED_SUMMARY!$F291,COSTS_DETAILED_SUMMARY!$H291)</f>
        <v>0</v>
      </c>
      <c r="L179" s="79">
        <f>IF(DD_LVL2_ACTV_10_Annual_Currency_Select=2,COSTS_DETAILED_SUMMARY!$F291,COSTS_DETAILED_SUMMARY!$H291)</f>
        <v>0</v>
      </c>
      <c r="M179" s="79">
        <f>IF(DD_LVL2_ACTV_10_Annual_Currency_Select=2,COSTS_DETAILED_SUMMARY!$F291,COSTS_DETAILED_SUMMARY!$H291)</f>
        <v>0</v>
      </c>
      <c r="N179" s="79">
        <f>IF(DD_LVL2_ACTV_10_Annual_Currency_Select=2,COSTS_DETAILED_SUMMARY!$F291,COSTS_DETAILED_SUMMARY!$H291)</f>
        <v>0</v>
      </c>
    </row>
    <row r="180" spans="1:14" s="10" customFormat="1" x14ac:dyDescent="0.2"/>
    <row r="181" spans="1:14" s="10" customFormat="1" x14ac:dyDescent="0.2"/>
    <row r="182" spans="1:14" s="10" customFormat="1" x14ac:dyDescent="0.2">
      <c r="C182" s="55" t="s">
        <v>210</v>
      </c>
      <c r="D182" s="74" t="str">
        <f>Lang_Direct_User_Entry_Cost_Estimate</f>
        <v>Direct User Entry Cost Estimate</v>
      </c>
      <c r="J182" s="366" t="str">
        <f ca="1">OFFSET(SOCMOB_Lu!$D$151,DD_LVL2_ACTV_10_Annual_Currency_Select,0)</f>
        <v>USD</v>
      </c>
      <c r="K182" s="366" t="str">
        <f ca="1">OFFSET(SOCMOB_Lu!$D$151,DD_LVL2_ACTV_10_Annual_Currency_Select,0)</f>
        <v>USD</v>
      </c>
      <c r="L182" s="366" t="str">
        <f ca="1">OFFSET(SOCMOB_Lu!$D$151,DD_LVL2_ACTV_10_Annual_Currency_Select,0)</f>
        <v>USD</v>
      </c>
      <c r="M182" s="366" t="str">
        <f ca="1">OFFSET(SOCMOB_Lu!$D$151,DD_LVL2_ACTV_10_Annual_Currency_Select,0)</f>
        <v>USD</v>
      </c>
      <c r="N182" s="366" t="str">
        <f ca="1">OFFSET(SOCMOB_Lu!$D$151,DD_LVL2_ACTV_10_Annual_Currency_Select,0)</f>
        <v>USD</v>
      </c>
    </row>
    <row r="183" spans="1:14" s="10" customFormat="1" x14ac:dyDescent="0.2">
      <c r="D183" s="53" t="str">
        <f>SOCMOB_Lu!$D$172&amp;" "&amp;Lang_Cost_Of_A_Single&amp;" "&amp;$D$166&amp;" "&amp;Lang_Activity</f>
        <v>Financial Cost of a Single IEC Soc Mob  Activity # 5  (Not in Use) Activity</v>
      </c>
      <c r="J183" s="80">
        <v>0</v>
      </c>
      <c r="K183" s="80">
        <v>0</v>
      </c>
      <c r="L183" s="80">
        <v>0</v>
      </c>
      <c r="M183" s="80">
        <v>0</v>
      </c>
      <c r="N183" s="80">
        <v>0</v>
      </c>
    </row>
    <row r="184" spans="1:14" s="10" customFormat="1" x14ac:dyDescent="0.2">
      <c r="D184" s="53" t="str">
        <f>SOCMOB_Lu!$D$173&amp;" "&amp;Lang_Cost_Of_A_Single&amp;" "&amp;$D$166&amp;" "&amp;Lang_Activity</f>
        <v>Economic Cost of a Single IEC Soc Mob  Activity # 5  (Not in Use) Activity</v>
      </c>
      <c r="J184" s="80">
        <v>0</v>
      </c>
      <c r="K184" s="80">
        <v>0</v>
      </c>
      <c r="L184" s="80">
        <v>0</v>
      </c>
      <c r="M184" s="80">
        <v>0</v>
      </c>
      <c r="N184" s="80">
        <v>0</v>
      </c>
    </row>
    <row r="185" spans="1:14" s="10" customFormat="1" x14ac:dyDescent="0.2">
      <c r="D185" s="55" t="str">
        <f>Lang_Error_Check_Checks_If_Override_Input_economic_Cost_Is_Less_Than_Financial_Cost</f>
        <v>ERROR CHECK (CHECKS IF OVERRIDE INPUT ECONOMIC COST IS LESS THAN FINANCIAL COST)</v>
      </c>
      <c r="H185" s="145">
        <f>IF(ISERROR(SUM(J185:N185)),1,MIN(SUM(J185:N185),1))</f>
        <v>0</v>
      </c>
      <c r="J185" s="42">
        <f t="shared" ref="J185:N185" si="7">IF(J184&lt;J183,1,0)</f>
        <v>0</v>
      </c>
      <c r="K185" s="42">
        <f t="shared" si="7"/>
        <v>0</v>
      </c>
      <c r="L185" s="42">
        <f t="shared" si="7"/>
        <v>0</v>
      </c>
      <c r="M185" s="42">
        <f t="shared" si="7"/>
        <v>0</v>
      </c>
      <c r="N185" s="42">
        <f t="shared" si="7"/>
        <v>0</v>
      </c>
    </row>
    <row r="186" spans="1:14" s="10" customFormat="1" x14ac:dyDescent="0.2"/>
    <row r="187" spans="1:14" s="10" customFormat="1" x14ac:dyDescent="0.2">
      <c r="D187" s="74" t="str">
        <f>Lang_Source_Of_Information_Notes</f>
        <v>Notes and Sources of Information</v>
      </c>
    </row>
    <row r="188" spans="1:14" s="10" customFormat="1" x14ac:dyDescent="0.2">
      <c r="D188" s="482" t="s">
        <v>596</v>
      </c>
      <c r="E188" s="482"/>
    </row>
    <row r="189" spans="1:14" s="10" customFormat="1" x14ac:dyDescent="0.2">
      <c r="D189" s="482" t="s">
        <v>596</v>
      </c>
      <c r="E189" s="482"/>
    </row>
    <row r="190" spans="1:14" s="10" customFormat="1" x14ac:dyDescent="0.2">
      <c r="D190" s="482" t="s">
        <v>596</v>
      </c>
      <c r="E190" s="482"/>
    </row>
    <row r="191" spans="1:14" s="10" customFormat="1" x14ac:dyDescent="0.2"/>
    <row r="192" spans="1:14" s="10" customFormat="1" x14ac:dyDescent="0.2">
      <c r="A192" s="12" t="s">
        <v>125</v>
      </c>
      <c r="B192" s="13" t="str">
        <f>Lang_Number_Of&amp;" "&amp;$D$166&amp;" "&amp;Lang_Activities_Annual_Assumptions_Projected_Or_Retrospective</f>
        <v>Number of IEC Soc Mob  Activity # 5  (Not in Use) Activities - Annual Assumptions (Projected or Retrospective)</v>
      </c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</row>
    <row r="193" spans="1:14" s="10" customFormat="1" x14ac:dyDescent="0.2"/>
    <row r="194" spans="1:14" s="10" customFormat="1" x14ac:dyDescent="0.2">
      <c r="D194" s="71" t="str">
        <f>HL_LVL2_ACTV_10_Name&amp;" - "&amp;Lang_Number_Of_Activities_Per_Year&amp;" ("&amp;Lang_Projected_Or_Retrospective&amp;")"</f>
        <v>IEC Soc Mob  Activity # 5  (Not in Use) - Number of Activities per Year (Projected or Retrospective)</v>
      </c>
    </row>
    <row r="195" spans="1:14" s="10" customFormat="1" x14ac:dyDescent="0.2"/>
    <row r="196" spans="1:14" s="10" customFormat="1" x14ac:dyDescent="0.2">
      <c r="D196" s="50" t="str">
        <f>Lang_Number_Of_Activities_Per_Year</f>
        <v>Number of Activities per Year</v>
      </c>
      <c r="J196" s="324">
        <v>0</v>
      </c>
      <c r="K196" s="324">
        <v>0</v>
      </c>
      <c r="L196" s="324">
        <v>0</v>
      </c>
      <c r="M196" s="324">
        <v>0</v>
      </c>
      <c r="N196" s="324">
        <v>0</v>
      </c>
    </row>
    <row r="197" spans="1:14" s="10" customFormat="1" hidden="1" x14ac:dyDescent="0.2">
      <c r="D197" s="71" t="str">
        <f>D194</f>
        <v>IEC Soc Mob  Activity # 5  (Not in Use) - Number of Activities per Year (Projected or Retrospective)</v>
      </c>
      <c r="J197" s="41">
        <f t="shared" ref="J197:N197" si="8">SUM(J196:J196)</f>
        <v>0</v>
      </c>
      <c r="K197" s="41">
        <f t="shared" si="8"/>
        <v>0</v>
      </c>
      <c r="L197" s="41">
        <f t="shared" si="8"/>
        <v>0</v>
      </c>
      <c r="M197" s="41">
        <f t="shared" si="8"/>
        <v>0</v>
      </c>
      <c r="N197" s="41">
        <f t="shared" si="8"/>
        <v>0</v>
      </c>
    </row>
    <row r="198" spans="1:14" s="10" customFormat="1" x14ac:dyDescent="0.2"/>
    <row r="199" spans="1:14" s="10" customFormat="1" x14ac:dyDescent="0.2">
      <c r="D199" s="74" t="str">
        <f>Lang_Source_Of_Information_Notes</f>
        <v>Notes and Sources of Information</v>
      </c>
    </row>
    <row r="200" spans="1:14" s="10" customFormat="1" x14ac:dyDescent="0.2">
      <c r="D200" s="482" t="s">
        <v>596</v>
      </c>
      <c r="E200" s="482"/>
    </row>
    <row r="201" spans="1:14" s="10" customFormat="1" x14ac:dyDescent="0.2">
      <c r="D201" s="482" t="s">
        <v>596</v>
      </c>
      <c r="E201" s="482"/>
    </row>
    <row r="202" spans="1:14" s="10" customFormat="1" x14ac:dyDescent="0.2">
      <c r="D202" s="482" t="s">
        <v>596</v>
      </c>
      <c r="E202" s="482"/>
    </row>
    <row r="203" spans="1:14" s="10" customFormat="1" x14ac:dyDescent="0.2"/>
    <row r="204" spans="1:14" s="10" customFormat="1" x14ac:dyDescent="0.2">
      <c r="D204" s="76" t="str">
        <f>Lang_GoTo&amp;" "&amp;HL_LVL2_ACTV_10_Activity_Summary_Costs_Annual</f>
        <v>Go to IEC Soc Mob  Activity # 5  (Not in Use) - Summary Costs (Annual)</v>
      </c>
    </row>
    <row r="205" spans="1:14" s="10" customFormat="1" x14ac:dyDescent="0.2"/>
    <row r="206" spans="1:14" s="10" customFormat="1" x14ac:dyDescent="0.2">
      <c r="A206" s="12" t="s">
        <v>125</v>
      </c>
      <c r="B206" s="13" t="str">
        <f>HL_LVL2_ACTV_11_Name&amp;" "&amp;Lang_Name</f>
        <v>IEC Soc Mob  Activity # 6 (Not in Use) Name</v>
      </c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</row>
    <row r="207" spans="1:14" s="10" customFormat="1" x14ac:dyDescent="0.2"/>
    <row r="208" spans="1:14" s="10" customFormat="1" x14ac:dyDescent="0.2">
      <c r="D208" s="55" t="str">
        <f>Lang_IEC_Social_Mobilisation_Activity_Name</f>
        <v>IEC/ Social Mobilisation Activity Name</v>
      </c>
    </row>
    <row r="209" spans="1:14" s="10" customFormat="1" x14ac:dyDescent="0.2">
      <c r="D209" s="75" t="s">
        <v>491</v>
      </c>
    </row>
    <row r="210" spans="1:14" s="10" customFormat="1" x14ac:dyDescent="0.2"/>
    <row r="211" spans="1:14" s="10" customFormat="1" x14ac:dyDescent="0.2">
      <c r="A211" s="12" t="s">
        <v>125</v>
      </c>
      <c r="B211" s="13" t="str">
        <f>HL_LVL2_ACTV_11_Name&amp;" "&amp;Lang_Single_Activity_Cost_Annual_Assumptions_Projected_Or_Retrospective</f>
        <v>IEC Soc Mob  Activity # 6 (Not in Use) Single Activity Cost - Annual Assumptions (Projected or Retrospective)</v>
      </c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</row>
    <row r="212" spans="1:14" s="10" customFormat="1" x14ac:dyDescent="0.2"/>
    <row r="213" spans="1:14" s="10" customFormat="1" x14ac:dyDescent="0.2">
      <c r="D213" s="114" t="str">
        <f>HL_LVL2_ACTV_11_Name</f>
        <v>IEC Soc Mob  Activity # 6 (Not in Use)</v>
      </c>
    </row>
    <row r="214" spans="1:14" s="10" customFormat="1" x14ac:dyDescent="0.2"/>
    <row r="215" spans="1:14" s="10" customFormat="1" x14ac:dyDescent="0.2">
      <c r="D215" s="50" t="str">
        <f>Lang_Select_Input_Currency</f>
        <v>Select Input Currency</v>
      </c>
      <c r="E215" s="72">
        <v>1</v>
      </c>
    </row>
    <row r="216" spans="1:14" s="10" customFormat="1" x14ac:dyDescent="0.2"/>
    <row r="217" spans="1:14" s="10" customFormat="1" x14ac:dyDescent="0.2">
      <c r="D217" s="50" t="str">
        <f>Lang_Select_Costing_Input_Method</f>
        <v>Select Costing Input Method</v>
      </c>
      <c r="E217" s="72">
        <v>2</v>
      </c>
    </row>
    <row r="218" spans="1:14" s="10" customFormat="1" x14ac:dyDescent="0.2">
      <c r="E218" s="76" t="str">
        <f>Lang_GoTo&amp;" "&amp;HL_LVL2_ACTV_11_Detailed_Costing_Worksheet</f>
        <v>Go to IEC Soc Mob  Activity # 6 (Not in Use) -  Detailed Activity Costing Worksheet - Instructions</v>
      </c>
    </row>
    <row r="219" spans="1:14" s="10" customFormat="1" x14ac:dyDescent="0.2">
      <c r="C219" s="55" t="s">
        <v>208</v>
      </c>
      <c r="D219" s="74" t="str">
        <f>Lang_Detailed_Costing_Worksheet_Estimate</f>
        <v>Detailed Costing Worksheet Estimate</v>
      </c>
    </row>
    <row r="220" spans="1:14" s="10" customFormat="1" x14ac:dyDescent="0.2">
      <c r="F220" s="366" t="str">
        <f>SOCMOB_Lu!$D$188</f>
        <v>LCU</v>
      </c>
      <c r="G220" s="366" t="str">
        <f>SOCMOB_Lu!$D$187</f>
        <v>USD</v>
      </c>
      <c r="J220" s="366" t="str">
        <f ca="1">OFFSET(SOCMOB_Lu!$D$186,DD_LVL2_ACTV_11_Annual_Currency_Select,0)</f>
        <v>USD</v>
      </c>
      <c r="K220" s="366" t="str">
        <f ca="1">OFFSET(SOCMOB_Lu!$D$186,DD_LVL2_ACTV_11_Annual_Currency_Select,0)</f>
        <v>USD</v>
      </c>
      <c r="L220" s="366" t="str">
        <f ca="1">OFFSET(SOCMOB_Lu!$D$186,DD_LVL2_ACTV_11_Annual_Currency_Select,0)</f>
        <v>USD</v>
      </c>
      <c r="M220" s="366" t="str">
        <f ca="1">OFFSET(SOCMOB_Lu!$D$186,DD_LVL2_ACTV_11_Annual_Currency_Select,0)</f>
        <v>USD</v>
      </c>
      <c r="N220" s="366" t="str">
        <f ca="1">OFFSET(SOCMOB_Lu!$D$186,DD_LVL2_ACTV_11_Annual_Currency_Select,0)</f>
        <v>USD</v>
      </c>
    </row>
    <row r="221" spans="1:14" s="10" customFormat="1" x14ac:dyDescent="0.2">
      <c r="D221" s="53" t="str">
        <f>SOCMOB_Lu!$D$207&amp;" "&amp;Lang_Cost_Of_A_Single&amp;" "&amp;$D$209&amp;" "&amp;Lang_Activity</f>
        <v>Financial Cost of a Single IEC Soc Mob  Activity # 6 (Not in Use) Activity</v>
      </c>
      <c r="F221" s="41">
        <f>COSTS_DETAILED_SUMMARY!E307</f>
        <v>0</v>
      </c>
      <c r="G221" s="116">
        <f>COSTS_DETAILED_SUMMARY!G307</f>
        <v>0</v>
      </c>
      <c r="J221" s="79">
        <f>IF(DD_LVL2_ACTV_11_Annual_Currency_Select=2,COSTS_DETAILED_SUMMARY!$E307,COSTS_DETAILED_SUMMARY!$G307)</f>
        <v>0</v>
      </c>
      <c r="K221" s="79">
        <f>IF(DD_LVL2_ACTV_11_Annual_Currency_Select=2,COSTS_DETAILED_SUMMARY!$E307,COSTS_DETAILED_SUMMARY!$G307)</f>
        <v>0</v>
      </c>
      <c r="L221" s="79">
        <f>IF(DD_LVL2_ACTV_11_Annual_Currency_Select=2,COSTS_DETAILED_SUMMARY!$E307,COSTS_DETAILED_SUMMARY!$G307)</f>
        <v>0</v>
      </c>
      <c r="M221" s="79">
        <f>IF(DD_LVL2_ACTV_11_Annual_Currency_Select=2,COSTS_DETAILED_SUMMARY!$E307,COSTS_DETAILED_SUMMARY!$G307)</f>
        <v>0</v>
      </c>
      <c r="N221" s="79">
        <f>IF(DD_LVL2_ACTV_11_Annual_Currency_Select=2,COSTS_DETAILED_SUMMARY!$E307,COSTS_DETAILED_SUMMARY!$G307)</f>
        <v>0</v>
      </c>
    </row>
    <row r="222" spans="1:14" s="10" customFormat="1" x14ac:dyDescent="0.2">
      <c r="D222" s="53" t="str">
        <f>SOCMOB_Lu!$D$208&amp;" "&amp;Lang_Cost_Of_A_Single&amp;" "&amp;$D$209&amp;" "&amp;Lang_Activity</f>
        <v>Economic Cost of a Single IEC Soc Mob  Activity # 6 (Not in Use) Activity</v>
      </c>
      <c r="F222" s="41">
        <f>COSTS_DETAILED_SUMMARY!F307</f>
        <v>0</v>
      </c>
      <c r="G222" s="116">
        <f>COSTS_DETAILED_SUMMARY!H307</f>
        <v>0</v>
      </c>
      <c r="J222" s="79">
        <f>IF(DD_LVL2_ACTV_11_Annual_Currency_Select=2,COSTS_DETAILED_SUMMARY!$F307,COSTS_DETAILED_SUMMARY!$H307)</f>
        <v>0</v>
      </c>
      <c r="K222" s="79">
        <f>IF(DD_LVL2_ACTV_11_Annual_Currency_Select=2,COSTS_DETAILED_SUMMARY!$F307,COSTS_DETAILED_SUMMARY!$H307)</f>
        <v>0</v>
      </c>
      <c r="L222" s="79">
        <f>IF(DD_LVL2_ACTV_11_Annual_Currency_Select=2,COSTS_DETAILED_SUMMARY!$F307,COSTS_DETAILED_SUMMARY!$H307)</f>
        <v>0</v>
      </c>
      <c r="M222" s="79">
        <f>IF(DD_LVL2_ACTV_11_Annual_Currency_Select=2,COSTS_DETAILED_SUMMARY!$F307,COSTS_DETAILED_SUMMARY!$H307)</f>
        <v>0</v>
      </c>
      <c r="N222" s="79">
        <f>IF(DD_LVL2_ACTV_11_Annual_Currency_Select=2,COSTS_DETAILED_SUMMARY!$F307,COSTS_DETAILED_SUMMARY!$H307)</f>
        <v>0</v>
      </c>
    </row>
    <row r="223" spans="1:14" s="10" customFormat="1" x14ac:dyDescent="0.2"/>
    <row r="224" spans="1:14" s="10" customFormat="1" x14ac:dyDescent="0.2"/>
    <row r="225" spans="1:14" s="10" customFormat="1" x14ac:dyDescent="0.2">
      <c r="C225" s="55" t="s">
        <v>210</v>
      </c>
      <c r="D225" s="74" t="str">
        <f>Lang_Direct_User_Entry_Cost_Estimate</f>
        <v>Direct User Entry Cost Estimate</v>
      </c>
      <c r="J225" s="366" t="str">
        <f ca="1">OFFSET(SOCMOB_Lu!$D$186,DD_LVL2_ACTV_11_Annual_Currency_Select,0)</f>
        <v>USD</v>
      </c>
      <c r="K225" s="366" t="str">
        <f ca="1">OFFSET(SOCMOB_Lu!$D$186,DD_LVL2_ACTV_11_Annual_Currency_Select,0)</f>
        <v>USD</v>
      </c>
      <c r="L225" s="366" t="str">
        <f ca="1">OFFSET(SOCMOB_Lu!$D$186,DD_LVL2_ACTV_11_Annual_Currency_Select,0)</f>
        <v>USD</v>
      </c>
      <c r="M225" s="366" t="str">
        <f ca="1">OFFSET(SOCMOB_Lu!$D$186,DD_LVL2_ACTV_11_Annual_Currency_Select,0)</f>
        <v>USD</v>
      </c>
      <c r="N225" s="366" t="str">
        <f ca="1">OFFSET(SOCMOB_Lu!$D$186,DD_LVL2_ACTV_11_Annual_Currency_Select,0)</f>
        <v>USD</v>
      </c>
    </row>
    <row r="226" spans="1:14" s="10" customFormat="1" x14ac:dyDescent="0.2">
      <c r="D226" s="53" t="str">
        <f>SOCMOB_Lu!$D$207&amp;" "&amp;Lang_Cost_Of_A_Single&amp;" "&amp;$D$209&amp;" "&amp;Lang_Activity</f>
        <v>Financial Cost of a Single IEC Soc Mob  Activity # 6 (Not in Use) Activity</v>
      </c>
      <c r="J226" s="80">
        <v>0</v>
      </c>
      <c r="K226" s="80">
        <v>0</v>
      </c>
      <c r="L226" s="80">
        <v>0</v>
      </c>
      <c r="M226" s="80">
        <v>0</v>
      </c>
      <c r="N226" s="80">
        <v>0</v>
      </c>
    </row>
    <row r="227" spans="1:14" s="10" customFormat="1" x14ac:dyDescent="0.2">
      <c r="D227" s="53" t="str">
        <f>SOCMOB_Lu!$D$208&amp;" "&amp;Lang_Cost_Of_A_Single&amp;" "&amp;$D$209&amp;" "&amp;Lang_Activity</f>
        <v>Economic Cost of a Single IEC Soc Mob  Activity # 6 (Not in Use) Activity</v>
      </c>
      <c r="J227" s="80">
        <v>0</v>
      </c>
      <c r="K227" s="80">
        <v>0</v>
      </c>
      <c r="L227" s="80">
        <v>0</v>
      </c>
      <c r="M227" s="80">
        <v>0</v>
      </c>
      <c r="N227" s="80">
        <v>0</v>
      </c>
    </row>
    <row r="228" spans="1:14" s="10" customFormat="1" x14ac:dyDescent="0.2">
      <c r="D228" s="55" t="str">
        <f>Lang_Error_Check_Checks_If_Override_Input_economic_Cost_Is_Less_Than_Financial_Cost</f>
        <v>ERROR CHECK (CHECKS IF OVERRIDE INPUT ECONOMIC COST IS LESS THAN FINANCIAL COST)</v>
      </c>
      <c r="H228" s="145">
        <f>IF(ISERROR(SUM(J228:N228)),1,MIN(SUM(J228:N228),1))</f>
        <v>0</v>
      </c>
      <c r="J228" s="42">
        <f t="shared" ref="J228:N228" si="9">IF(J227&lt;J226,1,0)</f>
        <v>0</v>
      </c>
      <c r="K228" s="42">
        <f t="shared" si="9"/>
        <v>0</v>
      </c>
      <c r="L228" s="42">
        <f t="shared" si="9"/>
        <v>0</v>
      </c>
      <c r="M228" s="42">
        <f t="shared" si="9"/>
        <v>0</v>
      </c>
      <c r="N228" s="42">
        <f t="shared" si="9"/>
        <v>0</v>
      </c>
    </row>
    <row r="229" spans="1:14" s="10" customFormat="1" x14ac:dyDescent="0.2"/>
    <row r="230" spans="1:14" s="10" customFormat="1" x14ac:dyDescent="0.2">
      <c r="D230" s="74" t="str">
        <f>Lang_Source_Of_Information_Notes</f>
        <v>Notes and Sources of Information</v>
      </c>
    </row>
    <row r="231" spans="1:14" s="10" customFormat="1" x14ac:dyDescent="0.2">
      <c r="D231" s="482" t="s">
        <v>596</v>
      </c>
      <c r="E231" s="482"/>
    </row>
    <row r="232" spans="1:14" s="10" customFormat="1" x14ac:dyDescent="0.2">
      <c r="D232" s="482" t="s">
        <v>596</v>
      </c>
      <c r="E232" s="482"/>
    </row>
    <row r="233" spans="1:14" s="10" customFormat="1" x14ac:dyDescent="0.2">
      <c r="D233" s="482" t="s">
        <v>596</v>
      </c>
      <c r="E233" s="482"/>
    </row>
    <row r="234" spans="1:14" s="10" customFormat="1" x14ac:dyDescent="0.2"/>
    <row r="235" spans="1:14" s="10" customFormat="1" x14ac:dyDescent="0.2">
      <c r="A235" s="12" t="s">
        <v>125</v>
      </c>
      <c r="B235" s="13" t="str">
        <f>Lang_Number_Of&amp;" "&amp;$D$209&amp;" "&amp;Lang_Activities_Annual_Assumptions_Projected_Or_Retrospective</f>
        <v>Number of IEC Soc Mob  Activity # 6 (Not in Use) Activities - Annual Assumptions (Projected or Retrospective)</v>
      </c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</row>
    <row r="236" spans="1:14" s="10" customFormat="1" x14ac:dyDescent="0.2"/>
    <row r="237" spans="1:14" s="10" customFormat="1" x14ac:dyDescent="0.2">
      <c r="D237" s="71" t="str">
        <f>HL_LVL2_ACTV_11_Name&amp;" - "&amp;Lang_Number_Of_Activities_Per_Year&amp;" ("&amp;Lang_Projected_Or_Retrospective&amp;")"</f>
        <v>IEC Soc Mob  Activity # 6 (Not in Use) - Number of Activities per Year (Projected or Retrospective)</v>
      </c>
    </row>
    <row r="238" spans="1:14" s="10" customFormat="1" x14ac:dyDescent="0.2"/>
    <row r="239" spans="1:14" s="10" customFormat="1" x14ac:dyDescent="0.2">
      <c r="D239" s="50" t="str">
        <f>Lang_Number_Of_Activities_Per_Year</f>
        <v>Number of Activities per Year</v>
      </c>
      <c r="J239" s="324">
        <v>0</v>
      </c>
      <c r="K239" s="324">
        <v>0</v>
      </c>
      <c r="L239" s="324">
        <v>0</v>
      </c>
      <c r="M239" s="324">
        <v>0</v>
      </c>
      <c r="N239" s="324">
        <v>0</v>
      </c>
    </row>
    <row r="240" spans="1:14" s="10" customFormat="1" hidden="1" x14ac:dyDescent="0.2">
      <c r="D240" s="71" t="str">
        <f>D237</f>
        <v>IEC Soc Mob  Activity # 6 (Not in Use) - Number of Activities per Year (Projected or Retrospective)</v>
      </c>
      <c r="J240" s="41">
        <f t="shared" ref="J240:N240" si="10">SUM(J239:J239)</f>
        <v>0</v>
      </c>
      <c r="K240" s="41">
        <f t="shared" si="10"/>
        <v>0</v>
      </c>
      <c r="L240" s="41">
        <f t="shared" si="10"/>
        <v>0</v>
      </c>
      <c r="M240" s="41">
        <f t="shared" si="10"/>
        <v>0</v>
      </c>
      <c r="N240" s="41">
        <f t="shared" si="10"/>
        <v>0</v>
      </c>
    </row>
    <row r="241" spans="1:14" s="10" customFormat="1" x14ac:dyDescent="0.2"/>
    <row r="242" spans="1:14" s="10" customFormat="1" x14ac:dyDescent="0.2">
      <c r="D242" s="74" t="str">
        <f>Lang_Source_Of_Information_Notes</f>
        <v>Notes and Sources of Information</v>
      </c>
    </row>
    <row r="243" spans="1:14" s="10" customFormat="1" x14ac:dyDescent="0.2">
      <c r="D243" s="482" t="s">
        <v>596</v>
      </c>
      <c r="E243" s="482"/>
    </row>
    <row r="244" spans="1:14" s="10" customFormat="1" x14ac:dyDescent="0.2">
      <c r="D244" s="482" t="s">
        <v>596</v>
      </c>
      <c r="E244" s="482"/>
    </row>
    <row r="245" spans="1:14" s="10" customFormat="1" x14ac:dyDescent="0.2">
      <c r="D245" s="482" t="s">
        <v>596</v>
      </c>
      <c r="E245" s="482"/>
    </row>
    <row r="246" spans="1:14" s="10" customFormat="1" x14ac:dyDescent="0.2"/>
    <row r="247" spans="1:14" s="10" customFormat="1" x14ac:dyDescent="0.2">
      <c r="D247" s="76" t="str">
        <f>Lang_GoTo&amp;" "&amp;HL_LVL2_ACTV_11_Activity_Summary_Costs_Annual</f>
        <v>Go to IEC Soc Mob  Activity # 6 (Not in Use) - Summary Costs (Annual)</v>
      </c>
    </row>
    <row r="248" spans="1:14" s="10" customFormat="1" x14ac:dyDescent="0.2"/>
    <row r="249" spans="1:14" s="10" customFormat="1" x14ac:dyDescent="0.2">
      <c r="A249" s="12" t="s">
        <v>125</v>
      </c>
      <c r="B249" s="13" t="str">
        <f>HL_LVL2_ACTV_8_Name&amp;" "&amp;Lang_Name</f>
        <v>IEC Soc Mob  Activity # 7 (Not in Use) Name</v>
      </c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</row>
    <row r="250" spans="1:14" s="10" customFormat="1" x14ac:dyDescent="0.2"/>
    <row r="251" spans="1:14" s="10" customFormat="1" x14ac:dyDescent="0.2">
      <c r="D251" s="55" t="str">
        <f>Lang_IEC_Social_Mobilisation_Activity_Name</f>
        <v>IEC/ Social Mobilisation Activity Name</v>
      </c>
    </row>
    <row r="252" spans="1:14" s="10" customFormat="1" x14ac:dyDescent="0.2">
      <c r="D252" s="75" t="s">
        <v>492</v>
      </c>
    </row>
    <row r="253" spans="1:14" s="10" customFormat="1" x14ac:dyDescent="0.2"/>
    <row r="254" spans="1:14" s="10" customFormat="1" x14ac:dyDescent="0.2">
      <c r="A254" s="12" t="s">
        <v>125</v>
      </c>
      <c r="B254" s="13" t="str">
        <f>HL_LVL2_ACTV_8_Name&amp;" "&amp;Lang_Single_Activity_Cost_Annual_Assumptions_Projected_Or_Retrospective</f>
        <v>IEC Soc Mob  Activity # 7 (Not in Use) Single Activity Cost - Annual Assumptions (Projected or Retrospective)</v>
      </c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</row>
    <row r="255" spans="1:14" s="10" customFormat="1" x14ac:dyDescent="0.2"/>
    <row r="256" spans="1:14" s="10" customFormat="1" x14ac:dyDescent="0.2">
      <c r="D256" s="114" t="str">
        <f>HL_LVL2_ACTV_8_Name</f>
        <v>IEC Soc Mob  Activity # 7 (Not in Use)</v>
      </c>
    </row>
    <row r="257" spans="3:14" s="10" customFormat="1" x14ac:dyDescent="0.2"/>
    <row r="258" spans="3:14" s="10" customFormat="1" x14ac:dyDescent="0.2">
      <c r="D258" s="50" t="str">
        <f>Lang_Select_Input_Currency</f>
        <v>Select Input Currency</v>
      </c>
      <c r="E258" s="72">
        <v>1</v>
      </c>
    </row>
    <row r="259" spans="3:14" s="10" customFormat="1" x14ac:dyDescent="0.2"/>
    <row r="260" spans="3:14" s="10" customFormat="1" x14ac:dyDescent="0.2">
      <c r="D260" s="50" t="str">
        <f>Lang_Select_Costing_Input_Method</f>
        <v>Select Costing Input Method</v>
      </c>
      <c r="E260" s="72">
        <v>2</v>
      </c>
    </row>
    <row r="261" spans="3:14" s="10" customFormat="1" x14ac:dyDescent="0.2">
      <c r="E261" s="76" t="str">
        <f>Lang_GoTo&amp;" "&amp;HL_LVL2_ACTV_8_Detailed_Costing_Worksheet</f>
        <v>Go to IEC Soc Mob  Activity # 7 (Not in Use) -  Detailed Activity Costing Worksheet - Instructions</v>
      </c>
    </row>
    <row r="262" spans="3:14" s="10" customFormat="1" x14ac:dyDescent="0.2">
      <c r="C262" s="55" t="s">
        <v>208</v>
      </c>
      <c r="D262" s="74" t="str">
        <f>Lang_Detailed_Costing_Worksheet_Estimate</f>
        <v>Detailed Costing Worksheet Estimate</v>
      </c>
    </row>
    <row r="263" spans="3:14" s="10" customFormat="1" x14ac:dyDescent="0.2">
      <c r="F263" s="366" t="str">
        <f>SOCMOB_Lu!$D$223</f>
        <v>LCU</v>
      </c>
      <c r="G263" s="366" t="str">
        <f>SOCMOB_Lu!$D$222</f>
        <v>USD</v>
      </c>
      <c r="J263" s="366" t="str">
        <f ca="1">OFFSET(SOCMOB_Lu!$D$221,DD_LVL2_ACTV_8_Annual_Currency_Select,0)</f>
        <v>USD</v>
      </c>
      <c r="K263" s="366" t="str">
        <f ca="1">OFFSET(SOCMOB_Lu!$D$221,DD_LVL2_ACTV_8_Annual_Currency_Select,0)</f>
        <v>USD</v>
      </c>
      <c r="L263" s="366" t="str">
        <f ca="1">OFFSET(SOCMOB_Lu!$D$221,DD_LVL2_ACTV_8_Annual_Currency_Select,0)</f>
        <v>USD</v>
      </c>
      <c r="M263" s="366" t="str">
        <f ca="1">OFFSET(SOCMOB_Lu!$D$221,DD_LVL2_ACTV_8_Annual_Currency_Select,0)</f>
        <v>USD</v>
      </c>
      <c r="N263" s="366" t="str">
        <f ca="1">OFFSET(SOCMOB_Lu!$D$221,DD_LVL2_ACTV_8_Annual_Currency_Select,0)</f>
        <v>USD</v>
      </c>
    </row>
    <row r="264" spans="3:14" s="10" customFormat="1" x14ac:dyDescent="0.2">
      <c r="D264" s="53" t="str">
        <f>SOCMOB_Lu!$D$242&amp;" "&amp;Lang_Cost_Of_A_Single&amp;" "&amp;$D$252&amp;" "&amp;Lang_Activity</f>
        <v>Financial Cost of a Single IEC Soc Mob  Activity # 7 (Not in Use) Activity</v>
      </c>
      <c r="F264" s="41">
        <f>COSTS_DETAILED_SUMMARY!E323</f>
        <v>0</v>
      </c>
      <c r="G264" s="116">
        <f>COSTS_DETAILED_SUMMARY!G323</f>
        <v>0</v>
      </c>
      <c r="J264" s="79">
        <f>IF(DD_LVL2_ACTV_8_Annual_Currency_Select=2,COSTS_DETAILED_SUMMARY!$E323,COSTS_DETAILED_SUMMARY!$G323)</f>
        <v>0</v>
      </c>
      <c r="K264" s="79">
        <f>IF(DD_LVL2_ACTV_8_Annual_Currency_Select=2,COSTS_DETAILED_SUMMARY!$E323,COSTS_DETAILED_SUMMARY!$G323)</f>
        <v>0</v>
      </c>
      <c r="L264" s="79">
        <f>IF(DD_LVL2_ACTV_8_Annual_Currency_Select=2,COSTS_DETAILED_SUMMARY!$E323,COSTS_DETAILED_SUMMARY!$G323)</f>
        <v>0</v>
      </c>
      <c r="M264" s="79">
        <f>IF(DD_LVL2_ACTV_8_Annual_Currency_Select=2,COSTS_DETAILED_SUMMARY!$E323,COSTS_DETAILED_SUMMARY!$G323)</f>
        <v>0</v>
      </c>
      <c r="N264" s="79">
        <f>IF(DD_LVL2_ACTV_8_Annual_Currency_Select=2,COSTS_DETAILED_SUMMARY!$E323,COSTS_DETAILED_SUMMARY!$G323)</f>
        <v>0</v>
      </c>
    </row>
    <row r="265" spans="3:14" s="10" customFormat="1" x14ac:dyDescent="0.2">
      <c r="D265" s="53" t="str">
        <f>SOCMOB_Lu!$D$243&amp;" "&amp;Lang_Cost_Of_A_Single&amp;" "&amp;$D$252&amp;" "&amp;Lang_Activity</f>
        <v>Economic Cost of a Single IEC Soc Mob  Activity # 7 (Not in Use) Activity</v>
      </c>
      <c r="F265" s="41">
        <f>COSTS_DETAILED_SUMMARY!F323</f>
        <v>0</v>
      </c>
      <c r="G265" s="116">
        <f>COSTS_DETAILED_SUMMARY!H323</f>
        <v>0</v>
      </c>
      <c r="J265" s="79">
        <f>IF(DD_LVL2_ACTV_8_Annual_Currency_Select=2,COSTS_DETAILED_SUMMARY!$F323,COSTS_DETAILED_SUMMARY!$H323)</f>
        <v>0</v>
      </c>
      <c r="K265" s="79">
        <f>IF(DD_LVL2_ACTV_8_Annual_Currency_Select=2,COSTS_DETAILED_SUMMARY!$F323,COSTS_DETAILED_SUMMARY!$H323)</f>
        <v>0</v>
      </c>
      <c r="L265" s="79">
        <f>IF(DD_LVL2_ACTV_8_Annual_Currency_Select=2,COSTS_DETAILED_SUMMARY!$F323,COSTS_DETAILED_SUMMARY!$H323)</f>
        <v>0</v>
      </c>
      <c r="M265" s="79">
        <f>IF(DD_LVL2_ACTV_8_Annual_Currency_Select=2,COSTS_DETAILED_SUMMARY!$F323,COSTS_DETAILED_SUMMARY!$H323)</f>
        <v>0</v>
      </c>
      <c r="N265" s="79">
        <f>IF(DD_LVL2_ACTV_8_Annual_Currency_Select=2,COSTS_DETAILED_SUMMARY!$F323,COSTS_DETAILED_SUMMARY!$H323)</f>
        <v>0</v>
      </c>
    </row>
    <row r="266" spans="3:14" s="10" customFormat="1" x14ac:dyDescent="0.2"/>
    <row r="267" spans="3:14" s="10" customFormat="1" x14ac:dyDescent="0.2"/>
    <row r="268" spans="3:14" s="10" customFormat="1" x14ac:dyDescent="0.2">
      <c r="C268" s="55" t="s">
        <v>210</v>
      </c>
      <c r="D268" s="74" t="str">
        <f>Lang_Direct_User_Entry_Cost_Estimate</f>
        <v>Direct User Entry Cost Estimate</v>
      </c>
      <c r="J268" s="366" t="str">
        <f ca="1">OFFSET(SOCMOB_Lu!$D$221,DD_LVL2_ACTV_8_Annual_Currency_Select,0)</f>
        <v>USD</v>
      </c>
      <c r="K268" s="366" t="str">
        <f ca="1">OFFSET(SOCMOB_Lu!$D$221,DD_LVL2_ACTV_8_Annual_Currency_Select,0)</f>
        <v>USD</v>
      </c>
      <c r="L268" s="366" t="str">
        <f ca="1">OFFSET(SOCMOB_Lu!$D$221,DD_LVL2_ACTV_8_Annual_Currency_Select,0)</f>
        <v>USD</v>
      </c>
      <c r="M268" s="366" t="str">
        <f ca="1">OFFSET(SOCMOB_Lu!$D$221,DD_LVL2_ACTV_8_Annual_Currency_Select,0)</f>
        <v>USD</v>
      </c>
      <c r="N268" s="366" t="str">
        <f ca="1">OFFSET(SOCMOB_Lu!$D$221,DD_LVL2_ACTV_8_Annual_Currency_Select,0)</f>
        <v>USD</v>
      </c>
    </row>
    <row r="269" spans="3:14" s="10" customFormat="1" x14ac:dyDescent="0.2">
      <c r="D269" s="53" t="str">
        <f>SOCMOB_Lu!$D$242&amp;" "&amp;Lang_Cost_Of_A_Single&amp;" "&amp;$D$252&amp;" "&amp;Lang_Activity</f>
        <v>Financial Cost of a Single IEC Soc Mob  Activity # 7 (Not in Use) Activity</v>
      </c>
      <c r="J269" s="80">
        <v>0</v>
      </c>
      <c r="K269" s="80">
        <v>0</v>
      </c>
      <c r="L269" s="80">
        <v>0</v>
      </c>
      <c r="M269" s="80">
        <v>0</v>
      </c>
      <c r="N269" s="80">
        <v>0</v>
      </c>
    </row>
    <row r="270" spans="3:14" s="10" customFormat="1" x14ac:dyDescent="0.2">
      <c r="D270" s="53" t="str">
        <f>SOCMOB_Lu!$D$243&amp;" "&amp;Lang_Cost_Of_A_Single&amp;" "&amp;$D$252&amp;" "&amp;Lang_Activity</f>
        <v>Economic Cost of a Single IEC Soc Mob  Activity # 7 (Not in Use) Activity</v>
      </c>
      <c r="J270" s="80">
        <v>0</v>
      </c>
      <c r="K270" s="80">
        <v>0</v>
      </c>
      <c r="L270" s="80">
        <v>0</v>
      </c>
      <c r="M270" s="80">
        <v>0</v>
      </c>
      <c r="N270" s="80">
        <v>0</v>
      </c>
    </row>
    <row r="271" spans="3:14" s="10" customFormat="1" x14ac:dyDescent="0.2">
      <c r="D271" s="55" t="str">
        <f>Lang_Error_Check_Checks_If_Override_Input_economic_Cost_Is_Less_Than_Financial_Cost</f>
        <v>ERROR CHECK (CHECKS IF OVERRIDE INPUT ECONOMIC COST IS LESS THAN FINANCIAL COST)</v>
      </c>
      <c r="H271" s="145">
        <f>IF(ISERROR(SUM(J271:N271)),1,MIN(SUM(J271:N271),1))</f>
        <v>0</v>
      </c>
      <c r="J271" s="42">
        <f t="shared" ref="J271:N271" si="11">IF(J270&lt;J269,1,0)</f>
        <v>0</v>
      </c>
      <c r="K271" s="42">
        <f t="shared" si="11"/>
        <v>0</v>
      </c>
      <c r="L271" s="42">
        <f t="shared" si="11"/>
        <v>0</v>
      </c>
      <c r="M271" s="42">
        <f t="shared" si="11"/>
        <v>0</v>
      </c>
      <c r="N271" s="42">
        <f t="shared" si="11"/>
        <v>0</v>
      </c>
    </row>
    <row r="272" spans="3:14" s="10" customFormat="1" x14ac:dyDescent="0.2"/>
    <row r="273" spans="1:14" s="10" customFormat="1" x14ac:dyDescent="0.2">
      <c r="D273" s="74" t="str">
        <f>Lang_Source_Of_Information_Notes</f>
        <v>Notes and Sources of Information</v>
      </c>
    </row>
    <row r="274" spans="1:14" s="10" customFormat="1" x14ac:dyDescent="0.2">
      <c r="D274" s="482" t="s">
        <v>596</v>
      </c>
      <c r="E274" s="482"/>
    </row>
    <row r="275" spans="1:14" s="10" customFormat="1" x14ac:dyDescent="0.2">
      <c r="D275" s="482" t="s">
        <v>596</v>
      </c>
      <c r="E275" s="482"/>
    </row>
    <row r="276" spans="1:14" s="10" customFormat="1" x14ac:dyDescent="0.2">
      <c r="D276" s="482" t="s">
        <v>596</v>
      </c>
      <c r="E276" s="482"/>
    </row>
    <row r="277" spans="1:14" s="10" customFormat="1" x14ac:dyDescent="0.2"/>
    <row r="278" spans="1:14" s="10" customFormat="1" x14ac:dyDescent="0.2">
      <c r="A278" s="12" t="s">
        <v>125</v>
      </c>
      <c r="B278" s="13" t="str">
        <f>Lang_Number_Of&amp;" "&amp;$D$252&amp;" "&amp;Lang_Activities_Annual_Assumptions_Projected_Or_Retrospective</f>
        <v>Number of IEC Soc Mob  Activity # 7 (Not in Use) Activities - Annual Assumptions (Projected or Retrospective)</v>
      </c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</row>
    <row r="279" spans="1:14" s="10" customFormat="1" x14ac:dyDescent="0.2"/>
    <row r="280" spans="1:14" s="10" customFormat="1" x14ac:dyDescent="0.2">
      <c r="D280" s="71" t="str">
        <f>HL_LVL2_ACTV_8_Name&amp;" - "&amp;Lang_Number_Of_Activities_Per_Year&amp;" ("&amp;Lang_Projected_Or_Retrospective&amp;")"</f>
        <v>IEC Soc Mob  Activity # 7 (Not in Use) - Number of Activities per Year (Projected or Retrospective)</v>
      </c>
    </row>
    <row r="281" spans="1:14" s="10" customFormat="1" x14ac:dyDescent="0.2"/>
    <row r="282" spans="1:14" s="10" customFormat="1" x14ac:dyDescent="0.2">
      <c r="D282" s="50" t="str">
        <f>Lang_Number_Of_Activities_Per_Year</f>
        <v>Number of Activities per Year</v>
      </c>
      <c r="J282" s="324">
        <v>0</v>
      </c>
      <c r="K282" s="324">
        <v>0</v>
      </c>
      <c r="L282" s="324">
        <v>0</v>
      </c>
      <c r="M282" s="324">
        <v>0</v>
      </c>
      <c r="N282" s="324">
        <v>0</v>
      </c>
    </row>
    <row r="283" spans="1:14" s="10" customFormat="1" hidden="1" x14ac:dyDescent="0.2">
      <c r="D283" s="71" t="str">
        <f>D280</f>
        <v>IEC Soc Mob  Activity # 7 (Not in Use) - Number of Activities per Year (Projected or Retrospective)</v>
      </c>
      <c r="J283" s="41">
        <f t="shared" ref="J283:N283" si="12">SUM(J282:J282)</f>
        <v>0</v>
      </c>
      <c r="K283" s="41">
        <f t="shared" si="12"/>
        <v>0</v>
      </c>
      <c r="L283" s="41">
        <f t="shared" si="12"/>
        <v>0</v>
      </c>
      <c r="M283" s="41">
        <f t="shared" si="12"/>
        <v>0</v>
      </c>
      <c r="N283" s="41">
        <f t="shared" si="12"/>
        <v>0</v>
      </c>
    </row>
    <row r="284" spans="1:14" s="10" customFormat="1" x14ac:dyDescent="0.2"/>
    <row r="285" spans="1:14" s="10" customFormat="1" x14ac:dyDescent="0.2">
      <c r="D285" s="74" t="str">
        <f>Lang_Source_Of_Information_Notes</f>
        <v>Notes and Sources of Information</v>
      </c>
    </row>
    <row r="286" spans="1:14" s="10" customFormat="1" x14ac:dyDescent="0.2">
      <c r="D286" s="482" t="s">
        <v>596</v>
      </c>
      <c r="E286" s="482"/>
    </row>
    <row r="287" spans="1:14" s="10" customFormat="1" x14ac:dyDescent="0.2">
      <c r="D287" s="482" t="s">
        <v>596</v>
      </c>
      <c r="E287" s="482"/>
    </row>
    <row r="288" spans="1:14" s="10" customFormat="1" x14ac:dyDescent="0.2">
      <c r="D288" s="482" t="s">
        <v>596</v>
      </c>
      <c r="E288" s="482"/>
    </row>
    <row r="289" spans="1:14" s="10" customFormat="1" x14ac:dyDescent="0.2"/>
    <row r="290" spans="1:14" s="10" customFormat="1" x14ac:dyDescent="0.2">
      <c r="D290" s="76" t="str">
        <f>Lang_GoTo&amp;" "&amp;HL_LVL2_ACTV_8_Activity_Summary_Costs_Annual</f>
        <v>Go to IEC Soc Mob  Activity # 7 (Not in Use) - Summary Costs (Annual)</v>
      </c>
    </row>
    <row r="291" spans="1:14" s="10" customFormat="1" x14ac:dyDescent="0.2"/>
    <row r="292" spans="1:14" s="10" customFormat="1" x14ac:dyDescent="0.2">
      <c r="A292" s="12" t="s">
        <v>125</v>
      </c>
      <c r="B292" s="13" t="str">
        <f>HL_LVL2_ACTV_21_Name&amp;" "&amp;Lang_Name</f>
        <v>IEC Soc Mob  Activity # 8 (Not in Use) Name</v>
      </c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</row>
    <row r="293" spans="1:14" s="10" customFormat="1" x14ac:dyDescent="0.2"/>
    <row r="294" spans="1:14" s="10" customFormat="1" x14ac:dyDescent="0.2">
      <c r="D294" s="55" t="str">
        <f>Lang_IEC_Social_Mobilisation_Activity_Name</f>
        <v>IEC/ Social Mobilisation Activity Name</v>
      </c>
    </row>
    <row r="295" spans="1:14" s="10" customFormat="1" x14ac:dyDescent="0.2">
      <c r="D295" s="75" t="s">
        <v>493</v>
      </c>
    </row>
    <row r="296" spans="1:14" s="10" customFormat="1" x14ac:dyDescent="0.2"/>
    <row r="297" spans="1:14" s="10" customFormat="1" x14ac:dyDescent="0.2">
      <c r="A297" s="12" t="s">
        <v>125</v>
      </c>
      <c r="B297" s="13" t="str">
        <f>HL_LVL2_ACTV_21_Name&amp;" "&amp;Lang_Single_Activity_Cost_Annual_Assumptions_Projected_Or_Retrospective</f>
        <v>IEC Soc Mob  Activity # 8 (Not in Use) Single Activity Cost - Annual Assumptions (Projected or Retrospective)</v>
      </c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</row>
    <row r="298" spans="1:14" s="10" customFormat="1" x14ac:dyDescent="0.2"/>
    <row r="299" spans="1:14" s="10" customFormat="1" x14ac:dyDescent="0.2">
      <c r="D299" s="114" t="str">
        <f>HL_LVL2_ACTV_21_Name</f>
        <v>IEC Soc Mob  Activity # 8 (Not in Use)</v>
      </c>
    </row>
    <row r="300" spans="1:14" s="10" customFormat="1" x14ac:dyDescent="0.2"/>
    <row r="301" spans="1:14" s="10" customFormat="1" x14ac:dyDescent="0.2">
      <c r="D301" s="50" t="str">
        <f>Lang_Select_Input_Currency</f>
        <v>Select Input Currency</v>
      </c>
      <c r="E301" s="72">
        <v>1</v>
      </c>
    </row>
    <row r="302" spans="1:14" s="10" customFormat="1" x14ac:dyDescent="0.2"/>
    <row r="303" spans="1:14" s="10" customFormat="1" x14ac:dyDescent="0.2">
      <c r="D303" s="50" t="str">
        <f>Lang_Select_Costing_Input_Method</f>
        <v>Select Costing Input Method</v>
      </c>
      <c r="E303" s="72">
        <v>2</v>
      </c>
    </row>
    <row r="304" spans="1:14" s="10" customFormat="1" x14ac:dyDescent="0.2">
      <c r="E304" s="76" t="str">
        <f>Lang_GoTo&amp;" "&amp;HL_LVL2_ACTV_21_Detailed_Costing_Worksheet</f>
        <v>Go to IEC Soc Mob  Activity # 8 (Not in Use) -  Detailed Activity Costing Worksheet - Instructions</v>
      </c>
    </row>
    <row r="305" spans="3:14" s="10" customFormat="1" x14ac:dyDescent="0.2">
      <c r="C305" s="55" t="s">
        <v>208</v>
      </c>
      <c r="D305" s="74" t="str">
        <f>Lang_Detailed_Costing_Worksheet_Estimate</f>
        <v>Detailed Costing Worksheet Estimate</v>
      </c>
    </row>
    <row r="306" spans="3:14" s="10" customFormat="1" x14ac:dyDescent="0.2">
      <c r="F306" s="366" t="str">
        <f>SOCMOB_Lu!$D$258</f>
        <v>LCU</v>
      </c>
      <c r="G306" s="366" t="str">
        <f>SOCMOB_Lu!$D$257</f>
        <v>USD</v>
      </c>
      <c r="J306" s="366" t="str">
        <f ca="1">OFFSET(SOCMOB_Lu!$D$256,DD_LVL2_ACTV_21_Annual_Currency_Select,0)</f>
        <v>USD</v>
      </c>
      <c r="K306" s="366" t="str">
        <f ca="1">OFFSET(SOCMOB_Lu!$D$256,DD_LVL2_ACTV_21_Annual_Currency_Select,0)</f>
        <v>USD</v>
      </c>
      <c r="L306" s="366" t="str">
        <f ca="1">OFFSET(SOCMOB_Lu!$D$256,DD_LVL2_ACTV_21_Annual_Currency_Select,0)</f>
        <v>USD</v>
      </c>
      <c r="M306" s="366" t="str">
        <f ca="1">OFFSET(SOCMOB_Lu!$D$256,DD_LVL2_ACTV_21_Annual_Currency_Select,0)</f>
        <v>USD</v>
      </c>
      <c r="N306" s="366" t="str">
        <f ca="1">OFFSET(SOCMOB_Lu!$D$256,DD_LVL2_ACTV_21_Annual_Currency_Select,0)</f>
        <v>USD</v>
      </c>
    </row>
    <row r="307" spans="3:14" s="10" customFormat="1" x14ac:dyDescent="0.2">
      <c r="D307" s="53" t="str">
        <f>SOCMOB_Lu!$D$277&amp;" "&amp;Lang_Cost_Of_A_Single&amp;" "&amp;$D$295&amp;" "&amp;Lang_Activity</f>
        <v>Financial Cost of a Single IEC Soc Mob  Activity # 8 (Not in Use) Activity</v>
      </c>
      <c r="F307" s="41">
        <f>COSTS_DETAILED_SUMMARY!E339</f>
        <v>0</v>
      </c>
      <c r="G307" s="116">
        <f>COSTS_DETAILED_SUMMARY!G339</f>
        <v>0</v>
      </c>
      <c r="J307" s="79">
        <f>IF(DD_LVL2_ACTV_21_Annual_Currency_Select=2,COSTS_DETAILED_SUMMARY!$E339,COSTS_DETAILED_SUMMARY!$G339)</f>
        <v>0</v>
      </c>
      <c r="K307" s="79">
        <f>IF(DD_LVL2_ACTV_21_Annual_Currency_Select=2,COSTS_DETAILED_SUMMARY!$E339,COSTS_DETAILED_SUMMARY!$G339)</f>
        <v>0</v>
      </c>
      <c r="L307" s="79">
        <f>IF(DD_LVL2_ACTV_21_Annual_Currency_Select=2,COSTS_DETAILED_SUMMARY!$E339,COSTS_DETAILED_SUMMARY!$G339)</f>
        <v>0</v>
      </c>
      <c r="M307" s="79">
        <f>IF(DD_LVL2_ACTV_21_Annual_Currency_Select=2,COSTS_DETAILED_SUMMARY!$E339,COSTS_DETAILED_SUMMARY!$G339)</f>
        <v>0</v>
      </c>
      <c r="N307" s="79">
        <f>IF(DD_LVL2_ACTV_21_Annual_Currency_Select=2,COSTS_DETAILED_SUMMARY!$E339,COSTS_DETAILED_SUMMARY!$G339)</f>
        <v>0</v>
      </c>
    </row>
    <row r="308" spans="3:14" s="10" customFormat="1" x14ac:dyDescent="0.2">
      <c r="D308" s="53" t="str">
        <f>SOCMOB_Lu!$D$278&amp;" "&amp;Lang_Cost_Of_A_Single&amp;" "&amp;$D$295&amp;" "&amp;Lang_Activity</f>
        <v>Economic Cost of a Single IEC Soc Mob  Activity # 8 (Not in Use) Activity</v>
      </c>
      <c r="F308" s="41">
        <f>COSTS_DETAILED_SUMMARY!F339</f>
        <v>0</v>
      </c>
      <c r="G308" s="116">
        <f>COSTS_DETAILED_SUMMARY!H339</f>
        <v>0</v>
      </c>
      <c r="J308" s="79">
        <f>IF(DD_LVL2_ACTV_21_Annual_Currency_Select=2,COSTS_DETAILED_SUMMARY!$F339,COSTS_DETAILED_SUMMARY!$H339)</f>
        <v>0</v>
      </c>
      <c r="K308" s="79">
        <f>IF(DD_LVL2_ACTV_21_Annual_Currency_Select=2,COSTS_DETAILED_SUMMARY!$F339,COSTS_DETAILED_SUMMARY!$H339)</f>
        <v>0</v>
      </c>
      <c r="L308" s="79">
        <f>IF(DD_LVL2_ACTV_21_Annual_Currency_Select=2,COSTS_DETAILED_SUMMARY!$F339,COSTS_DETAILED_SUMMARY!$H339)</f>
        <v>0</v>
      </c>
      <c r="M308" s="79">
        <f>IF(DD_LVL2_ACTV_21_Annual_Currency_Select=2,COSTS_DETAILED_SUMMARY!$F339,COSTS_DETAILED_SUMMARY!$H339)</f>
        <v>0</v>
      </c>
      <c r="N308" s="79">
        <f>IF(DD_LVL2_ACTV_21_Annual_Currency_Select=2,COSTS_DETAILED_SUMMARY!$F339,COSTS_DETAILED_SUMMARY!$H339)</f>
        <v>0</v>
      </c>
    </row>
    <row r="309" spans="3:14" s="10" customFormat="1" x14ac:dyDescent="0.2"/>
    <row r="310" spans="3:14" s="10" customFormat="1" x14ac:dyDescent="0.2"/>
    <row r="311" spans="3:14" s="10" customFormat="1" x14ac:dyDescent="0.2">
      <c r="C311" s="55" t="s">
        <v>210</v>
      </c>
      <c r="D311" s="74" t="str">
        <f>Lang_Direct_User_Entry_Cost_Estimate</f>
        <v>Direct User Entry Cost Estimate</v>
      </c>
      <c r="J311" s="366" t="str">
        <f ca="1">OFFSET(SOCMOB_Lu!$D$256,DD_LVL2_ACTV_21_Annual_Currency_Select,0)</f>
        <v>USD</v>
      </c>
      <c r="K311" s="366" t="str">
        <f ca="1">OFFSET(SOCMOB_Lu!$D$256,DD_LVL2_ACTV_21_Annual_Currency_Select,0)</f>
        <v>USD</v>
      </c>
      <c r="L311" s="366" t="str">
        <f ca="1">OFFSET(SOCMOB_Lu!$D$256,DD_LVL2_ACTV_21_Annual_Currency_Select,0)</f>
        <v>USD</v>
      </c>
      <c r="M311" s="366" t="str">
        <f ca="1">OFFSET(SOCMOB_Lu!$D$256,DD_LVL2_ACTV_21_Annual_Currency_Select,0)</f>
        <v>USD</v>
      </c>
      <c r="N311" s="366" t="str">
        <f ca="1">OFFSET(SOCMOB_Lu!$D$256,DD_LVL2_ACTV_21_Annual_Currency_Select,0)</f>
        <v>USD</v>
      </c>
    </row>
    <row r="312" spans="3:14" s="10" customFormat="1" x14ac:dyDescent="0.2">
      <c r="D312" s="53" t="str">
        <f>SOCMOB_Lu!$D$277&amp;" "&amp;Lang_Cost_Of_A_Single&amp;" "&amp;$D$295&amp;" "&amp;Lang_Activity</f>
        <v>Financial Cost of a Single IEC Soc Mob  Activity # 8 (Not in Use) Activity</v>
      </c>
      <c r="J312" s="80">
        <v>0</v>
      </c>
      <c r="K312" s="80">
        <v>0</v>
      </c>
      <c r="L312" s="80">
        <v>0</v>
      </c>
      <c r="M312" s="80">
        <v>0</v>
      </c>
      <c r="N312" s="80">
        <v>0</v>
      </c>
    </row>
    <row r="313" spans="3:14" s="10" customFormat="1" x14ac:dyDescent="0.2">
      <c r="D313" s="53" t="str">
        <f>SOCMOB_Lu!$D$278&amp;" "&amp;Lang_Cost_Of_A_Single&amp;" "&amp;$D$295&amp;" "&amp;Lang_Activity</f>
        <v>Economic Cost of a Single IEC Soc Mob  Activity # 8 (Not in Use) Activity</v>
      </c>
      <c r="J313" s="80">
        <v>0</v>
      </c>
      <c r="K313" s="80">
        <v>0</v>
      </c>
      <c r="L313" s="80">
        <v>0</v>
      </c>
      <c r="M313" s="80">
        <v>0</v>
      </c>
      <c r="N313" s="80">
        <v>0</v>
      </c>
    </row>
    <row r="314" spans="3:14" s="10" customFormat="1" x14ac:dyDescent="0.2">
      <c r="D314" s="55" t="str">
        <f>Lang_Error_Check_Checks_If_Override_Input_economic_Cost_Is_Less_Than_Financial_Cost</f>
        <v>ERROR CHECK (CHECKS IF OVERRIDE INPUT ECONOMIC COST IS LESS THAN FINANCIAL COST)</v>
      </c>
      <c r="H314" s="145">
        <f>IF(ISERROR(SUM(J314:N314)),1,MIN(SUM(J314:N314),1))</f>
        <v>0</v>
      </c>
      <c r="J314" s="42">
        <f t="shared" ref="J314:N314" si="13">IF(J313&lt;J312,1,0)</f>
        <v>0</v>
      </c>
      <c r="K314" s="42">
        <f t="shared" si="13"/>
        <v>0</v>
      </c>
      <c r="L314" s="42">
        <f t="shared" si="13"/>
        <v>0</v>
      </c>
      <c r="M314" s="42">
        <f t="shared" si="13"/>
        <v>0</v>
      </c>
      <c r="N314" s="42">
        <f t="shared" si="13"/>
        <v>0</v>
      </c>
    </row>
    <row r="315" spans="3:14" s="10" customFormat="1" x14ac:dyDescent="0.2"/>
    <row r="316" spans="3:14" s="10" customFormat="1" x14ac:dyDescent="0.2">
      <c r="D316" s="74" t="str">
        <f>Lang_Source_Of_Information_Notes</f>
        <v>Notes and Sources of Information</v>
      </c>
    </row>
    <row r="317" spans="3:14" s="10" customFormat="1" x14ac:dyDescent="0.2">
      <c r="D317" s="482" t="s">
        <v>596</v>
      </c>
      <c r="E317" s="482"/>
    </row>
    <row r="318" spans="3:14" s="10" customFormat="1" x14ac:dyDescent="0.2">
      <c r="D318" s="482" t="s">
        <v>596</v>
      </c>
      <c r="E318" s="482"/>
    </row>
    <row r="319" spans="3:14" s="10" customFormat="1" x14ac:dyDescent="0.2">
      <c r="D319" s="482" t="s">
        <v>596</v>
      </c>
      <c r="E319" s="482"/>
    </row>
    <row r="320" spans="3:14" s="10" customFormat="1" x14ac:dyDescent="0.2"/>
    <row r="321" spans="1:14" s="10" customFormat="1" x14ac:dyDescent="0.2">
      <c r="A321" s="12" t="s">
        <v>125</v>
      </c>
      <c r="B321" s="13" t="str">
        <f>Lang_Number_Of&amp;" "&amp;$D$295&amp;" "&amp;Lang_Activities_Annual_Assumptions_Projected_Or_Retrospective</f>
        <v>Number of IEC Soc Mob  Activity # 8 (Not in Use) Activities - Annual Assumptions (Projected or Retrospective)</v>
      </c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</row>
    <row r="322" spans="1:14" s="10" customFormat="1" x14ac:dyDescent="0.2"/>
    <row r="323" spans="1:14" s="10" customFormat="1" x14ac:dyDescent="0.2">
      <c r="D323" s="71" t="str">
        <f>HL_LVL2_ACTV_21_Name&amp;" - "&amp;Lang_Number_Of_Activities_Per_Year&amp;" ("&amp;Lang_Projected_Or_Retrospective&amp;")"</f>
        <v>IEC Soc Mob  Activity # 8 (Not in Use) - Number of Activities per Year (Projected or Retrospective)</v>
      </c>
    </row>
    <row r="324" spans="1:14" s="10" customFormat="1" x14ac:dyDescent="0.2"/>
    <row r="325" spans="1:14" s="10" customFormat="1" x14ac:dyDescent="0.2">
      <c r="D325" s="50" t="str">
        <f>Lang_Number_Of_Activities_Per_Year</f>
        <v>Number of Activities per Year</v>
      </c>
      <c r="J325" s="324">
        <v>0</v>
      </c>
      <c r="K325" s="324">
        <v>0</v>
      </c>
      <c r="L325" s="324">
        <v>0</v>
      </c>
      <c r="M325" s="324">
        <v>0</v>
      </c>
      <c r="N325" s="324">
        <v>0</v>
      </c>
    </row>
    <row r="326" spans="1:14" s="10" customFormat="1" hidden="1" x14ac:dyDescent="0.2">
      <c r="D326" s="71" t="str">
        <f>D323</f>
        <v>IEC Soc Mob  Activity # 8 (Not in Use) - Number of Activities per Year (Projected or Retrospective)</v>
      </c>
      <c r="J326" s="41">
        <f t="shared" ref="J326:N326" si="14">SUM(J325:J325)</f>
        <v>0</v>
      </c>
      <c r="K326" s="41">
        <f t="shared" si="14"/>
        <v>0</v>
      </c>
      <c r="L326" s="41">
        <f t="shared" si="14"/>
        <v>0</v>
      </c>
      <c r="M326" s="41">
        <f t="shared" si="14"/>
        <v>0</v>
      </c>
      <c r="N326" s="41">
        <f t="shared" si="14"/>
        <v>0</v>
      </c>
    </row>
    <row r="327" spans="1:14" s="10" customFormat="1" x14ac:dyDescent="0.2"/>
    <row r="328" spans="1:14" s="10" customFormat="1" x14ac:dyDescent="0.2">
      <c r="D328" s="74" t="str">
        <f>Lang_Source_Of_Information_Notes</f>
        <v>Notes and Sources of Information</v>
      </c>
    </row>
    <row r="329" spans="1:14" s="10" customFormat="1" x14ac:dyDescent="0.2">
      <c r="D329" s="482" t="s">
        <v>596</v>
      </c>
      <c r="E329" s="482"/>
    </row>
    <row r="330" spans="1:14" s="10" customFormat="1" x14ac:dyDescent="0.2">
      <c r="D330" s="482" t="s">
        <v>596</v>
      </c>
      <c r="E330" s="482"/>
    </row>
    <row r="331" spans="1:14" s="10" customFormat="1" x14ac:dyDescent="0.2">
      <c r="D331" s="482" t="s">
        <v>596</v>
      </c>
      <c r="E331" s="482"/>
    </row>
    <row r="332" spans="1:14" s="10" customFormat="1" x14ac:dyDescent="0.2"/>
    <row r="333" spans="1:14" s="10" customFormat="1" x14ac:dyDescent="0.2">
      <c r="D333" s="76" t="str">
        <f>Lang_GoTo&amp;" "&amp;HL_LVL2_ACTV_21_Activity_Summary_Costs_Annual</f>
        <v>Go to IEC Soc Mob  Activity # 8 (Not in Use) - Summary Costs (Annual)</v>
      </c>
    </row>
    <row r="334" spans="1:14" x14ac:dyDescent="0.2"/>
    <row r="335" spans="1:14" x14ac:dyDescent="0.2"/>
  </sheetData>
  <mergeCells count="48">
    <mergeCell ref="D330:E330"/>
    <mergeCell ref="D331:E331"/>
    <mergeCell ref="D288:E288"/>
    <mergeCell ref="D317:E317"/>
    <mergeCell ref="D318:E318"/>
    <mergeCell ref="D319:E319"/>
    <mergeCell ref="D329:E329"/>
    <mergeCell ref="D274:E274"/>
    <mergeCell ref="D275:E275"/>
    <mergeCell ref="D276:E276"/>
    <mergeCell ref="D286:E286"/>
    <mergeCell ref="D287:E287"/>
    <mergeCell ref="D244:E244"/>
    <mergeCell ref="D245:E245"/>
    <mergeCell ref="D116:E116"/>
    <mergeCell ref="D117:E117"/>
    <mergeCell ref="D188:E188"/>
    <mergeCell ref="D189:E189"/>
    <mergeCell ref="D190:E190"/>
    <mergeCell ref="D145:E145"/>
    <mergeCell ref="D146:E146"/>
    <mergeCell ref="D147:E147"/>
    <mergeCell ref="D157:E157"/>
    <mergeCell ref="D158:E158"/>
    <mergeCell ref="D159:E159"/>
    <mergeCell ref="D200:E200"/>
    <mergeCell ref="D201:E201"/>
    <mergeCell ref="D202:E202"/>
    <mergeCell ref="D231:E231"/>
    <mergeCell ref="D232:E232"/>
    <mergeCell ref="D233:E233"/>
    <mergeCell ref="D243:E243"/>
    <mergeCell ref="D43:E43"/>
    <mergeCell ref="D69:E69"/>
    <mergeCell ref="D70:E70"/>
    <mergeCell ref="D71:E71"/>
    <mergeCell ref="D78:E78"/>
    <mergeCell ref="D79:E79"/>
    <mergeCell ref="D80:E80"/>
    <mergeCell ref="D106:E106"/>
    <mergeCell ref="D107:E107"/>
    <mergeCell ref="D108:E108"/>
    <mergeCell ref="D115:E115"/>
    <mergeCell ref="D32:E32"/>
    <mergeCell ref="D33:E33"/>
    <mergeCell ref="D34:E34"/>
    <mergeCell ref="D41:E41"/>
    <mergeCell ref="D42:E42"/>
  </mergeCells>
  <conditionalFormatting sqref="H29">
    <cfRule type="cellIs" dxfId="263" priority="64" operator="notEqual">
      <formula>0</formula>
    </cfRule>
  </conditionalFormatting>
  <conditionalFormatting sqref="H66">
    <cfRule type="cellIs" dxfId="262" priority="63" operator="notEqual">
      <formula>0</formula>
    </cfRule>
  </conditionalFormatting>
  <conditionalFormatting sqref="H103">
    <cfRule type="cellIs" dxfId="261" priority="62" operator="notEqual">
      <formula>0</formula>
    </cfRule>
  </conditionalFormatting>
  <conditionalFormatting sqref="H142">
    <cfRule type="cellIs" dxfId="260" priority="61" operator="notEqual">
      <formula>0</formula>
    </cfRule>
  </conditionalFormatting>
  <conditionalFormatting sqref="H185">
    <cfRule type="cellIs" dxfId="259" priority="60" operator="notEqual">
      <formula>0</formula>
    </cfRule>
  </conditionalFormatting>
  <conditionalFormatting sqref="H228">
    <cfRule type="cellIs" dxfId="258" priority="59" operator="notEqual">
      <formula>0</formula>
    </cfRule>
  </conditionalFormatting>
  <conditionalFormatting sqref="H271">
    <cfRule type="cellIs" dxfId="257" priority="58" operator="notEqual">
      <formula>0</formula>
    </cfRule>
  </conditionalFormatting>
  <conditionalFormatting sqref="H314">
    <cfRule type="cellIs" dxfId="256" priority="57" operator="notEqual">
      <formula>0</formula>
    </cfRule>
  </conditionalFormatting>
  <conditionalFormatting sqref="J22:N23 J27:N28">
    <cfRule type="expression" dxfId="255" priority="8">
      <formula>$E$16=1</formula>
    </cfRule>
  </conditionalFormatting>
  <conditionalFormatting sqref="J29:N29">
    <cfRule type="cellIs" dxfId="254" priority="56" operator="notEqual">
      <formula>0</formula>
    </cfRule>
  </conditionalFormatting>
  <conditionalFormatting sqref="J59:N60 J64:N65">
    <cfRule type="expression" dxfId="253" priority="7">
      <formula>$E$53=1</formula>
    </cfRule>
  </conditionalFormatting>
  <conditionalFormatting sqref="J66:N66">
    <cfRule type="cellIs" dxfId="252" priority="55" operator="notEqual">
      <formula>0</formula>
    </cfRule>
  </conditionalFormatting>
  <conditionalFormatting sqref="J96:N97 J101:N102">
    <cfRule type="expression" dxfId="251" priority="6">
      <formula>$E$90=1</formula>
    </cfRule>
  </conditionalFormatting>
  <conditionalFormatting sqref="J103:N103">
    <cfRule type="cellIs" dxfId="250" priority="54" operator="notEqual">
      <formula>0</formula>
    </cfRule>
  </conditionalFormatting>
  <conditionalFormatting sqref="J135:N136 J140:N141">
    <cfRule type="expression" dxfId="249" priority="5">
      <formula>$E$129=1</formula>
    </cfRule>
  </conditionalFormatting>
  <conditionalFormatting sqref="J142:N142">
    <cfRule type="cellIs" dxfId="248" priority="53" operator="notEqual">
      <formula>0</formula>
    </cfRule>
  </conditionalFormatting>
  <conditionalFormatting sqref="J178:N179 J183:N184">
    <cfRule type="expression" dxfId="247" priority="4">
      <formula>$E$172=1</formula>
    </cfRule>
  </conditionalFormatting>
  <conditionalFormatting sqref="J185:N185">
    <cfRule type="cellIs" dxfId="246" priority="52" operator="notEqual">
      <formula>0</formula>
    </cfRule>
  </conditionalFormatting>
  <conditionalFormatting sqref="J221:N222 J226:N227">
    <cfRule type="expression" dxfId="245" priority="3">
      <formula>$E$215=1</formula>
    </cfRule>
  </conditionalFormatting>
  <conditionalFormatting sqref="J228:N228">
    <cfRule type="cellIs" dxfId="244" priority="51" operator="notEqual">
      <formula>0</formula>
    </cfRule>
  </conditionalFormatting>
  <conditionalFormatting sqref="J264:N265 J269:N270">
    <cfRule type="expression" dxfId="243" priority="2">
      <formula>$E$258=1</formula>
    </cfRule>
  </conditionalFormatting>
  <conditionalFormatting sqref="J271:N271">
    <cfRule type="cellIs" dxfId="242" priority="50" operator="notEqual">
      <formula>0</formula>
    </cfRule>
  </conditionalFormatting>
  <conditionalFormatting sqref="J307:N308 J312:N313">
    <cfRule type="expression" dxfId="241" priority="1">
      <formula>$E$301=1</formula>
    </cfRule>
  </conditionalFormatting>
  <conditionalFormatting sqref="J314:N314">
    <cfRule type="cellIs" dxfId="240" priority="49" operator="notEqual">
      <formula>0</formula>
    </cfRule>
  </conditionalFormatting>
  <dataValidations count="17">
    <dataValidation type="whole" showDropDown="1" showErrorMessage="1" errorTitle="Drop Down Box Cell Link" error="The value in a drop down box cell link must be a whole number within the control's lookup range rows." sqref="E16" xr:uid="{00000000-0002-0000-1300-000000000000}">
      <formula1>1</formula1>
      <formula2>ROWS(LU_TOP_ACTV_4_Currencies)</formula2>
    </dataValidation>
    <dataValidation type="whole" showDropDown="1" showErrorMessage="1" errorTitle="Drop Down Box Cell Link" error="The value in a drop down box cell link must be a whole number within the control's lookup range rows." sqref="E18" xr:uid="{00000000-0002-0000-1300-000001000000}">
      <formula1>1</formula1>
      <formula2>ROWS(LU_TOP_ACTV_4_Detail_or_Freeform)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129" xr:uid="{00000000-0002-0000-1300-000002000000}">
      <formula1>1</formula1>
      <formula2>ROWS(LU_LVL2_ACTV_4_Currencies)</formula2>
    </dataValidation>
    <dataValidation type="whole" showDropDown="1" showErrorMessage="1" errorTitle="Drop Down Box Cell Link" error="The value in a drop down box cell link must be a whole number within the control's lookup range rows." sqref="E131" xr:uid="{00000000-0002-0000-1300-000003000000}">
      <formula1>1</formula1>
      <formula2>ROWS(LU_LVL2_ACTV_4_Detail_or_Freeform)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90" xr:uid="{00000000-0002-0000-1300-000004000000}">
      <formula1>1</formula1>
      <formula2>ROWS(LU_TOP_ACTV_16_Currencies)</formula2>
    </dataValidation>
    <dataValidation type="whole" showDropDown="1" showErrorMessage="1" errorTitle="Drop Down Box Cell Link" error="The value in a drop down box cell link must be a whole number within the control's lookup range rows." sqref="E92" xr:uid="{00000000-0002-0000-1300-000005000000}">
      <formula1>1</formula1>
      <formula2>ROWS(LU_TOP_ACTV_16_Detail_or_Freeform)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53" xr:uid="{00000000-0002-0000-1300-000006000000}">
      <formula1>1</formula1>
      <formula2>ROWS(LU_TOP_ACTV_15_Currencies)</formula2>
    </dataValidation>
    <dataValidation type="whole" showDropDown="1" showErrorMessage="1" errorTitle="Drop Down Box Cell Link" error="The value in a drop down box cell link must be a whole number within the control's lookup range rows." sqref="E55" xr:uid="{00000000-0002-0000-1300-000007000000}">
      <formula1>1</formula1>
      <formula2>ROWS(LU_TOP_ACTV_15_Detail_or_Freeform)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215" xr:uid="{00000000-0002-0000-1300-000008000000}">
      <formula1>1</formula1>
      <formula2>ROWS(LU_LVL2_ACTV_11_Currencies)</formula2>
    </dataValidation>
    <dataValidation type="whole" showDropDown="1" showErrorMessage="1" errorTitle="Drop Down Box Cell Link" error="The value in a drop down box cell link must be a whole number within the control's lookup range rows." sqref="E217" xr:uid="{00000000-0002-0000-1300-000009000000}">
      <formula1>1</formula1>
      <formula2>ROWS(LU_LVL2_ACTV_11_Detail_or_Freeform)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172" xr:uid="{00000000-0002-0000-1300-00000A000000}">
      <formula1>1</formula1>
      <formula2>ROWS(LU_LVL2_ACTV_10_Currencies)</formula2>
    </dataValidation>
    <dataValidation type="whole" showDropDown="1" showErrorMessage="1" errorTitle="Drop Down Box Cell Link" error="The value in a drop down box cell link must be a whole number within the control's lookup range rows." sqref="E174" xr:uid="{00000000-0002-0000-1300-00000B000000}">
      <formula1>1</formula1>
      <formula2>ROWS(LU_LVL2_ACTV_10_Detail_or_Freeform)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301" xr:uid="{00000000-0002-0000-1300-00000C000000}">
      <formula1>1</formula1>
      <formula2>ROWS(LU_LVL2_ACTV_21_Currencies)</formula2>
    </dataValidation>
    <dataValidation type="whole" showDropDown="1" showErrorMessage="1" errorTitle="Drop Down Box Cell Link" error="The value in a drop down box cell link must be a whole number within the control's lookup range rows." sqref="E303" xr:uid="{00000000-0002-0000-1300-00000D000000}">
      <formula1>1</formula1>
      <formula2>ROWS(LU_LVL2_ACTV_21_Detail_or_Freeform)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258" xr:uid="{00000000-0002-0000-1300-00000E000000}">
      <formula1>1</formula1>
      <formula2>ROWS(LU_LVL2_ACTV_8_Currencies)</formula2>
    </dataValidation>
    <dataValidation type="whole" showDropDown="1" showErrorMessage="1" errorTitle="Drop Down Box Cell Link" error="The value in a drop down box cell link must be a whole number within the control's lookup range rows." sqref="E260" xr:uid="{00000000-0002-0000-1300-00000F000000}">
      <formula1>1</formula1>
      <formula2>ROWS(LU_LVL2_ACTV_8_Detail_or_Freeform)</formula2>
    </dataValidation>
    <dataValidation type="custom" showErrorMessage="1" errorTitle="Invalid Assumption" error="Assumption must be a number." sqref="J38:N38 J325:N325 J282:N282 J239:N239 J27:N28 J140:N141 J112:N112 J196:N196 J75:N75 J153:N153 J312:N313 J269:N270 J226:N227 J183:N184 J101:N102 J64:N65" xr:uid="{00000000-0002-0000-1300-000010000000}">
      <formula1>NOT(ISERROR(J27/1))</formula1>
    </dataValidation>
  </dataValidations>
  <hyperlinks>
    <hyperlink ref="D44" location="HL_TOP_ACTV_4_Activity_Summary_Costs_Annual" tooltip="Click to follow hyperlink." display="HL_TOP_ACTV_4_Activity_Summary_Costs_Annual" xr:uid="{00000000-0004-0000-1300-000000000000}"/>
    <hyperlink ref="E19" location="HL_TOP_ACTV_4_Detailed_Costing_Worksheet" tooltip="Click to follow hyperlink." display="HL_TOP_ACTV_4_Detailed_Costing_Worksheet" xr:uid="{00000000-0004-0000-1300-000001000000}"/>
    <hyperlink ref="D161" location="HL_LVL2_ACTV_4_Activity_Summary_Costs_Annual" tooltip="Click to follow hyperlink." display="HL_LVL2_ACTV_4_Activity_Summary_Costs_Annual" xr:uid="{00000000-0004-0000-1300-000002000000}"/>
    <hyperlink ref="E132" location="HL_LVL2_ACTV_4_Detailed_Costing_Worksheet" tooltip="Click to follow hyperlink." display="HL_LVL2_ACTV_4_Detailed_Costing_Worksheet" xr:uid="{00000000-0004-0000-1300-000003000000}"/>
    <hyperlink ref="A9" location="HL_TOP_ACTV_4_Single_Activity_Cost_Assumptions_Annual" tooltip="Click to follow hyperlink." display="HL_TOP_ACTV_4_Single_Activity_Cost_Assumptions_Annual" xr:uid="{00000000-0004-0000-1300-000004000000}"/>
    <hyperlink ref="A120" location="HL_LVL2_ACTV_4_Single_Activity_Cost_Assumptions_Annual" tooltip="Click to follow hyperlink." display="HL_LVL2_ACTV_4_Single_Activity_Cost_Assumptions_Annual" xr:uid="{00000000-0004-0000-1300-000005000000}"/>
    <hyperlink ref="A46" location="HL_TOP_ACTV_15_Single_Activity_Cost_Assumptions_Annual" tooltip="Click to follow hyperlink." display="HL_TOP_ACTV_15_Single_Activity_Cost_Assumptions_Annual" xr:uid="{00000000-0004-0000-1300-000006000000}"/>
    <hyperlink ref="D81" location="HL_TOP_ACTV_15_Activity_Summary_Costs_Annual" tooltip="Click to follow hyperlink." display="HL_TOP_ACTV_15_Activity_Summary_Costs_Annual" xr:uid="{00000000-0004-0000-1300-000007000000}"/>
    <hyperlink ref="A83" location="HL_TOP_ACTV_16_Single_Activity_Cost_Assumptions_Annual" tooltip="Click to follow hyperlink." display="HL_TOP_ACTV_16_Single_Activity_Cost_Assumptions_Annual" xr:uid="{00000000-0004-0000-1300-000008000000}"/>
    <hyperlink ref="D118" location="HL_TOP_ACTV_16_Activity_Summary_Costs_Annual" tooltip="Click to follow hyperlink." display="HL_TOP_ACTV_16_Activity_Summary_Costs_Annual" xr:uid="{00000000-0004-0000-1300-000009000000}"/>
    <hyperlink ref="A163" location="HL_LVL2_ACTV_10_Single_Activity_Cost_Assumptions_Annual" tooltip="Click to follow hyperlink." display="HL_LVL2_ACTV_10_Single_Activity_Cost_Assumptions_Annual" xr:uid="{00000000-0004-0000-1300-00000A000000}"/>
    <hyperlink ref="D204" location="HL_LVL2_ACTV_10_Activity_Summary_Costs_Annual" tooltip="Click to follow hyperlink." display="HL_LVL2_ACTV_10_Activity_Summary_Costs_Annual" xr:uid="{00000000-0004-0000-1300-00000B000000}"/>
    <hyperlink ref="A206" location="HL_LVL2_ACTV_11_Single_Activity_Cost_Assumptions_Annual" tooltip="Click to follow hyperlink." display="HL_LVL2_ACTV_11_Single_Activity_Cost_Assumptions_Annual" xr:uid="{00000000-0004-0000-1300-00000C000000}"/>
    <hyperlink ref="D247" location="HL_LVL2_ACTV_11_Activity_Summary_Costs_Annual" tooltip="Click to follow hyperlink." display="HL_LVL2_ACTV_11_Activity_Summary_Costs_Annual" xr:uid="{00000000-0004-0000-1300-00000D000000}"/>
    <hyperlink ref="E93" location="HL_TOP_ACTV_16_Detailed_Costing_Worksheet" tooltip="Click to follow hyperlink." display="HL_TOP_ACTV_16_Detailed_Costing_Worksheet" xr:uid="{00000000-0004-0000-1300-00000E000000}"/>
    <hyperlink ref="E56" location="HL_TOP_ACTV_15_Detailed_Costing_Worksheet" tooltip="Click to follow hyperlink." display="HL_TOP_ACTV_15_Detailed_Costing_Worksheet" xr:uid="{00000000-0004-0000-1300-00000F000000}"/>
    <hyperlink ref="E218" location="HL_LVL2_ACTV_11_Detailed_Costing_Worksheet" tooltip="Click to follow hyperlink." display="HL_LVL2_ACTV_11_Detailed_Costing_Worksheet" xr:uid="{00000000-0004-0000-1300-000010000000}"/>
    <hyperlink ref="E175" location="HL_LVL2_ACTV_10_Detailed_Costing_Worksheet" tooltip="Click to follow hyperlink." display="HL_LVL2_ACTV_10_Detailed_Costing_Worksheet" xr:uid="{00000000-0004-0000-1300-000011000000}"/>
    <hyperlink ref="A249" location="HL_LVL2_ACTV_8_Single_Activity_Cost_Assumptions_Annual" tooltip="Click to follow hyperlink." display="HL_LVL2_ACTV_8_Single_Activity_Cost_Assumptions_Annual" xr:uid="{00000000-0004-0000-1300-000012000000}"/>
    <hyperlink ref="D290" location="HL_LVL2_ACTV_8_Activity_Summary_Costs_Annual" tooltip="Click to follow hyperlink." display="HL_LVL2_ACTV_8_Activity_Summary_Costs_Annual" xr:uid="{00000000-0004-0000-1300-000013000000}"/>
    <hyperlink ref="A292" location="HL_LVL2_ACTV_21_Single_Activity_Cost_Assumptions_Annual" tooltip="Click to follow hyperlink." display="HL_LVL2_ACTV_21_Single_Activity_Cost_Assumptions_Annual" xr:uid="{00000000-0004-0000-1300-000014000000}"/>
    <hyperlink ref="D333" location="HL_LVL2_ACTV_21_Activity_Summary_Costs_Annual" tooltip="Click to follow hyperlink." display="HL_LVL2_ACTV_21_Activity_Summary_Costs_Annual" xr:uid="{00000000-0004-0000-1300-000015000000}"/>
    <hyperlink ref="E304" location="HL_LVL2_ACTV_21_Detailed_Costing_Worksheet" tooltip="Click to follow hyperlink." display="HL_LVL2_ACTV_21_Detailed_Costing_Worksheet" xr:uid="{00000000-0004-0000-1300-000016000000}"/>
    <hyperlink ref="E261" location="HL_LVL2_ACTV_8_Detailed_Costing_Worksheet" tooltip="Click to follow hyperlink." display="HL_LVL2_ACTV_8_Detailed_Costing_Worksheet" xr:uid="{00000000-0004-0000-1300-000017000000}"/>
    <hyperlink ref="A1" location="Contents!A1" tooltip="Go to Table of Contents" display="±" xr:uid="{00000000-0004-0000-1300-000018000000}"/>
    <hyperlink ref="A3" location="$B$8" tooltip="Go to Top of Sheet" display="$B$8" xr:uid="{D30E9855-C021-4E82-BA02-54B59604B07A}"/>
  </hyperlinks>
  <pageMargins left="0.7" right="0.7" top="0.75" bottom="0.75" header="0.3" footer="0.3"/>
  <pageSetup scale="50" fitToHeight="0" orientation="landscape" r:id="rId1"/>
  <headerFooter>
    <oddFooter>&amp;L&amp;B Confidential&amp;B&amp;C&amp;D&amp;RPage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0242" r:id="rId4" name="bpmDropDownTOP_ACTV_42">
              <controlPr defaultSize="0" autoFill="0" autoPict="0">
                <anchor moveWithCells="1" sizeWithCells="1">
                  <from>
                    <xdr:col>4</xdr:col>
                    <xdr:colOff>0</xdr:colOff>
                    <xdr:row>15</xdr:row>
                    <xdr:rowOff>0</xdr:rowOff>
                  </from>
                  <to>
                    <xdr:col>5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43" r:id="rId5" name="bpmDropDownTOP_ACTV_43">
              <controlPr defaultSize="0" autoFill="0" autoPict="0">
                <anchor moveWithCells="1" sizeWithCells="1">
                  <from>
                    <xdr:col>4</xdr:col>
                    <xdr:colOff>0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46" r:id="rId6" name="bpmDropDownLVL2_ACTV_42">
              <controlPr defaultSize="0" autoFill="0" autoPict="0">
                <anchor moveWithCells="1" sizeWithCells="1">
                  <from>
                    <xdr:col>4</xdr:col>
                    <xdr:colOff>0</xdr:colOff>
                    <xdr:row>128</xdr:row>
                    <xdr:rowOff>0</xdr:rowOff>
                  </from>
                  <to>
                    <xdr:col>5</xdr:col>
                    <xdr:colOff>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47" r:id="rId7" name="bpmDropDownLVL2_ACTV_43">
              <controlPr defaultSize="0" autoFill="0" autoPict="0">
                <anchor moveWithCells="1" sizeWithCells="1">
                  <from>
                    <xdr:col>4</xdr:col>
                    <xdr:colOff>0</xdr:colOff>
                    <xdr:row>130</xdr:row>
                    <xdr:rowOff>0</xdr:rowOff>
                  </from>
                  <to>
                    <xdr:col>5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51" r:id="rId8" name="bpmDropDownTOP_ACTV_162">
              <controlPr defaultSize="0" autoFill="0" autoPict="0">
                <anchor moveWithCells="1" sizeWithCells="1">
                  <from>
                    <xdr:col>4</xdr:col>
                    <xdr:colOff>0</xdr:colOff>
                    <xdr:row>89</xdr:row>
                    <xdr:rowOff>0</xdr:rowOff>
                  </from>
                  <to>
                    <xdr:col>5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52" r:id="rId9" name="bpmDropDownTOP_ACTV_163">
              <controlPr defaultSize="0" autoFill="0" autoPict="0">
                <anchor moveWithCells="1" sizeWithCells="1">
                  <from>
                    <xdr:col>4</xdr:col>
                    <xdr:colOff>0</xdr:colOff>
                    <xdr:row>91</xdr:row>
                    <xdr:rowOff>0</xdr:rowOff>
                  </from>
                  <to>
                    <xdr:col>5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54" r:id="rId10" name="bpmDropDownTOP_ACTV_152">
              <controlPr defaultSize="0" autoFill="0" autoPict="0">
                <anchor moveWithCells="1" sizeWithCells="1">
                  <from>
                    <xdr:col>4</xdr:col>
                    <xdr:colOff>0</xdr:colOff>
                    <xdr:row>52</xdr:row>
                    <xdr:rowOff>0</xdr:rowOff>
                  </from>
                  <to>
                    <xdr:col>5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55" r:id="rId11" name="bpmDropDownTOP_ACTV_153">
              <controlPr defaultSize="0" autoFill="0" autoPict="0">
                <anchor moveWithCells="1" sizeWithCells="1">
                  <from>
                    <xdr:col>4</xdr:col>
                    <xdr:colOff>0</xdr:colOff>
                    <xdr:row>54</xdr:row>
                    <xdr:rowOff>0</xdr:rowOff>
                  </from>
                  <to>
                    <xdr:col>5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57" r:id="rId12" name="bpmDropDownLVL2_ACTV_112">
              <controlPr defaultSize="0" autoFill="0" autoPict="0">
                <anchor moveWithCells="1" sizeWithCells="1">
                  <from>
                    <xdr:col>4</xdr:col>
                    <xdr:colOff>0</xdr:colOff>
                    <xdr:row>214</xdr:row>
                    <xdr:rowOff>0</xdr:rowOff>
                  </from>
                  <to>
                    <xdr:col>5</xdr:col>
                    <xdr:colOff>0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58" r:id="rId13" name="bpmDropDownLVL2_ACTV_113">
              <controlPr defaultSize="0" autoFill="0" autoPict="0">
                <anchor moveWithCells="1" sizeWithCells="1">
                  <from>
                    <xdr:col>4</xdr:col>
                    <xdr:colOff>0</xdr:colOff>
                    <xdr:row>216</xdr:row>
                    <xdr:rowOff>0</xdr:rowOff>
                  </from>
                  <to>
                    <xdr:col>5</xdr:col>
                    <xdr:colOff>0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60" r:id="rId14" name="bpmDropDownLVL2_ACTV_102">
              <controlPr defaultSize="0" autoFill="0" autoPict="0">
                <anchor moveWithCells="1" sizeWithCells="1">
                  <from>
                    <xdr:col>4</xdr:col>
                    <xdr:colOff>0</xdr:colOff>
                    <xdr:row>171</xdr:row>
                    <xdr:rowOff>0</xdr:rowOff>
                  </from>
                  <to>
                    <xdr:col>5</xdr:col>
                    <xdr:colOff>0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61" r:id="rId15" name="bpmDropDownLVL2_ACTV_103">
              <controlPr defaultSize="0" autoFill="0" autoPict="0">
                <anchor moveWithCells="1" sizeWithCells="1">
                  <from>
                    <xdr:col>4</xdr:col>
                    <xdr:colOff>0</xdr:colOff>
                    <xdr:row>173</xdr:row>
                    <xdr:rowOff>0</xdr:rowOff>
                  </from>
                  <to>
                    <xdr:col>5</xdr:col>
                    <xdr:colOff>0</xdr:colOff>
                    <xdr:row>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63" r:id="rId16" name="bpmDropDownLVL2_ACTV_212">
              <controlPr defaultSize="0" autoFill="0" autoPict="0">
                <anchor moveWithCells="1" sizeWithCells="1">
                  <from>
                    <xdr:col>4</xdr:col>
                    <xdr:colOff>0</xdr:colOff>
                    <xdr:row>300</xdr:row>
                    <xdr:rowOff>0</xdr:rowOff>
                  </from>
                  <to>
                    <xdr:col>5</xdr:col>
                    <xdr:colOff>0</xdr:colOff>
                    <xdr:row>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64" r:id="rId17" name="bpmDropDownLVL2_ACTV_213">
              <controlPr defaultSize="0" autoFill="0" autoPict="0">
                <anchor moveWithCells="1" sizeWithCells="1">
                  <from>
                    <xdr:col>4</xdr:col>
                    <xdr:colOff>0</xdr:colOff>
                    <xdr:row>302</xdr:row>
                    <xdr:rowOff>0</xdr:rowOff>
                  </from>
                  <to>
                    <xdr:col>5</xdr:col>
                    <xdr:colOff>0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66" r:id="rId18" name="bpmDropDownLVL2_ACTV_82">
              <controlPr defaultSize="0" autoFill="0" autoPict="0">
                <anchor moveWithCells="1" sizeWithCells="1">
                  <from>
                    <xdr:col>4</xdr:col>
                    <xdr:colOff>0</xdr:colOff>
                    <xdr:row>257</xdr:row>
                    <xdr:rowOff>0</xdr:rowOff>
                  </from>
                  <to>
                    <xdr:col>5</xdr:col>
                    <xdr:colOff>0</xdr:colOff>
                    <xdr:row>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67" r:id="rId19" name="bpmDropDownLVL2_ACTV_83">
              <controlPr defaultSize="0" autoFill="0" autoPict="0">
                <anchor moveWithCells="1" sizeWithCells="1">
                  <from>
                    <xdr:col>4</xdr:col>
                    <xdr:colOff>0</xdr:colOff>
                    <xdr:row>259</xdr:row>
                    <xdr:rowOff>0</xdr:rowOff>
                  </from>
                  <to>
                    <xdr:col>5</xdr:col>
                    <xdr:colOff>0</xdr:colOff>
                    <xdr:row>260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>
    <tabColor rgb="FFFFC000"/>
    <pageSetUpPr autoPageBreaks="0" fitToPage="1"/>
  </sheetPr>
  <dimension ref="A1:R286"/>
  <sheetViews>
    <sheetView showGridLines="0" zoomScaleNormal="100" workbookViewId="0">
      <pane xSplit="1" ySplit="7" topLeftCell="B8" activePane="bottomRight" state="frozen"/>
      <selection activeCell="I511" sqref="I511"/>
      <selection pane="topRight" activeCell="I511" sqref="I511"/>
      <selection pane="bottomLeft" activeCell="I511" sqref="I511"/>
      <selection pane="bottomRight" activeCell="D12" sqref="D12"/>
    </sheetView>
  </sheetViews>
  <sheetFormatPr defaultColWidth="11.7109375" defaultRowHeight="12" zeroHeight="1" x14ac:dyDescent="0.2"/>
  <cols>
    <col min="1" max="2" width="3.7109375" customWidth="1"/>
    <col min="3" max="3" width="5.7109375" customWidth="1"/>
    <col min="4" max="4" width="35.7109375" customWidth="1"/>
    <col min="5" max="5" width="30.7109375" customWidth="1"/>
    <col min="6" max="6" width="15.7109375" customWidth="1"/>
    <col min="7" max="7" width="10.7109375" customWidth="1"/>
    <col min="9" max="9" width="15.7109375" customWidth="1"/>
    <col min="10" max="14" width="20.7109375" customWidth="1"/>
  </cols>
  <sheetData>
    <row r="1" spans="1:14" ht="15" x14ac:dyDescent="0.2">
      <c r="A1" s="35" t="s">
        <v>128</v>
      </c>
      <c r="B1" s="31" t="str">
        <f>Lang_Supervision_Monitoring_And_Evaluation_Activities_SME_Annual_Assumptions</f>
        <v>Supervision , Monitoring, and Evaluation Activities (SME) - Annual Assumptions</v>
      </c>
    </row>
    <row r="2" spans="1:14" ht="12.75" x14ac:dyDescent="0.2">
      <c r="A2" s="36"/>
      <c r="B2" s="45" t="str">
        <f ca="1">Model_Name</f>
        <v>Cervical Cancer Prevention and Control Costing (C4P) Tool (Cost Projection)</v>
      </c>
    </row>
    <row r="3" spans="1:14" s="10" customFormat="1" x14ac:dyDescent="0.2">
      <c r="A3" s="421" t="s">
        <v>5</v>
      </c>
      <c r="B3" s="90" t="str">
        <f>Lang_Year_Ending</f>
        <v>Year Ending</v>
      </c>
      <c r="C3" s="90"/>
      <c r="D3" s="90"/>
      <c r="E3" s="90"/>
      <c r="F3" s="90"/>
      <c r="G3" s="90"/>
      <c r="H3" s="90"/>
      <c r="I3" s="90"/>
      <c r="J3" s="106">
        <f t="shared" ref="J3:N3" si="0">J7</f>
        <v>2019</v>
      </c>
      <c r="K3" s="106">
        <f t="shared" si="0"/>
        <v>2020</v>
      </c>
      <c r="L3" s="106">
        <f t="shared" si="0"/>
        <v>2021</v>
      </c>
      <c r="M3" s="106">
        <f t="shared" si="0"/>
        <v>2022</v>
      </c>
      <c r="N3" s="106">
        <f t="shared" si="0"/>
        <v>2023</v>
      </c>
    </row>
    <row r="4" spans="1:14" s="10" customFormat="1" hidden="1" x14ac:dyDescent="0.2">
      <c r="B4" s="50" t="str">
        <f>Lang_Period_Start_Date</f>
        <v>Period Start Date</v>
      </c>
      <c r="J4" s="340">
        <f>EDATE(TS_Start_Date,(J6-1)*TS_Mths_In_Yr)</f>
        <v>43466</v>
      </c>
      <c r="K4" s="340">
        <f>EDATE(TS_Start_Date,(K6-1)*TS_Mths_In_Yr)</f>
        <v>43831</v>
      </c>
      <c r="L4" s="340">
        <f>EDATE(TS_Start_Date,(L6-1)*TS_Mths_In_Yr)</f>
        <v>44197</v>
      </c>
      <c r="M4" s="340">
        <f>EDATE(TS_Start_Date,(M6-1)*TS_Mths_In_Yr)</f>
        <v>44562</v>
      </c>
      <c r="N4" s="340">
        <f>EDATE(TS_Start_Date,(N6-1)*TS_Mths_In_Yr)</f>
        <v>44927</v>
      </c>
    </row>
    <row r="5" spans="1:14" s="10" customFormat="1" hidden="1" x14ac:dyDescent="0.2">
      <c r="B5" s="50" t="str">
        <f>Lang_Period_End_Date</f>
        <v>Period End Date</v>
      </c>
      <c r="J5" s="340">
        <f>EDATE(J4,TS_Mths_In_Yr)-1</f>
        <v>43830</v>
      </c>
      <c r="K5" s="340">
        <f>EDATE(K4,TS_Mths_In_Yr)-1</f>
        <v>44196</v>
      </c>
      <c r="L5" s="340">
        <f>EDATE(L4,TS_Mths_In_Yr)-1</f>
        <v>44561</v>
      </c>
      <c r="M5" s="340">
        <f>EDATE(M4,TS_Mths_In_Yr)-1</f>
        <v>44926</v>
      </c>
      <c r="N5" s="340">
        <f>EDATE(N4,TS_Mths_In_Yr)-1</f>
        <v>45291</v>
      </c>
    </row>
    <row r="6" spans="1:14" s="10" customFormat="1" hidden="1" x14ac:dyDescent="0.2">
      <c r="B6" s="50" t="str">
        <f>Lang_Counter</f>
        <v>Counter</v>
      </c>
      <c r="J6" s="42">
        <f>COLUMNS($J6:J6)</f>
        <v>1</v>
      </c>
      <c r="K6" s="42">
        <f>COLUMNS($J6:K6)</f>
        <v>2</v>
      </c>
      <c r="L6" s="42">
        <f>COLUMNS($J6:L6)</f>
        <v>3</v>
      </c>
      <c r="M6" s="42">
        <f>COLUMNS($J6:M6)</f>
        <v>4</v>
      </c>
      <c r="N6" s="42">
        <f>COLUMNS($J6:N6)</f>
        <v>5</v>
      </c>
    </row>
    <row r="7" spans="1:14" s="10" customFormat="1" hidden="1" x14ac:dyDescent="0.2">
      <c r="B7" s="91" t="str">
        <f>Lang_Financial_Year</f>
        <v>Financial Year</v>
      </c>
      <c r="C7" s="69"/>
      <c r="D7" s="69"/>
      <c r="E7" s="69"/>
      <c r="F7" s="69"/>
      <c r="G7" s="69"/>
      <c r="H7" s="69"/>
      <c r="I7" s="69"/>
      <c r="J7" s="341">
        <f t="shared" ref="J7:N7" si="1">YEAR(J5)</f>
        <v>2019</v>
      </c>
      <c r="K7" s="341">
        <f t="shared" si="1"/>
        <v>2020</v>
      </c>
      <c r="L7" s="341">
        <f t="shared" si="1"/>
        <v>2021</v>
      </c>
      <c r="M7" s="341">
        <f t="shared" si="1"/>
        <v>2022</v>
      </c>
      <c r="N7" s="341">
        <f t="shared" si="1"/>
        <v>2023</v>
      </c>
    </row>
    <row r="8" spans="1:14" s="10" customFormat="1" collapsed="1" x14ac:dyDescent="0.2"/>
    <row r="9" spans="1:14" s="10" customFormat="1" x14ac:dyDescent="0.2">
      <c r="A9" s="12" t="s">
        <v>125</v>
      </c>
      <c r="B9" s="13" t="str">
        <f>HL_TOP_ACTV_5_Name&amp;" "&amp;Lang_Name</f>
        <v>SME Activity #1 (Not in Use) Name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1:14" s="10" customFormat="1" x14ac:dyDescent="0.2"/>
    <row r="11" spans="1:14" s="10" customFormat="1" x14ac:dyDescent="0.2">
      <c r="D11" s="55" t="str">
        <f>Lang_Supervision_Monitoring_And_Evaluation_SME_Activity_Name</f>
        <v>Supervision, Monitoring, and Evaluation (SME) Activity Name</v>
      </c>
    </row>
    <row r="12" spans="1:14" s="10" customFormat="1" x14ac:dyDescent="0.2">
      <c r="D12" s="75" t="s">
        <v>615</v>
      </c>
    </row>
    <row r="13" spans="1:14" s="10" customFormat="1" x14ac:dyDescent="0.2"/>
    <row r="14" spans="1:14" s="10" customFormat="1" x14ac:dyDescent="0.2">
      <c r="A14" s="12" t="s">
        <v>125</v>
      </c>
      <c r="B14" s="13" t="str">
        <f>HL_TOP_ACTV_5_Name&amp;" "&amp;Lang_Single_Activity_Cost_Annual_Assumptions_Projected_Or_Retrospective</f>
        <v>SME Activity #1 (Not in Use) Single Activity Cost - Annual Assumptions (Projected or Retrospective)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</row>
    <row r="15" spans="1:14" s="10" customFormat="1" x14ac:dyDescent="0.2"/>
    <row r="16" spans="1:14" s="10" customFormat="1" x14ac:dyDescent="0.2">
      <c r="D16" s="50" t="str">
        <f>Lang_Select_Input_Currency</f>
        <v>Select Input Currency</v>
      </c>
      <c r="E16" s="72">
        <v>1</v>
      </c>
    </row>
    <row r="17" spans="3:14" s="10" customFormat="1" x14ac:dyDescent="0.2"/>
    <row r="18" spans="3:14" s="10" customFormat="1" x14ac:dyDescent="0.2">
      <c r="D18" s="50" t="str">
        <f>Lang_Select_Costing_Input_Method</f>
        <v>Select Costing Input Method</v>
      </c>
      <c r="E18" s="72">
        <v>1</v>
      </c>
    </row>
    <row r="19" spans="3:14" s="10" customFormat="1" x14ac:dyDescent="0.2">
      <c r="E19" s="76" t="str">
        <f>Lang_GoTo&amp;" "&amp;HL_TOP_ACTV_5_Detailed_Costing_Worksheet</f>
        <v>Go to SME Activity #1 (Not in Use) -  Detailed Activity Costing Worksheet - Instructions</v>
      </c>
    </row>
    <row r="20" spans="3:14" s="10" customFormat="1" x14ac:dyDescent="0.2">
      <c r="C20" s="55" t="s">
        <v>208</v>
      </c>
      <c r="D20" s="74" t="str">
        <f>Lang_Detailed_Costing_Worksheet_Estimate</f>
        <v>Detailed Costing Worksheet Estimate</v>
      </c>
    </row>
    <row r="21" spans="3:14" s="10" customFormat="1" x14ac:dyDescent="0.2">
      <c r="F21" s="366" t="str">
        <f>SUPV_Lu!$D$13</f>
        <v>LCU</v>
      </c>
      <c r="G21" s="366" t="str">
        <f>SUPV_Lu!$D$12</f>
        <v>USD</v>
      </c>
      <c r="J21" s="366" t="str">
        <f ca="1">OFFSET(SUPV_Lu!$D$11,DD_TOP_ACTV_5_Annual_Currency_Used,0)</f>
        <v>USD</v>
      </c>
      <c r="K21" s="366" t="str">
        <f ca="1">OFFSET(SUPV_Lu!$D$11,DD_TOP_ACTV_5_Annual_Currency_Used,0)</f>
        <v>USD</v>
      </c>
      <c r="L21" s="366" t="str">
        <f ca="1">OFFSET(SUPV_Lu!$D$11,DD_TOP_ACTV_5_Annual_Currency_Used,0)</f>
        <v>USD</v>
      </c>
      <c r="M21" s="366" t="str">
        <f ca="1">OFFSET(SUPV_Lu!$D$11,DD_TOP_ACTV_5_Annual_Currency_Used,0)</f>
        <v>USD</v>
      </c>
      <c r="N21" s="366" t="str">
        <f ca="1">OFFSET(SUPV_Lu!$D$11,DD_TOP_ACTV_5_Annual_Currency_Used,0)</f>
        <v>USD</v>
      </c>
    </row>
    <row r="22" spans="3:14" s="10" customFormat="1" x14ac:dyDescent="0.2">
      <c r="D22" s="53" t="str">
        <f>SUPV_Lu!$D$32&amp;" "&amp;Lang_Cost_Of_A_Single&amp;" "&amp;SUPERVISION!$D$12&amp;" "&amp;Lang_Activity</f>
        <v>Financial Cost of a Single SME Activity #1 (Not in Use) Activity</v>
      </c>
      <c r="F22" s="41">
        <f>COSTS_DETAILED_SUMMARY!E354</f>
        <v>0</v>
      </c>
      <c r="G22" s="116">
        <f>COSTS_DETAILED_SUMMARY!G354</f>
        <v>0</v>
      </c>
      <c r="J22" s="79">
        <f>IF(DD_TOP_ACTV_5_Annual_Currency_Used=2,COSTS_DETAILED_SUMMARY!$E354,COSTS_DETAILED_SUMMARY!$G354)</f>
        <v>0</v>
      </c>
      <c r="K22" s="79">
        <f>IF(DD_TOP_ACTV_5_Annual_Currency_Used=2,COSTS_DETAILED_SUMMARY!$E354,COSTS_DETAILED_SUMMARY!$G354)</f>
        <v>0</v>
      </c>
      <c r="L22" s="79">
        <f>IF(DD_TOP_ACTV_5_Annual_Currency_Used=2,COSTS_DETAILED_SUMMARY!$E354,COSTS_DETAILED_SUMMARY!$G354)</f>
        <v>0</v>
      </c>
      <c r="M22" s="79">
        <f>IF(DD_TOP_ACTV_5_Annual_Currency_Used=2,COSTS_DETAILED_SUMMARY!$E354,COSTS_DETAILED_SUMMARY!$G354)</f>
        <v>0</v>
      </c>
      <c r="N22" s="79">
        <f>IF(DD_TOP_ACTV_5_Annual_Currency_Used=2,COSTS_DETAILED_SUMMARY!$E354,COSTS_DETAILED_SUMMARY!$G354)</f>
        <v>0</v>
      </c>
    </row>
    <row r="23" spans="3:14" s="10" customFormat="1" x14ac:dyDescent="0.2">
      <c r="D23" s="53" t="str">
        <f>SUPV_Lu!$D$33&amp;" "&amp;Lang_Cost_Of_A_Single&amp;" "&amp;SUPERVISION!$D$12&amp;" "&amp;Lang_Activity</f>
        <v>Economic Cost of a Single SME Activity #1 (Not in Use) Activity</v>
      </c>
      <c r="F23" s="41">
        <f>COSTS_DETAILED_SUMMARY!F354</f>
        <v>0</v>
      </c>
      <c r="G23" s="116">
        <f>COSTS_DETAILED_SUMMARY!H354</f>
        <v>0</v>
      </c>
      <c r="J23" s="79">
        <f>IF(DD_TOP_ACTV_5_Annual_Currency_Used=2,COSTS_DETAILED_SUMMARY!$F354,COSTS_DETAILED_SUMMARY!$H354)</f>
        <v>0</v>
      </c>
      <c r="K23" s="79">
        <f>IF(DD_TOP_ACTV_5_Annual_Currency_Used=2,COSTS_DETAILED_SUMMARY!$F354,COSTS_DETAILED_SUMMARY!$H354)</f>
        <v>0</v>
      </c>
      <c r="L23" s="79">
        <f>IF(DD_TOP_ACTV_5_Annual_Currency_Used=2,COSTS_DETAILED_SUMMARY!$F354,COSTS_DETAILED_SUMMARY!$H354)</f>
        <v>0</v>
      </c>
      <c r="M23" s="79">
        <f>IF(DD_TOP_ACTV_5_Annual_Currency_Used=2,COSTS_DETAILED_SUMMARY!$F354,COSTS_DETAILED_SUMMARY!$H354)</f>
        <v>0</v>
      </c>
      <c r="N23" s="79">
        <f>IF(DD_TOP_ACTV_5_Annual_Currency_Used=2,COSTS_DETAILED_SUMMARY!$F354,COSTS_DETAILED_SUMMARY!$H354)</f>
        <v>0</v>
      </c>
    </row>
    <row r="24" spans="3:14" s="10" customFormat="1" x14ac:dyDescent="0.2"/>
    <row r="25" spans="3:14" s="10" customFormat="1" x14ac:dyDescent="0.2"/>
    <row r="26" spans="3:14" s="10" customFormat="1" x14ac:dyDescent="0.2">
      <c r="C26" s="55" t="s">
        <v>210</v>
      </c>
      <c r="D26" s="74" t="str">
        <f>Lang_Direct_User_Entry_Cost_Estimate</f>
        <v>Direct User Entry Cost Estimate</v>
      </c>
      <c r="J26" s="366" t="str">
        <f ca="1">OFFSET(SUPV_Lu!$D$11,DD_TOP_ACTV_5_Annual_Currency_Used,0)</f>
        <v>USD</v>
      </c>
      <c r="K26" s="366" t="str">
        <f ca="1">OFFSET(SUPV_Lu!$D$11,DD_TOP_ACTV_5_Annual_Currency_Used,0)</f>
        <v>USD</v>
      </c>
      <c r="L26" s="366" t="str">
        <f ca="1">OFFSET(SUPV_Lu!$D$11,DD_TOP_ACTV_5_Annual_Currency_Used,0)</f>
        <v>USD</v>
      </c>
      <c r="M26" s="366" t="str">
        <f ca="1">OFFSET(SUPV_Lu!$D$11,DD_TOP_ACTV_5_Annual_Currency_Used,0)</f>
        <v>USD</v>
      </c>
      <c r="N26" s="366" t="str">
        <f ca="1">OFFSET(SUPV_Lu!$D$11,DD_TOP_ACTV_5_Annual_Currency_Used,0)</f>
        <v>USD</v>
      </c>
    </row>
    <row r="27" spans="3:14" s="10" customFormat="1" x14ac:dyDescent="0.2">
      <c r="D27" s="53" t="str">
        <f>SUPV_Lu!$D$32&amp;" "&amp;Lang_Cost_Of_A_Single&amp;" "&amp;SUPERVISION!$D$12&amp;" "&amp;Lang_Activity</f>
        <v>Financial Cost of a Single SME Activity #1 (Not in Use) Activity</v>
      </c>
      <c r="J27" s="80">
        <v>0</v>
      </c>
      <c r="K27" s="80">
        <v>0</v>
      </c>
      <c r="L27" s="80">
        <v>0</v>
      </c>
      <c r="M27" s="80">
        <v>0</v>
      </c>
      <c r="N27" s="80">
        <v>0</v>
      </c>
    </row>
    <row r="28" spans="3:14" s="10" customFormat="1" x14ac:dyDescent="0.2">
      <c r="D28" s="53" t="str">
        <f>SUPV_Lu!$D$33&amp;" "&amp;Lang_Cost_Of_A_Single&amp;" "&amp;SUPERVISION!$D$12&amp;" "&amp;Lang_Activity</f>
        <v>Economic Cost of a Single SME Activity #1 (Not in Use) Activity</v>
      </c>
      <c r="J28" s="80">
        <v>0</v>
      </c>
      <c r="K28" s="80">
        <v>0</v>
      </c>
      <c r="L28" s="80">
        <v>0</v>
      </c>
      <c r="M28" s="80">
        <v>0</v>
      </c>
      <c r="N28" s="80">
        <v>0</v>
      </c>
    </row>
    <row r="29" spans="3:14" s="10" customFormat="1" x14ac:dyDescent="0.2">
      <c r="D29" s="55" t="str">
        <f>Lang_Error_Check_Checks_If_Override_Input_economic_Cost_Is_Less_Than_Financial_Cost</f>
        <v>ERROR CHECK (CHECKS IF OVERRIDE INPUT ECONOMIC COST IS LESS THAN FINANCIAL COST)</v>
      </c>
      <c r="H29" s="145">
        <f>IF(ISERROR(SUM(J29:N29)),1,MIN(SUM(J29:N29),1))</f>
        <v>0</v>
      </c>
      <c r="J29" s="42">
        <f t="shared" ref="J29:N29" si="2">IF(J28&lt;J27,1,0)</f>
        <v>0</v>
      </c>
      <c r="K29" s="42">
        <f t="shared" si="2"/>
        <v>0</v>
      </c>
      <c r="L29" s="42">
        <f t="shared" si="2"/>
        <v>0</v>
      </c>
      <c r="M29" s="42">
        <f t="shared" si="2"/>
        <v>0</v>
      </c>
      <c r="N29" s="42">
        <f t="shared" si="2"/>
        <v>0</v>
      </c>
    </row>
    <row r="30" spans="3:14" s="10" customFormat="1" x14ac:dyDescent="0.2"/>
    <row r="31" spans="3:14" s="10" customFormat="1" x14ac:dyDescent="0.2">
      <c r="D31" s="74" t="str">
        <f>Lang_Source_Of_Information_Notes</f>
        <v>Notes and Sources of Information</v>
      </c>
    </row>
    <row r="32" spans="3:14" s="10" customFormat="1" x14ac:dyDescent="0.2">
      <c r="D32" s="482" t="s">
        <v>596</v>
      </c>
      <c r="E32" s="482"/>
    </row>
    <row r="33" spans="1:18" s="10" customFormat="1" x14ac:dyDescent="0.2">
      <c r="D33" s="482" t="s">
        <v>596</v>
      </c>
      <c r="E33" s="482"/>
      <c r="R33" s="10" t="s">
        <v>39</v>
      </c>
    </row>
    <row r="34" spans="1:18" s="10" customFormat="1" x14ac:dyDescent="0.2">
      <c r="D34" s="482" t="s">
        <v>596</v>
      </c>
      <c r="E34" s="482"/>
    </row>
    <row r="35" spans="1:18" s="10" customFormat="1" x14ac:dyDescent="0.2"/>
    <row r="36" spans="1:18" s="10" customFormat="1" x14ac:dyDescent="0.2">
      <c r="A36" s="12" t="s">
        <v>125</v>
      </c>
      <c r="B36" s="13" t="str">
        <f>Lang_Number_Of&amp;" "&amp;SUPERVISION!$D$12&amp;" "&amp;Lang_Activities_Annual_Assumptions_Projected_Or_Retrospective</f>
        <v>Number of SME Activity #1 (Not in Use) Activities - Annual Assumptions (Projected or Retrospective)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</row>
    <row r="37" spans="1:18" s="10" customFormat="1" x14ac:dyDescent="0.2"/>
    <row r="38" spans="1:18" s="10" customFormat="1" x14ac:dyDescent="0.2">
      <c r="D38" s="53" t="str">
        <f>$D$12&amp;" - "&amp;Lang_Number_Of_Activities_Per_Year&amp;" ("&amp;Lang_Projected_Or_Retrospective&amp;")"</f>
        <v>SME Activity #1 (Not in Use) - Number of Activities per Year (Projected or Retrospective)</v>
      </c>
      <c r="J38" s="80">
        <v>0</v>
      </c>
      <c r="K38" s="80">
        <v>0</v>
      </c>
      <c r="L38" s="80">
        <v>0</v>
      </c>
      <c r="M38" s="80">
        <v>0</v>
      </c>
      <c r="N38" s="80">
        <v>0</v>
      </c>
    </row>
    <row r="39" spans="1:18" s="10" customFormat="1" x14ac:dyDescent="0.2"/>
    <row r="40" spans="1:18" s="10" customFormat="1" x14ac:dyDescent="0.2">
      <c r="D40" s="74" t="str">
        <f>Lang_Source_Of_Information_Notes</f>
        <v>Notes and Sources of Information</v>
      </c>
    </row>
    <row r="41" spans="1:18" s="10" customFormat="1" x14ac:dyDescent="0.2">
      <c r="D41" s="482" t="s">
        <v>596</v>
      </c>
      <c r="E41" s="482"/>
    </row>
    <row r="42" spans="1:18" s="10" customFormat="1" x14ac:dyDescent="0.2">
      <c r="D42" s="482" t="s">
        <v>596</v>
      </c>
      <c r="E42" s="482"/>
    </row>
    <row r="43" spans="1:18" s="10" customFormat="1" x14ac:dyDescent="0.2">
      <c r="D43" s="482" t="s">
        <v>596</v>
      </c>
      <c r="E43" s="482"/>
    </row>
    <row r="44" spans="1:18" s="10" customFormat="1" x14ac:dyDescent="0.2">
      <c r="D44" s="76" t="str">
        <f>Lang_GoTo&amp;" "&amp;HL_TOP_ACTV_5_Activity_Summary_Costs_Annual</f>
        <v>Go to SME Activity #1 (Not in Use) - Summary Costs (Annual)</v>
      </c>
    </row>
    <row r="45" spans="1:18" s="10" customFormat="1" x14ac:dyDescent="0.2"/>
    <row r="46" spans="1:18" s="10" customFormat="1" x14ac:dyDescent="0.2">
      <c r="A46" s="12" t="s">
        <v>125</v>
      </c>
      <c r="B46" s="13" t="str">
        <f>HL_TOP_ACTV_17_Name&amp;" "&amp;Lang_Name</f>
        <v>SME Activity #2 (Not in Use) Name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</row>
    <row r="47" spans="1:18" s="10" customFormat="1" x14ac:dyDescent="0.2"/>
    <row r="48" spans="1:18" s="10" customFormat="1" x14ac:dyDescent="0.2">
      <c r="D48" s="55" t="str">
        <f>Lang_Supervision_Monitoring_And_Evaluation_SME_Activity_Name</f>
        <v>Supervision, Monitoring, and Evaluation (SME) Activity Name</v>
      </c>
    </row>
    <row r="49" spans="1:14" s="10" customFormat="1" x14ac:dyDescent="0.2">
      <c r="D49" s="75" t="s">
        <v>494</v>
      </c>
    </row>
    <row r="50" spans="1:14" s="10" customFormat="1" x14ac:dyDescent="0.2"/>
    <row r="51" spans="1:14" s="10" customFormat="1" x14ac:dyDescent="0.2">
      <c r="A51" s="12" t="s">
        <v>125</v>
      </c>
      <c r="B51" s="13" t="str">
        <f>HL_TOP_ACTV_17_Name&amp;" "&amp;Lang_Single_Activity_Cost_Annual_Assumptions_Projected_Or_Retrospective</f>
        <v>SME Activity #2 (Not in Use) Single Activity Cost - Annual Assumptions (Projected or Retrospective)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</row>
    <row r="52" spans="1:14" s="10" customFormat="1" x14ac:dyDescent="0.2"/>
    <row r="53" spans="1:14" s="10" customFormat="1" x14ac:dyDescent="0.2">
      <c r="D53" s="50" t="str">
        <f>Lang_Select_Input_Currency</f>
        <v>Select Input Currency</v>
      </c>
      <c r="E53" s="72">
        <v>1</v>
      </c>
    </row>
    <row r="54" spans="1:14" s="10" customFormat="1" x14ac:dyDescent="0.2"/>
    <row r="55" spans="1:14" s="10" customFormat="1" x14ac:dyDescent="0.2">
      <c r="D55" s="50" t="str">
        <f>Lang_Select_Costing_Input_Method</f>
        <v>Select Costing Input Method</v>
      </c>
      <c r="E55" s="72">
        <v>2</v>
      </c>
    </row>
    <row r="56" spans="1:14" s="10" customFormat="1" x14ac:dyDescent="0.2">
      <c r="E56" s="76" t="str">
        <f>Lang_GoTo&amp;" "&amp;HL_TOP_ACTV_17_Detailed_Costing_Worksheet</f>
        <v>Go to SME Activity #2 (Not in Use) -  Detailed Activity Costing Worksheet - Instructions</v>
      </c>
    </row>
    <row r="57" spans="1:14" s="10" customFormat="1" x14ac:dyDescent="0.2">
      <c r="C57" s="55" t="s">
        <v>208</v>
      </c>
      <c r="D57" s="74" t="str">
        <f>Lang_Detailed_Costing_Worksheet_Estimate</f>
        <v>Detailed Costing Worksheet Estimate</v>
      </c>
    </row>
    <row r="58" spans="1:14" s="10" customFormat="1" x14ac:dyDescent="0.2">
      <c r="F58" s="366" t="str">
        <f>SUPV_Lu!$D$48</f>
        <v>LCU</v>
      </c>
      <c r="G58" s="366" t="str">
        <f>SUPV_Lu!$D$47</f>
        <v>USD</v>
      </c>
      <c r="J58" s="366" t="str">
        <f ca="1">OFFSET(SUPV_Lu!$D$46,DD_TOP_ACTV_17_Annual_Currency_Used,0)</f>
        <v>USD</v>
      </c>
      <c r="K58" s="366" t="str">
        <f ca="1">OFFSET(SUPV_Lu!$D$46,DD_TOP_ACTV_17_Annual_Currency_Used,0)</f>
        <v>USD</v>
      </c>
      <c r="L58" s="366" t="str">
        <f ca="1">OFFSET(SUPV_Lu!$D$46,DD_TOP_ACTV_17_Annual_Currency_Used,0)</f>
        <v>USD</v>
      </c>
      <c r="M58" s="366" t="str">
        <f ca="1">OFFSET(SUPV_Lu!$D$46,DD_TOP_ACTV_17_Annual_Currency_Used,0)</f>
        <v>USD</v>
      </c>
      <c r="N58" s="366" t="str">
        <f ca="1">OFFSET(SUPV_Lu!$D$46,DD_TOP_ACTV_17_Annual_Currency_Used,0)</f>
        <v>USD</v>
      </c>
    </row>
    <row r="59" spans="1:14" s="10" customFormat="1" x14ac:dyDescent="0.2">
      <c r="D59" s="53" t="str">
        <f>SUPV_Lu!$D$67&amp;" "&amp;Lang_Cost_Of_A_Single&amp;" "&amp;$D$49&amp;" "&amp;Lang_Activity</f>
        <v>Financial Cost of a Single SME Activity #2 (Not in Use) Activity</v>
      </c>
      <c r="F59" s="41">
        <f>COSTS_DETAILED_SUMMARY!E369</f>
        <v>0</v>
      </c>
      <c r="G59" s="116">
        <f>COSTS_DETAILED_SUMMARY!G369</f>
        <v>0</v>
      </c>
      <c r="J59" s="79">
        <f>IF(DD_TOP_ACTV_17_Annual_Currency_Used=2,COSTS_DETAILED_SUMMARY!$E369,COSTS_DETAILED_SUMMARY!$G369)</f>
        <v>0</v>
      </c>
      <c r="K59" s="79">
        <f>IF(DD_TOP_ACTV_17_Annual_Currency_Used=2,COSTS_DETAILED_SUMMARY!$E369,COSTS_DETAILED_SUMMARY!$G369)</f>
        <v>0</v>
      </c>
      <c r="L59" s="79">
        <f>IF(DD_TOP_ACTV_17_Annual_Currency_Used=2,COSTS_DETAILED_SUMMARY!$E369,COSTS_DETAILED_SUMMARY!$G369)</f>
        <v>0</v>
      </c>
      <c r="M59" s="79">
        <f>IF(DD_TOP_ACTV_17_Annual_Currency_Used=2,COSTS_DETAILED_SUMMARY!$E369,COSTS_DETAILED_SUMMARY!$G369)</f>
        <v>0</v>
      </c>
      <c r="N59" s="79">
        <f>IF(DD_TOP_ACTV_17_Annual_Currency_Used=2,COSTS_DETAILED_SUMMARY!$E369,COSTS_DETAILED_SUMMARY!$G369)</f>
        <v>0</v>
      </c>
    </row>
    <row r="60" spans="1:14" s="10" customFormat="1" x14ac:dyDescent="0.2">
      <c r="D60" s="53" t="str">
        <f>SUPV_Lu!$D$68&amp;" "&amp;Lang_Cost_Of_A_Single&amp;" "&amp;$D$49&amp;" "&amp;Lang_Activity</f>
        <v>Economic Cost of a Single SME Activity #2 (Not in Use) Activity</v>
      </c>
      <c r="F60" s="41">
        <f>COSTS_DETAILED_SUMMARY!F369</f>
        <v>0</v>
      </c>
      <c r="G60" s="116">
        <f>COSTS_DETAILED_SUMMARY!H369</f>
        <v>0</v>
      </c>
      <c r="J60" s="79">
        <f>IF(DD_TOP_ACTV_17_Annual_Currency_Used=2,COSTS_DETAILED_SUMMARY!$F369,COSTS_DETAILED_SUMMARY!$H369)</f>
        <v>0</v>
      </c>
      <c r="K60" s="79">
        <f>IF(DD_TOP_ACTV_17_Annual_Currency_Used=2,COSTS_DETAILED_SUMMARY!$F369,COSTS_DETAILED_SUMMARY!$H369)</f>
        <v>0</v>
      </c>
      <c r="L60" s="79">
        <f>IF(DD_TOP_ACTV_17_Annual_Currency_Used=2,COSTS_DETAILED_SUMMARY!$F369,COSTS_DETAILED_SUMMARY!$H369)</f>
        <v>0</v>
      </c>
      <c r="M60" s="79">
        <f>IF(DD_TOP_ACTV_17_Annual_Currency_Used=2,COSTS_DETAILED_SUMMARY!$F369,COSTS_DETAILED_SUMMARY!$H369)</f>
        <v>0</v>
      </c>
      <c r="N60" s="79">
        <f>IF(DD_TOP_ACTV_17_Annual_Currency_Used=2,COSTS_DETAILED_SUMMARY!$F369,COSTS_DETAILED_SUMMARY!$H369)</f>
        <v>0</v>
      </c>
    </row>
    <row r="61" spans="1:14" s="10" customFormat="1" x14ac:dyDescent="0.2"/>
    <row r="62" spans="1:14" s="10" customFormat="1" x14ac:dyDescent="0.2"/>
    <row r="63" spans="1:14" s="10" customFormat="1" x14ac:dyDescent="0.2">
      <c r="C63" s="55" t="s">
        <v>210</v>
      </c>
      <c r="D63" s="74" t="str">
        <f>Lang_Direct_User_Entry_Cost_Estimate</f>
        <v>Direct User Entry Cost Estimate</v>
      </c>
      <c r="J63" s="366" t="str">
        <f ca="1">OFFSET(SUPV_Lu!$D$46,DD_TOP_ACTV_17_Annual_Currency_Used,0)</f>
        <v>USD</v>
      </c>
      <c r="K63" s="366" t="str">
        <f ca="1">OFFSET(SUPV_Lu!$D$46,DD_TOP_ACTV_17_Annual_Currency_Used,0)</f>
        <v>USD</v>
      </c>
      <c r="L63" s="366" t="str">
        <f ca="1">OFFSET(SUPV_Lu!$D$46,DD_TOP_ACTV_17_Annual_Currency_Used,0)</f>
        <v>USD</v>
      </c>
      <c r="M63" s="366" t="str">
        <f ca="1">OFFSET(SUPV_Lu!$D$46,DD_TOP_ACTV_17_Annual_Currency_Used,0)</f>
        <v>USD</v>
      </c>
      <c r="N63" s="366" t="str">
        <f ca="1">OFFSET(SUPV_Lu!$D$46,DD_TOP_ACTV_17_Annual_Currency_Used,0)</f>
        <v>USD</v>
      </c>
    </row>
    <row r="64" spans="1:14" s="10" customFormat="1" x14ac:dyDescent="0.2">
      <c r="D64" s="53" t="str">
        <f>SUPV_Lu!$D$67&amp;" "&amp;Lang_Cost_Of_A_Single&amp;" "&amp;$D$49&amp;" "&amp;Lang_Activity</f>
        <v>Financial Cost of a Single SME Activity #2 (Not in Use) Activity</v>
      </c>
      <c r="J64" s="80">
        <v>0</v>
      </c>
      <c r="K64" s="80">
        <v>0</v>
      </c>
      <c r="L64" s="80">
        <v>0</v>
      </c>
      <c r="M64" s="80">
        <v>0</v>
      </c>
      <c r="N64" s="80">
        <v>0</v>
      </c>
    </row>
    <row r="65" spans="1:14" s="10" customFormat="1" x14ac:dyDescent="0.2">
      <c r="D65" s="53" t="str">
        <f>SUPV_Lu!$D$68&amp;" "&amp;Lang_Cost_Of_A_Single&amp;" "&amp;$D$49&amp;" "&amp;Lang_Activity</f>
        <v>Economic Cost of a Single SME Activity #2 (Not in Use) Activity</v>
      </c>
      <c r="J65" s="80">
        <v>0</v>
      </c>
      <c r="K65" s="80">
        <v>0</v>
      </c>
      <c r="L65" s="80">
        <v>0</v>
      </c>
      <c r="M65" s="80">
        <v>0</v>
      </c>
      <c r="N65" s="80">
        <v>0</v>
      </c>
    </row>
    <row r="66" spans="1:14" s="10" customFormat="1" x14ac:dyDescent="0.2">
      <c r="D66" s="55" t="str">
        <f>Lang_Error_Check_Checks_If_Override_Input_economic_Cost_Is_Less_Than_Financial_Cost</f>
        <v>ERROR CHECK (CHECKS IF OVERRIDE INPUT ECONOMIC COST IS LESS THAN FINANCIAL COST)</v>
      </c>
      <c r="H66" s="145">
        <f>IF(ISERROR(SUM(J66:N66)),1,MIN(SUM(J66:N66),1))</f>
        <v>0</v>
      </c>
      <c r="J66" s="42">
        <f t="shared" ref="J66:N66" si="3">IF(J65&lt;J64,1,0)</f>
        <v>0</v>
      </c>
      <c r="K66" s="42">
        <f t="shared" si="3"/>
        <v>0</v>
      </c>
      <c r="L66" s="42">
        <f t="shared" si="3"/>
        <v>0</v>
      </c>
      <c r="M66" s="42">
        <f t="shared" si="3"/>
        <v>0</v>
      </c>
      <c r="N66" s="42">
        <f t="shared" si="3"/>
        <v>0</v>
      </c>
    </row>
    <row r="67" spans="1:14" s="10" customFormat="1" x14ac:dyDescent="0.2"/>
    <row r="68" spans="1:14" s="10" customFormat="1" x14ac:dyDescent="0.2">
      <c r="D68" s="74" t="str">
        <f>Lang_Source_Of_Information_Notes</f>
        <v>Notes and Sources of Information</v>
      </c>
    </row>
    <row r="69" spans="1:14" s="10" customFormat="1" x14ac:dyDescent="0.2">
      <c r="D69" s="482" t="s">
        <v>596</v>
      </c>
      <c r="E69" s="482"/>
    </row>
    <row r="70" spans="1:14" s="10" customFormat="1" x14ac:dyDescent="0.2">
      <c r="D70" s="482" t="s">
        <v>596</v>
      </c>
      <c r="E70" s="482"/>
    </row>
    <row r="71" spans="1:14" s="10" customFormat="1" x14ac:dyDescent="0.2">
      <c r="D71" s="482" t="s">
        <v>596</v>
      </c>
      <c r="E71" s="482"/>
    </row>
    <row r="72" spans="1:14" s="10" customFormat="1" x14ac:dyDescent="0.2"/>
    <row r="73" spans="1:14" s="10" customFormat="1" x14ac:dyDescent="0.2">
      <c r="A73" s="12" t="s">
        <v>125</v>
      </c>
      <c r="B73" s="13" t="str">
        <f>Lang_Number_Of&amp;" "&amp;$D$49&amp;" "&amp;Lang_Activities_Annual_Assumptions_Projected_Or_Retrospective</f>
        <v>Number of SME Activity #2 (Not in Use) Activities - Annual Assumptions (Projected or Retrospective)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</row>
    <row r="74" spans="1:14" s="10" customFormat="1" x14ac:dyDescent="0.2"/>
    <row r="75" spans="1:14" s="10" customFormat="1" x14ac:dyDescent="0.2">
      <c r="D75" s="53" t="str">
        <f>$D$49&amp;" - "&amp;Lang_Number_Of_Activities_Per_Year&amp;" ("&amp;Lang_Projected_Or_Retrospective&amp;")"</f>
        <v>SME Activity #2 (Not in Use) - Number of Activities per Year (Projected or Retrospective)</v>
      </c>
      <c r="J75" s="80">
        <v>0</v>
      </c>
      <c r="K75" s="80">
        <v>0</v>
      </c>
      <c r="L75" s="80">
        <v>0</v>
      </c>
      <c r="M75" s="80">
        <v>0</v>
      </c>
      <c r="N75" s="80">
        <v>0</v>
      </c>
    </row>
    <row r="76" spans="1:14" s="10" customFormat="1" x14ac:dyDescent="0.2"/>
    <row r="77" spans="1:14" s="10" customFormat="1" x14ac:dyDescent="0.2">
      <c r="D77" s="74" t="str">
        <f>Lang_Source_Of_Information_Notes</f>
        <v>Notes and Sources of Information</v>
      </c>
    </row>
    <row r="78" spans="1:14" s="10" customFormat="1" x14ac:dyDescent="0.2">
      <c r="D78" s="482" t="s">
        <v>596</v>
      </c>
      <c r="E78" s="482"/>
    </row>
    <row r="79" spans="1:14" s="10" customFormat="1" x14ac:dyDescent="0.2">
      <c r="D79" s="482" t="s">
        <v>596</v>
      </c>
      <c r="E79" s="482"/>
    </row>
    <row r="80" spans="1:14" s="10" customFormat="1" x14ac:dyDescent="0.2">
      <c r="D80" s="482" t="s">
        <v>596</v>
      </c>
      <c r="E80" s="482"/>
    </row>
    <row r="81" spans="1:14" s="10" customFormat="1" x14ac:dyDescent="0.2">
      <c r="D81" s="76" t="str">
        <f>Lang_GoTo&amp;" "&amp;HL_TOP_ACTV_17_Activity_Summary_Costs_Annual</f>
        <v>Go to SME Activity #2 (Not in Use) - Summary Costs (Annual)</v>
      </c>
    </row>
    <row r="82" spans="1:14" s="10" customFormat="1" x14ac:dyDescent="0.2"/>
    <row r="83" spans="1:14" s="10" customFormat="1" x14ac:dyDescent="0.2">
      <c r="A83" s="12" t="s">
        <v>125</v>
      </c>
      <c r="B83" s="13" t="str">
        <f>HL_TOP_ACTV_18_Name&amp;" "&amp;Lang_Name</f>
        <v>SME Activity #3 (Not in Use) Name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</row>
    <row r="84" spans="1:14" s="10" customFormat="1" x14ac:dyDescent="0.2"/>
    <row r="85" spans="1:14" s="10" customFormat="1" x14ac:dyDescent="0.2">
      <c r="D85" s="55" t="str">
        <f>Lang_Supervision_Monitoring_And_Evaluation_SME_Activity_Name</f>
        <v>Supervision, Monitoring, and Evaluation (SME) Activity Name</v>
      </c>
    </row>
    <row r="86" spans="1:14" s="10" customFormat="1" x14ac:dyDescent="0.2">
      <c r="D86" s="75" t="s">
        <v>495</v>
      </c>
    </row>
    <row r="87" spans="1:14" s="10" customFormat="1" x14ac:dyDescent="0.2"/>
    <row r="88" spans="1:14" s="10" customFormat="1" x14ac:dyDescent="0.2">
      <c r="A88" s="12" t="s">
        <v>125</v>
      </c>
      <c r="B88" s="13" t="str">
        <f>HL_TOP_ACTV_18_Name&amp;" "&amp;Lang_Single_Activity_Cost_Annual_Assumptions_Projected_Or_Retrospective</f>
        <v>SME Activity #3 (Not in Use) Single Activity Cost - Annual Assumptions (Projected or Retrospective)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s="10" customFormat="1" x14ac:dyDescent="0.2"/>
    <row r="90" spans="1:14" s="10" customFormat="1" x14ac:dyDescent="0.2">
      <c r="D90" s="50" t="str">
        <f>Lang_Select_Input_Currency</f>
        <v>Select Input Currency</v>
      </c>
      <c r="E90" s="72">
        <v>1</v>
      </c>
    </row>
    <row r="91" spans="1:14" s="10" customFormat="1" x14ac:dyDescent="0.2"/>
    <row r="92" spans="1:14" s="10" customFormat="1" x14ac:dyDescent="0.2">
      <c r="D92" s="50" t="str">
        <f>Lang_Select_Costing_Input_Method</f>
        <v>Select Costing Input Method</v>
      </c>
      <c r="E92" s="72">
        <v>2</v>
      </c>
    </row>
    <row r="93" spans="1:14" s="10" customFormat="1" x14ac:dyDescent="0.2">
      <c r="E93" s="76" t="str">
        <f>Lang_GoTo&amp;" "&amp;HL_TOP_ACTV_18_Detailed_Costing_Worksheet</f>
        <v>Go to SME Activity #3 (Not in Use) -  Detailed Activity Costing Worksheet - Instructions</v>
      </c>
    </row>
    <row r="94" spans="1:14" s="10" customFormat="1" x14ac:dyDescent="0.2">
      <c r="C94" s="55" t="s">
        <v>208</v>
      </c>
      <c r="D94" s="74" t="str">
        <f>Lang_Detailed_Costing_Worksheet_Estimate</f>
        <v>Detailed Costing Worksheet Estimate</v>
      </c>
    </row>
    <row r="95" spans="1:14" s="10" customFormat="1" x14ac:dyDescent="0.2">
      <c r="F95" s="366" t="str">
        <f>SUPV_Lu!$D$83</f>
        <v>LCU</v>
      </c>
      <c r="G95" s="366" t="str">
        <f>SUPV_Lu!$D$82</f>
        <v>USD</v>
      </c>
      <c r="J95" s="366" t="str">
        <f ca="1">OFFSET(SUPV_Lu!$D$81,DD_TOP_ACTV_18_Annual_Currency_Used,0)</f>
        <v>USD</v>
      </c>
      <c r="K95" s="366" t="str">
        <f ca="1">OFFSET(SUPV_Lu!$D$81,DD_TOP_ACTV_18_Annual_Currency_Used,0)</f>
        <v>USD</v>
      </c>
      <c r="L95" s="366" t="str">
        <f ca="1">OFFSET(SUPV_Lu!$D$81,DD_TOP_ACTV_18_Annual_Currency_Used,0)</f>
        <v>USD</v>
      </c>
      <c r="M95" s="366" t="str">
        <f ca="1">OFFSET(SUPV_Lu!$D$81,DD_TOP_ACTV_18_Annual_Currency_Used,0)</f>
        <v>USD</v>
      </c>
      <c r="N95" s="366" t="str">
        <f ca="1">OFFSET(SUPV_Lu!$D$81,DD_TOP_ACTV_18_Annual_Currency_Used,0)</f>
        <v>USD</v>
      </c>
    </row>
    <row r="96" spans="1:14" s="10" customFormat="1" x14ac:dyDescent="0.2">
      <c r="D96" s="53" t="str">
        <f>SUPV_Lu!$D$102&amp;" "&amp;Lang_Cost_Of_A_Single&amp;" "&amp;$D$86&amp;" "&amp;Lang_Activity</f>
        <v>Financial Cost of a Single SME Activity #3 (Not in Use) Activity</v>
      </c>
      <c r="F96" s="41">
        <f>COSTS_DETAILED_SUMMARY!E384</f>
        <v>0</v>
      </c>
      <c r="G96" s="116">
        <f>COSTS_DETAILED_SUMMARY!G384</f>
        <v>0</v>
      </c>
      <c r="J96" s="79">
        <f>IF(DD_TOP_ACTV_18_Annual_Currency_Used=2,COSTS_DETAILED_SUMMARY!$E384,COSTS_DETAILED_SUMMARY!$G384)</f>
        <v>0</v>
      </c>
      <c r="K96" s="79">
        <f>IF(DD_TOP_ACTV_18_Annual_Currency_Used=2,COSTS_DETAILED_SUMMARY!$E384,COSTS_DETAILED_SUMMARY!$G384)</f>
        <v>0</v>
      </c>
      <c r="L96" s="79">
        <f>IF(DD_TOP_ACTV_18_Annual_Currency_Used=2,COSTS_DETAILED_SUMMARY!$E384,COSTS_DETAILED_SUMMARY!$G384)</f>
        <v>0</v>
      </c>
      <c r="M96" s="79">
        <f>IF(DD_TOP_ACTV_18_Annual_Currency_Used=2,COSTS_DETAILED_SUMMARY!$E384,COSTS_DETAILED_SUMMARY!$G384)</f>
        <v>0</v>
      </c>
      <c r="N96" s="79">
        <f>IF(DD_TOP_ACTV_18_Annual_Currency_Used=2,COSTS_DETAILED_SUMMARY!$E384,COSTS_DETAILED_SUMMARY!$G384)</f>
        <v>0</v>
      </c>
    </row>
    <row r="97" spans="1:14" s="10" customFormat="1" x14ac:dyDescent="0.2">
      <c r="D97" s="53" t="str">
        <f>SUPV_Lu!$D$103&amp;" "&amp;Lang_Cost_Of_A_Single&amp;" "&amp;$D$86&amp;" "&amp;Lang_Activity</f>
        <v>Economic Cost of a Single SME Activity #3 (Not in Use) Activity</v>
      </c>
      <c r="F97" s="41">
        <f>COSTS_DETAILED_SUMMARY!F384</f>
        <v>0</v>
      </c>
      <c r="G97" s="116">
        <f>COSTS_DETAILED_SUMMARY!H384</f>
        <v>0</v>
      </c>
      <c r="J97" s="79">
        <f>IF(DD_TOP_ACTV_18_Annual_Currency_Used=2,COSTS_DETAILED_SUMMARY!$F384,COSTS_DETAILED_SUMMARY!$H384)</f>
        <v>0</v>
      </c>
      <c r="K97" s="79">
        <f>IF(DD_TOP_ACTV_18_Annual_Currency_Used=2,COSTS_DETAILED_SUMMARY!$F384,COSTS_DETAILED_SUMMARY!$H384)</f>
        <v>0</v>
      </c>
      <c r="L97" s="79">
        <f>IF(DD_TOP_ACTV_18_Annual_Currency_Used=2,COSTS_DETAILED_SUMMARY!$F384,COSTS_DETAILED_SUMMARY!$H384)</f>
        <v>0</v>
      </c>
      <c r="M97" s="79">
        <f>IF(DD_TOP_ACTV_18_Annual_Currency_Used=2,COSTS_DETAILED_SUMMARY!$F384,COSTS_DETAILED_SUMMARY!$H384)</f>
        <v>0</v>
      </c>
      <c r="N97" s="79">
        <f>IF(DD_TOP_ACTV_18_Annual_Currency_Used=2,COSTS_DETAILED_SUMMARY!$F384,COSTS_DETAILED_SUMMARY!$H384)</f>
        <v>0</v>
      </c>
    </row>
    <row r="98" spans="1:14" s="10" customFormat="1" x14ac:dyDescent="0.2"/>
    <row r="99" spans="1:14" s="10" customFormat="1" x14ac:dyDescent="0.2"/>
    <row r="100" spans="1:14" s="10" customFormat="1" x14ac:dyDescent="0.2">
      <c r="C100" s="55" t="s">
        <v>210</v>
      </c>
      <c r="D100" s="74" t="str">
        <f>Lang_Direct_User_Entry_Cost_Estimate</f>
        <v>Direct User Entry Cost Estimate</v>
      </c>
      <c r="J100" s="366" t="str">
        <f ca="1">OFFSET(SUPV_Lu!$D$81,DD_TOP_ACTV_18_Annual_Currency_Used,0)</f>
        <v>USD</v>
      </c>
      <c r="K100" s="366" t="str">
        <f ca="1">OFFSET(SUPV_Lu!$D$81,DD_TOP_ACTV_18_Annual_Currency_Used,0)</f>
        <v>USD</v>
      </c>
      <c r="L100" s="366" t="str">
        <f ca="1">OFFSET(SUPV_Lu!$D$81,DD_TOP_ACTV_18_Annual_Currency_Used,0)</f>
        <v>USD</v>
      </c>
      <c r="M100" s="366" t="str">
        <f ca="1">OFFSET(SUPV_Lu!$D$81,DD_TOP_ACTV_18_Annual_Currency_Used,0)</f>
        <v>USD</v>
      </c>
      <c r="N100" s="366" t="str">
        <f ca="1">OFFSET(SUPV_Lu!$D$81,DD_TOP_ACTV_18_Annual_Currency_Used,0)</f>
        <v>USD</v>
      </c>
    </row>
    <row r="101" spans="1:14" s="10" customFormat="1" x14ac:dyDescent="0.2">
      <c r="D101" s="53" t="str">
        <f>SUPV_Lu!$D$102&amp;" "&amp;Lang_Cost_Of_A_Single&amp;" "&amp;$D$86&amp;" "&amp;Lang_Activity</f>
        <v>Financial Cost of a Single SME Activity #3 (Not in Use) Activity</v>
      </c>
      <c r="J101" s="80">
        <v>0</v>
      </c>
      <c r="K101" s="80">
        <v>0</v>
      </c>
      <c r="L101" s="80">
        <v>0</v>
      </c>
      <c r="M101" s="80">
        <v>0</v>
      </c>
      <c r="N101" s="80">
        <v>0</v>
      </c>
    </row>
    <row r="102" spans="1:14" s="10" customFormat="1" x14ac:dyDescent="0.2">
      <c r="D102" s="53" t="str">
        <f>SUPV_Lu!$D$103&amp;" "&amp;Lang_Cost_Of_A_Single&amp;" "&amp;$D$86&amp;" "&amp;Lang_Activity</f>
        <v>Economic Cost of a Single SME Activity #3 (Not in Use) Activity</v>
      </c>
      <c r="J102" s="80">
        <v>0</v>
      </c>
      <c r="K102" s="80">
        <v>0</v>
      </c>
      <c r="L102" s="80">
        <v>0</v>
      </c>
      <c r="M102" s="80">
        <v>0</v>
      </c>
      <c r="N102" s="80">
        <v>0</v>
      </c>
    </row>
    <row r="103" spans="1:14" s="10" customFormat="1" x14ac:dyDescent="0.2">
      <c r="D103" s="55" t="str">
        <f>Lang_Error_Check_Checks_If_Override_Input_economic_Cost_Is_Less_Than_Financial_Cost</f>
        <v>ERROR CHECK (CHECKS IF OVERRIDE INPUT ECONOMIC COST IS LESS THAN FINANCIAL COST)</v>
      </c>
      <c r="H103" s="145">
        <f>IF(ISERROR(SUM(J103:N103)),1,MIN(SUM(J103:N103),1))</f>
        <v>0</v>
      </c>
      <c r="J103" s="42">
        <f t="shared" ref="J103:N103" si="4">IF(J102&lt;J101,1,0)</f>
        <v>0</v>
      </c>
      <c r="K103" s="42">
        <f t="shared" si="4"/>
        <v>0</v>
      </c>
      <c r="L103" s="42">
        <f t="shared" si="4"/>
        <v>0</v>
      </c>
      <c r="M103" s="42">
        <f t="shared" si="4"/>
        <v>0</v>
      </c>
      <c r="N103" s="42">
        <f t="shared" si="4"/>
        <v>0</v>
      </c>
    </row>
    <row r="104" spans="1:14" s="10" customFormat="1" x14ac:dyDescent="0.2"/>
    <row r="105" spans="1:14" s="10" customFormat="1" x14ac:dyDescent="0.2">
      <c r="D105" s="74" t="str">
        <f>Lang_Source_Of_Information_Notes</f>
        <v>Notes and Sources of Information</v>
      </c>
    </row>
    <row r="106" spans="1:14" s="10" customFormat="1" x14ac:dyDescent="0.2">
      <c r="D106" s="482" t="s">
        <v>596</v>
      </c>
      <c r="E106" s="482"/>
    </row>
    <row r="107" spans="1:14" s="10" customFormat="1" x14ac:dyDescent="0.2">
      <c r="D107" s="482" t="s">
        <v>596</v>
      </c>
      <c r="E107" s="482"/>
    </row>
    <row r="108" spans="1:14" s="10" customFormat="1" x14ac:dyDescent="0.2">
      <c r="D108" s="482" t="s">
        <v>596</v>
      </c>
      <c r="E108" s="482"/>
    </row>
    <row r="109" spans="1:14" s="10" customFormat="1" x14ac:dyDescent="0.2"/>
    <row r="110" spans="1:14" s="10" customFormat="1" x14ac:dyDescent="0.2">
      <c r="A110" s="12" t="s">
        <v>125</v>
      </c>
      <c r="B110" s="13" t="str">
        <f>Lang_Number_Of&amp;" "&amp;$D$86&amp;" "&amp;Lang_Activities_Annual_Assumptions_Projected_Or_Retrospective</f>
        <v>Number of SME Activity #3 (Not in Use) Activities - Annual Assumptions (Projected or Retrospective)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</row>
    <row r="111" spans="1:14" s="10" customFormat="1" x14ac:dyDescent="0.2"/>
    <row r="112" spans="1:14" s="10" customFormat="1" x14ac:dyDescent="0.2">
      <c r="D112" s="53" t="str">
        <f>$D$86&amp;" - "&amp;Lang_Number_Of_Activities_Per_Year&amp;" ("&amp;Lang_Projected_Or_Retrospective&amp;")"</f>
        <v>SME Activity #3 (Not in Use) - Number of Activities per Year (Projected or Retrospective)</v>
      </c>
      <c r="J112" s="80">
        <v>0</v>
      </c>
      <c r="K112" s="80">
        <v>0</v>
      </c>
      <c r="L112" s="80">
        <v>0</v>
      </c>
      <c r="M112" s="80">
        <v>0</v>
      </c>
      <c r="N112" s="80">
        <v>0</v>
      </c>
    </row>
    <row r="113" spans="1:14" s="10" customFormat="1" x14ac:dyDescent="0.2"/>
    <row r="114" spans="1:14" s="10" customFormat="1" x14ac:dyDescent="0.2">
      <c r="D114" s="74" t="str">
        <f>Lang_Source_Of_Information_Notes</f>
        <v>Notes and Sources of Information</v>
      </c>
    </row>
    <row r="115" spans="1:14" s="10" customFormat="1" x14ac:dyDescent="0.2">
      <c r="D115" s="482" t="s">
        <v>596</v>
      </c>
      <c r="E115" s="482"/>
    </row>
    <row r="116" spans="1:14" s="10" customFormat="1" x14ac:dyDescent="0.2">
      <c r="D116" s="482" t="s">
        <v>596</v>
      </c>
      <c r="E116" s="482"/>
    </row>
    <row r="117" spans="1:14" s="10" customFormat="1" x14ac:dyDescent="0.2">
      <c r="D117" s="482" t="s">
        <v>596</v>
      </c>
      <c r="E117" s="482"/>
    </row>
    <row r="118" spans="1:14" s="10" customFormat="1" x14ac:dyDescent="0.2">
      <c r="D118" s="76" t="str">
        <f>Lang_GoTo&amp;" "&amp;HL_TOP_ACTV_18_Activity_Summary_Costs_Annual</f>
        <v>Go to SME Activity #3 (Not in Use) - Summary Costs (Annual)</v>
      </c>
    </row>
    <row r="119" spans="1:14" s="10" customFormat="1" x14ac:dyDescent="0.2"/>
    <row r="120" spans="1:14" s="10" customFormat="1" x14ac:dyDescent="0.2">
      <c r="A120" s="12" t="s">
        <v>125</v>
      </c>
      <c r="B120" s="13" t="str">
        <f>HL_TOP_ACTV_8_Name&amp;" "&amp;Lang_Name</f>
        <v>SME Activity #4 (Not in Use) Name</v>
      </c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</row>
    <row r="121" spans="1:14" s="10" customFormat="1" x14ac:dyDescent="0.2"/>
    <row r="122" spans="1:14" s="10" customFormat="1" x14ac:dyDescent="0.2">
      <c r="D122" s="55" t="str">
        <f>Lang_Supervision_Monitoring_And_Evaluation_SME_Activity_Name</f>
        <v>Supervision, Monitoring, and Evaluation (SME) Activity Name</v>
      </c>
    </row>
    <row r="123" spans="1:14" s="10" customFormat="1" x14ac:dyDescent="0.2">
      <c r="D123" s="75" t="s">
        <v>496</v>
      </c>
    </row>
    <row r="124" spans="1:14" s="10" customFormat="1" x14ac:dyDescent="0.2"/>
    <row r="125" spans="1:14" s="10" customFormat="1" x14ac:dyDescent="0.2">
      <c r="A125" s="12" t="s">
        <v>125</v>
      </c>
      <c r="B125" s="13" t="str">
        <f>HL_TOP_ACTV_8_Name&amp;" "&amp;Lang_Single_Activity_Cost_Annual_Assumptions_Projected_Or_Retrospective</f>
        <v>SME Activity #4 (Not in Use) Single Activity Cost - Annual Assumptions (Projected or Retrospective)</v>
      </c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</row>
    <row r="126" spans="1:14" s="10" customFormat="1" x14ac:dyDescent="0.2"/>
    <row r="127" spans="1:14" s="10" customFormat="1" x14ac:dyDescent="0.2">
      <c r="D127" s="50" t="str">
        <f>Lang_Select_Input_Currency</f>
        <v>Select Input Currency</v>
      </c>
      <c r="E127" s="72">
        <v>1</v>
      </c>
    </row>
    <row r="128" spans="1:14" s="10" customFormat="1" x14ac:dyDescent="0.2"/>
    <row r="129" spans="3:14" s="10" customFormat="1" x14ac:dyDescent="0.2">
      <c r="D129" s="50" t="str">
        <f>Lang_Select_Costing_Input_Method</f>
        <v>Select Costing Input Method</v>
      </c>
      <c r="E129" s="72">
        <v>2</v>
      </c>
    </row>
    <row r="130" spans="3:14" s="10" customFormat="1" x14ac:dyDescent="0.2">
      <c r="E130" s="76" t="str">
        <f>Lang_GoTo&amp;" "&amp;HL_TOP_ACTV_8_Detailed_Costing_Worksheet</f>
        <v>Go to SME Activity #4 (Not in Use) -  Detailed Activity Costing Worksheet - Instructions</v>
      </c>
    </row>
    <row r="131" spans="3:14" s="10" customFormat="1" x14ac:dyDescent="0.2">
      <c r="C131" s="55" t="s">
        <v>208</v>
      </c>
      <c r="D131" s="74" t="str">
        <f>Lang_Detailed_Costing_Worksheet_Estimate</f>
        <v>Detailed Costing Worksheet Estimate</v>
      </c>
    </row>
    <row r="132" spans="3:14" s="10" customFormat="1" x14ac:dyDescent="0.2">
      <c r="F132" s="366" t="str">
        <f>SUPV_Lu!$D$118</f>
        <v>LCU</v>
      </c>
      <c r="G132" s="366" t="str">
        <f>SUPV_Lu!$D$117</f>
        <v>USD</v>
      </c>
      <c r="J132" s="366" t="str">
        <f ca="1">OFFSET(SUPV_Lu!$D$116,DD_TOP_ACTV_8_Annual_Currency_Used,0)</f>
        <v>USD</v>
      </c>
      <c r="K132" s="366" t="str">
        <f ca="1">OFFSET(SUPV_Lu!$D$116,DD_TOP_ACTV_8_Annual_Currency_Used,0)</f>
        <v>USD</v>
      </c>
      <c r="L132" s="366" t="str">
        <f ca="1">OFFSET(SUPV_Lu!$D$116,DD_TOP_ACTV_8_Annual_Currency_Used,0)</f>
        <v>USD</v>
      </c>
      <c r="M132" s="366" t="str">
        <f ca="1">OFFSET(SUPV_Lu!$D$116,DD_TOP_ACTV_8_Annual_Currency_Used,0)</f>
        <v>USD</v>
      </c>
      <c r="N132" s="366" t="str">
        <f ca="1">OFFSET(SUPV_Lu!$D$116,DD_TOP_ACTV_8_Annual_Currency_Used,0)</f>
        <v>USD</v>
      </c>
    </row>
    <row r="133" spans="3:14" s="10" customFormat="1" x14ac:dyDescent="0.2">
      <c r="D133" s="53" t="str">
        <f>SUPV_Lu!$D$137&amp;" "&amp;Lang_Cost_Of_A_Single&amp;" "&amp;$D$123&amp;" "&amp;Lang_Activity</f>
        <v>Financial Cost of a Single SME Activity #4 (Not in Use) Activity</v>
      </c>
      <c r="F133" s="41">
        <f>COSTS_DETAILED_SUMMARY!E399</f>
        <v>0</v>
      </c>
      <c r="G133" s="116">
        <f>COSTS_DETAILED_SUMMARY!G399</f>
        <v>0</v>
      </c>
      <c r="J133" s="79">
        <f>IF(DD_TOP_ACTV_8_Annual_Currency_Used=2,COSTS_DETAILED_SUMMARY!$E399,COSTS_DETAILED_SUMMARY!$G399)</f>
        <v>0</v>
      </c>
      <c r="K133" s="79">
        <f>IF(DD_TOP_ACTV_8_Annual_Currency_Used=2,COSTS_DETAILED_SUMMARY!$E399,COSTS_DETAILED_SUMMARY!$G399)</f>
        <v>0</v>
      </c>
      <c r="L133" s="79">
        <f>IF(DD_TOP_ACTV_8_Annual_Currency_Used=2,COSTS_DETAILED_SUMMARY!$E399,COSTS_DETAILED_SUMMARY!$G399)</f>
        <v>0</v>
      </c>
      <c r="M133" s="79">
        <f>IF(DD_TOP_ACTV_8_Annual_Currency_Used=2,COSTS_DETAILED_SUMMARY!$E399,COSTS_DETAILED_SUMMARY!$G399)</f>
        <v>0</v>
      </c>
      <c r="N133" s="79">
        <f>IF(DD_TOP_ACTV_8_Annual_Currency_Used=2,COSTS_DETAILED_SUMMARY!$E399,COSTS_DETAILED_SUMMARY!$G399)</f>
        <v>0</v>
      </c>
    </row>
    <row r="134" spans="3:14" s="10" customFormat="1" x14ac:dyDescent="0.2">
      <c r="D134" s="53" t="str">
        <f>SUPV_Lu!$D$138&amp;" "&amp;Lang_Cost_Of_A_Single&amp;" "&amp;$D$123&amp;" "&amp;Lang_Activity</f>
        <v>Economic Cost of a Single SME Activity #4 (Not in Use) Activity</v>
      </c>
      <c r="F134" s="41">
        <f>COSTS_DETAILED_SUMMARY!F399</f>
        <v>0</v>
      </c>
      <c r="G134" s="116">
        <f>COSTS_DETAILED_SUMMARY!H399</f>
        <v>0</v>
      </c>
      <c r="J134" s="79">
        <f>IF(DD_TOP_ACTV_8_Annual_Currency_Used=2,COSTS_DETAILED_SUMMARY!$F399,COSTS_DETAILED_SUMMARY!$H399)</f>
        <v>0</v>
      </c>
      <c r="K134" s="79">
        <f>IF(DD_TOP_ACTV_8_Annual_Currency_Used=2,COSTS_DETAILED_SUMMARY!$F399,COSTS_DETAILED_SUMMARY!$H399)</f>
        <v>0</v>
      </c>
      <c r="L134" s="79">
        <f>IF(DD_TOP_ACTV_8_Annual_Currency_Used=2,COSTS_DETAILED_SUMMARY!$F399,COSTS_DETAILED_SUMMARY!$H399)</f>
        <v>0</v>
      </c>
      <c r="M134" s="79">
        <f>IF(DD_TOP_ACTV_8_Annual_Currency_Used=2,COSTS_DETAILED_SUMMARY!$F399,COSTS_DETAILED_SUMMARY!$H399)</f>
        <v>0</v>
      </c>
      <c r="N134" s="79">
        <f>IF(DD_TOP_ACTV_8_Annual_Currency_Used=2,COSTS_DETAILED_SUMMARY!$F399,COSTS_DETAILED_SUMMARY!$H399)</f>
        <v>0</v>
      </c>
    </row>
    <row r="135" spans="3:14" s="10" customFormat="1" x14ac:dyDescent="0.2"/>
    <row r="136" spans="3:14" s="10" customFormat="1" x14ac:dyDescent="0.2"/>
    <row r="137" spans="3:14" s="10" customFormat="1" x14ac:dyDescent="0.2">
      <c r="C137" s="55" t="s">
        <v>210</v>
      </c>
      <c r="D137" s="74" t="str">
        <f>Lang_Direct_User_Entry_Cost_Estimate</f>
        <v>Direct User Entry Cost Estimate</v>
      </c>
      <c r="J137" s="366" t="str">
        <f ca="1">OFFSET(SUPV_Lu!$D$116,DD_TOP_ACTV_8_Annual_Currency_Used,0)</f>
        <v>USD</v>
      </c>
      <c r="K137" s="366" t="str">
        <f ca="1">OFFSET(SUPV_Lu!$D$116,DD_TOP_ACTV_8_Annual_Currency_Used,0)</f>
        <v>USD</v>
      </c>
      <c r="L137" s="366" t="str">
        <f ca="1">OFFSET(SUPV_Lu!$D$116,DD_TOP_ACTV_8_Annual_Currency_Used,0)</f>
        <v>USD</v>
      </c>
      <c r="M137" s="366" t="str">
        <f ca="1">OFFSET(SUPV_Lu!$D$116,DD_TOP_ACTV_8_Annual_Currency_Used,0)</f>
        <v>USD</v>
      </c>
      <c r="N137" s="366" t="str">
        <f ca="1">OFFSET(SUPV_Lu!$D$116,DD_TOP_ACTV_8_Annual_Currency_Used,0)</f>
        <v>USD</v>
      </c>
    </row>
    <row r="138" spans="3:14" s="10" customFormat="1" x14ac:dyDescent="0.2">
      <c r="D138" s="53" t="str">
        <f>SUPV_Lu!$D$137&amp;" "&amp;Lang_Cost_Of_A_Single&amp;" "&amp;$D$123&amp;" "&amp;Lang_Activity</f>
        <v>Financial Cost of a Single SME Activity #4 (Not in Use) Activity</v>
      </c>
      <c r="J138" s="80">
        <v>0</v>
      </c>
      <c r="K138" s="80">
        <v>0</v>
      </c>
      <c r="L138" s="80">
        <v>0</v>
      </c>
      <c r="M138" s="80">
        <v>0</v>
      </c>
      <c r="N138" s="80">
        <v>0</v>
      </c>
    </row>
    <row r="139" spans="3:14" s="10" customFormat="1" x14ac:dyDescent="0.2">
      <c r="D139" s="53" t="str">
        <f>SUPV_Lu!$D$138&amp;" "&amp;Lang_Cost_Of_A_Single&amp;" "&amp;$D$123&amp;" "&amp;Lang_Activity</f>
        <v>Economic Cost of a Single SME Activity #4 (Not in Use) Activity</v>
      </c>
      <c r="J139" s="80">
        <v>0</v>
      </c>
      <c r="K139" s="80">
        <v>0</v>
      </c>
      <c r="L139" s="80">
        <v>0</v>
      </c>
      <c r="M139" s="80">
        <v>0</v>
      </c>
      <c r="N139" s="80">
        <v>0</v>
      </c>
    </row>
    <row r="140" spans="3:14" s="10" customFormat="1" x14ac:dyDescent="0.2">
      <c r="D140" s="55" t="str">
        <f>Lang_Error_Check_Checks_If_Override_Input_economic_Cost_Is_Less_Than_Financial_Cost</f>
        <v>ERROR CHECK (CHECKS IF OVERRIDE INPUT ECONOMIC COST IS LESS THAN FINANCIAL COST)</v>
      </c>
      <c r="H140" s="145">
        <f>IF(ISERROR(SUM(J140:N140)),1,MIN(SUM(J140:N140),1))</f>
        <v>0</v>
      </c>
      <c r="J140" s="42">
        <f t="shared" ref="J140:N140" si="5">IF(J139&lt;J138,1,0)</f>
        <v>0</v>
      </c>
      <c r="K140" s="42">
        <f t="shared" si="5"/>
        <v>0</v>
      </c>
      <c r="L140" s="42">
        <f t="shared" si="5"/>
        <v>0</v>
      </c>
      <c r="M140" s="42">
        <f t="shared" si="5"/>
        <v>0</v>
      </c>
      <c r="N140" s="42">
        <f t="shared" si="5"/>
        <v>0</v>
      </c>
    </row>
    <row r="141" spans="3:14" s="10" customFormat="1" x14ac:dyDescent="0.2"/>
    <row r="142" spans="3:14" s="10" customFormat="1" x14ac:dyDescent="0.2">
      <c r="D142" s="74" t="str">
        <f>Lang_Source_Of_Information_Notes</f>
        <v>Notes and Sources of Information</v>
      </c>
    </row>
    <row r="143" spans="3:14" s="10" customFormat="1" x14ac:dyDescent="0.2">
      <c r="D143" s="482" t="s">
        <v>596</v>
      </c>
      <c r="E143" s="482"/>
    </row>
    <row r="144" spans="3:14" s="10" customFormat="1" x14ac:dyDescent="0.2">
      <c r="D144" s="482" t="s">
        <v>596</v>
      </c>
      <c r="E144" s="482"/>
    </row>
    <row r="145" spans="1:14" s="10" customFormat="1" x14ac:dyDescent="0.2">
      <c r="D145" s="482" t="s">
        <v>596</v>
      </c>
      <c r="E145" s="482"/>
    </row>
    <row r="146" spans="1:14" s="10" customFormat="1" x14ac:dyDescent="0.2"/>
    <row r="147" spans="1:14" s="10" customFormat="1" x14ac:dyDescent="0.2">
      <c r="A147" s="12" t="s">
        <v>125</v>
      </c>
      <c r="B147" s="13" t="str">
        <f>Lang_Number_Of&amp;" "&amp;$D$123&amp;" "&amp;Lang_Activities_Annual_Assumptions_Projected_Or_Retrospective</f>
        <v>Number of SME Activity #4 (Not in Use) Activities - Annual Assumptions (Projected or Retrospective)</v>
      </c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</row>
    <row r="148" spans="1:14" s="10" customFormat="1" x14ac:dyDescent="0.2"/>
    <row r="149" spans="1:14" s="10" customFormat="1" x14ac:dyDescent="0.2">
      <c r="D149" s="53" t="str">
        <f>$D$123&amp;" - "&amp;Lang_Number_Of_Activities_Per_Year&amp;" ("&amp;Lang_Projected_Or_Retrospective&amp;")"</f>
        <v>SME Activity #4 (Not in Use) - Number of Activities per Year (Projected or Retrospective)</v>
      </c>
      <c r="J149" s="80">
        <v>0</v>
      </c>
      <c r="K149" s="80">
        <v>0</v>
      </c>
      <c r="L149" s="80">
        <v>0</v>
      </c>
      <c r="M149" s="80">
        <v>0</v>
      </c>
      <c r="N149" s="80">
        <v>0</v>
      </c>
    </row>
    <row r="150" spans="1:14" s="10" customFormat="1" x14ac:dyDescent="0.2"/>
    <row r="151" spans="1:14" s="10" customFormat="1" x14ac:dyDescent="0.2">
      <c r="D151" s="74" t="str">
        <f>Lang_Source_Of_Information_Notes</f>
        <v>Notes and Sources of Information</v>
      </c>
    </row>
    <row r="152" spans="1:14" s="10" customFormat="1" x14ac:dyDescent="0.2">
      <c r="D152" s="482" t="s">
        <v>596</v>
      </c>
      <c r="E152" s="482"/>
    </row>
    <row r="153" spans="1:14" s="10" customFormat="1" x14ac:dyDescent="0.2">
      <c r="D153" s="482" t="s">
        <v>596</v>
      </c>
      <c r="E153" s="482"/>
    </row>
    <row r="154" spans="1:14" s="10" customFormat="1" x14ac:dyDescent="0.2">
      <c r="D154" s="482" t="s">
        <v>596</v>
      </c>
      <c r="E154" s="482"/>
    </row>
    <row r="155" spans="1:14" s="10" customFormat="1" x14ac:dyDescent="0.2">
      <c r="D155" s="76" t="str">
        <f>Lang_GoTo&amp;" "&amp;HL_TOP_ACTV_8_Activity_Summary_Costs_Annual</f>
        <v>Go to SME Activity #4 (Not in Use) - Summary Costs (Annual)</v>
      </c>
    </row>
    <row r="156" spans="1:14" s="10" customFormat="1" x14ac:dyDescent="0.2"/>
    <row r="157" spans="1:14" s="10" customFormat="1" x14ac:dyDescent="0.2">
      <c r="A157" s="12" t="s">
        <v>125</v>
      </c>
      <c r="B157" s="13" t="str">
        <f>HL_LVL2_ACTV_5_Name&amp;" "&amp;Lang_Name</f>
        <v>SME Activity #5 (Not in Use) Name</v>
      </c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</row>
    <row r="158" spans="1:14" s="10" customFormat="1" x14ac:dyDescent="0.2"/>
    <row r="159" spans="1:14" s="10" customFormat="1" x14ac:dyDescent="0.2">
      <c r="D159" s="55" t="str">
        <f>Lang_Supervision_Monitoring_And_Evaluation_SME_Activity_Name</f>
        <v>Supervision, Monitoring, and Evaluation (SME) Activity Name</v>
      </c>
    </row>
    <row r="160" spans="1:14" s="10" customFormat="1" x14ac:dyDescent="0.2">
      <c r="D160" s="75" t="s">
        <v>497</v>
      </c>
    </row>
    <row r="161" spans="1:14" s="10" customFormat="1" x14ac:dyDescent="0.2"/>
    <row r="162" spans="1:14" s="10" customFormat="1" x14ac:dyDescent="0.2">
      <c r="A162" s="12" t="s">
        <v>125</v>
      </c>
      <c r="B162" s="13" t="str">
        <f>HL_LVL2_ACTV_5_Name&amp;" "&amp;Lang_Single_Activity_Cost_Annual_Assumptions_Projected_Or_Retrospective</f>
        <v>SME Activity #5 (Not in Use) Single Activity Cost - Annual Assumptions (Projected or Retrospective)</v>
      </c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</row>
    <row r="163" spans="1:14" s="10" customFormat="1" x14ac:dyDescent="0.2"/>
    <row r="164" spans="1:14" s="10" customFormat="1" x14ac:dyDescent="0.2">
      <c r="D164" s="114" t="str">
        <f>HL_LVL2_ACTV_5_Name</f>
        <v>SME Activity #5 (Not in Use)</v>
      </c>
    </row>
    <row r="165" spans="1:14" s="10" customFormat="1" x14ac:dyDescent="0.2"/>
    <row r="166" spans="1:14" s="10" customFormat="1" x14ac:dyDescent="0.2">
      <c r="D166" s="50" t="str">
        <f>Lang_Select_Input_Currency</f>
        <v>Select Input Currency</v>
      </c>
      <c r="E166" s="72">
        <v>1</v>
      </c>
    </row>
    <row r="167" spans="1:14" s="10" customFormat="1" x14ac:dyDescent="0.2"/>
    <row r="168" spans="1:14" s="10" customFormat="1" x14ac:dyDescent="0.2">
      <c r="D168" s="50" t="str">
        <f>Lang_Select_Costing_Input_Method</f>
        <v>Select Costing Input Method</v>
      </c>
      <c r="E168" s="72">
        <v>2</v>
      </c>
    </row>
    <row r="169" spans="1:14" s="10" customFormat="1" x14ac:dyDescent="0.2">
      <c r="E169" s="76" t="str">
        <f>Lang_GoTo&amp;" "&amp;HL_LVL2_ACTV_5_Detailed_Costing_Worksheet</f>
        <v>Go to SME Activity #5 (Not in Use) -  Detailed Activity Costing Worksheet - Instructions</v>
      </c>
    </row>
    <row r="170" spans="1:14" s="10" customFormat="1" x14ac:dyDescent="0.2">
      <c r="C170" s="55" t="s">
        <v>208</v>
      </c>
      <c r="D170" s="74" t="str">
        <f>Lang_Detailed_Costing_Worksheet_Estimate</f>
        <v>Detailed Costing Worksheet Estimate</v>
      </c>
    </row>
    <row r="171" spans="1:14" s="10" customFormat="1" x14ac:dyDescent="0.2">
      <c r="F171" s="366" t="str">
        <f>SUPV_Lu!$D$153</f>
        <v>LCU</v>
      </c>
      <c r="G171" s="366" t="str">
        <f>SUPV_Lu!$D$152</f>
        <v>USD</v>
      </c>
      <c r="J171" s="366" t="str">
        <f ca="1">OFFSET(SUPV_Lu!$D$151,DD_LVL2_ACTV_5_Annual_Currency_Select,0)</f>
        <v>USD</v>
      </c>
      <c r="K171" s="366" t="str">
        <f ca="1">OFFSET(SUPV_Lu!$D$151,DD_LVL2_ACTV_5_Annual_Currency_Select,0)</f>
        <v>USD</v>
      </c>
      <c r="L171" s="366" t="str">
        <f ca="1">OFFSET(SUPV_Lu!$D$151,DD_LVL2_ACTV_5_Annual_Currency_Select,0)</f>
        <v>USD</v>
      </c>
      <c r="M171" s="366" t="str">
        <f ca="1">OFFSET(SUPV_Lu!$D$151,DD_LVL2_ACTV_5_Annual_Currency_Select,0)</f>
        <v>USD</v>
      </c>
      <c r="N171" s="366" t="str">
        <f ca="1">OFFSET(SUPV_Lu!$D$151,DD_LVL2_ACTV_5_Annual_Currency_Select,0)</f>
        <v>USD</v>
      </c>
    </row>
    <row r="172" spans="1:14" s="10" customFormat="1" x14ac:dyDescent="0.2">
      <c r="D172" s="53" t="str">
        <f>SUPV_Lu!$D$172&amp;" "&amp;Lang_Cost_Of_A_Single&amp;" "&amp;SUPERVISION!$D$160&amp;" "&amp;Lang_Activity</f>
        <v>Financial Cost of a Single SME Activity #5 (Not in Use) Activity</v>
      </c>
      <c r="F172" s="41">
        <f>COSTS_DETAILED_SUMMARY!E415</f>
        <v>0</v>
      </c>
      <c r="G172" s="116">
        <f>COSTS_DETAILED_SUMMARY!G415</f>
        <v>0</v>
      </c>
      <c r="J172" s="79">
        <f>IF(DD_LVL2_ACTV_5_Annual_Currency_Select=2,COSTS_DETAILED_SUMMARY!$E415,COSTS_DETAILED_SUMMARY!$G415)</f>
        <v>0</v>
      </c>
      <c r="K172" s="79">
        <f>IF(DD_LVL2_ACTV_5_Annual_Currency_Select=2,COSTS_DETAILED_SUMMARY!$E415,COSTS_DETAILED_SUMMARY!$G415)</f>
        <v>0</v>
      </c>
      <c r="L172" s="79">
        <f>IF(DD_LVL2_ACTV_5_Annual_Currency_Select=2,COSTS_DETAILED_SUMMARY!$E415,COSTS_DETAILED_SUMMARY!$G415)</f>
        <v>0</v>
      </c>
      <c r="M172" s="79">
        <f>IF(DD_LVL2_ACTV_5_Annual_Currency_Select=2,COSTS_DETAILED_SUMMARY!$E415,COSTS_DETAILED_SUMMARY!$G415)</f>
        <v>0</v>
      </c>
      <c r="N172" s="79">
        <f>IF(DD_LVL2_ACTV_5_Annual_Currency_Select=2,COSTS_DETAILED_SUMMARY!$E415,COSTS_DETAILED_SUMMARY!$G415)</f>
        <v>0</v>
      </c>
    </row>
    <row r="173" spans="1:14" s="10" customFormat="1" x14ac:dyDescent="0.2">
      <c r="D173" s="53" t="str">
        <f>SUPV_Lu!$D$173&amp;" "&amp;Lang_Cost_Of_A_Single&amp;" "&amp;SUPERVISION!$D$160&amp;" "&amp;Lang_Activity</f>
        <v>Economic Cost of a Single SME Activity #5 (Not in Use) Activity</v>
      </c>
      <c r="F173" s="41">
        <f>COSTS_DETAILED_SUMMARY!F415</f>
        <v>0</v>
      </c>
      <c r="G173" s="116">
        <f>COSTS_DETAILED_SUMMARY!H415</f>
        <v>0</v>
      </c>
      <c r="J173" s="79">
        <f>IF(DD_LVL2_ACTV_5_Annual_Currency_Select=2,COSTS_DETAILED_SUMMARY!$F415,COSTS_DETAILED_SUMMARY!$H415)</f>
        <v>0</v>
      </c>
      <c r="K173" s="79">
        <f>IF(DD_LVL2_ACTV_5_Annual_Currency_Select=2,COSTS_DETAILED_SUMMARY!$F415,COSTS_DETAILED_SUMMARY!$H415)</f>
        <v>0</v>
      </c>
      <c r="L173" s="79">
        <f>IF(DD_LVL2_ACTV_5_Annual_Currency_Select=2,COSTS_DETAILED_SUMMARY!$F415,COSTS_DETAILED_SUMMARY!$H415)</f>
        <v>0</v>
      </c>
      <c r="M173" s="79">
        <f>IF(DD_LVL2_ACTV_5_Annual_Currency_Select=2,COSTS_DETAILED_SUMMARY!$F415,COSTS_DETAILED_SUMMARY!$H415)</f>
        <v>0</v>
      </c>
      <c r="N173" s="79">
        <f>IF(DD_LVL2_ACTV_5_Annual_Currency_Select=2,COSTS_DETAILED_SUMMARY!$F415,COSTS_DETAILED_SUMMARY!$H415)</f>
        <v>0</v>
      </c>
    </row>
    <row r="174" spans="1:14" s="10" customFormat="1" x14ac:dyDescent="0.2"/>
    <row r="175" spans="1:14" s="10" customFormat="1" x14ac:dyDescent="0.2"/>
    <row r="176" spans="1:14" s="10" customFormat="1" x14ac:dyDescent="0.2">
      <c r="C176" s="55" t="s">
        <v>210</v>
      </c>
      <c r="D176" s="74" t="str">
        <f>Lang_Direct_User_Entry_Cost_Estimate</f>
        <v>Direct User Entry Cost Estimate</v>
      </c>
      <c r="J176" s="366" t="str">
        <f ca="1">OFFSET(SUPV_Lu!$D$151,DD_LVL2_ACTV_5_Annual_Currency_Select,0)</f>
        <v>USD</v>
      </c>
      <c r="K176" s="366" t="str">
        <f ca="1">OFFSET(SUPV_Lu!$D$151,DD_LVL2_ACTV_5_Annual_Currency_Select,0)</f>
        <v>USD</v>
      </c>
      <c r="L176" s="366" t="str">
        <f ca="1">OFFSET(SUPV_Lu!$D$151,DD_LVL2_ACTV_5_Annual_Currency_Select,0)</f>
        <v>USD</v>
      </c>
      <c r="M176" s="366" t="str">
        <f ca="1">OFFSET(SUPV_Lu!$D$151,DD_LVL2_ACTV_5_Annual_Currency_Select,0)</f>
        <v>USD</v>
      </c>
      <c r="N176" s="366" t="str">
        <f ca="1">OFFSET(SUPV_Lu!$D$151,DD_LVL2_ACTV_5_Annual_Currency_Select,0)</f>
        <v>USD</v>
      </c>
    </row>
    <row r="177" spans="1:14" s="10" customFormat="1" x14ac:dyDescent="0.2">
      <c r="D177" s="53" t="str">
        <f>SUPV_Lu!$D$172&amp;" "&amp;Lang_Cost_Of_A_Single&amp;" "&amp;SUPERVISION!$D$160&amp;" "&amp;Lang_Activity</f>
        <v>Financial Cost of a Single SME Activity #5 (Not in Use) Activity</v>
      </c>
      <c r="J177" s="80">
        <v>0</v>
      </c>
      <c r="K177" s="80">
        <v>0</v>
      </c>
      <c r="L177" s="80">
        <v>0</v>
      </c>
      <c r="M177" s="80">
        <v>0</v>
      </c>
      <c r="N177" s="80">
        <v>0</v>
      </c>
    </row>
    <row r="178" spans="1:14" s="10" customFormat="1" x14ac:dyDescent="0.2">
      <c r="D178" s="53" t="str">
        <f>SUPV_Lu!$D$173&amp;" "&amp;Lang_Cost_Of_A_Single&amp;" "&amp;SUPERVISION!$D$160&amp;" "&amp;Lang_Activity</f>
        <v>Economic Cost of a Single SME Activity #5 (Not in Use) Activity</v>
      </c>
      <c r="J178" s="80">
        <v>0</v>
      </c>
      <c r="K178" s="80">
        <v>0</v>
      </c>
      <c r="L178" s="80">
        <v>0</v>
      </c>
      <c r="M178" s="80">
        <v>0</v>
      </c>
      <c r="N178" s="80">
        <v>0</v>
      </c>
    </row>
    <row r="179" spans="1:14" s="10" customFormat="1" x14ac:dyDescent="0.2">
      <c r="D179" s="55" t="str">
        <f>Lang_Error_Check_Checks_If_Override_Input_economic_Cost_Is_Less_Than_Financial_Cost</f>
        <v>ERROR CHECK (CHECKS IF OVERRIDE INPUT ECONOMIC COST IS LESS THAN FINANCIAL COST)</v>
      </c>
      <c r="H179" s="145">
        <f>IF(ISERROR(SUM(J179:N179)),1,MIN(SUM(J179:N179),1))</f>
        <v>0</v>
      </c>
      <c r="J179" s="42">
        <f t="shared" ref="J179:N179" si="6">IF(J178&lt;J177,1,0)</f>
        <v>0</v>
      </c>
      <c r="K179" s="42">
        <f t="shared" si="6"/>
        <v>0</v>
      </c>
      <c r="L179" s="42">
        <f t="shared" si="6"/>
        <v>0</v>
      </c>
      <c r="M179" s="42">
        <f t="shared" si="6"/>
        <v>0</v>
      </c>
      <c r="N179" s="42">
        <f t="shared" si="6"/>
        <v>0</v>
      </c>
    </row>
    <row r="180" spans="1:14" s="10" customFormat="1" x14ac:dyDescent="0.2"/>
    <row r="181" spans="1:14" s="10" customFormat="1" x14ac:dyDescent="0.2">
      <c r="D181" s="74" t="str">
        <f>Lang_Source_Of_Information_Notes</f>
        <v>Notes and Sources of Information</v>
      </c>
    </row>
    <row r="182" spans="1:14" s="10" customFormat="1" x14ac:dyDescent="0.2">
      <c r="D182" s="482" t="s">
        <v>596</v>
      </c>
      <c r="E182" s="482"/>
    </row>
    <row r="183" spans="1:14" s="10" customFormat="1" x14ac:dyDescent="0.2">
      <c r="D183" s="482" t="s">
        <v>596</v>
      </c>
      <c r="E183" s="482"/>
    </row>
    <row r="184" spans="1:14" s="10" customFormat="1" x14ac:dyDescent="0.2">
      <c r="D184" s="482" t="s">
        <v>596</v>
      </c>
      <c r="E184" s="482"/>
    </row>
    <row r="185" spans="1:14" s="10" customFormat="1" x14ac:dyDescent="0.2"/>
    <row r="186" spans="1:14" s="10" customFormat="1" x14ac:dyDescent="0.2">
      <c r="A186" s="12" t="s">
        <v>125</v>
      </c>
      <c r="B186" s="13" t="str">
        <f>Lang_Number_Of&amp;" "&amp;SUPERVISION!$D$160&amp;" "&amp;Lang_Activities_Annual_Assumptions_Projected_Or_Retrospective</f>
        <v>Number of SME Activity #5 (Not in Use) Activities - Annual Assumptions (Projected or Retrospective)</v>
      </c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</row>
    <row r="187" spans="1:14" s="10" customFormat="1" x14ac:dyDescent="0.2"/>
    <row r="188" spans="1:14" s="10" customFormat="1" x14ac:dyDescent="0.2">
      <c r="D188" s="71" t="str">
        <f>HL_LVL2_ACTV_5_Name&amp;" - "&amp;Lang_Number_Of_Activities_Per_Year&amp;" ("&amp;Lang_Projected_Or_Retrospective&amp;")"</f>
        <v>SME Activity #5 (Not in Use) - Number of Activities per Year (Projected or Retrospective)</v>
      </c>
    </row>
    <row r="189" spans="1:14" s="10" customFormat="1" x14ac:dyDescent="0.2"/>
    <row r="190" spans="1:14" s="10" customFormat="1" x14ac:dyDescent="0.2">
      <c r="D190" s="50" t="str">
        <f>Lang_Number_Of_Activities_Per_Year</f>
        <v>Number of Activities per Year</v>
      </c>
      <c r="J190" s="324">
        <v>0</v>
      </c>
      <c r="K190" s="324">
        <v>0</v>
      </c>
      <c r="L190" s="324">
        <v>0</v>
      </c>
      <c r="M190" s="324">
        <v>0</v>
      </c>
      <c r="N190" s="324">
        <v>0</v>
      </c>
    </row>
    <row r="191" spans="1:14" s="10" customFormat="1" x14ac:dyDescent="0.2">
      <c r="D191" s="71" t="str">
        <f>D188</f>
        <v>SME Activity #5 (Not in Use) - Number of Activities per Year (Projected or Retrospective)</v>
      </c>
      <c r="J191" s="41">
        <f t="shared" ref="J191:N191" si="7">SUM(J190:J190)</f>
        <v>0</v>
      </c>
      <c r="K191" s="41">
        <f t="shared" si="7"/>
        <v>0</v>
      </c>
      <c r="L191" s="41">
        <f t="shared" si="7"/>
        <v>0</v>
      </c>
      <c r="M191" s="41">
        <f t="shared" si="7"/>
        <v>0</v>
      </c>
      <c r="N191" s="41">
        <f t="shared" si="7"/>
        <v>0</v>
      </c>
    </row>
    <row r="192" spans="1:14" s="10" customFormat="1" x14ac:dyDescent="0.2"/>
    <row r="193" spans="1:14" s="10" customFormat="1" x14ac:dyDescent="0.2">
      <c r="D193" s="74" t="str">
        <f>Lang_Source_Of_Information_Notes</f>
        <v>Notes and Sources of Information</v>
      </c>
    </row>
    <row r="194" spans="1:14" s="10" customFormat="1" x14ac:dyDescent="0.2">
      <c r="D194" s="482" t="s">
        <v>596</v>
      </c>
      <c r="E194" s="482"/>
    </row>
    <row r="195" spans="1:14" s="10" customFormat="1" x14ac:dyDescent="0.2">
      <c r="D195" s="482" t="s">
        <v>596</v>
      </c>
      <c r="E195" s="482"/>
    </row>
    <row r="196" spans="1:14" s="10" customFormat="1" x14ac:dyDescent="0.2">
      <c r="D196" s="482" t="s">
        <v>596</v>
      </c>
      <c r="E196" s="482"/>
    </row>
    <row r="197" spans="1:14" s="10" customFormat="1" x14ac:dyDescent="0.2"/>
    <row r="198" spans="1:14" s="10" customFormat="1" x14ac:dyDescent="0.2">
      <c r="D198" s="76" t="str">
        <f>Lang_GoTo&amp;" "&amp;HL_LVL2_ACTV_5_Activity_Summary_Costs_Annual</f>
        <v>Go to SME Activity #5 (Not in Use) - Summary Costs (Annual)</v>
      </c>
    </row>
    <row r="199" spans="1:14" s="10" customFormat="1" x14ac:dyDescent="0.2"/>
    <row r="200" spans="1:14" s="10" customFormat="1" x14ac:dyDescent="0.2">
      <c r="A200" s="12" t="s">
        <v>125</v>
      </c>
      <c r="B200" s="13" t="str">
        <f>HL_LVL2_ACTV_14_Name&amp;" "&amp;Lang_Name</f>
        <v>SME Activity #6 (Not in Use) Name</v>
      </c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</row>
    <row r="201" spans="1:14" s="10" customFormat="1" x14ac:dyDescent="0.2"/>
    <row r="202" spans="1:14" s="10" customFormat="1" x14ac:dyDescent="0.2">
      <c r="D202" s="55" t="str">
        <f>Lang_Supervision_Monitoring_And_Evaluation_SME_Activity_Name</f>
        <v>Supervision, Monitoring, and Evaluation (SME) Activity Name</v>
      </c>
    </row>
    <row r="203" spans="1:14" s="10" customFormat="1" x14ac:dyDescent="0.2">
      <c r="D203" s="75" t="s">
        <v>498</v>
      </c>
    </row>
    <row r="204" spans="1:14" s="10" customFormat="1" x14ac:dyDescent="0.2"/>
    <row r="205" spans="1:14" s="10" customFormat="1" x14ac:dyDescent="0.2">
      <c r="A205" s="12" t="s">
        <v>125</v>
      </c>
      <c r="B205" s="13" t="str">
        <f>HL_LVL2_ACTV_14_Name&amp;" "&amp;Lang_Single_Activity_Cost_Annual_Assumptions_Projected_Or_Retrospective</f>
        <v>SME Activity #6 (Not in Use) Single Activity Cost - Annual Assumptions (Projected or Retrospective)</v>
      </c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</row>
    <row r="206" spans="1:14" s="10" customFormat="1" x14ac:dyDescent="0.2"/>
    <row r="207" spans="1:14" s="10" customFormat="1" x14ac:dyDescent="0.2">
      <c r="D207" s="114" t="str">
        <f>HL_LVL2_ACTV_14_Name</f>
        <v>SME Activity #6 (Not in Use)</v>
      </c>
    </row>
    <row r="208" spans="1:14" s="10" customFormat="1" x14ac:dyDescent="0.2"/>
    <row r="209" spans="3:14" s="10" customFormat="1" x14ac:dyDescent="0.2">
      <c r="D209" s="50" t="str">
        <f>Lang_Select_Input_Currency</f>
        <v>Select Input Currency</v>
      </c>
      <c r="E209" s="72">
        <v>1</v>
      </c>
    </row>
    <row r="210" spans="3:14" s="10" customFormat="1" x14ac:dyDescent="0.2"/>
    <row r="211" spans="3:14" s="10" customFormat="1" x14ac:dyDescent="0.2">
      <c r="D211" s="50" t="str">
        <f>Lang_Select_Costing_Input_Method</f>
        <v>Select Costing Input Method</v>
      </c>
      <c r="E211" s="72">
        <v>2</v>
      </c>
    </row>
    <row r="212" spans="3:14" s="10" customFormat="1" x14ac:dyDescent="0.2">
      <c r="E212" s="76" t="str">
        <f>Lang_GoTo&amp;" "&amp;HL_LVL2_ACTV_14_Detailed_Costing_Worksheet</f>
        <v>Go to SME Activity #6 (Not in Use) -  Detailed Activity Costing Worksheet - Instructions</v>
      </c>
    </row>
    <row r="213" spans="3:14" s="10" customFormat="1" x14ac:dyDescent="0.2">
      <c r="C213" s="55" t="s">
        <v>208</v>
      </c>
      <c r="D213" s="74" t="str">
        <f>Lang_Detailed_Costing_Worksheet_Estimate</f>
        <v>Detailed Costing Worksheet Estimate</v>
      </c>
    </row>
    <row r="214" spans="3:14" s="10" customFormat="1" x14ac:dyDescent="0.2">
      <c r="F214" s="366" t="str">
        <f>SUPV_Lu!$D$188</f>
        <v>LCU</v>
      </c>
      <c r="G214" s="366" t="str">
        <f>SUPV_Lu!$D$187</f>
        <v>USD</v>
      </c>
      <c r="J214" s="366" t="str">
        <f ca="1">OFFSET(SUPV_Lu!$D$186,DD_LVL2_ACTV_14_Annual_Currency_Select,0)</f>
        <v>USD</v>
      </c>
      <c r="K214" s="366" t="str">
        <f ca="1">OFFSET(SUPV_Lu!$D$186,DD_LVL2_ACTV_14_Annual_Currency_Select,0)</f>
        <v>USD</v>
      </c>
      <c r="L214" s="366" t="str">
        <f ca="1">OFFSET(SUPV_Lu!$D$186,DD_LVL2_ACTV_14_Annual_Currency_Select,0)</f>
        <v>USD</v>
      </c>
      <c r="M214" s="366" t="str">
        <f ca="1">OFFSET(SUPV_Lu!$D$186,DD_LVL2_ACTV_14_Annual_Currency_Select,0)</f>
        <v>USD</v>
      </c>
      <c r="N214" s="366" t="str">
        <f ca="1">OFFSET(SUPV_Lu!$D$186,DD_LVL2_ACTV_14_Annual_Currency_Select,0)</f>
        <v>USD</v>
      </c>
    </row>
    <row r="215" spans="3:14" s="10" customFormat="1" x14ac:dyDescent="0.2">
      <c r="D215" s="53" t="str">
        <f>SUPV_Lu!$D$207&amp;" "&amp;Lang_Cost_Of_A_Single&amp;" "&amp;$D$203&amp;" "&amp;Lang_Activity</f>
        <v>Financial Cost of a Single SME Activity #6 (Not in Use) Activity</v>
      </c>
      <c r="F215" s="41">
        <f>COSTS_DETAILED_SUMMARY!E431</f>
        <v>0</v>
      </c>
      <c r="G215" s="116">
        <f>COSTS_DETAILED_SUMMARY!G431</f>
        <v>0</v>
      </c>
      <c r="J215" s="79">
        <f>IF(DD_LVL2_ACTV_14_Annual_Currency_Select=2,COSTS_DETAILED_SUMMARY!$E431,COSTS_DETAILED_SUMMARY!$G431)</f>
        <v>0</v>
      </c>
      <c r="K215" s="79">
        <f>IF(DD_LVL2_ACTV_14_Annual_Currency_Select=2,COSTS_DETAILED_SUMMARY!$E431,COSTS_DETAILED_SUMMARY!$G431)</f>
        <v>0</v>
      </c>
      <c r="L215" s="79">
        <f>IF(DD_LVL2_ACTV_14_Annual_Currency_Select=2,COSTS_DETAILED_SUMMARY!$E431,COSTS_DETAILED_SUMMARY!$G431)</f>
        <v>0</v>
      </c>
      <c r="M215" s="79">
        <f>IF(DD_LVL2_ACTV_14_Annual_Currency_Select=2,COSTS_DETAILED_SUMMARY!$E431,COSTS_DETAILED_SUMMARY!$G431)</f>
        <v>0</v>
      </c>
      <c r="N215" s="79">
        <f>IF(DD_LVL2_ACTV_14_Annual_Currency_Select=2,COSTS_DETAILED_SUMMARY!$E431,COSTS_DETAILED_SUMMARY!$G431)</f>
        <v>0</v>
      </c>
    </row>
    <row r="216" spans="3:14" s="10" customFormat="1" x14ac:dyDescent="0.2">
      <c r="D216" s="53" t="str">
        <f>SUPV_Lu!$D$208&amp;" "&amp;Lang_Cost_Of_A_Single&amp;" "&amp;$D$203&amp;" "&amp;Lang_Activity</f>
        <v>Economic Cost of a Single SME Activity #6 (Not in Use) Activity</v>
      </c>
      <c r="F216" s="41">
        <f>COSTS_DETAILED_SUMMARY!F431</f>
        <v>0</v>
      </c>
      <c r="G216" s="116">
        <f>COSTS_DETAILED_SUMMARY!H431</f>
        <v>0</v>
      </c>
      <c r="J216" s="79">
        <f>IF(DD_LVL2_ACTV_14_Annual_Currency_Select=2,COSTS_DETAILED_SUMMARY!$F431,COSTS_DETAILED_SUMMARY!$H431)</f>
        <v>0</v>
      </c>
      <c r="K216" s="79">
        <f>IF(DD_LVL2_ACTV_14_Annual_Currency_Select=2,COSTS_DETAILED_SUMMARY!$F431,COSTS_DETAILED_SUMMARY!$H431)</f>
        <v>0</v>
      </c>
      <c r="L216" s="79">
        <f>IF(DD_LVL2_ACTV_14_Annual_Currency_Select=2,COSTS_DETAILED_SUMMARY!$F431,COSTS_DETAILED_SUMMARY!$H431)</f>
        <v>0</v>
      </c>
      <c r="M216" s="79">
        <f>IF(DD_LVL2_ACTV_14_Annual_Currency_Select=2,COSTS_DETAILED_SUMMARY!$F431,COSTS_DETAILED_SUMMARY!$H431)</f>
        <v>0</v>
      </c>
      <c r="N216" s="79">
        <f>IF(DD_LVL2_ACTV_14_Annual_Currency_Select=2,COSTS_DETAILED_SUMMARY!$F431,COSTS_DETAILED_SUMMARY!$H431)</f>
        <v>0</v>
      </c>
    </row>
    <row r="217" spans="3:14" s="10" customFormat="1" x14ac:dyDescent="0.2"/>
    <row r="218" spans="3:14" s="10" customFormat="1" x14ac:dyDescent="0.2"/>
    <row r="219" spans="3:14" s="10" customFormat="1" x14ac:dyDescent="0.2">
      <c r="C219" s="55" t="s">
        <v>210</v>
      </c>
      <c r="D219" s="74" t="str">
        <f>Lang_Direct_User_Entry_Cost_Estimate</f>
        <v>Direct User Entry Cost Estimate</v>
      </c>
      <c r="J219" s="366" t="str">
        <f ca="1">OFFSET(SUPV_Lu!$D$186,DD_LVL2_ACTV_14_Annual_Currency_Select,0)</f>
        <v>USD</v>
      </c>
      <c r="K219" s="366" t="str">
        <f ca="1">OFFSET(SUPV_Lu!$D$186,DD_LVL2_ACTV_14_Annual_Currency_Select,0)</f>
        <v>USD</v>
      </c>
      <c r="L219" s="366" t="str">
        <f ca="1">OFFSET(SUPV_Lu!$D$186,DD_LVL2_ACTV_14_Annual_Currency_Select,0)</f>
        <v>USD</v>
      </c>
      <c r="M219" s="366" t="str">
        <f ca="1">OFFSET(SUPV_Lu!$D$186,DD_LVL2_ACTV_14_Annual_Currency_Select,0)</f>
        <v>USD</v>
      </c>
      <c r="N219" s="366" t="str">
        <f ca="1">OFFSET(SUPV_Lu!$D$186,DD_LVL2_ACTV_14_Annual_Currency_Select,0)</f>
        <v>USD</v>
      </c>
    </row>
    <row r="220" spans="3:14" s="10" customFormat="1" x14ac:dyDescent="0.2">
      <c r="D220" s="53" t="str">
        <f>SUPV_Lu!$D$207&amp;" "&amp;Lang_Cost_Of_A_Single&amp;" "&amp;$D$203&amp;" "&amp;Lang_Activity</f>
        <v>Financial Cost of a Single SME Activity #6 (Not in Use) Activity</v>
      </c>
      <c r="J220" s="80">
        <v>0</v>
      </c>
      <c r="K220" s="80">
        <v>0</v>
      </c>
      <c r="L220" s="80">
        <v>0</v>
      </c>
      <c r="M220" s="80">
        <v>0</v>
      </c>
      <c r="N220" s="80">
        <v>0</v>
      </c>
    </row>
    <row r="221" spans="3:14" s="10" customFormat="1" x14ac:dyDescent="0.2">
      <c r="D221" s="53" t="str">
        <f>SUPV_Lu!$D$208&amp;" "&amp;Lang_Cost_Of_A_Single&amp;" "&amp;$D$203&amp;" "&amp;Lang_Activity</f>
        <v>Economic Cost of a Single SME Activity #6 (Not in Use) Activity</v>
      </c>
      <c r="J221" s="80">
        <v>0</v>
      </c>
      <c r="K221" s="80">
        <v>0</v>
      </c>
      <c r="L221" s="80">
        <v>0</v>
      </c>
      <c r="M221" s="80">
        <v>0</v>
      </c>
      <c r="N221" s="80">
        <v>0</v>
      </c>
    </row>
    <row r="222" spans="3:14" s="10" customFormat="1" x14ac:dyDescent="0.2">
      <c r="D222" s="55" t="str">
        <f>Lang_Error_Check_Checks_If_Override_Input_economic_Cost_Is_Less_Than_Financial_Cost</f>
        <v>ERROR CHECK (CHECKS IF OVERRIDE INPUT ECONOMIC COST IS LESS THAN FINANCIAL COST)</v>
      </c>
      <c r="H222" s="145">
        <f>IF(ISERROR(SUM(J222:N222)),1,MIN(SUM(J222:N222),1))</f>
        <v>0</v>
      </c>
      <c r="J222" s="42">
        <f t="shared" ref="J222:N222" si="8">IF(J221&lt;J220,1,0)</f>
        <v>0</v>
      </c>
      <c r="K222" s="42">
        <f t="shared" si="8"/>
        <v>0</v>
      </c>
      <c r="L222" s="42">
        <f t="shared" si="8"/>
        <v>0</v>
      </c>
      <c r="M222" s="42">
        <f t="shared" si="8"/>
        <v>0</v>
      </c>
      <c r="N222" s="42">
        <f t="shared" si="8"/>
        <v>0</v>
      </c>
    </row>
    <row r="223" spans="3:14" s="10" customFormat="1" x14ac:dyDescent="0.2"/>
    <row r="224" spans="3:14" s="10" customFormat="1" x14ac:dyDescent="0.2">
      <c r="D224" s="74" t="str">
        <f>Lang_Source_Of_Information_Notes</f>
        <v>Notes and Sources of Information</v>
      </c>
    </row>
    <row r="225" spans="1:14" s="10" customFormat="1" x14ac:dyDescent="0.2">
      <c r="D225" s="482" t="s">
        <v>596</v>
      </c>
      <c r="E225" s="482"/>
    </row>
    <row r="226" spans="1:14" s="10" customFormat="1" x14ac:dyDescent="0.2">
      <c r="D226" s="482" t="s">
        <v>596</v>
      </c>
      <c r="E226" s="482"/>
    </row>
    <row r="227" spans="1:14" s="10" customFormat="1" x14ac:dyDescent="0.2">
      <c r="D227" s="482" t="s">
        <v>596</v>
      </c>
      <c r="E227" s="482"/>
    </row>
    <row r="228" spans="1:14" s="10" customFormat="1" x14ac:dyDescent="0.2"/>
    <row r="229" spans="1:14" s="10" customFormat="1" x14ac:dyDescent="0.2">
      <c r="A229" s="12" t="s">
        <v>125</v>
      </c>
      <c r="B229" s="13" t="str">
        <f>Lang_Number_Of&amp;" "&amp;$D$203&amp;" "&amp;Lang_Activities_Annual_Assumptions_Projected_Or_Retrospective</f>
        <v>Number of SME Activity #6 (Not in Use) Activities - Annual Assumptions (Projected or Retrospective)</v>
      </c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</row>
    <row r="230" spans="1:14" s="10" customFormat="1" x14ac:dyDescent="0.2"/>
    <row r="231" spans="1:14" s="10" customFormat="1" x14ac:dyDescent="0.2">
      <c r="D231" s="71" t="str">
        <f>HL_LVL2_ACTV_14_Name&amp;" - "&amp;Lang_Number_Of_Activities_Per_Year&amp;" ("&amp;Lang_Projected_Or_Retrospective&amp;")"</f>
        <v>SME Activity #6 (Not in Use) - Number of Activities per Year (Projected or Retrospective)</v>
      </c>
    </row>
    <row r="232" spans="1:14" s="10" customFormat="1" x14ac:dyDescent="0.2"/>
    <row r="233" spans="1:14" s="10" customFormat="1" x14ac:dyDescent="0.2">
      <c r="D233" s="50" t="str">
        <f>Lang_Number_Of_Activities_Per_Year</f>
        <v>Number of Activities per Year</v>
      </c>
      <c r="J233" s="324">
        <v>0</v>
      </c>
      <c r="K233" s="324">
        <v>0</v>
      </c>
      <c r="L233" s="324">
        <v>0</v>
      </c>
      <c r="M233" s="324">
        <v>0</v>
      </c>
      <c r="N233" s="324">
        <v>0</v>
      </c>
    </row>
    <row r="234" spans="1:14" s="10" customFormat="1" x14ac:dyDescent="0.2">
      <c r="D234" s="71" t="str">
        <f>D231</f>
        <v>SME Activity #6 (Not in Use) - Number of Activities per Year (Projected or Retrospective)</v>
      </c>
      <c r="J234" s="41">
        <f t="shared" ref="J234:N234" si="9">SUM(J233:J233)</f>
        <v>0</v>
      </c>
      <c r="K234" s="41">
        <f t="shared" si="9"/>
        <v>0</v>
      </c>
      <c r="L234" s="41">
        <f t="shared" si="9"/>
        <v>0</v>
      </c>
      <c r="M234" s="41">
        <f t="shared" si="9"/>
        <v>0</v>
      </c>
      <c r="N234" s="41">
        <f t="shared" si="9"/>
        <v>0</v>
      </c>
    </row>
    <row r="235" spans="1:14" s="10" customFormat="1" x14ac:dyDescent="0.2"/>
    <row r="236" spans="1:14" s="10" customFormat="1" x14ac:dyDescent="0.2">
      <c r="D236" s="74" t="str">
        <f>Lang_Source_Of_Information_Notes</f>
        <v>Notes and Sources of Information</v>
      </c>
    </row>
    <row r="237" spans="1:14" s="10" customFormat="1" x14ac:dyDescent="0.2">
      <c r="D237" s="482" t="s">
        <v>596</v>
      </c>
      <c r="E237" s="482"/>
    </row>
    <row r="238" spans="1:14" s="10" customFormat="1" x14ac:dyDescent="0.2">
      <c r="D238" s="482" t="s">
        <v>596</v>
      </c>
      <c r="E238" s="482"/>
    </row>
    <row r="239" spans="1:14" s="10" customFormat="1" x14ac:dyDescent="0.2">
      <c r="D239" s="482" t="s">
        <v>596</v>
      </c>
      <c r="E239" s="482"/>
    </row>
    <row r="240" spans="1:14" s="10" customFormat="1" x14ac:dyDescent="0.2"/>
    <row r="241" spans="1:14" s="10" customFormat="1" x14ac:dyDescent="0.2">
      <c r="D241" s="76" t="str">
        <f>Lang_GoTo&amp;" "&amp;HL_LVL2_ACTV_14_Activity_Summary_Costs_Annual</f>
        <v>Go to SME Activity #6 (Not in Use) - Summary Costs (Annual)</v>
      </c>
    </row>
    <row r="242" spans="1:14" s="10" customFormat="1" x14ac:dyDescent="0.2"/>
    <row r="243" spans="1:14" s="10" customFormat="1" x14ac:dyDescent="0.2">
      <c r="A243" s="12" t="s">
        <v>125</v>
      </c>
      <c r="B243" s="13" t="str">
        <f>HL_LVL2_ACTV_15_Name&amp;" "&amp;Lang_Name</f>
        <v>SME Activity #7 (Not in Use) Name</v>
      </c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</row>
    <row r="244" spans="1:14" s="10" customFormat="1" x14ac:dyDescent="0.2"/>
    <row r="245" spans="1:14" s="10" customFormat="1" x14ac:dyDescent="0.2">
      <c r="D245" s="55" t="str">
        <f>Lang_Supervision_Monitoring_And_Evaluation_SME_Activity_Name</f>
        <v>Supervision, Monitoring, and Evaluation (SME) Activity Name</v>
      </c>
    </row>
    <row r="246" spans="1:14" s="10" customFormat="1" x14ac:dyDescent="0.2">
      <c r="D246" s="75" t="s">
        <v>499</v>
      </c>
    </row>
    <row r="247" spans="1:14" s="10" customFormat="1" x14ac:dyDescent="0.2"/>
    <row r="248" spans="1:14" s="10" customFormat="1" x14ac:dyDescent="0.2">
      <c r="A248" s="12" t="s">
        <v>125</v>
      </c>
      <c r="B248" s="13" t="str">
        <f>HL_LVL2_ACTV_15_Name&amp;" "&amp;Lang_Single_Activity_Cost_Annual_Assumptions_Projected_Or_Retrospective</f>
        <v>SME Activity #7 (Not in Use) Single Activity Cost - Annual Assumptions (Projected or Retrospective)</v>
      </c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</row>
    <row r="249" spans="1:14" s="10" customFormat="1" x14ac:dyDescent="0.2"/>
    <row r="250" spans="1:14" s="10" customFormat="1" x14ac:dyDescent="0.2">
      <c r="D250" s="114" t="str">
        <f>HL_LVL2_ACTV_15_Name</f>
        <v>SME Activity #7 (Not in Use)</v>
      </c>
    </row>
    <row r="251" spans="1:14" s="10" customFormat="1" x14ac:dyDescent="0.2"/>
    <row r="252" spans="1:14" s="10" customFormat="1" x14ac:dyDescent="0.2">
      <c r="D252" s="50" t="str">
        <f>Lang_Select_Input_Currency</f>
        <v>Select Input Currency</v>
      </c>
      <c r="E252" s="72">
        <v>1</v>
      </c>
    </row>
    <row r="253" spans="1:14" s="10" customFormat="1" x14ac:dyDescent="0.2"/>
    <row r="254" spans="1:14" s="10" customFormat="1" x14ac:dyDescent="0.2">
      <c r="D254" s="50" t="str">
        <f>Lang_Select_Costing_Input_Method</f>
        <v>Select Costing Input Method</v>
      </c>
      <c r="E254" s="72">
        <v>2</v>
      </c>
    </row>
    <row r="255" spans="1:14" s="10" customFormat="1" x14ac:dyDescent="0.2">
      <c r="E255" s="76" t="str">
        <f>Lang_GoTo&amp;" "&amp;HL_LVL2_ACTV_15_Detailed_Costing_Worksheet</f>
        <v>Go to SME Activity #7 (Not in Use) -  Detailed Activity Costing Worksheet - Instructions</v>
      </c>
    </row>
    <row r="256" spans="1:14" s="10" customFormat="1" x14ac:dyDescent="0.2">
      <c r="C256" s="55" t="s">
        <v>208</v>
      </c>
      <c r="D256" s="74" t="str">
        <f>Lang_Detailed_Costing_Worksheet_Estimate</f>
        <v>Detailed Costing Worksheet Estimate</v>
      </c>
    </row>
    <row r="257" spans="1:14" s="10" customFormat="1" x14ac:dyDescent="0.2">
      <c r="F257" s="366" t="str">
        <f>SUPV_Lu!$D$223</f>
        <v>LCU</v>
      </c>
      <c r="G257" s="366" t="str">
        <f>SUPV_Lu!$D$222</f>
        <v>USD</v>
      </c>
      <c r="J257" s="366" t="str">
        <f ca="1">OFFSET(SUPV_Lu!$D$221,DD_LVL2_ACTV_15_Annual_Currency_Select,0)</f>
        <v>USD</v>
      </c>
      <c r="K257" s="366" t="str">
        <f ca="1">OFFSET(SUPV_Lu!$D$221,DD_LVL2_ACTV_15_Annual_Currency_Select,0)</f>
        <v>USD</v>
      </c>
      <c r="L257" s="366" t="str">
        <f ca="1">OFFSET(SUPV_Lu!$D$221,DD_LVL2_ACTV_15_Annual_Currency_Select,0)</f>
        <v>USD</v>
      </c>
      <c r="M257" s="366" t="str">
        <f ca="1">OFFSET(SUPV_Lu!$D$221,DD_LVL2_ACTV_15_Annual_Currency_Select,0)</f>
        <v>USD</v>
      </c>
      <c r="N257" s="366" t="str">
        <f ca="1">OFFSET(SUPV_Lu!$D$221,DD_LVL2_ACTV_15_Annual_Currency_Select,0)</f>
        <v>USD</v>
      </c>
    </row>
    <row r="258" spans="1:14" s="10" customFormat="1" x14ac:dyDescent="0.2">
      <c r="D258" s="53" t="str">
        <f>SUPV_Lu!$D$242&amp;" "&amp;Lang_Cost_Of_A_Single&amp;" "&amp;$D$246&amp;" "&amp;Lang_Activity</f>
        <v>Financial Cost of a Single SME Activity #7 (Not in Use) Activity</v>
      </c>
      <c r="F258" s="41">
        <f>COSTS_DETAILED_SUMMARY!E447</f>
        <v>0</v>
      </c>
      <c r="G258" s="116">
        <f>COSTS_DETAILED_SUMMARY!G447</f>
        <v>0</v>
      </c>
      <c r="J258" s="79">
        <f>IF(DD_LVL2_ACTV_15_Annual_Currency_Select=2,COSTS_DETAILED_SUMMARY!$E447,COSTS_DETAILED_SUMMARY!$G447)</f>
        <v>0</v>
      </c>
      <c r="K258" s="79">
        <f>IF(DD_LVL2_ACTV_15_Annual_Currency_Select=2,COSTS_DETAILED_SUMMARY!$E447,COSTS_DETAILED_SUMMARY!$G447)</f>
        <v>0</v>
      </c>
      <c r="L258" s="79">
        <f>IF(DD_LVL2_ACTV_15_Annual_Currency_Select=2,COSTS_DETAILED_SUMMARY!$E447,COSTS_DETAILED_SUMMARY!$G447)</f>
        <v>0</v>
      </c>
      <c r="M258" s="79">
        <f>IF(DD_LVL2_ACTV_15_Annual_Currency_Select=2,COSTS_DETAILED_SUMMARY!$E447,COSTS_DETAILED_SUMMARY!$G447)</f>
        <v>0</v>
      </c>
      <c r="N258" s="79">
        <f>IF(DD_LVL2_ACTV_15_Annual_Currency_Select=2,COSTS_DETAILED_SUMMARY!$E447,COSTS_DETAILED_SUMMARY!$G447)</f>
        <v>0</v>
      </c>
    </row>
    <row r="259" spans="1:14" s="10" customFormat="1" x14ac:dyDescent="0.2">
      <c r="D259" s="53" t="str">
        <f>SUPV_Lu!$D$243&amp;" "&amp;Lang_Cost_Of_A_Single&amp;" "&amp;$D$246&amp;" "&amp;Lang_Activity</f>
        <v>Economic Cost of a Single SME Activity #7 (Not in Use) Activity</v>
      </c>
      <c r="F259" s="41">
        <f>COSTS_DETAILED_SUMMARY!F447</f>
        <v>0</v>
      </c>
      <c r="G259" s="116">
        <f>COSTS_DETAILED_SUMMARY!H447</f>
        <v>0</v>
      </c>
      <c r="J259" s="79">
        <f>IF(DD_LVL2_ACTV_15_Annual_Currency_Select=2,COSTS_DETAILED_SUMMARY!$F447,COSTS_DETAILED_SUMMARY!$H447)</f>
        <v>0</v>
      </c>
      <c r="K259" s="79">
        <f>IF(DD_LVL2_ACTV_15_Annual_Currency_Select=2,COSTS_DETAILED_SUMMARY!$F447,COSTS_DETAILED_SUMMARY!$H447)</f>
        <v>0</v>
      </c>
      <c r="L259" s="79">
        <f>IF(DD_LVL2_ACTV_15_Annual_Currency_Select=2,COSTS_DETAILED_SUMMARY!$F447,COSTS_DETAILED_SUMMARY!$H447)</f>
        <v>0</v>
      </c>
      <c r="M259" s="79">
        <f>IF(DD_LVL2_ACTV_15_Annual_Currency_Select=2,COSTS_DETAILED_SUMMARY!$F447,COSTS_DETAILED_SUMMARY!$H447)</f>
        <v>0</v>
      </c>
      <c r="N259" s="79">
        <f>IF(DD_LVL2_ACTV_15_Annual_Currency_Select=2,COSTS_DETAILED_SUMMARY!$F447,COSTS_DETAILED_SUMMARY!$H447)</f>
        <v>0</v>
      </c>
    </row>
    <row r="260" spans="1:14" s="10" customFormat="1" x14ac:dyDescent="0.2"/>
    <row r="261" spans="1:14" s="10" customFormat="1" x14ac:dyDescent="0.2"/>
    <row r="262" spans="1:14" s="10" customFormat="1" x14ac:dyDescent="0.2">
      <c r="C262" s="55" t="s">
        <v>210</v>
      </c>
      <c r="D262" s="74" t="str">
        <f>Lang_Direct_User_Entry_Cost_Estimate</f>
        <v>Direct User Entry Cost Estimate</v>
      </c>
      <c r="J262" s="366" t="str">
        <f ca="1">OFFSET(SUPV_Lu!$D$221,DD_LVL2_ACTV_15_Annual_Currency_Select,0)</f>
        <v>USD</v>
      </c>
      <c r="K262" s="366" t="str">
        <f ca="1">OFFSET(SUPV_Lu!$D$221,DD_LVL2_ACTV_15_Annual_Currency_Select,0)</f>
        <v>USD</v>
      </c>
      <c r="L262" s="366" t="str">
        <f ca="1">OFFSET(SUPV_Lu!$D$221,DD_LVL2_ACTV_15_Annual_Currency_Select,0)</f>
        <v>USD</v>
      </c>
      <c r="M262" s="366" t="str">
        <f ca="1">OFFSET(SUPV_Lu!$D$221,DD_LVL2_ACTV_15_Annual_Currency_Select,0)</f>
        <v>USD</v>
      </c>
      <c r="N262" s="366" t="str">
        <f ca="1">OFFSET(SUPV_Lu!$D$221,DD_LVL2_ACTV_15_Annual_Currency_Select,0)</f>
        <v>USD</v>
      </c>
    </row>
    <row r="263" spans="1:14" s="10" customFormat="1" x14ac:dyDescent="0.2">
      <c r="D263" s="53" t="str">
        <f>SUPV_Lu!$D$242&amp;" "&amp;Lang_Cost_Of_A_Single&amp;" "&amp;$D$246&amp;" "&amp;Lang_Activity</f>
        <v>Financial Cost of a Single SME Activity #7 (Not in Use) Activity</v>
      </c>
      <c r="J263" s="80">
        <v>0</v>
      </c>
      <c r="K263" s="80">
        <v>0</v>
      </c>
      <c r="L263" s="80">
        <v>0</v>
      </c>
      <c r="M263" s="80">
        <v>0</v>
      </c>
      <c r="N263" s="80">
        <v>0</v>
      </c>
    </row>
    <row r="264" spans="1:14" s="10" customFormat="1" x14ac:dyDescent="0.2">
      <c r="D264" s="53" t="str">
        <f>SUPV_Lu!$D$243&amp;" "&amp;Lang_Cost_Of_A_Single&amp;" "&amp;$D$246&amp;" "&amp;Lang_Activity</f>
        <v>Economic Cost of a Single SME Activity #7 (Not in Use) Activity</v>
      </c>
      <c r="J264" s="80">
        <v>0</v>
      </c>
      <c r="K264" s="80">
        <v>0</v>
      </c>
      <c r="L264" s="80">
        <v>0</v>
      </c>
      <c r="M264" s="80">
        <v>0</v>
      </c>
      <c r="N264" s="80">
        <v>0</v>
      </c>
    </row>
    <row r="265" spans="1:14" s="10" customFormat="1" x14ac:dyDescent="0.2">
      <c r="D265" s="55" t="str">
        <f>Lang_Error_Check_Checks_If_Override_Input_economic_Cost_Is_Less_Than_Financial_Cost</f>
        <v>ERROR CHECK (CHECKS IF OVERRIDE INPUT ECONOMIC COST IS LESS THAN FINANCIAL COST)</v>
      </c>
      <c r="H265" s="145">
        <f>IF(ISERROR(SUM(J265:N265)),1,MIN(SUM(J265:N265),1))</f>
        <v>0</v>
      </c>
      <c r="J265" s="42">
        <f t="shared" ref="J265:N265" si="10">IF(J264&lt;J263,1,0)</f>
        <v>0</v>
      </c>
      <c r="K265" s="42">
        <f t="shared" si="10"/>
        <v>0</v>
      </c>
      <c r="L265" s="42">
        <f t="shared" si="10"/>
        <v>0</v>
      </c>
      <c r="M265" s="42">
        <f t="shared" si="10"/>
        <v>0</v>
      </c>
      <c r="N265" s="42">
        <f t="shared" si="10"/>
        <v>0</v>
      </c>
    </row>
    <row r="266" spans="1:14" s="10" customFormat="1" x14ac:dyDescent="0.2"/>
    <row r="267" spans="1:14" s="10" customFormat="1" x14ac:dyDescent="0.2">
      <c r="D267" s="74" t="str">
        <f>Lang_Source_Of_Information_Notes</f>
        <v>Notes and Sources of Information</v>
      </c>
    </row>
    <row r="268" spans="1:14" s="10" customFormat="1" x14ac:dyDescent="0.2">
      <c r="D268" s="482" t="s">
        <v>596</v>
      </c>
      <c r="E268" s="482"/>
    </row>
    <row r="269" spans="1:14" s="10" customFormat="1" x14ac:dyDescent="0.2">
      <c r="D269" s="482" t="s">
        <v>596</v>
      </c>
      <c r="E269" s="482"/>
    </row>
    <row r="270" spans="1:14" s="10" customFormat="1" x14ac:dyDescent="0.2">
      <c r="D270" s="482" t="s">
        <v>596</v>
      </c>
      <c r="E270" s="482"/>
    </row>
    <row r="271" spans="1:14" s="10" customFormat="1" x14ac:dyDescent="0.2"/>
    <row r="272" spans="1:14" s="10" customFormat="1" x14ac:dyDescent="0.2">
      <c r="A272" s="12" t="s">
        <v>125</v>
      </c>
      <c r="B272" s="13" t="str">
        <f>Lang_Number_Of&amp;" "&amp;$D$246&amp;" "&amp;Lang_Activities_Annual_Assumptions_Projected_Or_Retrospective</f>
        <v>Number of SME Activity #7 (Not in Use) Activities - Annual Assumptions (Projected or Retrospective)</v>
      </c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</row>
    <row r="273" spans="4:14" s="10" customFormat="1" x14ac:dyDescent="0.2"/>
    <row r="274" spans="4:14" s="10" customFormat="1" x14ac:dyDescent="0.2">
      <c r="D274" s="71" t="str">
        <f>HL_LVL2_ACTV_15_Name&amp;" - "&amp;Lang_Number_Of_Activities_Per_Year&amp;" ("&amp;Lang_Projected_Or_Retrospective&amp;")"</f>
        <v>SME Activity #7 (Not in Use) - Number of Activities per Year (Projected or Retrospective)</v>
      </c>
    </row>
    <row r="275" spans="4:14" s="10" customFormat="1" x14ac:dyDescent="0.2"/>
    <row r="276" spans="4:14" s="10" customFormat="1" x14ac:dyDescent="0.2">
      <c r="D276" s="50" t="str">
        <f>Lang_Number_Of_Activities_Per_Year</f>
        <v>Number of Activities per Year</v>
      </c>
      <c r="J276" s="324">
        <v>0</v>
      </c>
      <c r="K276" s="324">
        <v>0</v>
      </c>
      <c r="L276" s="324">
        <v>0</v>
      </c>
      <c r="M276" s="324">
        <v>0</v>
      </c>
      <c r="N276" s="324">
        <v>0</v>
      </c>
    </row>
    <row r="277" spans="4:14" s="10" customFormat="1" x14ac:dyDescent="0.2">
      <c r="D277" s="71" t="str">
        <f>D274</f>
        <v>SME Activity #7 (Not in Use) - Number of Activities per Year (Projected or Retrospective)</v>
      </c>
      <c r="J277" s="41">
        <f t="shared" ref="J277:N277" si="11">SUM(J276:J276)</f>
        <v>0</v>
      </c>
      <c r="K277" s="41">
        <f t="shared" si="11"/>
        <v>0</v>
      </c>
      <c r="L277" s="41">
        <f t="shared" si="11"/>
        <v>0</v>
      </c>
      <c r="M277" s="41">
        <f t="shared" si="11"/>
        <v>0</v>
      </c>
      <c r="N277" s="41">
        <f t="shared" si="11"/>
        <v>0</v>
      </c>
    </row>
    <row r="278" spans="4:14" s="10" customFormat="1" x14ac:dyDescent="0.2"/>
    <row r="279" spans="4:14" s="10" customFormat="1" x14ac:dyDescent="0.2">
      <c r="D279" s="74" t="str">
        <f>Lang_Source_Of_Information_Notes</f>
        <v>Notes and Sources of Information</v>
      </c>
    </row>
    <row r="280" spans="4:14" s="10" customFormat="1" x14ac:dyDescent="0.2">
      <c r="D280" s="482" t="s">
        <v>596</v>
      </c>
      <c r="E280" s="482"/>
    </row>
    <row r="281" spans="4:14" s="10" customFormat="1" x14ac:dyDescent="0.2">
      <c r="D281" s="482" t="s">
        <v>596</v>
      </c>
      <c r="E281" s="482"/>
    </row>
    <row r="282" spans="4:14" s="10" customFormat="1" x14ac:dyDescent="0.2">
      <c r="D282" s="482" t="s">
        <v>596</v>
      </c>
      <c r="E282" s="482"/>
    </row>
    <row r="283" spans="4:14" s="10" customFormat="1" x14ac:dyDescent="0.2"/>
    <row r="284" spans="4:14" s="10" customFormat="1" x14ac:dyDescent="0.2">
      <c r="D284" s="76" t="str">
        <f>Lang_GoTo&amp;" "&amp;HL_LVL2_ACTV_15_Activity_Summary_Costs_Annual</f>
        <v>Go to SME Activity #7 (Not in Use) - Summary Costs (Annual)</v>
      </c>
    </row>
    <row r="285" spans="4:14" x14ac:dyDescent="0.2"/>
    <row r="286" spans="4:14" x14ac:dyDescent="0.2"/>
  </sheetData>
  <mergeCells count="42">
    <mergeCell ref="D281:E281"/>
    <mergeCell ref="D282:E282"/>
    <mergeCell ref="D116:E116"/>
    <mergeCell ref="D117:E117"/>
    <mergeCell ref="D225:E225"/>
    <mergeCell ref="D226:E226"/>
    <mergeCell ref="D227:E227"/>
    <mergeCell ref="D143:E143"/>
    <mergeCell ref="D144:E144"/>
    <mergeCell ref="D145:E145"/>
    <mergeCell ref="D152:E152"/>
    <mergeCell ref="D153:E153"/>
    <mergeCell ref="D154:E154"/>
    <mergeCell ref="D182:E182"/>
    <mergeCell ref="D183:E183"/>
    <mergeCell ref="D184:E184"/>
    <mergeCell ref="D80:E80"/>
    <mergeCell ref="D106:E106"/>
    <mergeCell ref="D107:E107"/>
    <mergeCell ref="D108:E108"/>
    <mergeCell ref="D115:E115"/>
    <mergeCell ref="D69:E69"/>
    <mergeCell ref="D70:E70"/>
    <mergeCell ref="D71:E71"/>
    <mergeCell ref="D78:E78"/>
    <mergeCell ref="D79:E79"/>
    <mergeCell ref="D194:E194"/>
    <mergeCell ref="D195:E195"/>
    <mergeCell ref="D196:E196"/>
    <mergeCell ref="D237:E237"/>
    <mergeCell ref="D238:E238"/>
    <mergeCell ref="D239:E239"/>
    <mergeCell ref="D268:E268"/>
    <mergeCell ref="D269:E269"/>
    <mergeCell ref="D270:E270"/>
    <mergeCell ref="D280:E280"/>
    <mergeCell ref="D43:E43"/>
    <mergeCell ref="D32:E32"/>
    <mergeCell ref="D33:E33"/>
    <mergeCell ref="D34:E34"/>
    <mergeCell ref="D41:E41"/>
    <mergeCell ref="D42:E42"/>
  </mergeCells>
  <conditionalFormatting sqref="H29">
    <cfRule type="cellIs" dxfId="239" priority="56" operator="notEqual">
      <formula>0</formula>
    </cfRule>
  </conditionalFormatting>
  <conditionalFormatting sqref="H66">
    <cfRule type="cellIs" dxfId="238" priority="55" operator="notEqual">
      <formula>0</formula>
    </cfRule>
  </conditionalFormatting>
  <conditionalFormatting sqref="H103">
    <cfRule type="cellIs" dxfId="237" priority="54" operator="notEqual">
      <formula>0</formula>
    </cfRule>
  </conditionalFormatting>
  <conditionalFormatting sqref="H140">
    <cfRule type="cellIs" dxfId="236" priority="53" operator="notEqual">
      <formula>0</formula>
    </cfRule>
  </conditionalFormatting>
  <conditionalFormatting sqref="H179">
    <cfRule type="cellIs" dxfId="235" priority="52" operator="notEqual">
      <formula>0</formula>
    </cfRule>
  </conditionalFormatting>
  <conditionalFormatting sqref="H222">
    <cfRule type="cellIs" dxfId="234" priority="51" operator="notEqual">
      <formula>0</formula>
    </cfRule>
  </conditionalFormatting>
  <conditionalFormatting sqref="H265">
    <cfRule type="cellIs" dxfId="233" priority="50" operator="notEqual">
      <formula>0</formula>
    </cfRule>
  </conditionalFormatting>
  <conditionalFormatting sqref="J22:N23 J27:N28">
    <cfRule type="expression" dxfId="232" priority="7">
      <formula>$E$16=1</formula>
    </cfRule>
  </conditionalFormatting>
  <conditionalFormatting sqref="J29:N29">
    <cfRule type="cellIs" dxfId="231" priority="49" operator="notEqual">
      <formula>0</formula>
    </cfRule>
  </conditionalFormatting>
  <conditionalFormatting sqref="J59:N60 J64:N65">
    <cfRule type="expression" dxfId="230" priority="6">
      <formula>$E$53=1</formula>
    </cfRule>
  </conditionalFormatting>
  <conditionalFormatting sqref="J66:N66">
    <cfRule type="cellIs" dxfId="229" priority="48" operator="notEqual">
      <formula>0</formula>
    </cfRule>
  </conditionalFormatting>
  <conditionalFormatting sqref="J96:N97 J101:N102">
    <cfRule type="expression" dxfId="228" priority="5">
      <formula>$E$90=1</formula>
    </cfRule>
  </conditionalFormatting>
  <conditionalFormatting sqref="J103:N103">
    <cfRule type="cellIs" dxfId="227" priority="47" operator="notEqual">
      <formula>0</formula>
    </cfRule>
  </conditionalFormatting>
  <conditionalFormatting sqref="J133:N134 J138:N139">
    <cfRule type="expression" dxfId="226" priority="4">
      <formula>$E$127=1</formula>
    </cfRule>
  </conditionalFormatting>
  <conditionalFormatting sqref="J140:N140">
    <cfRule type="cellIs" dxfId="225" priority="46" operator="notEqual">
      <formula>0</formula>
    </cfRule>
  </conditionalFormatting>
  <conditionalFormatting sqref="J172:N173 J177:N178">
    <cfRule type="expression" dxfId="224" priority="3">
      <formula>$E$166=1</formula>
    </cfRule>
  </conditionalFormatting>
  <conditionalFormatting sqref="J179:N179">
    <cfRule type="cellIs" dxfId="223" priority="45" operator="notEqual">
      <formula>0</formula>
    </cfRule>
  </conditionalFormatting>
  <conditionalFormatting sqref="J215:N216 J220:N221">
    <cfRule type="expression" dxfId="222" priority="2">
      <formula>$E$209=1</formula>
    </cfRule>
  </conditionalFormatting>
  <conditionalFormatting sqref="J222:N222">
    <cfRule type="cellIs" dxfId="221" priority="44" operator="notEqual">
      <formula>0</formula>
    </cfRule>
  </conditionalFormatting>
  <conditionalFormatting sqref="J258:N259 J263:N264">
    <cfRule type="expression" dxfId="220" priority="1">
      <formula>$E$252=1</formula>
    </cfRule>
  </conditionalFormatting>
  <conditionalFormatting sqref="J265:N265">
    <cfRule type="cellIs" dxfId="219" priority="43" operator="notEqual">
      <formula>0</formula>
    </cfRule>
  </conditionalFormatting>
  <dataValidations count="15">
    <dataValidation type="whole" showDropDown="1" showErrorMessage="1" errorTitle="Drop Down Box Cell Link" error="The value in a drop down box cell link must be a whole number within the control's lookup range rows." sqref="E16" xr:uid="{00000000-0002-0000-1400-000000000000}">
      <formula1>1</formula1>
      <formula2>ROWS(LU_TOP_ACTV_5_Currencies)</formula2>
    </dataValidation>
    <dataValidation type="whole" showDropDown="1" showErrorMessage="1" errorTitle="Drop Down Box Cell Link" error="The value in a drop down box cell link must be a whole number within the control's lookup range rows." sqref="E18" xr:uid="{00000000-0002-0000-1400-000001000000}">
      <formula1>1</formula1>
      <formula2>ROWS(LU_TOP_ACTV_5_Detail_or_Freeform)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166" xr:uid="{00000000-0002-0000-1400-000002000000}">
      <formula1>1</formula1>
      <formula2>ROWS(LU_LVL2_ACTV_5_Currencies)</formula2>
    </dataValidation>
    <dataValidation type="whole" showDropDown="1" showErrorMessage="1" errorTitle="Drop Down Box Cell Link" error="The value in a drop down box cell link must be a whole number within the control's lookup range rows." sqref="E168" xr:uid="{00000000-0002-0000-1400-000003000000}">
      <formula1>1</formula1>
      <formula2>ROWS(LU_LVL2_ACTV_5_Detail_or_Freeform)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90" xr:uid="{00000000-0002-0000-1400-000004000000}">
      <formula1>1</formula1>
      <formula2>ROWS(LU_TOP_ACTV_18_Currencies)</formula2>
    </dataValidation>
    <dataValidation type="whole" showDropDown="1" showErrorMessage="1" errorTitle="Drop Down Box Cell Link" error="The value in a drop down box cell link must be a whole number within the control's lookup range rows." sqref="E92" xr:uid="{00000000-0002-0000-1400-000005000000}">
      <formula1>1</formula1>
      <formula2>ROWS(LU_TOP_ACTV_18_Detail_or_Freeform)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53" xr:uid="{00000000-0002-0000-1400-000006000000}">
      <formula1>1</formula1>
      <formula2>ROWS(LU_TOP_ACTV_17_Currencies)</formula2>
    </dataValidation>
    <dataValidation type="whole" showDropDown="1" showErrorMessage="1" errorTitle="Drop Down Box Cell Link" error="The value in a drop down box cell link must be a whole number within the control's lookup range rows." sqref="E55" xr:uid="{00000000-0002-0000-1400-000007000000}">
      <formula1>1</formula1>
      <formula2>ROWS(LU_TOP_ACTV_17_Detail_or_Freeform)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252" xr:uid="{00000000-0002-0000-1400-000008000000}">
      <formula1>1</formula1>
      <formula2>ROWS(LU_LVL2_ACTV_15_Currencies)</formula2>
    </dataValidation>
    <dataValidation type="whole" showDropDown="1" showErrorMessage="1" errorTitle="Drop Down Box Cell Link" error="The value in a drop down box cell link must be a whole number within the control's lookup range rows." sqref="E254" xr:uid="{00000000-0002-0000-1400-000009000000}">
      <formula1>1</formula1>
      <formula2>ROWS(LU_LVL2_ACTV_15_Detail_or_Freeform)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209" xr:uid="{00000000-0002-0000-1400-00000A000000}">
      <formula1>1</formula1>
      <formula2>ROWS(LU_LVL2_ACTV_14_Currencies)</formula2>
    </dataValidation>
    <dataValidation type="whole" showDropDown="1" showErrorMessage="1" errorTitle="Drop Down Box Cell Link" error="The value in a drop down box cell link must be a whole number within the control's lookup range rows." sqref="E211" xr:uid="{00000000-0002-0000-1400-00000B000000}">
      <formula1>1</formula1>
      <formula2>ROWS(LU_LVL2_ACTV_14_Detail_or_Freeform)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127" xr:uid="{00000000-0002-0000-1400-00000C000000}">
      <formula1>1</formula1>
      <formula2>ROWS(LU_TOP_ACTV_8_Currencies)</formula2>
    </dataValidation>
    <dataValidation type="whole" showDropDown="1" showErrorMessage="1" errorTitle="Drop Down Box Cell Link" error="The value in a drop down box cell link must be a whole number within the control's lookup range rows." sqref="E129" xr:uid="{00000000-0002-0000-1400-00000D000000}">
      <formula1>1</formula1>
      <formula2>ROWS(LU_TOP_ACTV_8_Detail_or_Freeform)</formula2>
    </dataValidation>
    <dataValidation type="custom" showErrorMessage="1" errorTitle="Invalid Assumption" error="Assumption must be a number." sqref="J75:N75 J233:N233 J27:N28 J38:N38 J149:N149 J190:N190 J112:N112 J276:N276 J263:N264 J220:N221 J177:N178 J138:N139 J101:N102 J64:N65" xr:uid="{00000000-0002-0000-1400-00000E000000}">
      <formula1>NOT(ISERROR(J27/1))</formula1>
    </dataValidation>
  </dataValidations>
  <hyperlinks>
    <hyperlink ref="D44" location="HL_TOP_ACTV_5_Activity_Summary_Costs_Annual" tooltip="Click to follow hyperlink." display="HL_TOP_ACTV_5_Activity_Summary_Costs_Annual" xr:uid="{00000000-0004-0000-1400-000000000000}"/>
    <hyperlink ref="E19" location="HL_TOP_ACTV_5_Detailed_Costing_Worksheet" tooltip="Click to follow hyperlink." display="HL_TOP_ACTV_5_Detailed_Costing_Worksheet" xr:uid="{00000000-0004-0000-1400-000001000000}"/>
    <hyperlink ref="E169" location="HL_LVL2_ACTV_5_Detailed_Costing_Worksheet" tooltip="Click to follow hyperlink." display="HL_LVL2_ACTV_5_Detailed_Costing_Worksheet" xr:uid="{00000000-0004-0000-1400-000002000000}"/>
    <hyperlink ref="D198" location="HL_LVL2_ACTV_5_Activity_Summary_Costs_Annual" tooltip="Click to follow hyperlink." display="HL_LVL2_ACTV_5_Activity_Summary_Costs_Annual" xr:uid="{00000000-0004-0000-1400-000003000000}"/>
    <hyperlink ref="A9" location="HL_TOP_ACTV_5_Single_Activity_Cost_Assumptions_Annual" tooltip="Click to follow hyperlink." display="HL_TOP_ACTV_5_Single_Activity_Cost_Assumptions_Annual" xr:uid="{00000000-0004-0000-1400-000004000000}"/>
    <hyperlink ref="A157" location="HL_LVL2_ACTV_5_Single_Activity_Cost_Assumptions_Annual" tooltip="Click to follow hyperlink." display="HL_LVL2_ACTV_5_Single_Activity_Cost_Assumptions_Annual" xr:uid="{00000000-0004-0000-1400-000005000000}"/>
    <hyperlink ref="A46" location="HL_TOP_ACTV_17_Single_Activity_Cost_Assumptions_Annual" tooltip="Click to follow hyperlink." display="HL_TOP_ACTV_17_Single_Activity_Cost_Assumptions_Annual" xr:uid="{00000000-0004-0000-1400-000006000000}"/>
    <hyperlink ref="D81" location="HL_TOP_ACTV_17_Activity_Summary_Costs_Annual" tooltip="Click to follow hyperlink." display="HL_TOP_ACTV_17_Activity_Summary_Costs_Annual" xr:uid="{00000000-0004-0000-1400-000007000000}"/>
    <hyperlink ref="A83" location="HL_TOP_ACTV_18_Single_Activity_Cost_Assumptions_Annual" tooltip="Click to follow hyperlink." display="HL_TOP_ACTV_18_Single_Activity_Cost_Assumptions_Annual" xr:uid="{00000000-0004-0000-1400-000008000000}"/>
    <hyperlink ref="D118" location="HL_TOP_ACTV_18_Activity_Summary_Costs_Annual" tooltip="Click to follow hyperlink." display="HL_TOP_ACTV_18_Activity_Summary_Costs_Annual" xr:uid="{00000000-0004-0000-1400-000009000000}"/>
    <hyperlink ref="A200" location="HL_LVL2_ACTV_14_Single_Activity_Cost_Assumptions_Annual" tooltip="Click to follow hyperlink." display="HL_LVL2_ACTV_14_Single_Activity_Cost_Assumptions_Annual" xr:uid="{00000000-0004-0000-1400-00000A000000}"/>
    <hyperlink ref="D241" location="HL_LVL2_ACTV_14_Activity_Summary_Costs_Annual" tooltip="Click to follow hyperlink." display="HL_LVL2_ACTV_14_Activity_Summary_Costs_Annual" xr:uid="{00000000-0004-0000-1400-00000B000000}"/>
    <hyperlink ref="A243" location="HL_LVL2_ACTV_15_Single_Activity_Cost_Assumptions_Annual" tooltip="Click to follow hyperlink." display="HL_LVL2_ACTV_15_Single_Activity_Cost_Assumptions_Annual" xr:uid="{00000000-0004-0000-1400-00000C000000}"/>
    <hyperlink ref="D284" location="HL_LVL2_ACTV_15_Activity_Summary_Costs_Annual" tooltip="Click to follow hyperlink." display="HL_LVL2_ACTV_15_Activity_Summary_Costs_Annual" xr:uid="{00000000-0004-0000-1400-00000D000000}"/>
    <hyperlink ref="E93" location="HL_TOP_ACTV_18_Detailed_Costing_Worksheet" tooltip="Click to follow hyperlink." display="HL_TOP_ACTV_18_Detailed_Costing_Worksheet" xr:uid="{00000000-0004-0000-1400-00000E000000}"/>
    <hyperlink ref="E56" location="HL_TOP_ACTV_17_Detailed_Costing_Worksheet" tooltip="Click to follow hyperlink." display="HL_TOP_ACTV_17_Detailed_Costing_Worksheet" xr:uid="{00000000-0004-0000-1400-00000F000000}"/>
    <hyperlink ref="E255" location="HL_LVL2_ACTV_15_Detailed_Costing_Worksheet" tooltip="Click to follow hyperlink." display="HL_LVL2_ACTV_15_Detailed_Costing_Worksheet" xr:uid="{00000000-0004-0000-1400-000010000000}"/>
    <hyperlink ref="E212" location="HL_LVL2_ACTV_14_Detailed_Costing_Worksheet" tooltip="Click to follow hyperlink." display="HL_LVL2_ACTV_14_Detailed_Costing_Worksheet" xr:uid="{00000000-0004-0000-1400-000011000000}"/>
    <hyperlink ref="A120" location="HL_TOP_ACTV_8_Single_Activity_Cost_Assumptions_Annual" tooltip="Click to follow hyperlink." display="HL_TOP_ACTV_8_Single_Activity_Cost_Assumptions_Annual" xr:uid="{00000000-0004-0000-1400-000012000000}"/>
    <hyperlink ref="D155" location="HL_TOP_ACTV_8_Activity_Summary_Costs_Annual" tooltip="Click to follow hyperlink." display="HL_TOP_ACTV_8_Activity_Summary_Costs_Annual" xr:uid="{00000000-0004-0000-1400-000013000000}"/>
    <hyperlink ref="E130" location="HL_TOP_ACTV_8_Detailed_Costing_Worksheet" tooltip="Click to follow hyperlink." display="HL_TOP_ACTV_8_Detailed_Costing_Worksheet" xr:uid="{00000000-0004-0000-1400-000014000000}"/>
    <hyperlink ref="A1" location="Contents!A1" tooltip="Go to Table of Contents" display="±" xr:uid="{00000000-0004-0000-1400-000015000000}"/>
    <hyperlink ref="A3" location="$B$8" tooltip="Go to Top of Sheet" display="$B$8" xr:uid="{CE6E1689-F9F7-4121-B292-BC2EA44C4864}"/>
  </hyperlinks>
  <pageMargins left="0.7" right="0.7" top="0.75" bottom="0.75" header="0.3" footer="0.3"/>
  <pageSetup scale="53" fitToHeight="0" orientation="landscape" r:id="rId1"/>
  <headerFooter>
    <oddFooter>&amp;L&amp;B Confidential&amp;B&amp;C&amp;D&amp;RPage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5429" r:id="rId4" name="bpmDropDownTOP_ACTV_52">
              <controlPr defaultSize="0" autoFill="0" autoPict="0">
                <anchor moveWithCells="1" sizeWithCells="1">
                  <from>
                    <xdr:col>4</xdr:col>
                    <xdr:colOff>0</xdr:colOff>
                    <xdr:row>15</xdr:row>
                    <xdr:rowOff>0</xdr:rowOff>
                  </from>
                  <to>
                    <xdr:col>5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30" r:id="rId5" name="bpmDropDownTOP_ACTV_53">
              <controlPr defaultSize="0" autoFill="0" autoPict="0">
                <anchor moveWithCells="1" sizeWithCells="1">
                  <from>
                    <xdr:col>4</xdr:col>
                    <xdr:colOff>0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32" r:id="rId6" name="bpmDropDownLVL2_ACTV_52">
              <controlPr defaultSize="0" autoFill="0" autoPict="0">
                <anchor moveWithCells="1" sizeWithCells="1">
                  <from>
                    <xdr:col>4</xdr:col>
                    <xdr:colOff>0</xdr:colOff>
                    <xdr:row>165</xdr:row>
                    <xdr:rowOff>0</xdr:rowOff>
                  </from>
                  <to>
                    <xdr:col>5</xdr:col>
                    <xdr:colOff>0</xdr:colOff>
                    <xdr:row>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33" r:id="rId7" name="bpmDropDownLVL2_ACTV_53">
              <controlPr defaultSize="0" autoFill="0" autoPict="0">
                <anchor moveWithCells="1" sizeWithCells="1">
                  <from>
                    <xdr:col>4</xdr:col>
                    <xdr:colOff>0</xdr:colOff>
                    <xdr:row>167</xdr:row>
                    <xdr:rowOff>0</xdr:rowOff>
                  </from>
                  <to>
                    <xdr:col>5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38" r:id="rId8" name="bpmDropDownTOP_ACTV_182">
              <controlPr defaultSize="0" autoFill="0" autoPict="0">
                <anchor moveWithCells="1" sizeWithCells="1">
                  <from>
                    <xdr:col>4</xdr:col>
                    <xdr:colOff>0</xdr:colOff>
                    <xdr:row>89</xdr:row>
                    <xdr:rowOff>0</xdr:rowOff>
                  </from>
                  <to>
                    <xdr:col>5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39" r:id="rId9" name="bpmDropDownTOP_ACTV_183">
              <controlPr defaultSize="0" autoFill="0" autoPict="0">
                <anchor moveWithCells="1" sizeWithCells="1">
                  <from>
                    <xdr:col>4</xdr:col>
                    <xdr:colOff>0</xdr:colOff>
                    <xdr:row>91</xdr:row>
                    <xdr:rowOff>0</xdr:rowOff>
                  </from>
                  <to>
                    <xdr:col>5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41" r:id="rId10" name="bpmDropDownTOP_ACTV_172">
              <controlPr defaultSize="0" autoFill="0" autoPict="0">
                <anchor moveWithCells="1" sizeWithCells="1">
                  <from>
                    <xdr:col>4</xdr:col>
                    <xdr:colOff>0</xdr:colOff>
                    <xdr:row>52</xdr:row>
                    <xdr:rowOff>0</xdr:rowOff>
                  </from>
                  <to>
                    <xdr:col>5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42" r:id="rId11" name="bpmDropDownTOP_ACTV_173">
              <controlPr defaultSize="0" autoFill="0" autoPict="0">
                <anchor moveWithCells="1" sizeWithCells="1">
                  <from>
                    <xdr:col>4</xdr:col>
                    <xdr:colOff>0</xdr:colOff>
                    <xdr:row>54</xdr:row>
                    <xdr:rowOff>0</xdr:rowOff>
                  </from>
                  <to>
                    <xdr:col>5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44" r:id="rId12" name="bpmDropDownLVL2_ACTV_152">
              <controlPr defaultSize="0" autoFill="0" autoPict="0">
                <anchor moveWithCells="1" sizeWithCells="1">
                  <from>
                    <xdr:col>4</xdr:col>
                    <xdr:colOff>0</xdr:colOff>
                    <xdr:row>251</xdr:row>
                    <xdr:rowOff>0</xdr:rowOff>
                  </from>
                  <to>
                    <xdr:col>5</xdr:col>
                    <xdr:colOff>0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45" r:id="rId13" name="bpmDropDownLVL2_ACTV_153">
              <controlPr defaultSize="0" autoFill="0" autoPict="0">
                <anchor moveWithCells="1" sizeWithCells="1">
                  <from>
                    <xdr:col>4</xdr:col>
                    <xdr:colOff>0</xdr:colOff>
                    <xdr:row>253</xdr:row>
                    <xdr:rowOff>0</xdr:rowOff>
                  </from>
                  <to>
                    <xdr:col>5</xdr:col>
                    <xdr:colOff>0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47" r:id="rId14" name="bpmDropDownLVL2_ACTV_142">
              <controlPr defaultSize="0" autoFill="0" autoPict="0">
                <anchor moveWithCells="1" sizeWithCells="1">
                  <from>
                    <xdr:col>4</xdr:col>
                    <xdr:colOff>0</xdr:colOff>
                    <xdr:row>208</xdr:row>
                    <xdr:rowOff>0</xdr:rowOff>
                  </from>
                  <to>
                    <xdr:col>5</xdr:col>
                    <xdr:colOff>0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48" r:id="rId15" name="bpmDropDownLVL2_ACTV_143">
              <controlPr defaultSize="0" autoFill="0" autoPict="0">
                <anchor moveWithCells="1" sizeWithCells="1">
                  <from>
                    <xdr:col>4</xdr:col>
                    <xdr:colOff>0</xdr:colOff>
                    <xdr:row>210</xdr:row>
                    <xdr:rowOff>0</xdr:rowOff>
                  </from>
                  <to>
                    <xdr:col>5</xdr:col>
                    <xdr:colOff>0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50" r:id="rId16" name="bpmDropDownTOP_ACTV_82">
              <controlPr defaultSize="0" autoFill="0" autoPict="0">
                <anchor moveWithCells="1" sizeWithCells="1">
                  <from>
                    <xdr:col>4</xdr:col>
                    <xdr:colOff>0</xdr:colOff>
                    <xdr:row>126</xdr:row>
                    <xdr:rowOff>0</xdr:rowOff>
                  </from>
                  <to>
                    <xdr:col>5</xdr:col>
                    <xdr:colOff>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51" r:id="rId17" name="bpmDropDownTOP_ACTV_83">
              <controlPr defaultSize="0" autoFill="0" autoPict="0">
                <anchor moveWithCells="1" sizeWithCells="1">
                  <from>
                    <xdr:col>4</xdr:col>
                    <xdr:colOff>0</xdr:colOff>
                    <xdr:row>128</xdr:row>
                    <xdr:rowOff>0</xdr:rowOff>
                  </from>
                  <to>
                    <xdr:col>5</xdr:col>
                    <xdr:colOff>0</xdr:colOff>
                    <xdr:row>129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>
    <tabColor rgb="FFFFC000"/>
    <pageSetUpPr autoPageBreaks="0" fitToPage="1"/>
  </sheetPr>
  <dimension ref="A1:R194"/>
  <sheetViews>
    <sheetView showGridLines="0" zoomScaleNormal="100" workbookViewId="0">
      <pane xSplit="1" ySplit="7" topLeftCell="B8" activePane="bottomRight" state="frozen"/>
      <selection activeCell="I511" sqref="I511"/>
      <selection pane="topRight" activeCell="I511" sqref="I511"/>
      <selection pane="bottomLeft" activeCell="I511" sqref="I511"/>
      <selection pane="bottomRight" activeCell="D12" sqref="D12"/>
    </sheetView>
  </sheetViews>
  <sheetFormatPr defaultColWidth="11.7109375" defaultRowHeight="12" zeroHeight="1" x14ac:dyDescent="0.2"/>
  <cols>
    <col min="1" max="2" width="3.7109375" customWidth="1"/>
    <col min="3" max="3" width="5.7109375" customWidth="1"/>
    <col min="4" max="4" width="35.7109375" customWidth="1"/>
    <col min="5" max="5" width="30.7109375" customWidth="1"/>
    <col min="6" max="6" width="15.7109375" customWidth="1"/>
    <col min="7" max="7" width="10.7109375" customWidth="1"/>
    <col min="9" max="9" width="15.7109375" customWidth="1"/>
    <col min="10" max="14" width="20.7109375" customWidth="1"/>
  </cols>
  <sheetData>
    <row r="1" spans="1:14" ht="15" x14ac:dyDescent="0.2">
      <c r="A1" s="35" t="s">
        <v>128</v>
      </c>
      <c r="B1" s="31" t="str">
        <f>Lang_Other_Activity_Recurrent_Costs_Only_Annual_Assumptions</f>
        <v>OTHER Activity (Recurrent Costs Only) - Annual Assumptions</v>
      </c>
    </row>
    <row r="2" spans="1:14" ht="12.75" x14ac:dyDescent="0.2">
      <c r="A2" s="36"/>
      <c r="B2" s="45" t="str">
        <f ca="1">Model_Name</f>
        <v>Cervical Cancer Prevention and Control Costing (C4P) Tool (Cost Projection)</v>
      </c>
    </row>
    <row r="3" spans="1:14" s="10" customFormat="1" x14ac:dyDescent="0.2">
      <c r="A3" s="421" t="s">
        <v>5</v>
      </c>
      <c r="B3" s="90" t="str">
        <f>Lang_Year_Ending</f>
        <v>Year Ending</v>
      </c>
      <c r="C3" s="90"/>
      <c r="D3" s="90"/>
      <c r="E3" s="90"/>
      <c r="F3" s="90"/>
      <c r="G3" s="90"/>
      <c r="H3" s="90"/>
      <c r="I3" s="90"/>
      <c r="J3" s="106">
        <f t="shared" ref="J3:N3" si="0">J7</f>
        <v>2019</v>
      </c>
      <c r="K3" s="106">
        <f t="shared" si="0"/>
        <v>2020</v>
      </c>
      <c r="L3" s="106">
        <f t="shared" si="0"/>
        <v>2021</v>
      </c>
      <c r="M3" s="106">
        <f t="shared" si="0"/>
        <v>2022</v>
      </c>
      <c r="N3" s="106">
        <f t="shared" si="0"/>
        <v>2023</v>
      </c>
    </row>
    <row r="4" spans="1:14" s="10" customFormat="1" hidden="1" x14ac:dyDescent="0.2">
      <c r="B4" s="50" t="str">
        <f>Lang_Period_Start_Date</f>
        <v>Period Start Date</v>
      </c>
      <c r="J4" s="340">
        <f>EDATE(TS_Start_Date,(J6-1)*TS_Mths_In_Yr)</f>
        <v>43466</v>
      </c>
      <c r="K4" s="340">
        <f>EDATE(TS_Start_Date,(K6-1)*TS_Mths_In_Yr)</f>
        <v>43831</v>
      </c>
      <c r="L4" s="340">
        <f>EDATE(TS_Start_Date,(L6-1)*TS_Mths_In_Yr)</f>
        <v>44197</v>
      </c>
      <c r="M4" s="340">
        <f>EDATE(TS_Start_Date,(M6-1)*TS_Mths_In_Yr)</f>
        <v>44562</v>
      </c>
      <c r="N4" s="340">
        <f>EDATE(TS_Start_Date,(N6-1)*TS_Mths_In_Yr)</f>
        <v>44927</v>
      </c>
    </row>
    <row r="5" spans="1:14" s="10" customFormat="1" hidden="1" x14ac:dyDescent="0.2">
      <c r="B5" s="50" t="str">
        <f>Lang_Period_End_Date</f>
        <v>Period End Date</v>
      </c>
      <c r="J5" s="340">
        <f>EDATE(J4,TS_Mths_In_Yr)-1</f>
        <v>43830</v>
      </c>
      <c r="K5" s="340">
        <f>EDATE(K4,TS_Mths_In_Yr)-1</f>
        <v>44196</v>
      </c>
      <c r="L5" s="340">
        <f>EDATE(L4,TS_Mths_In_Yr)-1</f>
        <v>44561</v>
      </c>
      <c r="M5" s="340">
        <f>EDATE(M4,TS_Mths_In_Yr)-1</f>
        <v>44926</v>
      </c>
      <c r="N5" s="340">
        <f>EDATE(N4,TS_Mths_In_Yr)-1</f>
        <v>45291</v>
      </c>
    </row>
    <row r="6" spans="1:14" s="10" customFormat="1" hidden="1" x14ac:dyDescent="0.2">
      <c r="B6" s="50" t="str">
        <f>Lang_Counter</f>
        <v>Counter</v>
      </c>
      <c r="J6" s="42">
        <f>COLUMNS($J6:J6)</f>
        <v>1</v>
      </c>
      <c r="K6" s="42">
        <f>COLUMNS($J6:K6)</f>
        <v>2</v>
      </c>
      <c r="L6" s="42">
        <f>COLUMNS($J6:L6)</f>
        <v>3</v>
      </c>
      <c r="M6" s="42">
        <f>COLUMNS($J6:M6)</f>
        <v>4</v>
      </c>
      <c r="N6" s="42">
        <f>COLUMNS($J6:N6)</f>
        <v>5</v>
      </c>
    </row>
    <row r="7" spans="1:14" s="10" customFormat="1" hidden="1" x14ac:dyDescent="0.2">
      <c r="B7" s="91" t="str">
        <f>Lang_Financial_Year</f>
        <v>Financial Year</v>
      </c>
      <c r="C7" s="69"/>
      <c r="D7" s="69"/>
      <c r="E7" s="69"/>
      <c r="F7" s="69"/>
      <c r="G7" s="69"/>
      <c r="H7" s="69"/>
      <c r="I7" s="69"/>
      <c r="J7" s="341">
        <f t="shared" ref="J7:N7" si="1">YEAR(J5)</f>
        <v>2019</v>
      </c>
      <c r="K7" s="341">
        <f t="shared" si="1"/>
        <v>2020</v>
      </c>
      <c r="L7" s="341">
        <f t="shared" si="1"/>
        <v>2021</v>
      </c>
      <c r="M7" s="341">
        <f t="shared" si="1"/>
        <v>2022</v>
      </c>
      <c r="N7" s="341">
        <f t="shared" si="1"/>
        <v>2023</v>
      </c>
    </row>
    <row r="8" spans="1:14" s="10" customFormat="1" collapsed="1" x14ac:dyDescent="0.2"/>
    <row r="9" spans="1:14" s="10" customFormat="1" x14ac:dyDescent="0.2">
      <c r="A9" s="12" t="s">
        <v>125</v>
      </c>
      <c r="B9" s="13" t="str">
        <f>HL_TOP_ACTV_6_Name&amp;" "&amp;Lang_Name</f>
        <v>Other Activity #1 - (Recurrent Costs Only) (Not in Use) Name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1:14" s="10" customFormat="1" x14ac:dyDescent="0.2"/>
    <row r="11" spans="1:14" s="10" customFormat="1" x14ac:dyDescent="0.2">
      <c r="D11" s="55" t="str">
        <f>Lang_Other_Activity_Name_Recurrent_Cost_Activity_Only</f>
        <v>Other Activity Name (Recurrent Cost Activity Only)</v>
      </c>
    </row>
    <row r="12" spans="1:14" s="10" customFormat="1" x14ac:dyDescent="0.2">
      <c r="D12" s="75" t="s">
        <v>589</v>
      </c>
    </row>
    <row r="13" spans="1:14" s="10" customFormat="1" x14ac:dyDescent="0.2"/>
    <row r="14" spans="1:14" s="10" customFormat="1" x14ac:dyDescent="0.2">
      <c r="A14" s="12" t="s">
        <v>125</v>
      </c>
      <c r="B14" s="13" t="str">
        <f>HL_TOP_ACTV_6_Name&amp;" "&amp;Lang_Single_Activity_Cost_Annual_Assumptions_Projected_Or_Retrospective</f>
        <v>Other Activity #1 - (Recurrent Costs Only) (Not in Use) Single Activity Cost - Annual Assumptions (Projected or Retrospective)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</row>
    <row r="15" spans="1:14" s="10" customFormat="1" x14ac:dyDescent="0.2"/>
    <row r="16" spans="1:14" s="10" customFormat="1" x14ac:dyDescent="0.2">
      <c r="D16" s="50" t="str">
        <f>Lang_Select_Input_Currency</f>
        <v>Select Input Currency</v>
      </c>
      <c r="E16" s="72">
        <v>1</v>
      </c>
    </row>
    <row r="17" spans="3:14" s="10" customFormat="1" x14ac:dyDescent="0.2"/>
    <row r="18" spans="3:14" s="10" customFormat="1" x14ac:dyDescent="0.2">
      <c r="D18" s="50" t="str">
        <f>Lang_Select_Costing_Input_Method</f>
        <v>Select Costing Input Method</v>
      </c>
      <c r="E18" s="72">
        <v>2</v>
      </c>
    </row>
    <row r="19" spans="3:14" s="10" customFormat="1" x14ac:dyDescent="0.2">
      <c r="E19" s="76" t="str">
        <f>Lang_GoTo&amp;" "&amp;HL_TOP_ACTV_6_Detailed_Costing_Worksheet</f>
        <v>Go to Other Activity #1 - (Recurrent Costs Only) (Not in Use) -  Detailed Activity Costing Worksheet - Instructions</v>
      </c>
    </row>
    <row r="20" spans="3:14" s="10" customFormat="1" x14ac:dyDescent="0.2">
      <c r="C20" s="55" t="s">
        <v>208</v>
      </c>
      <c r="D20" s="74" t="str">
        <f>Lang_Detailed_Costing_Worksheet_Estimate</f>
        <v>Detailed Costing Worksheet Estimate</v>
      </c>
    </row>
    <row r="21" spans="3:14" s="10" customFormat="1" x14ac:dyDescent="0.2">
      <c r="F21" s="366" t="str">
        <f>OTHER_Lu!$D$13</f>
        <v>LCU</v>
      </c>
      <c r="G21" s="366" t="str">
        <f>OTHER_Lu!$D$12</f>
        <v>USD</v>
      </c>
      <c r="J21" s="366" t="str">
        <f ca="1">OFFSET(OTHER_Lu!$D$11,DD_TOP_ACTV_6_Annual_Currency_Used,0)</f>
        <v>USD</v>
      </c>
      <c r="K21" s="366" t="str">
        <f ca="1">OFFSET(OTHER_Lu!$D$11,DD_TOP_ACTV_6_Annual_Currency_Used,0)</f>
        <v>USD</v>
      </c>
      <c r="L21" s="366" t="str">
        <f ca="1">OFFSET(OTHER_Lu!$D$11,DD_TOP_ACTV_6_Annual_Currency_Used,0)</f>
        <v>USD</v>
      </c>
      <c r="M21" s="366" t="str">
        <f ca="1">OFFSET(OTHER_Lu!$D$11,DD_TOP_ACTV_6_Annual_Currency_Used,0)</f>
        <v>USD</v>
      </c>
      <c r="N21" s="366" t="str">
        <f ca="1">OFFSET(OTHER_Lu!$D$11,DD_TOP_ACTV_6_Annual_Currency_Used,0)</f>
        <v>USD</v>
      </c>
    </row>
    <row r="22" spans="3:14" s="10" customFormat="1" x14ac:dyDescent="0.2">
      <c r="D22" s="53" t="str">
        <f>OTHER_Lu!$D$32&amp;" "&amp;Lang_Cost_Of_A_Single&amp;" "&amp;OTHER!$D$12&amp;" "&amp;Lang_Activity</f>
        <v>Financial Cost of a Single Other Activity #1 - (Recurrent Costs Only) (Not in Use) Activity</v>
      </c>
      <c r="F22" s="41">
        <f>COSTS_DETAILED_SUMMARY!E526</f>
        <v>0</v>
      </c>
      <c r="G22" s="116">
        <f>COSTS_DETAILED_SUMMARY!G526</f>
        <v>0</v>
      </c>
      <c r="J22" s="79">
        <f>IF(DD_TOP_ACTV_6_Annual_Currency_Used=2,COSTS_DETAILED_SUMMARY!$E526,COSTS_DETAILED_SUMMARY!$G526)</f>
        <v>0</v>
      </c>
      <c r="K22" s="79">
        <f>IF(DD_TOP_ACTV_6_Annual_Currency_Used=2,COSTS_DETAILED_SUMMARY!$E526,COSTS_DETAILED_SUMMARY!$G526)</f>
        <v>0</v>
      </c>
      <c r="L22" s="79">
        <f>IF(DD_TOP_ACTV_6_Annual_Currency_Used=2,COSTS_DETAILED_SUMMARY!$E526,COSTS_DETAILED_SUMMARY!$G526)</f>
        <v>0</v>
      </c>
      <c r="M22" s="79">
        <f>IF(DD_TOP_ACTV_6_Annual_Currency_Used=2,COSTS_DETAILED_SUMMARY!$E526,COSTS_DETAILED_SUMMARY!$G526)</f>
        <v>0</v>
      </c>
      <c r="N22" s="79">
        <f>IF(DD_TOP_ACTV_6_Annual_Currency_Used=2,COSTS_DETAILED_SUMMARY!$E526,COSTS_DETAILED_SUMMARY!$G526)</f>
        <v>0</v>
      </c>
    </row>
    <row r="23" spans="3:14" s="10" customFormat="1" x14ac:dyDescent="0.2">
      <c r="D23" s="53" t="str">
        <f>OTHER_Lu!$D$33&amp;" "&amp;Lang_Cost_Of_A_Single&amp;" "&amp;OTHER!$D$12&amp;" "&amp;Lang_Activity</f>
        <v>Economic Cost of a Single Other Activity #1 - (Recurrent Costs Only) (Not in Use) Activity</v>
      </c>
      <c r="F23" s="41">
        <f>COSTS_DETAILED_SUMMARY!F526</f>
        <v>0</v>
      </c>
      <c r="G23" s="116">
        <f>COSTS_DETAILED_SUMMARY!H526</f>
        <v>0</v>
      </c>
      <c r="J23" s="79">
        <f>IF(DD_TOP_ACTV_6_Annual_Currency_Used=2,COSTS_DETAILED_SUMMARY!$F526,COSTS_DETAILED_SUMMARY!$H526)</f>
        <v>0</v>
      </c>
      <c r="K23" s="79">
        <f>IF(DD_TOP_ACTV_6_Annual_Currency_Used=2,COSTS_DETAILED_SUMMARY!$F526,COSTS_DETAILED_SUMMARY!$H526)</f>
        <v>0</v>
      </c>
      <c r="L23" s="79">
        <f>IF(DD_TOP_ACTV_6_Annual_Currency_Used=2,COSTS_DETAILED_SUMMARY!$F526,COSTS_DETAILED_SUMMARY!$H526)</f>
        <v>0</v>
      </c>
      <c r="M23" s="79">
        <f>IF(DD_TOP_ACTV_6_Annual_Currency_Used=2,COSTS_DETAILED_SUMMARY!$F526,COSTS_DETAILED_SUMMARY!$H526)</f>
        <v>0</v>
      </c>
      <c r="N23" s="79">
        <f>IF(DD_TOP_ACTV_6_Annual_Currency_Used=2,COSTS_DETAILED_SUMMARY!$F526,COSTS_DETAILED_SUMMARY!$H526)</f>
        <v>0</v>
      </c>
    </row>
    <row r="24" spans="3:14" s="10" customFormat="1" x14ac:dyDescent="0.2"/>
    <row r="25" spans="3:14" s="10" customFormat="1" x14ac:dyDescent="0.2"/>
    <row r="26" spans="3:14" s="10" customFormat="1" x14ac:dyDescent="0.2">
      <c r="C26" s="55" t="s">
        <v>210</v>
      </c>
      <c r="D26" s="74" t="str">
        <f>Lang_Direct_User_Entry_Cost_Estimate</f>
        <v>Direct User Entry Cost Estimate</v>
      </c>
      <c r="J26" s="366" t="str">
        <f ca="1">OFFSET(OTHER_Lu!$D$11,DD_TOP_ACTV_6_Annual_Currency_Used,0)</f>
        <v>USD</v>
      </c>
      <c r="K26" s="366" t="str">
        <f ca="1">OFFSET(OTHER_Lu!$D$11,DD_TOP_ACTV_6_Annual_Currency_Used,0)</f>
        <v>USD</v>
      </c>
      <c r="L26" s="366" t="str">
        <f ca="1">OFFSET(OTHER_Lu!$D$11,DD_TOP_ACTV_6_Annual_Currency_Used,0)</f>
        <v>USD</v>
      </c>
      <c r="M26" s="366" t="str">
        <f ca="1">OFFSET(OTHER_Lu!$D$11,DD_TOP_ACTV_6_Annual_Currency_Used,0)</f>
        <v>USD</v>
      </c>
      <c r="N26" s="366" t="str">
        <f ca="1">OFFSET(OTHER_Lu!$D$11,DD_TOP_ACTV_6_Annual_Currency_Used,0)</f>
        <v>USD</v>
      </c>
    </row>
    <row r="27" spans="3:14" s="10" customFormat="1" x14ac:dyDescent="0.2">
      <c r="D27" s="53" t="str">
        <f>OTHER_Lu!$D$32&amp;" "&amp;Lang_Cost_Of_A_Single&amp;" "&amp;OTHER!$D$12&amp;" "&amp;Lang_Activity</f>
        <v>Financial Cost of a Single Other Activity #1 - (Recurrent Costs Only) (Not in Use) Activity</v>
      </c>
      <c r="J27" s="80">
        <v>0</v>
      </c>
      <c r="K27" s="80">
        <v>0</v>
      </c>
      <c r="L27" s="80">
        <v>0</v>
      </c>
      <c r="M27" s="80">
        <v>0</v>
      </c>
      <c r="N27" s="80">
        <v>0</v>
      </c>
    </row>
    <row r="28" spans="3:14" s="10" customFormat="1" x14ac:dyDescent="0.2">
      <c r="D28" s="53" t="str">
        <f>OTHER_Lu!$D$33&amp;" "&amp;Lang_Cost_Of_A_Single&amp;" "&amp;OTHER!$D$12&amp;" "&amp;Lang_Activity</f>
        <v>Economic Cost of a Single Other Activity #1 - (Recurrent Costs Only) (Not in Use) Activity</v>
      </c>
      <c r="J28" s="80">
        <v>0</v>
      </c>
      <c r="K28" s="80">
        <v>0</v>
      </c>
      <c r="L28" s="80">
        <v>0</v>
      </c>
      <c r="M28" s="80">
        <v>0</v>
      </c>
      <c r="N28" s="80">
        <v>0</v>
      </c>
    </row>
    <row r="29" spans="3:14" s="10" customFormat="1" x14ac:dyDescent="0.2">
      <c r="D29" s="55" t="str">
        <f>Lang_Error_Check_Checks_If_Override_Input_economic_Cost_Is_Less_Than_Financial_Cost</f>
        <v>ERROR CHECK (CHECKS IF OVERRIDE INPUT ECONOMIC COST IS LESS THAN FINANCIAL COST)</v>
      </c>
      <c r="H29" s="145">
        <f>IF(ISERROR(SUM(J29:N29)),1,MIN(SUM(J29:N29),1))</f>
        <v>0</v>
      </c>
      <c r="J29" s="42">
        <f t="shared" ref="J29:N29" si="2">IF(J28&lt;J27,1,0)</f>
        <v>0</v>
      </c>
      <c r="K29" s="42">
        <f t="shared" si="2"/>
        <v>0</v>
      </c>
      <c r="L29" s="42">
        <f t="shared" si="2"/>
        <v>0</v>
      </c>
      <c r="M29" s="42">
        <f t="shared" si="2"/>
        <v>0</v>
      </c>
      <c r="N29" s="42">
        <f t="shared" si="2"/>
        <v>0</v>
      </c>
    </row>
    <row r="30" spans="3:14" x14ac:dyDescent="0.2"/>
    <row r="31" spans="3:14" x14ac:dyDescent="0.2">
      <c r="D31" s="48" t="str">
        <f>Lang_Source_Of_Information_Notes</f>
        <v>Notes and Sources of Information</v>
      </c>
    </row>
    <row r="32" spans="3:14" x14ac:dyDescent="0.2">
      <c r="D32" s="482" t="s">
        <v>596</v>
      </c>
      <c r="E32" s="482"/>
    </row>
    <row r="33" spans="1:18" x14ac:dyDescent="0.2">
      <c r="D33" s="482" t="s">
        <v>596</v>
      </c>
      <c r="E33" s="482"/>
      <c r="R33" s="10" t="s">
        <v>39</v>
      </c>
    </row>
    <row r="34" spans="1:18" x14ac:dyDescent="0.2">
      <c r="D34" s="482" t="s">
        <v>596</v>
      </c>
      <c r="E34" s="482"/>
    </row>
    <row r="35" spans="1:18" s="10" customFormat="1" x14ac:dyDescent="0.2"/>
    <row r="36" spans="1:18" s="10" customFormat="1" x14ac:dyDescent="0.2">
      <c r="A36" s="12" t="s">
        <v>125</v>
      </c>
      <c r="B36" s="13" t="str">
        <f>Lang_Number_Of&amp;" "&amp;$D$12&amp;" "&amp;Lang_Activities_Annual_Assumptions_Projected_Or_Retrospective</f>
        <v>Number of Other Activity #1 - (Recurrent Costs Only) (Not in Use) Activities - Annual Assumptions (Projected or Retrospective)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</row>
    <row r="37" spans="1:18" s="10" customFormat="1" x14ac:dyDescent="0.2"/>
    <row r="38" spans="1:18" s="10" customFormat="1" x14ac:dyDescent="0.2">
      <c r="D38" s="105" t="str">
        <f>$D$12&amp;" - "&amp;Lang_Number_Of_Activities_Per_Year&amp;" ("&amp;Lang_Projected_Or_Retrospective&amp;")"</f>
        <v>Other Activity #1 - (Recurrent Costs Only) (Not in Use) - Number of Activities per Year (Projected or Retrospective)</v>
      </c>
      <c r="J38" s="80">
        <v>0</v>
      </c>
      <c r="K38" s="80">
        <v>0</v>
      </c>
      <c r="L38" s="80">
        <v>0</v>
      </c>
      <c r="M38" s="80">
        <v>0</v>
      </c>
      <c r="N38" s="80">
        <v>0</v>
      </c>
    </row>
    <row r="39" spans="1:18" s="10" customFormat="1" x14ac:dyDescent="0.2"/>
    <row r="40" spans="1:18" s="10" customFormat="1" x14ac:dyDescent="0.2"/>
    <row r="41" spans="1:18" s="10" customFormat="1" x14ac:dyDescent="0.2">
      <c r="D41" s="76" t="str">
        <f>Lang_GoTo&amp;" "&amp;HL_TOP_ACTV_6_Activity_Summary_Costs_Annual</f>
        <v>Go to Other Activity #1 - (Recurrent Costs Only) (Not in Use) - Summary Costs (Annual)</v>
      </c>
    </row>
    <row r="42" spans="1:18" s="10" customFormat="1" x14ac:dyDescent="0.2"/>
    <row r="43" spans="1:18" s="10" customFormat="1" x14ac:dyDescent="0.2">
      <c r="A43" s="12" t="s">
        <v>125</v>
      </c>
      <c r="B43" s="13" t="str">
        <f>HL_TOP_ACTV_20_Name&amp;" "&amp;Lang_Name</f>
        <v>Other Activity #2 - (Recurrent Costs Only) (Not in Use) Name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</row>
    <row r="44" spans="1:18" s="10" customFormat="1" x14ac:dyDescent="0.2"/>
    <row r="45" spans="1:18" s="10" customFormat="1" x14ac:dyDescent="0.2">
      <c r="D45" s="55" t="str">
        <f>Lang_Other_Activity_Name_Recurrent_Cost_Activity_Only</f>
        <v>Other Activity Name (Recurrent Cost Activity Only)</v>
      </c>
    </row>
    <row r="46" spans="1:18" s="10" customFormat="1" x14ac:dyDescent="0.2">
      <c r="D46" s="75" t="s">
        <v>590</v>
      </c>
    </row>
    <row r="47" spans="1:18" s="10" customFormat="1" x14ac:dyDescent="0.2"/>
    <row r="48" spans="1:18" s="10" customFormat="1" x14ac:dyDescent="0.2">
      <c r="A48" s="12" t="s">
        <v>125</v>
      </c>
      <c r="B48" s="13" t="str">
        <f>HL_TOP_ACTV_20_Name&amp;" "&amp;Lang_Single_Activity_Cost_Annual_Assumptions_Projected_Or_Retrospective</f>
        <v>Other Activity #2 - (Recurrent Costs Only) (Not in Use) Single Activity Cost - Annual Assumptions (Projected or Retrospective)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</row>
    <row r="49" spans="3:14" s="10" customFormat="1" x14ac:dyDescent="0.2"/>
    <row r="50" spans="3:14" s="10" customFormat="1" x14ac:dyDescent="0.2">
      <c r="D50" s="50" t="str">
        <f>Lang_Select_Input_Currency</f>
        <v>Select Input Currency</v>
      </c>
      <c r="E50" s="72">
        <v>1</v>
      </c>
    </row>
    <row r="51" spans="3:14" s="10" customFormat="1" x14ac:dyDescent="0.2"/>
    <row r="52" spans="3:14" s="10" customFormat="1" x14ac:dyDescent="0.2">
      <c r="D52" s="50" t="str">
        <f>Lang_Select_Costing_Input_Method</f>
        <v>Select Costing Input Method</v>
      </c>
      <c r="E52" s="72">
        <v>2</v>
      </c>
    </row>
    <row r="53" spans="3:14" s="10" customFormat="1" x14ac:dyDescent="0.2">
      <c r="E53" s="76" t="str">
        <f>Lang_GoTo&amp;" "&amp;HL_TOP_ACTV_20_Detailed_Costing_Worksheet</f>
        <v>Go to Other Activity #2 - (Recurrent Costs Only) (Not in Use) -  Detailed Activity Costing Worksheet</v>
      </c>
    </row>
    <row r="54" spans="3:14" s="10" customFormat="1" x14ac:dyDescent="0.2">
      <c r="C54" s="55" t="s">
        <v>208</v>
      </c>
      <c r="D54" s="74" t="str">
        <f>Lang_Detailed_Costing_Worksheet_Estimate</f>
        <v>Detailed Costing Worksheet Estimate</v>
      </c>
    </row>
    <row r="55" spans="3:14" s="10" customFormat="1" x14ac:dyDescent="0.2">
      <c r="F55" s="366" t="str">
        <f>OTHER_Lu!$D$48</f>
        <v>LCU</v>
      </c>
      <c r="G55" s="366" t="str">
        <f>OTHER_Lu!$D$47</f>
        <v>USD</v>
      </c>
      <c r="J55" s="366" t="str">
        <f ca="1">OFFSET(OTHER_Lu!$D$46,DD_TOP_ACTV_20_Annual_Currency_Used,0)</f>
        <v>USD</v>
      </c>
      <c r="K55" s="366" t="str">
        <f ca="1">OFFSET(OTHER_Lu!$D$46,DD_TOP_ACTV_20_Annual_Currency_Used,0)</f>
        <v>USD</v>
      </c>
      <c r="L55" s="366" t="str">
        <f ca="1">OFFSET(OTHER_Lu!$D$46,DD_TOP_ACTV_20_Annual_Currency_Used,0)</f>
        <v>USD</v>
      </c>
      <c r="M55" s="366" t="str">
        <f ca="1">OFFSET(OTHER_Lu!$D$46,DD_TOP_ACTV_20_Annual_Currency_Used,0)</f>
        <v>USD</v>
      </c>
      <c r="N55" s="366" t="str">
        <f ca="1">OFFSET(OTHER_Lu!$D$46,DD_TOP_ACTV_20_Annual_Currency_Used,0)</f>
        <v>USD</v>
      </c>
    </row>
    <row r="56" spans="3:14" s="10" customFormat="1" x14ac:dyDescent="0.2">
      <c r="D56" s="53" t="str">
        <f>OTHER_Lu!$D$67&amp;" "&amp;Lang_Cost_Of_A_Single&amp;" "&amp;$D$46&amp;" "&amp;Lang_Activity</f>
        <v>Financial Cost of a Single Other Activity #2 - (Recurrent Costs Only) (Not in Use) Activity</v>
      </c>
      <c r="F56" s="41">
        <f>COSTS_DETAILED_SUMMARY!E541</f>
        <v>0</v>
      </c>
      <c r="G56" s="116">
        <f>COSTS_DETAILED_SUMMARY!G541</f>
        <v>0</v>
      </c>
      <c r="J56" s="79">
        <f>IF(DD_TOP_ACTV_20_Annual_Currency_Used=2,COSTS_DETAILED_SUMMARY!$E541,COSTS_DETAILED_SUMMARY!$G541)</f>
        <v>0</v>
      </c>
      <c r="K56" s="79">
        <f>IF(DD_TOP_ACTV_20_Annual_Currency_Used=2,COSTS_DETAILED_SUMMARY!$E541,COSTS_DETAILED_SUMMARY!$G541)</f>
        <v>0</v>
      </c>
      <c r="L56" s="79">
        <f>IF(DD_TOP_ACTV_20_Annual_Currency_Used=2,COSTS_DETAILED_SUMMARY!$E541,COSTS_DETAILED_SUMMARY!$G541)</f>
        <v>0</v>
      </c>
      <c r="M56" s="79">
        <f>IF(DD_TOP_ACTV_20_Annual_Currency_Used=2,COSTS_DETAILED_SUMMARY!$E541,COSTS_DETAILED_SUMMARY!$G541)</f>
        <v>0</v>
      </c>
      <c r="N56" s="79">
        <f>IF(DD_TOP_ACTV_20_Annual_Currency_Used=2,COSTS_DETAILED_SUMMARY!$E541,COSTS_DETAILED_SUMMARY!$G541)</f>
        <v>0</v>
      </c>
    </row>
    <row r="57" spans="3:14" s="10" customFormat="1" x14ac:dyDescent="0.2">
      <c r="D57" s="53" t="str">
        <f>OTHER_Lu!$D$68&amp;" "&amp;Lang_Cost_Of_A_Single&amp;" "&amp;$D$46&amp;" "&amp;Lang_Activity</f>
        <v>Economic Cost of a Single Other Activity #2 - (Recurrent Costs Only) (Not in Use) Activity</v>
      </c>
      <c r="F57" s="41">
        <f>COSTS_DETAILED_SUMMARY!F541</f>
        <v>0</v>
      </c>
      <c r="G57" s="116">
        <f>COSTS_DETAILED_SUMMARY!H541</f>
        <v>0</v>
      </c>
      <c r="J57" s="79">
        <f>IF(DD_TOP_ACTV_20_Annual_Currency_Used=2,COSTS_DETAILED_SUMMARY!$F541,COSTS_DETAILED_SUMMARY!$H541)</f>
        <v>0</v>
      </c>
      <c r="K57" s="79">
        <f>IF(DD_TOP_ACTV_20_Annual_Currency_Used=2,COSTS_DETAILED_SUMMARY!$F541,COSTS_DETAILED_SUMMARY!$H541)</f>
        <v>0</v>
      </c>
      <c r="L57" s="79">
        <f>IF(DD_TOP_ACTV_20_Annual_Currency_Used=2,COSTS_DETAILED_SUMMARY!$F541,COSTS_DETAILED_SUMMARY!$H541)</f>
        <v>0</v>
      </c>
      <c r="M57" s="79">
        <f>IF(DD_TOP_ACTV_20_Annual_Currency_Used=2,COSTS_DETAILED_SUMMARY!$F541,COSTS_DETAILED_SUMMARY!$H541)</f>
        <v>0</v>
      </c>
      <c r="N57" s="79">
        <f>IF(DD_TOP_ACTV_20_Annual_Currency_Used=2,COSTS_DETAILED_SUMMARY!$F541,COSTS_DETAILED_SUMMARY!$H541)</f>
        <v>0</v>
      </c>
    </row>
    <row r="58" spans="3:14" s="10" customFormat="1" x14ac:dyDescent="0.2"/>
    <row r="59" spans="3:14" s="10" customFormat="1" x14ac:dyDescent="0.2"/>
    <row r="60" spans="3:14" s="10" customFormat="1" x14ac:dyDescent="0.2">
      <c r="C60" s="55" t="s">
        <v>210</v>
      </c>
      <c r="D60" s="74" t="str">
        <f>Lang_Direct_User_Entry_Cost_Estimate</f>
        <v>Direct User Entry Cost Estimate</v>
      </c>
      <c r="J60" s="366" t="str">
        <f ca="1">OFFSET(OTHER_Lu!$D$46,DD_TOP_ACTV_20_Annual_Currency_Used,0)</f>
        <v>USD</v>
      </c>
      <c r="K60" s="366" t="str">
        <f ca="1">OFFSET(OTHER_Lu!$D$46,DD_TOP_ACTV_20_Annual_Currency_Used,0)</f>
        <v>USD</v>
      </c>
      <c r="L60" s="366" t="str">
        <f ca="1">OFFSET(OTHER_Lu!$D$46,DD_TOP_ACTV_20_Annual_Currency_Used,0)</f>
        <v>USD</v>
      </c>
      <c r="M60" s="366" t="str">
        <f ca="1">OFFSET(OTHER_Lu!$D$46,DD_TOP_ACTV_20_Annual_Currency_Used,0)</f>
        <v>USD</v>
      </c>
      <c r="N60" s="366" t="str">
        <f ca="1">OFFSET(OTHER_Lu!$D$46,DD_TOP_ACTV_20_Annual_Currency_Used,0)</f>
        <v>USD</v>
      </c>
    </row>
    <row r="61" spans="3:14" s="10" customFormat="1" x14ac:dyDescent="0.2">
      <c r="D61" s="53" t="str">
        <f>OTHER_Lu!$D$67&amp;" "&amp;Lang_Cost_Of_A_Single&amp;" "&amp;$D$46&amp;" "&amp;Lang_Activity</f>
        <v>Financial Cost of a Single Other Activity #2 - (Recurrent Costs Only) (Not in Use) Activity</v>
      </c>
      <c r="J61" s="80">
        <v>0</v>
      </c>
      <c r="K61" s="80">
        <v>0</v>
      </c>
      <c r="L61" s="80">
        <v>0</v>
      </c>
      <c r="M61" s="80">
        <v>0</v>
      </c>
      <c r="N61" s="80">
        <v>0</v>
      </c>
    </row>
    <row r="62" spans="3:14" s="10" customFormat="1" x14ac:dyDescent="0.2">
      <c r="D62" s="53" t="str">
        <f>OTHER_Lu!$D$68&amp;" "&amp;Lang_Cost_Of_A_Single&amp;" "&amp;$D$46&amp;" "&amp;Lang_Activity</f>
        <v>Economic Cost of a Single Other Activity #2 - (Recurrent Costs Only) (Not in Use) Activity</v>
      </c>
      <c r="J62" s="80">
        <v>0</v>
      </c>
      <c r="K62" s="80">
        <v>0</v>
      </c>
      <c r="L62" s="80">
        <v>0</v>
      </c>
      <c r="M62" s="80">
        <v>0</v>
      </c>
      <c r="N62" s="80">
        <v>0</v>
      </c>
    </row>
    <row r="63" spans="3:14" s="10" customFormat="1" x14ac:dyDescent="0.2">
      <c r="D63" s="55" t="str">
        <f>Lang_Error_Check_Checks_If_Override_Input_economic_Cost_Is_Less_Than_Financial_Cost</f>
        <v>ERROR CHECK (CHECKS IF OVERRIDE INPUT ECONOMIC COST IS LESS THAN FINANCIAL COST)</v>
      </c>
      <c r="H63" s="145">
        <f>IF(ISERROR(SUM(J63:N63)),1,MIN(SUM(J63:N63),1))</f>
        <v>0</v>
      </c>
      <c r="J63" s="42">
        <f t="shared" ref="J63:N63" si="3">IF(J62&lt;J61,1,0)</f>
        <v>0</v>
      </c>
      <c r="K63" s="42">
        <f t="shared" si="3"/>
        <v>0</v>
      </c>
      <c r="L63" s="42">
        <f t="shared" si="3"/>
        <v>0</v>
      </c>
      <c r="M63" s="42">
        <f t="shared" si="3"/>
        <v>0</v>
      </c>
      <c r="N63" s="42">
        <f t="shared" si="3"/>
        <v>0</v>
      </c>
    </row>
    <row r="64" spans="3:14" x14ac:dyDescent="0.2"/>
    <row r="65" spans="1:14" x14ac:dyDescent="0.2">
      <c r="D65" s="48" t="str">
        <f>Lang_Source_Of_Information_Notes</f>
        <v>Notes and Sources of Information</v>
      </c>
    </row>
    <row r="66" spans="1:14" x14ac:dyDescent="0.2">
      <c r="D66" s="482" t="s">
        <v>596</v>
      </c>
      <c r="E66" s="482"/>
    </row>
    <row r="67" spans="1:14" x14ac:dyDescent="0.2">
      <c r="D67" s="482" t="s">
        <v>596</v>
      </c>
      <c r="E67" s="482"/>
    </row>
    <row r="68" spans="1:14" x14ac:dyDescent="0.2">
      <c r="D68" s="482" t="s">
        <v>596</v>
      </c>
      <c r="E68" s="482"/>
    </row>
    <row r="69" spans="1:14" x14ac:dyDescent="0.2"/>
    <row r="70" spans="1:14" s="10" customFormat="1" x14ac:dyDescent="0.2"/>
    <row r="71" spans="1:14" s="10" customFormat="1" x14ac:dyDescent="0.2">
      <c r="A71" s="12" t="s">
        <v>125</v>
      </c>
      <c r="B71" s="13" t="str">
        <f>Lang_Number_Of&amp;" "&amp;$D$46&amp;" "&amp;Lang_Activities_Annual_Assumptions_Projected_Or_Retrospective</f>
        <v>Number of Other Activity #2 - (Recurrent Costs Only) (Not in Use) Activities - Annual Assumptions (Projected or Retrospective)</v>
      </c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</row>
    <row r="72" spans="1:14" s="10" customFormat="1" x14ac:dyDescent="0.2"/>
    <row r="73" spans="1:14" s="10" customFormat="1" x14ac:dyDescent="0.2">
      <c r="D73" s="105" t="str">
        <f>$D$46&amp;" - "&amp;Lang_Number_Of_Activities_Per_Year&amp;" ("&amp;Lang_Projected_Or_Retrospective&amp;")"</f>
        <v>Other Activity #2 - (Recurrent Costs Only) (Not in Use) - Number of Activities per Year (Projected or Retrospective)</v>
      </c>
      <c r="J73" s="80">
        <v>0</v>
      </c>
      <c r="K73" s="80">
        <v>0</v>
      </c>
      <c r="L73" s="80">
        <v>0</v>
      </c>
      <c r="M73" s="80">
        <v>0</v>
      </c>
      <c r="N73" s="80">
        <v>0</v>
      </c>
    </row>
    <row r="74" spans="1:14" s="10" customFormat="1" x14ac:dyDescent="0.2"/>
    <row r="75" spans="1:14" s="10" customFormat="1" x14ac:dyDescent="0.2"/>
    <row r="76" spans="1:14" s="10" customFormat="1" x14ac:dyDescent="0.2">
      <c r="D76" s="76" t="str">
        <f>Lang_GoTo&amp;" "&amp;HL_TOP_ACTV_20_Activity_Summary_Costs_Annual</f>
        <v>Go to Other Activity #2 - (Recurrent Costs Only) (Not in Use) - Summary Costs (Annual)</v>
      </c>
    </row>
    <row r="77" spans="1:14" s="10" customFormat="1" x14ac:dyDescent="0.2"/>
    <row r="78" spans="1:14" s="10" customFormat="1" x14ac:dyDescent="0.2">
      <c r="A78" s="12" t="s">
        <v>125</v>
      </c>
      <c r="B78" s="13" t="str">
        <f>HL_TOP_ACTV_19_Name&amp;" "&amp;Lang_Name</f>
        <v>Other Activity #3 - (Recurrent Costs Only) (Not in Use) Name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</row>
    <row r="79" spans="1:14" s="10" customFormat="1" x14ac:dyDescent="0.2"/>
    <row r="80" spans="1:14" s="10" customFormat="1" x14ac:dyDescent="0.2">
      <c r="D80" s="55" t="str">
        <f>Lang_Other_Activity_Name_Recurrent_Cost_Activity_Only</f>
        <v>Other Activity Name (Recurrent Cost Activity Only)</v>
      </c>
    </row>
    <row r="81" spans="1:14" s="10" customFormat="1" x14ac:dyDescent="0.2">
      <c r="D81" s="75" t="s">
        <v>591</v>
      </c>
    </row>
    <row r="82" spans="1:14" s="10" customFormat="1" x14ac:dyDescent="0.2"/>
    <row r="83" spans="1:14" s="10" customFormat="1" x14ac:dyDescent="0.2">
      <c r="A83" s="12" t="s">
        <v>125</v>
      </c>
      <c r="B83" s="13" t="str">
        <f>HL_TOP_ACTV_19_Name&amp;" "&amp;Lang_Single_Activity_Cost_Annual_Assumptions_Projected_Or_Retrospective</f>
        <v>Other Activity #3 - (Recurrent Costs Only) (Not in Use) Single Activity Cost - Annual Assumptions (Projected or Retrospective)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</row>
    <row r="84" spans="1:14" s="10" customFormat="1" x14ac:dyDescent="0.2"/>
    <row r="85" spans="1:14" s="10" customFormat="1" x14ac:dyDescent="0.2">
      <c r="D85" s="50" t="str">
        <f>Lang_Select_Input_Currency</f>
        <v>Select Input Currency</v>
      </c>
      <c r="E85" s="72">
        <v>1</v>
      </c>
    </row>
    <row r="86" spans="1:14" s="10" customFormat="1" x14ac:dyDescent="0.2"/>
    <row r="87" spans="1:14" s="10" customFormat="1" x14ac:dyDescent="0.2">
      <c r="D87" s="50" t="str">
        <f>Lang_Select_Costing_Input_Method</f>
        <v>Select Costing Input Method</v>
      </c>
      <c r="E87" s="72">
        <v>2</v>
      </c>
    </row>
    <row r="88" spans="1:14" s="10" customFormat="1" x14ac:dyDescent="0.2">
      <c r="E88" s="76" t="str">
        <f>Lang_GoTo&amp;" "&amp;HL_TOP_ACTV_19_Detailed_Costing_Worksheet</f>
        <v>Go to Other Activity #3 - (Recurrent Costs Only) (Not in Use) -  Detailed Activity Costing Worksheet - Instructions</v>
      </c>
    </row>
    <row r="89" spans="1:14" s="10" customFormat="1" x14ac:dyDescent="0.2">
      <c r="C89" s="55" t="s">
        <v>208</v>
      </c>
      <c r="D89" s="74" t="str">
        <f>Lang_Detailed_Costing_Worksheet_Estimate</f>
        <v>Detailed Costing Worksheet Estimate</v>
      </c>
    </row>
    <row r="90" spans="1:14" s="10" customFormat="1" x14ac:dyDescent="0.2">
      <c r="F90" s="366" t="str">
        <f>OTHER_Lu!$D$83</f>
        <v>LCU</v>
      </c>
      <c r="G90" s="366" t="str">
        <f>OTHER_Lu!$D$82</f>
        <v>USD</v>
      </c>
      <c r="J90" s="366" t="str">
        <f ca="1">OFFSET(OTHER_Lu!$D$81,DD_TOP_ACTV_19_Annual_Currency_Used,0)</f>
        <v>USD</v>
      </c>
      <c r="K90" s="366" t="str">
        <f ca="1">OFFSET(OTHER_Lu!$D$81,DD_TOP_ACTV_19_Annual_Currency_Used,0)</f>
        <v>USD</v>
      </c>
      <c r="L90" s="366" t="str">
        <f ca="1">OFFSET(OTHER_Lu!$D$81,DD_TOP_ACTV_19_Annual_Currency_Used,0)</f>
        <v>USD</v>
      </c>
      <c r="M90" s="366" t="str">
        <f ca="1">OFFSET(OTHER_Lu!$D$81,DD_TOP_ACTV_19_Annual_Currency_Used,0)</f>
        <v>USD</v>
      </c>
      <c r="N90" s="366" t="str">
        <f ca="1">OFFSET(OTHER_Lu!$D$81,DD_TOP_ACTV_19_Annual_Currency_Used,0)</f>
        <v>USD</v>
      </c>
    </row>
    <row r="91" spans="1:14" s="10" customFormat="1" x14ac:dyDescent="0.2">
      <c r="D91" s="53" t="str">
        <f>OTHER_Lu!$D$102&amp;" "&amp;Lang_Cost_Of_A_Single&amp;" "&amp;$D$81&amp;" "&amp;Lang_Activity</f>
        <v>Financial Cost of a Single Other Activity #3 - (Recurrent Costs Only) (Not in Use) Activity</v>
      </c>
      <c r="F91" s="41">
        <f>COSTS_DETAILED_SUMMARY!E556</f>
        <v>0</v>
      </c>
      <c r="G91" s="116">
        <f>COSTS_DETAILED_SUMMARY!G556</f>
        <v>0</v>
      </c>
      <c r="J91" s="79">
        <f>IF(DD_TOP_ACTV_19_Annual_Currency_Used=2,COSTS_DETAILED_SUMMARY!$E556,COSTS_DETAILED_SUMMARY!$G556)</f>
        <v>0</v>
      </c>
      <c r="K91" s="79">
        <f>IF(DD_TOP_ACTV_19_Annual_Currency_Used=2,COSTS_DETAILED_SUMMARY!$E556,COSTS_DETAILED_SUMMARY!$G556)</f>
        <v>0</v>
      </c>
      <c r="L91" s="79">
        <f>IF(DD_TOP_ACTV_19_Annual_Currency_Used=2,COSTS_DETAILED_SUMMARY!$E556,COSTS_DETAILED_SUMMARY!$G556)</f>
        <v>0</v>
      </c>
      <c r="M91" s="79">
        <f>IF(DD_TOP_ACTV_19_Annual_Currency_Used=2,COSTS_DETAILED_SUMMARY!$E556,COSTS_DETAILED_SUMMARY!$G556)</f>
        <v>0</v>
      </c>
      <c r="N91" s="79">
        <f>IF(DD_TOP_ACTV_19_Annual_Currency_Used=2,COSTS_DETAILED_SUMMARY!$E556,COSTS_DETAILED_SUMMARY!$G556)</f>
        <v>0</v>
      </c>
    </row>
    <row r="92" spans="1:14" s="10" customFormat="1" x14ac:dyDescent="0.2">
      <c r="D92" s="53" t="str">
        <f>OTHER_Lu!$D$103&amp;" "&amp;Lang_Cost_Of_A_Single&amp;" "&amp;$D$81&amp;" "&amp;Lang_Activity</f>
        <v>Economic Cost of a Single Other Activity #3 - (Recurrent Costs Only) (Not in Use) Activity</v>
      </c>
      <c r="F92" s="41">
        <f>COSTS_DETAILED_SUMMARY!F556</f>
        <v>0</v>
      </c>
      <c r="G92" s="116">
        <f>COSTS_DETAILED_SUMMARY!H556</f>
        <v>0</v>
      </c>
      <c r="J92" s="79">
        <f>IF(DD_TOP_ACTV_19_Annual_Currency_Used=2,COSTS_DETAILED_SUMMARY!$F556,COSTS_DETAILED_SUMMARY!$H556)</f>
        <v>0</v>
      </c>
      <c r="K92" s="79">
        <f>IF(DD_TOP_ACTV_19_Annual_Currency_Used=2,COSTS_DETAILED_SUMMARY!$F556,COSTS_DETAILED_SUMMARY!$H556)</f>
        <v>0</v>
      </c>
      <c r="L92" s="79">
        <f>IF(DD_TOP_ACTV_19_Annual_Currency_Used=2,COSTS_DETAILED_SUMMARY!$F556,COSTS_DETAILED_SUMMARY!$H556)</f>
        <v>0</v>
      </c>
      <c r="M92" s="79">
        <f>IF(DD_TOP_ACTV_19_Annual_Currency_Used=2,COSTS_DETAILED_SUMMARY!$F556,COSTS_DETAILED_SUMMARY!$H556)</f>
        <v>0</v>
      </c>
      <c r="N92" s="79">
        <f>IF(DD_TOP_ACTV_19_Annual_Currency_Used=2,COSTS_DETAILED_SUMMARY!$F556,COSTS_DETAILED_SUMMARY!$H556)</f>
        <v>0</v>
      </c>
    </row>
    <row r="93" spans="1:14" s="10" customFormat="1" x14ac:dyDescent="0.2"/>
    <row r="94" spans="1:14" s="10" customFormat="1" x14ac:dyDescent="0.2"/>
    <row r="95" spans="1:14" s="10" customFormat="1" x14ac:dyDescent="0.2">
      <c r="C95" s="55" t="s">
        <v>210</v>
      </c>
      <c r="D95" s="74" t="str">
        <f>Lang_Direct_User_Entry_Cost_Estimate</f>
        <v>Direct User Entry Cost Estimate</v>
      </c>
      <c r="J95" s="366" t="str">
        <f ca="1">OFFSET(OTHER_Lu!$D$81,DD_TOP_ACTV_19_Annual_Currency_Used,0)</f>
        <v>USD</v>
      </c>
      <c r="K95" s="366" t="str">
        <f ca="1">OFFSET(OTHER_Lu!$D$81,DD_TOP_ACTV_19_Annual_Currency_Used,0)</f>
        <v>USD</v>
      </c>
      <c r="L95" s="366" t="str">
        <f ca="1">OFFSET(OTHER_Lu!$D$81,DD_TOP_ACTV_19_Annual_Currency_Used,0)</f>
        <v>USD</v>
      </c>
      <c r="M95" s="366" t="str">
        <f ca="1">OFFSET(OTHER_Lu!$D$81,DD_TOP_ACTV_19_Annual_Currency_Used,0)</f>
        <v>USD</v>
      </c>
      <c r="N95" s="366" t="str">
        <f ca="1">OFFSET(OTHER_Lu!$D$81,DD_TOP_ACTV_19_Annual_Currency_Used,0)</f>
        <v>USD</v>
      </c>
    </row>
    <row r="96" spans="1:14" s="10" customFormat="1" x14ac:dyDescent="0.2">
      <c r="D96" s="53" t="str">
        <f>OTHER_Lu!$D$102&amp;" "&amp;Lang_Cost_Of_A_Single&amp;" "&amp;$D$81&amp;" "&amp;Lang_Activity</f>
        <v>Financial Cost of a Single Other Activity #3 - (Recurrent Costs Only) (Not in Use) Activity</v>
      </c>
      <c r="J96" s="80">
        <v>0</v>
      </c>
      <c r="K96" s="80">
        <v>0</v>
      </c>
      <c r="L96" s="80">
        <v>0</v>
      </c>
      <c r="M96" s="80">
        <v>0</v>
      </c>
      <c r="N96" s="80">
        <v>0</v>
      </c>
    </row>
    <row r="97" spans="1:14" s="10" customFormat="1" x14ac:dyDescent="0.2">
      <c r="D97" s="53" t="str">
        <f>OTHER_Lu!$D$103&amp;" "&amp;Lang_Cost_Of_A_Single&amp;" "&amp;$D$81&amp;" "&amp;Lang_Activity</f>
        <v>Economic Cost of a Single Other Activity #3 - (Recurrent Costs Only) (Not in Use) Activity</v>
      </c>
      <c r="J97" s="80">
        <v>0</v>
      </c>
      <c r="K97" s="80">
        <v>0</v>
      </c>
      <c r="L97" s="80">
        <v>0</v>
      </c>
      <c r="M97" s="80">
        <v>0</v>
      </c>
      <c r="N97" s="80">
        <v>0</v>
      </c>
    </row>
    <row r="98" spans="1:14" s="10" customFormat="1" x14ac:dyDescent="0.2">
      <c r="D98" s="55" t="str">
        <f>Lang_Error_Check_Checks_If_Override_Input_economic_Cost_Is_Less_Than_Financial_Cost</f>
        <v>ERROR CHECK (CHECKS IF OVERRIDE INPUT ECONOMIC COST IS LESS THAN FINANCIAL COST)</v>
      </c>
      <c r="H98" s="145">
        <f>IF(ISERROR(SUM(J98:N98)),1,MIN(SUM(J98:N98),1))</f>
        <v>0</v>
      </c>
      <c r="J98" s="42">
        <f t="shared" ref="J98:N98" si="4">IF(J97&lt;J96,1,0)</f>
        <v>0</v>
      </c>
      <c r="K98" s="42">
        <f t="shared" si="4"/>
        <v>0</v>
      </c>
      <c r="L98" s="42">
        <f t="shared" si="4"/>
        <v>0</v>
      </c>
      <c r="M98" s="42">
        <f t="shared" si="4"/>
        <v>0</v>
      </c>
      <c r="N98" s="42">
        <f t="shared" si="4"/>
        <v>0</v>
      </c>
    </row>
    <row r="99" spans="1:14" x14ac:dyDescent="0.2"/>
    <row r="100" spans="1:14" x14ac:dyDescent="0.2">
      <c r="D100" s="48" t="str">
        <f>Lang_Source_Of_Information_Notes</f>
        <v>Notes and Sources of Information</v>
      </c>
    </row>
    <row r="101" spans="1:14" x14ac:dyDescent="0.2">
      <c r="D101" s="482" t="s">
        <v>596</v>
      </c>
      <c r="E101" s="482"/>
    </row>
    <row r="102" spans="1:14" x14ac:dyDescent="0.2">
      <c r="D102" s="482" t="s">
        <v>596</v>
      </c>
      <c r="E102" s="482"/>
    </row>
    <row r="103" spans="1:14" x14ac:dyDescent="0.2">
      <c r="D103" s="482" t="s">
        <v>596</v>
      </c>
      <c r="E103" s="482"/>
    </row>
    <row r="104" spans="1:14" x14ac:dyDescent="0.2"/>
    <row r="105" spans="1:14" s="10" customFormat="1" x14ac:dyDescent="0.2"/>
    <row r="106" spans="1:14" s="10" customFormat="1" x14ac:dyDescent="0.2">
      <c r="A106" s="12" t="s">
        <v>125</v>
      </c>
      <c r="B106" s="13" t="str">
        <f>Lang_Number_Of&amp;" "&amp;$D$81&amp;" "&amp;Lang_Activities_Annual_Assumptions_Projected_Or_Retrospective</f>
        <v>Number of Other Activity #3 - (Recurrent Costs Only) (Not in Use) Activities - Annual Assumptions (Projected or Retrospective)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</row>
    <row r="107" spans="1:14" s="10" customFormat="1" x14ac:dyDescent="0.2"/>
    <row r="108" spans="1:14" s="10" customFormat="1" x14ac:dyDescent="0.2">
      <c r="D108" s="105" t="str">
        <f>$D$81&amp;" - "&amp;Lang_Number_Of_Activities_Per_Year&amp;" ("&amp;Lang_Projected_Or_Retrospective&amp;")"</f>
        <v>Other Activity #3 - (Recurrent Costs Only) (Not in Use) - Number of Activities per Year (Projected or Retrospective)</v>
      </c>
      <c r="J108" s="80">
        <v>0</v>
      </c>
      <c r="K108" s="80">
        <v>0</v>
      </c>
      <c r="L108" s="80">
        <v>0</v>
      </c>
      <c r="M108" s="80">
        <v>0</v>
      </c>
      <c r="N108" s="80">
        <v>0</v>
      </c>
    </row>
    <row r="109" spans="1:14" s="10" customFormat="1" x14ac:dyDescent="0.2"/>
    <row r="110" spans="1:14" s="10" customFormat="1" x14ac:dyDescent="0.2"/>
    <row r="111" spans="1:14" s="10" customFormat="1" x14ac:dyDescent="0.2">
      <c r="D111" s="76" t="str">
        <f>Lang_GoTo&amp;" "&amp;HL_TOP_ACTV_19_Activity_Summary_Costs_Annual</f>
        <v>Go to Other Activity #3 - (Recurrent Costs Only) (Not in Use) - Summary Costs (Annual)</v>
      </c>
    </row>
    <row r="112" spans="1:14" s="10" customFormat="1" x14ac:dyDescent="0.2"/>
    <row r="113" spans="1:14" s="10" customFormat="1" x14ac:dyDescent="0.2">
      <c r="A113" s="12" t="s">
        <v>125</v>
      </c>
      <c r="B113" s="13" t="str">
        <f>HL_LVL2_ACTV_7_Name&amp;" "&amp;Lang_Name</f>
        <v>Other Activity #4 - (Recurrent Costs Only) (Not in Use) Name</v>
      </c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</row>
    <row r="114" spans="1:14" s="10" customFormat="1" x14ac:dyDescent="0.2"/>
    <row r="115" spans="1:14" s="10" customFormat="1" x14ac:dyDescent="0.2">
      <c r="D115" s="55" t="str">
        <f>Lang_Other_Activity_Name_Recurrent_Cost_Activity_Only</f>
        <v>Other Activity Name (Recurrent Cost Activity Only)</v>
      </c>
    </row>
    <row r="116" spans="1:14" s="10" customFormat="1" x14ac:dyDescent="0.2">
      <c r="D116" s="75" t="s">
        <v>592</v>
      </c>
    </row>
    <row r="117" spans="1:14" s="10" customFormat="1" x14ac:dyDescent="0.2"/>
    <row r="118" spans="1:14" s="10" customFormat="1" x14ac:dyDescent="0.2">
      <c r="A118" s="12" t="s">
        <v>125</v>
      </c>
      <c r="B118" s="13" t="str">
        <f>HL_LVL2_ACTV_7_Name&amp;" "&amp;Lang_Single_Activity_Cost_Annual_Assumptions_Projected_Or_Retrospective</f>
        <v>Other Activity #4 - (Recurrent Costs Only) (Not in Use) Single Activity Cost - Annual Assumptions (Projected or Retrospective)</v>
      </c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</row>
    <row r="119" spans="1:14" s="10" customFormat="1" x14ac:dyDescent="0.2"/>
    <row r="120" spans="1:14" s="10" customFormat="1" x14ac:dyDescent="0.2">
      <c r="D120" s="114" t="str">
        <f>HL_LVL2_ACTV_7_Name</f>
        <v>Other Activity #4 - (Recurrent Costs Only) (Not in Use)</v>
      </c>
    </row>
    <row r="121" spans="1:14" s="10" customFormat="1" x14ac:dyDescent="0.2"/>
    <row r="122" spans="1:14" s="10" customFormat="1" x14ac:dyDescent="0.2">
      <c r="D122" s="50" t="str">
        <f>Lang_Select_Input_Currency</f>
        <v>Select Input Currency</v>
      </c>
      <c r="E122" s="72">
        <v>1</v>
      </c>
    </row>
    <row r="123" spans="1:14" s="10" customFormat="1" x14ac:dyDescent="0.2"/>
    <row r="124" spans="1:14" s="10" customFormat="1" x14ac:dyDescent="0.2">
      <c r="D124" s="50" t="str">
        <f>Lang_Select_Costing_Input_Method</f>
        <v>Select Costing Input Method</v>
      </c>
      <c r="E124" s="72">
        <v>2</v>
      </c>
    </row>
    <row r="125" spans="1:14" s="10" customFormat="1" x14ac:dyDescent="0.2">
      <c r="E125" s="76" t="str">
        <f>Lang_GoTo&amp;" "&amp;HL_LVL2_ACTV_7_Detailed_Costing_Worksheet</f>
        <v>Go to Other Activity #4 - (Recurrent Costs Only) (Not in Use) -  Detailed Activity Costing Worksheet - Instructions</v>
      </c>
    </row>
    <row r="126" spans="1:14" s="10" customFormat="1" x14ac:dyDescent="0.2">
      <c r="C126" s="55" t="s">
        <v>208</v>
      </c>
      <c r="D126" s="74" t="str">
        <f>Lang_Detailed_Costing_Worksheet_Estimate</f>
        <v>Detailed Costing Worksheet Estimate</v>
      </c>
    </row>
    <row r="127" spans="1:14" s="10" customFormat="1" x14ac:dyDescent="0.2">
      <c r="F127" s="366" t="str">
        <f>OTHER_Lu!$D$118</f>
        <v>LCU</v>
      </c>
      <c r="G127" s="366" t="str">
        <f>OTHER_Lu!$D$117</f>
        <v>USD</v>
      </c>
      <c r="J127" s="366" t="str">
        <f ca="1">OFFSET(OTHER_Lu!$D$116,DD_LVL2_ACTV_7_Annual_Currency_Select,0)</f>
        <v>USD</v>
      </c>
      <c r="K127" s="366" t="str">
        <f ca="1">OFFSET(OTHER_Lu!$D$116,DD_LVL2_ACTV_7_Annual_Currency_Select,0)</f>
        <v>USD</v>
      </c>
      <c r="L127" s="366" t="str">
        <f ca="1">OFFSET(OTHER_Lu!$D$116,DD_LVL2_ACTV_7_Annual_Currency_Select,0)</f>
        <v>USD</v>
      </c>
      <c r="M127" s="366" t="str">
        <f ca="1">OFFSET(OTHER_Lu!$D$116,DD_LVL2_ACTV_7_Annual_Currency_Select,0)</f>
        <v>USD</v>
      </c>
      <c r="N127" s="366" t="str">
        <f ca="1">OFFSET(OTHER_Lu!$D$116,DD_LVL2_ACTV_7_Annual_Currency_Select,0)</f>
        <v>USD</v>
      </c>
    </row>
    <row r="128" spans="1:14" s="10" customFormat="1" x14ac:dyDescent="0.2">
      <c r="D128" s="53" t="str">
        <f>OTHER_Lu!$D$137&amp;" "&amp;Lang_Cost_Of_A_Single&amp;" "&amp;OTHER!$D$116&amp;" "&amp;Lang_Activity</f>
        <v>Financial Cost of a Single Other Activity #4 - (Recurrent Costs Only) (Not in Use) Activity</v>
      </c>
      <c r="F128" s="41">
        <f>COSTS_DETAILED_SUMMARY!E572</f>
        <v>0</v>
      </c>
      <c r="G128" s="116">
        <f>COSTS_DETAILED_SUMMARY!G572</f>
        <v>0</v>
      </c>
      <c r="J128" s="79">
        <f>IF(DD_LVL2_ACTV_7_Annual_Currency_Select=2,COSTS_DETAILED_SUMMARY!$E572,COSTS_DETAILED_SUMMARY!$G572)</f>
        <v>0</v>
      </c>
      <c r="K128" s="79">
        <f>IF(DD_LVL2_ACTV_7_Annual_Currency_Select=2,COSTS_DETAILED_SUMMARY!$E572,COSTS_DETAILED_SUMMARY!$G572)</f>
        <v>0</v>
      </c>
      <c r="L128" s="79">
        <f>IF(DD_LVL2_ACTV_7_Annual_Currency_Select=2,COSTS_DETAILED_SUMMARY!$E572,COSTS_DETAILED_SUMMARY!$G572)</f>
        <v>0</v>
      </c>
      <c r="M128" s="79">
        <f>IF(DD_LVL2_ACTV_7_Annual_Currency_Select=2,COSTS_DETAILED_SUMMARY!$E572,COSTS_DETAILED_SUMMARY!$G572)</f>
        <v>0</v>
      </c>
      <c r="N128" s="79">
        <f>IF(DD_LVL2_ACTV_7_Annual_Currency_Select=2,COSTS_DETAILED_SUMMARY!$E572,COSTS_DETAILED_SUMMARY!$G572)</f>
        <v>0</v>
      </c>
    </row>
    <row r="129" spans="1:14" s="10" customFormat="1" x14ac:dyDescent="0.2">
      <c r="D129" s="53" t="str">
        <f>OTHER_Lu!$D$138&amp;" "&amp;Lang_Cost_Of_A_Single&amp;" "&amp;OTHER!$D$116&amp;" "&amp;Lang_Activity</f>
        <v>Economic Cost of a Single Other Activity #4 - (Recurrent Costs Only) (Not in Use) Activity</v>
      </c>
      <c r="F129" s="41">
        <f>COSTS_DETAILED_SUMMARY!F572</f>
        <v>0</v>
      </c>
      <c r="G129" s="116">
        <f>COSTS_DETAILED_SUMMARY!H572</f>
        <v>0</v>
      </c>
      <c r="J129" s="79">
        <f>IF(DD_LVL2_ACTV_7_Annual_Currency_Select=2,COSTS_DETAILED_SUMMARY!$F572,COSTS_DETAILED_SUMMARY!$H572)</f>
        <v>0</v>
      </c>
      <c r="K129" s="79">
        <f>IF(DD_LVL2_ACTV_7_Annual_Currency_Select=2,COSTS_DETAILED_SUMMARY!$F572,COSTS_DETAILED_SUMMARY!$H572)</f>
        <v>0</v>
      </c>
      <c r="L129" s="79">
        <f>IF(DD_LVL2_ACTV_7_Annual_Currency_Select=2,COSTS_DETAILED_SUMMARY!$F572,COSTS_DETAILED_SUMMARY!$H572)</f>
        <v>0</v>
      </c>
      <c r="M129" s="79">
        <f>IF(DD_LVL2_ACTV_7_Annual_Currency_Select=2,COSTS_DETAILED_SUMMARY!$F572,COSTS_DETAILED_SUMMARY!$H572)</f>
        <v>0</v>
      </c>
      <c r="N129" s="79">
        <f>IF(DD_LVL2_ACTV_7_Annual_Currency_Select=2,COSTS_DETAILED_SUMMARY!$F572,COSTS_DETAILED_SUMMARY!$H572)</f>
        <v>0</v>
      </c>
    </row>
    <row r="130" spans="1:14" s="10" customFormat="1" x14ac:dyDescent="0.2"/>
    <row r="131" spans="1:14" s="10" customFormat="1" x14ac:dyDescent="0.2"/>
    <row r="132" spans="1:14" s="10" customFormat="1" x14ac:dyDescent="0.2">
      <c r="C132" s="55" t="s">
        <v>210</v>
      </c>
      <c r="D132" s="74" t="str">
        <f>Lang_Direct_User_Entry_Cost_Estimate</f>
        <v>Direct User Entry Cost Estimate</v>
      </c>
      <c r="J132" s="366" t="str">
        <f ca="1">OFFSET(OTHER_Lu!$D$116,DD_LVL2_ACTV_7_Annual_Currency_Select,0)</f>
        <v>USD</v>
      </c>
      <c r="K132" s="366" t="str">
        <f ca="1">OFFSET(OTHER_Lu!$D$116,DD_LVL2_ACTV_7_Annual_Currency_Select,0)</f>
        <v>USD</v>
      </c>
      <c r="L132" s="366" t="str">
        <f ca="1">OFFSET(OTHER_Lu!$D$116,DD_LVL2_ACTV_7_Annual_Currency_Select,0)</f>
        <v>USD</v>
      </c>
      <c r="M132" s="366" t="str">
        <f ca="1">OFFSET(OTHER_Lu!$D$116,DD_LVL2_ACTV_7_Annual_Currency_Select,0)</f>
        <v>USD</v>
      </c>
      <c r="N132" s="366" t="str">
        <f ca="1">OFFSET(OTHER_Lu!$D$116,DD_LVL2_ACTV_7_Annual_Currency_Select,0)</f>
        <v>USD</v>
      </c>
    </row>
    <row r="133" spans="1:14" s="10" customFormat="1" x14ac:dyDescent="0.2">
      <c r="D133" s="53" t="str">
        <f>OTHER_Lu!$D$137&amp;" "&amp;Lang_Cost_Of_A_Single&amp;" "&amp;OTHER!$D$116&amp;" "&amp;Lang_Activity</f>
        <v>Financial Cost of a Single Other Activity #4 - (Recurrent Costs Only) (Not in Use) Activity</v>
      </c>
      <c r="J133" s="80">
        <v>0</v>
      </c>
      <c r="K133" s="80">
        <v>0</v>
      </c>
      <c r="L133" s="80">
        <v>0</v>
      </c>
      <c r="M133" s="80">
        <v>0</v>
      </c>
      <c r="N133" s="80">
        <v>0</v>
      </c>
    </row>
    <row r="134" spans="1:14" s="10" customFormat="1" x14ac:dyDescent="0.2">
      <c r="D134" s="53" t="str">
        <f>OTHER_Lu!$D$138&amp;" "&amp;Lang_Cost_Of_A_Single&amp;" "&amp;OTHER!$D$116&amp;" "&amp;Lang_Activity</f>
        <v>Economic Cost of a Single Other Activity #4 - (Recurrent Costs Only) (Not in Use) Activity</v>
      </c>
      <c r="J134" s="80">
        <v>0</v>
      </c>
      <c r="K134" s="80">
        <v>0</v>
      </c>
      <c r="L134" s="80">
        <v>0</v>
      </c>
      <c r="M134" s="80">
        <v>0</v>
      </c>
      <c r="N134" s="80">
        <v>0</v>
      </c>
    </row>
    <row r="135" spans="1:14" s="10" customFormat="1" x14ac:dyDescent="0.2">
      <c r="D135" s="55" t="str">
        <f>Lang_Error_Check_Checks_If_Override_Input_economic_Cost_Is_Less_Than_Financial_Cost</f>
        <v>ERROR CHECK (CHECKS IF OVERRIDE INPUT ECONOMIC COST IS LESS THAN FINANCIAL COST)</v>
      </c>
      <c r="H135" s="145">
        <f>IF(ISERROR(SUM(J135:N135)),1,MIN(SUM(J135:N135),1))</f>
        <v>0</v>
      </c>
      <c r="J135" s="42">
        <f t="shared" ref="J135:N135" si="5">IF(J134&lt;J133,1,0)</f>
        <v>0</v>
      </c>
      <c r="K135" s="42">
        <f t="shared" si="5"/>
        <v>0</v>
      </c>
      <c r="L135" s="42">
        <f t="shared" si="5"/>
        <v>0</v>
      </c>
      <c r="M135" s="42">
        <f t="shared" si="5"/>
        <v>0</v>
      </c>
      <c r="N135" s="42">
        <f t="shared" si="5"/>
        <v>0</v>
      </c>
    </row>
    <row r="136" spans="1:14" x14ac:dyDescent="0.2"/>
    <row r="137" spans="1:14" x14ac:dyDescent="0.2">
      <c r="D137" s="48" t="str">
        <f>Lang_Source_Of_Information_Notes</f>
        <v>Notes and Sources of Information</v>
      </c>
    </row>
    <row r="138" spans="1:14" x14ac:dyDescent="0.2">
      <c r="D138" s="482" t="s">
        <v>596</v>
      </c>
      <c r="E138" s="482"/>
    </row>
    <row r="139" spans="1:14" x14ac:dyDescent="0.2">
      <c r="D139" s="482" t="s">
        <v>596</v>
      </c>
      <c r="E139" s="482"/>
    </row>
    <row r="140" spans="1:14" x14ac:dyDescent="0.2">
      <c r="D140" s="482" t="s">
        <v>596</v>
      </c>
      <c r="E140" s="482"/>
    </row>
    <row r="141" spans="1:14" x14ac:dyDescent="0.2"/>
    <row r="142" spans="1:14" s="10" customFormat="1" x14ac:dyDescent="0.2"/>
    <row r="143" spans="1:14" s="10" customFormat="1" x14ac:dyDescent="0.2">
      <c r="A143" s="12" t="s">
        <v>125</v>
      </c>
      <c r="B143" s="13" t="str">
        <f>Lang_Number_Of&amp;" "&amp;$D$116&amp;" "&amp;Lang_Activities_Annual_Assumptions_Projected_Or_Retrospective</f>
        <v>Number of Other Activity #4 - (Recurrent Costs Only) (Not in Use) Activities - Annual Assumptions (Projected or Retrospective)</v>
      </c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</row>
    <row r="144" spans="1:14" s="10" customFormat="1" x14ac:dyDescent="0.2"/>
    <row r="145" spans="1:14" s="10" customFormat="1" x14ac:dyDescent="0.2">
      <c r="D145" s="71" t="str">
        <f>HL_LVL2_ACTV_7_Name&amp;" - "&amp;Lang_Number_Of_Activities_Per_Year&amp;" ("&amp;Lang_Projected_Or_Retrospective&amp;")"</f>
        <v>Other Activity #4 - (Recurrent Costs Only) (Not in Use) - Number of Activities per Year (Projected or Retrospective)</v>
      </c>
    </row>
    <row r="146" spans="1:14" s="10" customFormat="1" x14ac:dyDescent="0.2"/>
    <row r="147" spans="1:14" s="10" customFormat="1" x14ac:dyDescent="0.2">
      <c r="D147" s="50" t="str">
        <f>Lang_Number_Of_Activities</f>
        <v>Number of Activities</v>
      </c>
      <c r="J147" s="324">
        <v>0</v>
      </c>
      <c r="K147" s="324">
        <v>0</v>
      </c>
      <c r="L147" s="324">
        <v>0</v>
      </c>
      <c r="M147" s="324">
        <v>0</v>
      </c>
      <c r="N147" s="324">
        <v>0</v>
      </c>
    </row>
    <row r="148" spans="1:14" s="10" customFormat="1" hidden="1" x14ac:dyDescent="0.2">
      <c r="D148" s="71" t="str">
        <f>D145</f>
        <v>Other Activity #4 - (Recurrent Costs Only) (Not in Use) - Number of Activities per Year (Projected or Retrospective)</v>
      </c>
      <c r="J148" s="41">
        <f t="shared" ref="J148:N148" si="6">SUM(J147:J147)</f>
        <v>0</v>
      </c>
      <c r="K148" s="41">
        <f t="shared" si="6"/>
        <v>0</v>
      </c>
      <c r="L148" s="41">
        <f t="shared" si="6"/>
        <v>0</v>
      </c>
      <c r="M148" s="41">
        <f t="shared" si="6"/>
        <v>0</v>
      </c>
      <c r="N148" s="41">
        <f t="shared" si="6"/>
        <v>0</v>
      </c>
    </row>
    <row r="149" spans="1:14" s="10" customFormat="1" x14ac:dyDescent="0.2"/>
    <row r="150" spans="1:14" s="10" customFormat="1" x14ac:dyDescent="0.2"/>
    <row r="151" spans="1:14" s="10" customFormat="1" x14ac:dyDescent="0.2"/>
    <row r="152" spans="1:14" s="10" customFormat="1" x14ac:dyDescent="0.2">
      <c r="D152" s="76" t="str">
        <f>Lang_GoTo&amp;" "&amp;HL_LVL2_ACTV_7_Activity_Summary_Costs_Annual</f>
        <v>Go to Other Activity #4 - (Recurrent Costs Only) (Not in Use) - Summary Costs (Annual)</v>
      </c>
    </row>
    <row r="153" spans="1:14" s="10" customFormat="1" x14ac:dyDescent="0.2"/>
    <row r="154" spans="1:14" s="10" customFormat="1" x14ac:dyDescent="0.2">
      <c r="A154" s="12" t="s">
        <v>125</v>
      </c>
      <c r="B154" s="13" t="str">
        <f>HL_LVL2_ACTV_16_Name&amp;" "&amp;Lang_Name</f>
        <v>Other Activity #5 - (Recurrent Costs Only) (Not in Use) Name</v>
      </c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</row>
    <row r="155" spans="1:14" s="10" customFormat="1" x14ac:dyDescent="0.2"/>
    <row r="156" spans="1:14" s="10" customFormat="1" x14ac:dyDescent="0.2">
      <c r="D156" s="55" t="str">
        <f>Lang_Other_Activity_Name_Recurrent_Cost_Activity_Only</f>
        <v>Other Activity Name (Recurrent Cost Activity Only)</v>
      </c>
    </row>
    <row r="157" spans="1:14" s="10" customFormat="1" x14ac:dyDescent="0.2">
      <c r="D157" s="75" t="s">
        <v>593</v>
      </c>
    </row>
    <row r="158" spans="1:14" s="10" customFormat="1" x14ac:dyDescent="0.2"/>
    <row r="159" spans="1:14" s="10" customFormat="1" x14ac:dyDescent="0.2">
      <c r="A159" s="12" t="s">
        <v>125</v>
      </c>
      <c r="B159" s="13" t="str">
        <f>HL_LVL2_ACTV_16_Name&amp;" "&amp;Lang_Single_Activity_Cost_Annual_Assumptions_Projected_Or_Retrospective</f>
        <v>Other Activity #5 - (Recurrent Costs Only) (Not in Use) Single Activity Cost - Annual Assumptions (Projected or Retrospective)</v>
      </c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</row>
    <row r="160" spans="1:14" s="10" customFormat="1" x14ac:dyDescent="0.2"/>
    <row r="161" spans="3:14" s="10" customFormat="1" x14ac:dyDescent="0.2">
      <c r="D161" s="114" t="str">
        <f>HL_LVL2_ACTV_16_Name</f>
        <v>Other Activity #5 - (Recurrent Costs Only) (Not in Use)</v>
      </c>
    </row>
    <row r="162" spans="3:14" s="10" customFormat="1" x14ac:dyDescent="0.2"/>
    <row r="163" spans="3:14" s="10" customFormat="1" x14ac:dyDescent="0.2">
      <c r="D163" s="50" t="str">
        <f>Lang_Select_Input_Currency</f>
        <v>Select Input Currency</v>
      </c>
      <c r="E163" s="72">
        <v>1</v>
      </c>
    </row>
    <row r="164" spans="3:14" s="10" customFormat="1" x14ac:dyDescent="0.2"/>
    <row r="165" spans="3:14" s="10" customFormat="1" x14ac:dyDescent="0.2">
      <c r="D165" s="50" t="str">
        <f>Lang_Select_Costing_Input_Method</f>
        <v>Select Costing Input Method</v>
      </c>
      <c r="E165" s="72">
        <v>2</v>
      </c>
    </row>
    <row r="166" spans="3:14" s="10" customFormat="1" x14ac:dyDescent="0.2">
      <c r="E166" s="76" t="str">
        <f>Lang_GoTo&amp;" "&amp;HL_LVL2_ACTV_16_Detailed_Costing_Worksheet</f>
        <v>Go to Other Activity #5 - (Recurrent Costs Only) (Not in Use) -  Detailed Activity Costing Worksheet - Instructions</v>
      </c>
    </row>
    <row r="167" spans="3:14" s="10" customFormat="1" x14ac:dyDescent="0.2">
      <c r="C167" s="55" t="s">
        <v>208</v>
      </c>
      <c r="D167" s="74" t="str">
        <f>Lang_Detailed_Costing_Worksheet_Estimate</f>
        <v>Detailed Costing Worksheet Estimate</v>
      </c>
    </row>
    <row r="168" spans="3:14" s="10" customFormat="1" x14ac:dyDescent="0.2">
      <c r="F168" s="366" t="str">
        <f>OTHER_Lu!$D$153</f>
        <v>LCU</v>
      </c>
      <c r="G168" s="366" t="str">
        <f>OTHER_Lu!$D$152</f>
        <v>USD</v>
      </c>
      <c r="J168" s="366" t="str">
        <f ca="1">OFFSET(OTHER_Lu!$D$151,DD_LVL2_ACTV_16_Annual_Currency_Select,0)</f>
        <v>USD</v>
      </c>
      <c r="K168" s="366" t="str">
        <f ca="1">OFFSET(OTHER_Lu!$D$151,DD_LVL2_ACTV_16_Annual_Currency_Select,0)</f>
        <v>USD</v>
      </c>
      <c r="L168" s="366" t="str">
        <f ca="1">OFFSET(OTHER_Lu!$D$151,DD_LVL2_ACTV_16_Annual_Currency_Select,0)</f>
        <v>USD</v>
      </c>
      <c r="M168" s="366" t="str">
        <f ca="1">OFFSET(OTHER_Lu!$D$151,DD_LVL2_ACTV_16_Annual_Currency_Select,0)</f>
        <v>USD</v>
      </c>
      <c r="N168" s="366" t="str">
        <f ca="1">OFFSET(OTHER_Lu!$D$151,DD_LVL2_ACTV_16_Annual_Currency_Select,0)</f>
        <v>USD</v>
      </c>
    </row>
    <row r="169" spans="3:14" s="10" customFormat="1" x14ac:dyDescent="0.2">
      <c r="D169" s="53" t="str">
        <f>OTHER_Lu!$D$172&amp;" "&amp;Lang_Cost_Of_A_Single&amp;" "&amp;$D$157&amp;" "&amp;Lang_Activity</f>
        <v>Financial Cost of a Single Other Activity #5 - (Recurrent Costs Only) (Not in Use) Activity</v>
      </c>
      <c r="F169" s="41">
        <f>COSTS_DETAILED_SUMMARY!E588</f>
        <v>0</v>
      </c>
      <c r="G169" s="116">
        <f>COSTS_DETAILED_SUMMARY!G588</f>
        <v>0</v>
      </c>
      <c r="J169" s="79">
        <f>IF(DD_LVL2_ACTV_16_Annual_Currency_Select=2,COSTS_DETAILED_SUMMARY!$E588,COSTS_DETAILED_SUMMARY!$G588)</f>
        <v>0</v>
      </c>
      <c r="K169" s="79">
        <f>IF(DD_LVL2_ACTV_16_Annual_Currency_Select=2,COSTS_DETAILED_SUMMARY!$E588,COSTS_DETAILED_SUMMARY!$G588)</f>
        <v>0</v>
      </c>
      <c r="L169" s="79">
        <f>IF(DD_LVL2_ACTV_16_Annual_Currency_Select=2,COSTS_DETAILED_SUMMARY!$E588,COSTS_DETAILED_SUMMARY!$G588)</f>
        <v>0</v>
      </c>
      <c r="M169" s="79">
        <f>IF(DD_LVL2_ACTV_16_Annual_Currency_Select=2,COSTS_DETAILED_SUMMARY!$E588,COSTS_DETAILED_SUMMARY!$G588)</f>
        <v>0</v>
      </c>
      <c r="N169" s="79">
        <f>IF(DD_LVL2_ACTV_16_Annual_Currency_Select=2,COSTS_DETAILED_SUMMARY!$E588,COSTS_DETAILED_SUMMARY!$G588)</f>
        <v>0</v>
      </c>
    </row>
    <row r="170" spans="3:14" s="10" customFormat="1" x14ac:dyDescent="0.2">
      <c r="D170" s="53" t="str">
        <f>OTHER_Lu!$D$173&amp;" "&amp;Lang_Cost_Of_A_Single&amp;" "&amp;$D$157&amp;" "&amp;Lang_Activity</f>
        <v>Economic Cost of a Single Other Activity #5 - (Recurrent Costs Only) (Not in Use) Activity</v>
      </c>
      <c r="F170" s="41">
        <f>COSTS_DETAILED_SUMMARY!F588</f>
        <v>0</v>
      </c>
      <c r="G170" s="116">
        <f>COSTS_DETAILED_SUMMARY!H588</f>
        <v>0</v>
      </c>
      <c r="J170" s="79">
        <f>IF(DD_LVL2_ACTV_16_Annual_Currency_Select=2,COSTS_DETAILED_SUMMARY!$F588,COSTS_DETAILED_SUMMARY!$H588)</f>
        <v>0</v>
      </c>
      <c r="K170" s="79">
        <f>IF(DD_LVL2_ACTV_16_Annual_Currency_Select=2,COSTS_DETAILED_SUMMARY!$F588,COSTS_DETAILED_SUMMARY!$H588)</f>
        <v>0</v>
      </c>
      <c r="L170" s="79">
        <f>IF(DD_LVL2_ACTV_16_Annual_Currency_Select=2,COSTS_DETAILED_SUMMARY!$F588,COSTS_DETAILED_SUMMARY!$H588)</f>
        <v>0</v>
      </c>
      <c r="M170" s="79">
        <f>IF(DD_LVL2_ACTV_16_Annual_Currency_Select=2,COSTS_DETAILED_SUMMARY!$F588,COSTS_DETAILED_SUMMARY!$H588)</f>
        <v>0</v>
      </c>
      <c r="N170" s="79">
        <f>IF(DD_LVL2_ACTV_16_Annual_Currency_Select=2,COSTS_DETAILED_SUMMARY!$F588,COSTS_DETAILED_SUMMARY!$H588)</f>
        <v>0</v>
      </c>
    </row>
    <row r="171" spans="3:14" s="10" customFormat="1" x14ac:dyDescent="0.2"/>
    <row r="172" spans="3:14" s="10" customFormat="1" x14ac:dyDescent="0.2"/>
    <row r="173" spans="3:14" s="10" customFormat="1" x14ac:dyDescent="0.2">
      <c r="C173" s="55" t="s">
        <v>210</v>
      </c>
      <c r="D173" s="74" t="str">
        <f>Lang_Direct_User_Entry_Cost_Estimate</f>
        <v>Direct User Entry Cost Estimate</v>
      </c>
      <c r="J173" s="366" t="str">
        <f ca="1">OFFSET(OTHER_Lu!$D$151,DD_LVL2_ACTV_16_Annual_Currency_Select,0)</f>
        <v>USD</v>
      </c>
      <c r="K173" s="366" t="str">
        <f ca="1">OFFSET(OTHER_Lu!$D$151,DD_LVL2_ACTV_16_Annual_Currency_Select,0)</f>
        <v>USD</v>
      </c>
      <c r="L173" s="366" t="str">
        <f ca="1">OFFSET(OTHER_Lu!$D$151,DD_LVL2_ACTV_16_Annual_Currency_Select,0)</f>
        <v>USD</v>
      </c>
      <c r="M173" s="366" t="str">
        <f ca="1">OFFSET(OTHER_Lu!$D$151,DD_LVL2_ACTV_16_Annual_Currency_Select,0)</f>
        <v>USD</v>
      </c>
      <c r="N173" s="366" t="str">
        <f ca="1">OFFSET(OTHER_Lu!$D$151,DD_LVL2_ACTV_16_Annual_Currency_Select,0)</f>
        <v>USD</v>
      </c>
    </row>
    <row r="174" spans="3:14" s="10" customFormat="1" x14ac:dyDescent="0.2">
      <c r="D174" s="53" t="str">
        <f>OTHER_Lu!$D$172&amp;" "&amp;Lang_Cost_Of_A_Single&amp;" "&amp;$D$157&amp;" "&amp;Lang_Activity</f>
        <v>Financial Cost of a Single Other Activity #5 - (Recurrent Costs Only) (Not in Use) Activity</v>
      </c>
      <c r="J174" s="80">
        <v>0</v>
      </c>
      <c r="K174" s="80">
        <v>0</v>
      </c>
      <c r="L174" s="80">
        <v>0</v>
      </c>
      <c r="M174" s="80">
        <v>0</v>
      </c>
      <c r="N174" s="80">
        <v>0</v>
      </c>
    </row>
    <row r="175" spans="3:14" s="10" customFormat="1" x14ac:dyDescent="0.2">
      <c r="D175" s="53" t="str">
        <f>OTHER_Lu!$D$173&amp;" "&amp;Lang_Cost_Of_A_Single&amp;" "&amp;$D$157&amp;" "&amp;Lang_Activity</f>
        <v>Economic Cost of a Single Other Activity #5 - (Recurrent Costs Only) (Not in Use) Activity</v>
      </c>
      <c r="J175" s="80">
        <v>0</v>
      </c>
      <c r="K175" s="80">
        <v>0</v>
      </c>
      <c r="L175" s="80">
        <v>0</v>
      </c>
      <c r="M175" s="80">
        <v>0</v>
      </c>
      <c r="N175" s="80">
        <v>0</v>
      </c>
    </row>
    <row r="176" spans="3:14" s="10" customFormat="1" x14ac:dyDescent="0.2">
      <c r="D176" s="55" t="str">
        <f>Lang_Error_Check_Checks_If_Override_Input_economic_Cost_Is_Less_Than_Financial_Cost</f>
        <v>ERROR CHECK (CHECKS IF OVERRIDE INPUT ECONOMIC COST IS LESS THAN FINANCIAL COST)</v>
      </c>
      <c r="H176" s="145">
        <f>IF(ISERROR(SUM(J176:N176)),1,MIN(SUM(J176:N176),1))</f>
        <v>0</v>
      </c>
      <c r="J176" s="42">
        <f t="shared" ref="J176:N176" si="7">IF(J175&lt;J174,1,0)</f>
        <v>0</v>
      </c>
      <c r="K176" s="42">
        <f t="shared" si="7"/>
        <v>0</v>
      </c>
      <c r="L176" s="42">
        <f t="shared" si="7"/>
        <v>0</v>
      </c>
      <c r="M176" s="42">
        <f t="shared" si="7"/>
        <v>0</v>
      </c>
      <c r="N176" s="42">
        <f t="shared" si="7"/>
        <v>0</v>
      </c>
    </row>
    <row r="177" spans="1:14" x14ac:dyDescent="0.2"/>
    <row r="178" spans="1:14" x14ac:dyDescent="0.2">
      <c r="D178" s="48" t="str">
        <f>Lang_Source_Of_Information_Notes</f>
        <v>Notes and Sources of Information</v>
      </c>
    </row>
    <row r="179" spans="1:14" x14ac:dyDescent="0.2">
      <c r="D179" s="482" t="s">
        <v>596</v>
      </c>
      <c r="E179" s="482"/>
    </row>
    <row r="180" spans="1:14" x14ac:dyDescent="0.2">
      <c r="D180" s="482" t="s">
        <v>596</v>
      </c>
      <c r="E180" s="482"/>
    </row>
    <row r="181" spans="1:14" x14ac:dyDescent="0.2">
      <c r="D181" s="482" t="s">
        <v>596</v>
      </c>
      <c r="E181" s="482"/>
    </row>
    <row r="182" spans="1:14" s="10" customFormat="1" x14ac:dyDescent="0.2"/>
    <row r="183" spans="1:14" s="10" customFormat="1" x14ac:dyDescent="0.2">
      <c r="A183" s="12" t="s">
        <v>125</v>
      </c>
      <c r="B183" s="13" t="str">
        <f>Lang_Number_Of&amp;" "&amp;$D$157&amp;" "&amp;Lang_Activities_Annual_Assumptions_Projected_Or_Retrospective</f>
        <v>Number of Other Activity #5 - (Recurrent Costs Only) (Not in Use) Activities - Annual Assumptions (Projected or Retrospective)</v>
      </c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</row>
    <row r="184" spans="1:14" s="10" customFormat="1" x14ac:dyDescent="0.2"/>
    <row r="185" spans="1:14" s="10" customFormat="1" x14ac:dyDescent="0.2">
      <c r="D185" s="71" t="str">
        <f>HL_LVL2_ACTV_16_Name&amp;" - "&amp;Lang_Number_Of_Activities_Per_Year&amp;" ("&amp;Lang_Projected_Or_Retrospective&amp;")"</f>
        <v>Other Activity #5 - (Recurrent Costs Only) (Not in Use) - Number of Activities per Year (Projected or Retrospective)</v>
      </c>
    </row>
    <row r="186" spans="1:14" s="10" customFormat="1" x14ac:dyDescent="0.2"/>
    <row r="187" spans="1:14" s="10" customFormat="1" x14ac:dyDescent="0.2">
      <c r="D187" s="50" t="str">
        <f>Lang_Number_Of_Activities</f>
        <v>Number of Activities</v>
      </c>
      <c r="J187" s="324">
        <v>0</v>
      </c>
      <c r="K187" s="324">
        <v>0</v>
      </c>
      <c r="L187" s="324">
        <v>0</v>
      </c>
      <c r="M187" s="324">
        <v>0</v>
      </c>
      <c r="N187" s="324">
        <v>0</v>
      </c>
    </row>
    <row r="188" spans="1:14" s="10" customFormat="1" hidden="1" x14ac:dyDescent="0.2">
      <c r="D188" s="71" t="str">
        <f>D185</f>
        <v>Other Activity #5 - (Recurrent Costs Only) (Not in Use) - Number of Activities per Year (Projected or Retrospective)</v>
      </c>
      <c r="J188" s="41">
        <f t="shared" ref="J188:N188" si="8">SUM(J187:J187)</f>
        <v>0</v>
      </c>
      <c r="K188" s="41">
        <f t="shared" si="8"/>
        <v>0</v>
      </c>
      <c r="L188" s="41">
        <f t="shared" si="8"/>
        <v>0</v>
      </c>
      <c r="M188" s="41">
        <f t="shared" si="8"/>
        <v>0</v>
      </c>
      <c r="N188" s="41">
        <f t="shared" si="8"/>
        <v>0</v>
      </c>
    </row>
    <row r="189" spans="1:14" s="10" customFormat="1" x14ac:dyDescent="0.2"/>
    <row r="190" spans="1:14" s="10" customFormat="1" x14ac:dyDescent="0.2"/>
    <row r="191" spans="1:14" s="10" customFormat="1" x14ac:dyDescent="0.2"/>
    <row r="192" spans="1:14" s="10" customFormat="1" x14ac:dyDescent="0.2">
      <c r="D192" s="76" t="str">
        <f>Lang_GoTo&amp;" "&amp;HL_LVL2_ACTV_16_Activity_Summary_Costs_Annual</f>
        <v>Go to Other Activity #5 - (Recurrent Costs Only) (Not in Use) - Summary Costs (Annual)</v>
      </c>
    </row>
    <row r="193" x14ac:dyDescent="0.2"/>
    <row r="194" x14ac:dyDescent="0.2"/>
  </sheetData>
  <mergeCells count="15">
    <mergeCell ref="D179:E179"/>
    <mergeCell ref="D180:E180"/>
    <mergeCell ref="D181:E181"/>
    <mergeCell ref="D101:E101"/>
    <mergeCell ref="D102:E102"/>
    <mergeCell ref="D103:E103"/>
    <mergeCell ref="D138:E138"/>
    <mergeCell ref="D139:E139"/>
    <mergeCell ref="D140:E140"/>
    <mergeCell ref="D68:E68"/>
    <mergeCell ref="D32:E32"/>
    <mergeCell ref="D33:E33"/>
    <mergeCell ref="D34:E34"/>
    <mergeCell ref="D66:E66"/>
    <mergeCell ref="D67:E67"/>
  </mergeCells>
  <conditionalFormatting sqref="H29">
    <cfRule type="cellIs" dxfId="218" priority="40" operator="notEqual">
      <formula>0</formula>
    </cfRule>
  </conditionalFormatting>
  <conditionalFormatting sqref="H63">
    <cfRule type="cellIs" dxfId="217" priority="39" operator="notEqual">
      <formula>0</formula>
    </cfRule>
  </conditionalFormatting>
  <conditionalFormatting sqref="H98">
    <cfRule type="cellIs" dxfId="216" priority="38" operator="notEqual">
      <formula>0</formula>
    </cfRule>
  </conditionalFormatting>
  <conditionalFormatting sqref="H135">
    <cfRule type="cellIs" dxfId="215" priority="37" operator="notEqual">
      <formula>0</formula>
    </cfRule>
  </conditionalFormatting>
  <conditionalFormatting sqref="H176">
    <cfRule type="cellIs" dxfId="214" priority="36" operator="notEqual">
      <formula>0</formula>
    </cfRule>
  </conditionalFormatting>
  <conditionalFormatting sqref="J22:N23 J27:N28">
    <cfRule type="expression" dxfId="213" priority="5">
      <formula>$E$16=1</formula>
    </cfRule>
  </conditionalFormatting>
  <conditionalFormatting sqref="J29:N29">
    <cfRule type="cellIs" dxfId="212" priority="35" operator="notEqual">
      <formula>0</formula>
    </cfRule>
  </conditionalFormatting>
  <conditionalFormatting sqref="J56:N57 J61:N62">
    <cfRule type="expression" dxfId="211" priority="4">
      <formula>$E$50=1</formula>
    </cfRule>
  </conditionalFormatting>
  <conditionalFormatting sqref="J63:N63">
    <cfRule type="cellIs" dxfId="210" priority="34" operator="notEqual">
      <formula>0</formula>
    </cfRule>
  </conditionalFormatting>
  <conditionalFormatting sqref="J91:N92 J96:N97">
    <cfRule type="expression" dxfId="209" priority="3">
      <formula>$E$85=1</formula>
    </cfRule>
  </conditionalFormatting>
  <conditionalFormatting sqref="J98:N98">
    <cfRule type="cellIs" dxfId="208" priority="33" operator="notEqual">
      <formula>0</formula>
    </cfRule>
  </conditionalFormatting>
  <conditionalFormatting sqref="J128:N129 J133:N134">
    <cfRule type="expression" dxfId="207" priority="2">
      <formula>$E$122=1</formula>
    </cfRule>
  </conditionalFormatting>
  <conditionalFormatting sqref="J135:N135">
    <cfRule type="cellIs" dxfId="206" priority="32" operator="notEqual">
      <formula>0</formula>
    </cfRule>
  </conditionalFormatting>
  <conditionalFormatting sqref="J169:N170 J174:N175">
    <cfRule type="expression" dxfId="205" priority="1">
      <formula>$E$163=1</formula>
    </cfRule>
  </conditionalFormatting>
  <conditionalFormatting sqref="J176:N176">
    <cfRule type="cellIs" dxfId="204" priority="31" operator="notEqual">
      <formula>0</formula>
    </cfRule>
  </conditionalFormatting>
  <dataValidations count="11">
    <dataValidation type="whole" showDropDown="1" showErrorMessage="1" errorTitle="Drop Down Box Cell Link" error="The value in a drop down box cell link must be a whole number within the control's lookup range rows." sqref="E122" xr:uid="{00000000-0002-0000-1500-000000000000}">
      <formula1>1</formula1>
      <formula2>ROWS(LU_LVL2_ACTV_7_Currencies)</formula2>
    </dataValidation>
    <dataValidation type="whole" showDropDown="1" showErrorMessage="1" errorTitle="Drop Down Box Cell Link" error="The value in a drop down box cell link must be a whole number within the control's lookup range rows." sqref="E124" xr:uid="{00000000-0002-0000-1500-000001000000}">
      <formula1>1</formula1>
      <formula2>ROWS(LU_LVL2_ACTV_7_Detail_or_Freeform)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16" xr:uid="{00000000-0002-0000-1500-000002000000}">
      <formula1>1</formula1>
      <formula2>ROWS(LU_TOP_ACTV_6_Currencies)</formula2>
    </dataValidation>
    <dataValidation type="whole" showDropDown="1" showErrorMessage="1" errorTitle="Drop Down Box Cell Link" error="The value in a drop down box cell link must be a whole number within the control's lookup range rows." sqref="E18" xr:uid="{00000000-0002-0000-1500-000003000000}">
      <formula1>1</formula1>
      <formula2>ROWS(LU_TOP_ACTV_6_Detail_or_Freeform)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50" xr:uid="{00000000-0002-0000-1500-000004000000}">
      <formula1>1</formula1>
      <formula2>ROWS(LU_TOP_ACTV_20_Currencies)</formula2>
    </dataValidation>
    <dataValidation type="whole" showDropDown="1" showErrorMessage="1" errorTitle="Drop Down Box Cell Link" error="The value in a drop down box cell link must be a whole number within the control's lookup range rows." sqref="E52" xr:uid="{00000000-0002-0000-1500-000005000000}">
      <formula1>1</formula1>
      <formula2>ROWS(LU_TOP_ACTV_20_Detail_or_Freeform)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85" xr:uid="{00000000-0002-0000-1500-000006000000}">
      <formula1>1</formula1>
      <formula2>ROWS(LU_TOP_ACTV_19_Currencies)</formula2>
    </dataValidation>
    <dataValidation type="whole" showDropDown="1" showErrorMessage="1" errorTitle="Drop Down Box Cell Link" error="The value in a drop down box cell link must be a whole number within the control's lookup range rows." sqref="E87" xr:uid="{00000000-0002-0000-1500-000007000000}">
      <formula1>1</formula1>
      <formula2>ROWS(LU_TOP_ACTV_19_Detail_or_Freeform)</formula2>
    </dataValidation>
    <dataValidation type="whole" showDropDown="1" showErrorMessage="1" errorTitle="Drop Down Box Cell Link" error="The value in a drop down box cell link must be a whole number within the control's lookup range rows." sqref="E163" xr:uid="{00000000-0002-0000-1500-000008000000}">
      <formula1>1</formula1>
      <formula2>ROWS(LU_LVL2_ACTV_16_Currencies)</formula2>
    </dataValidation>
    <dataValidation type="whole" showDropDown="1" showErrorMessage="1" errorTitle="Drop Down Box Cell Link" error="The value in a drop down box cell link must be a whole number within the control's lookup range rows." sqref="E165" xr:uid="{00000000-0002-0000-1500-000009000000}">
      <formula1>1</formula1>
      <formula2>ROWS(LU_LVL2_ACTV_16_Detail_or_Freeform)</formula2>
    </dataValidation>
    <dataValidation type="custom" showErrorMessage="1" errorTitle="Invalid Assumption" error="Assumption must be a number." sqref="J147:N147 J27:N28 J38:N38 J108:N108 J187:N187 J73:N73 J174:N175 J133:N134 J96:N97 J61:N62" xr:uid="{00000000-0002-0000-1500-00000A000000}">
      <formula1>NOT(ISERROR(J27/1))</formula1>
    </dataValidation>
  </dataValidations>
  <hyperlinks>
    <hyperlink ref="E125" location="HL_LVL2_ACTV_7_Detailed_Costing_Worksheet" tooltip="Click to follow hyperlink." display="HL_LVL2_ACTV_7_Detailed_Costing_Worksheet" xr:uid="{00000000-0004-0000-1500-000000000000}"/>
    <hyperlink ref="E19" location="HL_TOP_ACTV_6_Detailed_Costing_Worksheet" tooltip="Click to follow hyperlink." display="HL_TOP_ACTV_6_Detailed_Costing_Worksheet" xr:uid="{00000000-0004-0000-1500-000001000000}"/>
    <hyperlink ref="A9" location="HL_TOP_ACTV_6_Single_Activity_Cost_Assumptions_Annual" tooltip="Click to follow hyperlink." display="HL_TOP_ACTV_6_Single_Activity_Cost_Assumptions_Annual" xr:uid="{00000000-0004-0000-1500-000002000000}"/>
    <hyperlink ref="D41" location="HL_TOP_ACTV_6_Activity_Summary_Costs_Annual" tooltip="Click to follow hyperlink." display="HL_TOP_ACTV_6_Activity_Summary_Costs_Annual" xr:uid="{00000000-0004-0000-1500-000003000000}"/>
    <hyperlink ref="A113" location="HL_LVL2_ACTV_7_Single_Activity_Cost_Assumptions_Annual" tooltip="Click to follow hyperlink." display="HL_LVL2_ACTV_7_Single_Activity_Cost_Assumptions_Annual" xr:uid="{00000000-0004-0000-1500-000004000000}"/>
    <hyperlink ref="D152" location="HL_LVL2_ACTV_7_Activity_Summary_Costs_Annual" tooltip="Click to follow hyperlink." display="HL_LVL2_ACTV_7_Activity_Summary_Costs_Annual" xr:uid="{00000000-0004-0000-1500-000005000000}"/>
    <hyperlink ref="A78" location="HL_TOP_ACTV_19_Single_Activity_Cost_Assumptions_Annual" tooltip="Click to follow hyperlink." display="HL_TOP_ACTV_19_Single_Activity_Cost_Assumptions_Annual" xr:uid="{00000000-0004-0000-1500-000006000000}"/>
    <hyperlink ref="D111" location="HL_TOP_ACTV_19_Activity_Summary_Costs_Annual" tooltip="Click to follow hyperlink." display="HL_TOP_ACTV_19_Activity_Summary_Costs_Annual" xr:uid="{00000000-0004-0000-1500-000007000000}"/>
    <hyperlink ref="A43" location="HL_TOP_ACTV_20_Single_Activity_Cost_Assumptions_Annual" tooltip="Click to follow hyperlink." display="HL_TOP_ACTV_20_Single_Activity_Cost_Assumptions_Annual" xr:uid="{00000000-0004-0000-1500-000008000000}"/>
    <hyperlink ref="D76" location="HL_TOP_ACTV_20_Activity_Summary_Costs_Annual" tooltip="Click to follow hyperlink." display="HL_TOP_ACTV_20_Activity_Summary_Costs_Annual" xr:uid="{00000000-0004-0000-1500-000009000000}"/>
    <hyperlink ref="A154" location="HL_LVL2_ACTV_16_Single_Activity_Cost_Assumptions_Annual" tooltip="Click to follow hyperlink." display="HL_LVL2_ACTV_16_Single_Activity_Cost_Assumptions_Annual" xr:uid="{00000000-0004-0000-1500-00000A000000}"/>
    <hyperlink ref="D192" location="HL_LVL2_ACTV_16_Activity_Summary_Costs_Annual" tooltip="Click to follow hyperlink." display="HL_LVL2_ACTV_16_Activity_Summary_Costs_Annual" xr:uid="{00000000-0004-0000-1500-00000B000000}"/>
    <hyperlink ref="E53" location="HL_TOP_ACTV_20_Detailed_Costing_Worksheet" tooltip="Click to follow hyperlink." display="HL_TOP_ACTV_20_Detailed_Costing_Worksheet" xr:uid="{00000000-0004-0000-1500-00000C000000}"/>
    <hyperlink ref="E88" location="HL_TOP_ACTV_19_Detailed_Costing_Worksheet" tooltip="Click to follow hyperlink." display="HL_TOP_ACTV_19_Detailed_Costing_Worksheet" xr:uid="{00000000-0004-0000-1500-00000D000000}"/>
    <hyperlink ref="E166" location="HL_LVL2_ACTV_16_Detailed_Costing_Worksheet" tooltip="Click to follow hyperlink." display="HL_LVL2_ACTV_16_Detailed_Costing_Worksheet" xr:uid="{00000000-0004-0000-1500-00000E000000}"/>
    <hyperlink ref="A1" location="Contents!A1" tooltip="Go to Table of Contents" display="±" xr:uid="{00000000-0004-0000-1500-00000F000000}"/>
    <hyperlink ref="A3" location="$B$8" tooltip="Go to Top of Sheet" display="$B$8" xr:uid="{7EFC6C23-0999-47C1-BE01-D9CF4A098FD6}"/>
  </hyperlinks>
  <pageMargins left="0.7" right="0.7" top="0.75" bottom="0.75" header="0.3" footer="0.3"/>
  <pageSetup scale="50" fitToHeight="0" orientation="landscape" horizontalDpi="0" verticalDpi="0" r:id="rId1"/>
  <headerFooter>
    <oddFooter>&amp;L&amp;B Confidential&amp;B&amp;C&amp;D&amp;RPage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0226" r:id="rId4" name="bpmDropDownLVL2_ACTV_72">
              <controlPr defaultSize="0" autoFill="0" autoPict="0">
                <anchor moveWithCells="1" sizeWithCells="1">
                  <from>
                    <xdr:col>4</xdr:col>
                    <xdr:colOff>0</xdr:colOff>
                    <xdr:row>121</xdr:row>
                    <xdr:rowOff>0</xdr:rowOff>
                  </from>
                  <to>
                    <xdr:col>5</xdr:col>
                    <xdr:colOff>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27" r:id="rId5" name="bpmDropDownLVL2_ACTV_73">
              <controlPr defaultSize="0" autoFill="0" autoPict="0">
                <anchor moveWithCells="1" sizeWithCells="1">
                  <from>
                    <xdr:col>4</xdr:col>
                    <xdr:colOff>0</xdr:colOff>
                    <xdr:row>123</xdr:row>
                    <xdr:rowOff>0</xdr:rowOff>
                  </from>
                  <to>
                    <xdr:col>5</xdr:col>
                    <xdr:colOff>0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29" r:id="rId6" name="bpmDropDownTOP_ACTV_62">
              <controlPr defaultSize="0" autoFill="0" autoPict="0">
                <anchor moveWithCells="1" sizeWithCells="1">
                  <from>
                    <xdr:col>4</xdr:col>
                    <xdr:colOff>0</xdr:colOff>
                    <xdr:row>15</xdr:row>
                    <xdr:rowOff>0</xdr:rowOff>
                  </from>
                  <to>
                    <xdr:col>5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30" r:id="rId7" name="bpmDropDownTOP_ACTV_63">
              <controlPr defaultSize="0" autoFill="0" autoPict="0">
                <anchor moveWithCells="1" sizeWithCells="1">
                  <from>
                    <xdr:col>4</xdr:col>
                    <xdr:colOff>0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32" r:id="rId8" name="bpmDropDownTOP_ACTV_202">
              <controlPr defaultSize="0" autoFill="0" autoPict="0">
                <anchor moveWithCells="1" sizeWithCells="1">
                  <from>
                    <xdr:col>4</xdr:col>
                    <xdr:colOff>0</xdr:colOff>
                    <xdr:row>49</xdr:row>
                    <xdr:rowOff>0</xdr:rowOff>
                  </from>
                  <to>
                    <xdr:col>5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33" r:id="rId9" name="bpmDropDownTOP_ACTV_203">
              <controlPr defaultSize="0" autoFill="0" autoPict="0">
                <anchor moveWithCells="1" sizeWithCells="1">
                  <from>
                    <xdr:col>4</xdr:col>
                    <xdr:colOff>0</xdr:colOff>
                    <xdr:row>51</xdr:row>
                    <xdr:rowOff>0</xdr:rowOff>
                  </from>
                  <to>
                    <xdr:col>5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35" r:id="rId10" name="bpmDropDownTOP_ACTV_192">
              <controlPr defaultSize="0" autoFill="0" autoPict="0">
                <anchor moveWithCells="1" sizeWithCells="1">
                  <from>
                    <xdr:col>4</xdr:col>
                    <xdr:colOff>0</xdr:colOff>
                    <xdr:row>84</xdr:row>
                    <xdr:rowOff>0</xdr:rowOff>
                  </from>
                  <to>
                    <xdr:col>5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36" r:id="rId11" name="bpmDropDownTOP_ACTV_193">
              <controlPr defaultSize="0" autoFill="0" autoPict="0">
                <anchor moveWithCells="1" sizeWithCells="1">
                  <from>
                    <xdr:col>4</xdr:col>
                    <xdr:colOff>0</xdr:colOff>
                    <xdr:row>86</xdr:row>
                    <xdr:rowOff>0</xdr:rowOff>
                  </from>
                  <to>
                    <xdr:col>5</xdr:col>
                    <xdr:colOff>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41" r:id="rId12" name="bpmDropDownLVL2_ACTV_162">
              <controlPr defaultSize="0" autoFill="0" autoPict="0">
                <anchor moveWithCells="1" sizeWithCells="1">
                  <from>
                    <xdr:col>4</xdr:col>
                    <xdr:colOff>0</xdr:colOff>
                    <xdr:row>162</xdr:row>
                    <xdr:rowOff>0</xdr:rowOff>
                  </from>
                  <to>
                    <xdr:col>5</xdr:col>
                    <xdr:colOff>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42" r:id="rId13" name="bpmDropDownLVL2_ACTV_163">
              <controlPr defaultSize="0" autoFill="0" autoPict="0">
                <anchor moveWithCells="1" sizeWithCells="1">
                  <from>
                    <xdr:col>4</xdr:col>
                    <xdr:colOff>0</xdr:colOff>
                    <xdr:row>164</xdr:row>
                    <xdr:rowOff>0</xdr:rowOff>
                  </from>
                  <to>
                    <xdr:col>5</xdr:col>
                    <xdr:colOff>0</xdr:colOff>
                    <xdr:row>165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  <pageSetUpPr autoPageBreaks="0" fitToPage="1"/>
  </sheetPr>
  <dimension ref="A1:R48"/>
  <sheetViews>
    <sheetView showGridLines="0" zoomScaleNormal="100" workbookViewId="0">
      <pane xSplit="1" ySplit="9" topLeftCell="B10" activePane="bottomRight" state="frozen"/>
      <selection activeCell="I511" sqref="I511"/>
      <selection pane="topRight" activeCell="I511" sqref="I511"/>
      <selection pane="bottomLeft" activeCell="I511" sqref="I511"/>
      <selection pane="bottomRight" activeCell="D18" sqref="D18"/>
    </sheetView>
  </sheetViews>
  <sheetFormatPr defaultColWidth="11.7109375" defaultRowHeight="12" zeroHeight="1" x14ac:dyDescent="0.2"/>
  <cols>
    <col min="1" max="1" width="3.7109375" customWidth="1"/>
    <col min="2" max="2" width="30.7109375" customWidth="1"/>
    <col min="3" max="3" width="10.7109375" customWidth="1"/>
    <col min="4" max="4" width="35.7109375" customWidth="1"/>
    <col min="5" max="5" width="14.7109375" customWidth="1"/>
    <col min="6" max="6" width="20.7109375" customWidth="1"/>
    <col min="7" max="7" width="10.7109375" customWidth="1"/>
    <col min="8" max="8" width="12.7109375" customWidth="1"/>
    <col min="9" max="9" width="20.7109375" customWidth="1"/>
    <col min="10" max="14" width="15.7109375" customWidth="1"/>
  </cols>
  <sheetData>
    <row r="1" spans="1:14" ht="15" x14ac:dyDescent="0.2">
      <c r="A1" s="35" t="s">
        <v>128</v>
      </c>
      <c r="B1" s="31" t="str">
        <f>Lang_Cold_Chain_Expansion</f>
        <v>Cold Chain Expansion</v>
      </c>
    </row>
    <row r="2" spans="1:14" ht="12.75" x14ac:dyDescent="0.2">
      <c r="A2" s="36"/>
      <c r="B2" s="45" t="str">
        <f ca="1">Model_Name</f>
        <v>Cervical Cancer Prevention and Control Costing (C4P) Tool (Cost Projection)</v>
      </c>
    </row>
    <row r="3" spans="1:14" x14ac:dyDescent="0.2">
      <c r="C3" s="215"/>
      <c r="D3" s="215"/>
      <c r="E3" s="215"/>
      <c r="F3" s="215"/>
      <c r="G3" s="215"/>
      <c r="H3" s="215"/>
      <c r="I3" s="215"/>
      <c r="J3" s="216"/>
      <c r="K3" s="216"/>
      <c r="L3" s="216"/>
      <c r="M3" s="216"/>
      <c r="N3" s="216"/>
    </row>
    <row r="4" spans="1:14" x14ac:dyDescent="0.2">
      <c r="C4" s="215"/>
      <c r="D4" s="215"/>
      <c r="E4" s="215"/>
      <c r="F4" s="215"/>
      <c r="G4" s="215"/>
      <c r="H4" s="215"/>
      <c r="I4" s="215"/>
      <c r="J4" s="216"/>
      <c r="K4" s="216"/>
      <c r="L4" s="216"/>
      <c r="M4" s="216"/>
      <c r="N4" s="216"/>
    </row>
    <row r="5" spans="1:14" x14ac:dyDescent="0.2">
      <c r="A5" s="2" t="s">
        <v>5</v>
      </c>
      <c r="B5" s="218" t="str">
        <f>Lang_Year_Ending</f>
        <v>Year Ending</v>
      </c>
      <c r="C5" s="219"/>
      <c r="D5" s="219"/>
      <c r="E5" s="219"/>
      <c r="F5" s="219"/>
      <c r="G5" s="219"/>
      <c r="H5" s="219"/>
      <c r="I5" s="219"/>
      <c r="J5" s="220">
        <f t="shared" ref="J5:N5" si="0">J9</f>
        <v>2019</v>
      </c>
      <c r="K5" s="220">
        <f t="shared" si="0"/>
        <v>2020</v>
      </c>
      <c r="L5" s="220">
        <f t="shared" si="0"/>
        <v>2021</v>
      </c>
      <c r="M5" s="220">
        <f t="shared" si="0"/>
        <v>2022</v>
      </c>
      <c r="N5" s="220">
        <f t="shared" si="0"/>
        <v>2023</v>
      </c>
    </row>
    <row r="6" spans="1:14" hidden="1" x14ac:dyDescent="0.2">
      <c r="B6" s="15" t="str">
        <f>Lang_Period_Start_Date</f>
        <v>Period Start Date</v>
      </c>
      <c r="C6" s="215"/>
      <c r="D6" s="215"/>
      <c r="E6" s="215"/>
      <c r="F6" s="215"/>
      <c r="G6" s="215"/>
      <c r="H6" s="215"/>
      <c r="I6" s="215"/>
      <c r="J6" s="217">
        <f>EDATE(TS_Start_Date,(J8-1)*TS_Mths_In_Yr)</f>
        <v>43466</v>
      </c>
      <c r="K6" s="217">
        <f>EDATE(TS_Start_Date,(K8-1)*TS_Mths_In_Yr)</f>
        <v>43831</v>
      </c>
      <c r="L6" s="217">
        <f>EDATE(TS_Start_Date,(L8-1)*TS_Mths_In_Yr)</f>
        <v>44197</v>
      </c>
      <c r="M6" s="217">
        <f>EDATE(TS_Start_Date,(M8-1)*TS_Mths_In_Yr)</f>
        <v>44562</v>
      </c>
      <c r="N6" s="217">
        <f>EDATE(TS_Start_Date,(N8-1)*TS_Mths_In_Yr)</f>
        <v>44927</v>
      </c>
    </row>
    <row r="7" spans="1:14" hidden="1" x14ac:dyDescent="0.2">
      <c r="B7" s="15" t="str">
        <f>Lang_Period_End_Date</f>
        <v>Period End Date</v>
      </c>
      <c r="C7" s="215"/>
      <c r="D7" s="215"/>
      <c r="E7" s="215"/>
      <c r="F7" s="215"/>
      <c r="G7" s="215"/>
      <c r="H7" s="215"/>
      <c r="I7" s="215"/>
      <c r="J7" s="217">
        <f>EDATE(J6,TS_Mths_In_Yr)-1</f>
        <v>43830</v>
      </c>
      <c r="K7" s="217">
        <f>EDATE(K6,TS_Mths_In_Yr)-1</f>
        <v>44196</v>
      </c>
      <c r="L7" s="217">
        <f>EDATE(L6,TS_Mths_In_Yr)-1</f>
        <v>44561</v>
      </c>
      <c r="M7" s="217">
        <f>EDATE(M6,TS_Mths_In_Yr)-1</f>
        <v>44926</v>
      </c>
      <c r="N7" s="217">
        <f>EDATE(N6,TS_Mths_In_Yr)-1</f>
        <v>45291</v>
      </c>
    </row>
    <row r="8" spans="1:14" hidden="1" x14ac:dyDescent="0.2">
      <c r="B8" s="15" t="str">
        <f>Lang_Counter</f>
        <v>Counter</v>
      </c>
      <c r="C8" s="215"/>
      <c r="D8" s="215"/>
      <c r="E8" s="215"/>
      <c r="F8" s="215"/>
      <c r="G8" s="215"/>
      <c r="H8" s="215"/>
      <c r="I8" s="215"/>
      <c r="J8" s="42">
        <f>COLUMNS($J8:J8)</f>
        <v>1</v>
      </c>
      <c r="K8" s="42">
        <f>COLUMNS($J8:K8)</f>
        <v>2</v>
      </c>
      <c r="L8" s="42">
        <f>COLUMNS($J8:L8)</f>
        <v>3</v>
      </c>
      <c r="M8" s="42">
        <f>COLUMNS($J8:M8)</f>
        <v>4</v>
      </c>
      <c r="N8" s="42">
        <f>COLUMNS($J8:N8)</f>
        <v>5</v>
      </c>
    </row>
    <row r="9" spans="1:14" hidden="1" x14ac:dyDescent="0.2">
      <c r="B9" s="221" t="str">
        <f>Lang_Financial_Year</f>
        <v>Financial Year</v>
      </c>
      <c r="C9" s="219"/>
      <c r="D9" s="219"/>
      <c r="E9" s="219"/>
      <c r="F9" s="219"/>
      <c r="G9" s="219"/>
      <c r="H9" s="219"/>
      <c r="I9" s="219"/>
      <c r="J9" s="222">
        <f t="shared" ref="J9:N9" si="1">YEAR(J7)</f>
        <v>2019</v>
      </c>
      <c r="K9" s="222">
        <f t="shared" si="1"/>
        <v>2020</v>
      </c>
      <c r="L9" s="222">
        <f t="shared" si="1"/>
        <v>2021</v>
      </c>
      <c r="M9" s="222">
        <f t="shared" si="1"/>
        <v>2022</v>
      </c>
      <c r="N9" s="222">
        <f t="shared" si="1"/>
        <v>2023</v>
      </c>
    </row>
    <row r="10" spans="1:14" s="10" customFormat="1" x14ac:dyDescent="0.2"/>
    <row r="11" spans="1:14" s="10" customFormat="1" x14ac:dyDescent="0.2"/>
    <row r="12" spans="1:14" s="10" customFormat="1" x14ac:dyDescent="0.2">
      <c r="B12" s="13" t="str">
        <f>Lang_Cold_Chain_Expansion_Assumptions_Annual</f>
        <v>Cold Chain Expansion - Assumptions (Annual)</v>
      </c>
      <c r="C12" s="13"/>
      <c r="D12" s="13"/>
      <c r="E12" s="13"/>
      <c r="F12" s="13"/>
      <c r="G12" s="13"/>
      <c r="H12" s="13"/>
      <c r="I12" s="13"/>
    </row>
    <row r="13" spans="1:14" s="10" customFormat="1" x14ac:dyDescent="0.2"/>
    <row r="14" spans="1:14" s="10" customFormat="1" x14ac:dyDescent="0.2"/>
    <row r="15" spans="1:14" s="10" customFormat="1" x14ac:dyDescent="0.2">
      <c r="B15" s="65" t="str">
        <f>Lang_Required_Cold_Storage_Expansion</f>
        <v>Required Cold Storage Expansion</v>
      </c>
    </row>
    <row r="16" spans="1:14" s="10" customFormat="1" x14ac:dyDescent="0.2"/>
    <row r="17" spans="2:14" s="10" customFormat="1" x14ac:dyDescent="0.2"/>
    <row r="18" spans="2:14" s="10" customFormat="1" x14ac:dyDescent="0.2">
      <c r="C18" s="223" t="str">
        <f>Lang_Input_Currency_For_Cold_Storage_Equipment_Prices</f>
        <v>Input Currency for Cold Storage Equipment Prices</v>
      </c>
      <c r="D18" s="72">
        <v>1</v>
      </c>
    </row>
    <row r="19" spans="2:14" s="10" customFormat="1" ht="36" x14ac:dyDescent="0.2">
      <c r="B19" s="74" t="str">
        <f>Lang_Name_Of_Cold_Storage_Equipment</f>
        <v>Name of Cold Storage Equipment</v>
      </c>
      <c r="C19" s="224" t="str">
        <f>Lang_Capacity_Per_Unit</f>
        <v>Capacity per Unit (cm3)</v>
      </c>
      <c r="D19" s="225" t="str">
        <f ca="1">Lang_Price_Per_Unit_Fin&amp;" ("&amp;OFFSET(COLD_Lu!$D$11,COLD_CHAIN_EXPANS!$D$18,0)&amp;")"</f>
        <v>Price per Unit Financial (USD)</v>
      </c>
      <c r="E19" s="225" t="str">
        <f ca="1">Lang_Price_Per_Unit_Econ&amp;" ("&amp;OFFSET(COLD_Lu!$D$11,$D$18,0)&amp;")"</f>
        <v>Price per Unit Economic (USD)</v>
      </c>
      <c r="F19" s="316" t="str">
        <f>Lang_Useful_Life_Years</f>
        <v>Useful Life Years</v>
      </c>
      <c r="H19" s="85" t="str">
        <f>Lang_Total_Expansion</f>
        <v>Total Expansion (cm3)</v>
      </c>
      <c r="I19" s="55" t="str">
        <f>Lang_Total_All_Years</f>
        <v>TOTAL ALL YEARS</v>
      </c>
      <c r="J19" s="74" t="str">
        <f>Lang_Number_Of_Units</f>
        <v>Number of Units</v>
      </c>
      <c r="K19" s="74" t="str">
        <f>Lang_Number_Of_Units</f>
        <v>Number of Units</v>
      </c>
      <c r="L19" s="74" t="str">
        <f>Lang_Number_Of_Units</f>
        <v>Number of Units</v>
      </c>
      <c r="M19" s="74" t="str">
        <f>Lang_Number_Of_Units</f>
        <v>Number of Units</v>
      </c>
      <c r="N19" s="74" t="str">
        <f>Lang_Number_Of_Units</f>
        <v>Number of Units</v>
      </c>
    </row>
    <row r="20" spans="2:14" s="10" customFormat="1" x14ac:dyDescent="0.2">
      <c r="B20" s="62" t="s">
        <v>550</v>
      </c>
      <c r="C20" s="100"/>
      <c r="D20" s="365"/>
      <c r="E20" s="365"/>
      <c r="F20" s="77"/>
      <c r="H20" s="41">
        <f t="shared" ref="H20:H29" si="2">I20*$C20</f>
        <v>0</v>
      </c>
      <c r="I20" s="41">
        <f t="shared" ref="I20:I29" si="3">SUM(J20:N20)</f>
        <v>0</v>
      </c>
      <c r="J20" s="324">
        <v>0</v>
      </c>
      <c r="K20" s="324">
        <v>0</v>
      </c>
      <c r="L20" s="324">
        <v>0</v>
      </c>
      <c r="M20" s="324">
        <v>0</v>
      </c>
      <c r="N20" s="324">
        <v>0</v>
      </c>
    </row>
    <row r="21" spans="2:14" s="10" customFormat="1" x14ac:dyDescent="0.2">
      <c r="B21" s="62" t="s">
        <v>551</v>
      </c>
      <c r="C21" s="80">
        <v>0</v>
      </c>
      <c r="D21" s="365"/>
      <c r="E21" s="365"/>
      <c r="F21" s="77"/>
      <c r="H21" s="41">
        <f t="shared" si="2"/>
        <v>0</v>
      </c>
      <c r="I21" s="41">
        <f t="shared" si="3"/>
        <v>0</v>
      </c>
      <c r="J21" s="324">
        <v>0</v>
      </c>
      <c r="K21" s="324">
        <v>0</v>
      </c>
      <c r="L21" s="324">
        <v>0</v>
      </c>
      <c r="M21" s="324">
        <v>0</v>
      </c>
      <c r="N21" s="324">
        <v>0</v>
      </c>
    </row>
    <row r="22" spans="2:14" s="10" customFormat="1" x14ac:dyDescent="0.2">
      <c r="B22" s="62" t="s">
        <v>552</v>
      </c>
      <c r="C22" s="80">
        <v>0</v>
      </c>
      <c r="D22" s="365"/>
      <c r="E22" s="365"/>
      <c r="F22" s="77"/>
      <c r="H22" s="41">
        <f t="shared" si="2"/>
        <v>0</v>
      </c>
      <c r="I22" s="41">
        <f t="shared" si="3"/>
        <v>0</v>
      </c>
      <c r="J22" s="324">
        <v>0</v>
      </c>
      <c r="K22" s="324">
        <v>0</v>
      </c>
      <c r="L22" s="324">
        <v>0</v>
      </c>
      <c r="M22" s="324">
        <v>0</v>
      </c>
      <c r="N22" s="324">
        <v>0</v>
      </c>
    </row>
    <row r="23" spans="2:14" s="10" customFormat="1" x14ac:dyDescent="0.2">
      <c r="B23" s="62" t="s">
        <v>553</v>
      </c>
      <c r="C23" s="80">
        <v>0</v>
      </c>
      <c r="D23" s="365"/>
      <c r="E23" s="365"/>
      <c r="F23" s="77"/>
      <c r="H23" s="41">
        <f t="shared" si="2"/>
        <v>0</v>
      </c>
      <c r="I23" s="41">
        <f t="shared" si="3"/>
        <v>0</v>
      </c>
      <c r="J23" s="324">
        <v>0</v>
      </c>
      <c r="K23" s="324">
        <v>0</v>
      </c>
      <c r="L23" s="324">
        <v>0</v>
      </c>
      <c r="M23" s="324">
        <v>0</v>
      </c>
      <c r="N23" s="324">
        <v>0</v>
      </c>
    </row>
    <row r="24" spans="2:14" s="10" customFormat="1" x14ac:dyDescent="0.2">
      <c r="B24" s="62" t="s">
        <v>554</v>
      </c>
      <c r="C24" s="80">
        <v>0</v>
      </c>
      <c r="D24" s="365"/>
      <c r="E24" s="365"/>
      <c r="F24" s="77"/>
      <c r="H24" s="41">
        <f t="shared" si="2"/>
        <v>0</v>
      </c>
      <c r="I24" s="41">
        <f t="shared" si="3"/>
        <v>0</v>
      </c>
      <c r="J24" s="324">
        <v>0</v>
      </c>
      <c r="K24" s="324">
        <v>0</v>
      </c>
      <c r="L24" s="324">
        <v>0</v>
      </c>
      <c r="M24" s="324">
        <v>0</v>
      </c>
      <c r="N24" s="324">
        <v>0</v>
      </c>
    </row>
    <row r="25" spans="2:14" s="10" customFormat="1" x14ac:dyDescent="0.2">
      <c r="B25" s="62" t="s">
        <v>534</v>
      </c>
      <c r="C25" s="80">
        <v>0</v>
      </c>
      <c r="D25" s="365"/>
      <c r="E25" s="365"/>
      <c r="F25" s="77"/>
      <c r="H25" s="41">
        <f t="shared" si="2"/>
        <v>0</v>
      </c>
      <c r="I25" s="41">
        <f t="shared" si="3"/>
        <v>0</v>
      </c>
      <c r="J25" s="324">
        <v>0</v>
      </c>
      <c r="K25" s="324">
        <v>0</v>
      </c>
      <c r="L25" s="324">
        <v>0</v>
      </c>
      <c r="M25" s="324">
        <v>0</v>
      </c>
      <c r="N25" s="324">
        <v>0</v>
      </c>
    </row>
    <row r="26" spans="2:14" s="10" customFormat="1" x14ac:dyDescent="0.2">
      <c r="B26" s="62" t="s">
        <v>535</v>
      </c>
      <c r="C26" s="80">
        <v>0</v>
      </c>
      <c r="D26" s="365"/>
      <c r="E26" s="365"/>
      <c r="F26" s="77"/>
      <c r="H26" s="41">
        <f t="shared" si="2"/>
        <v>0</v>
      </c>
      <c r="I26" s="41">
        <f t="shared" si="3"/>
        <v>0</v>
      </c>
      <c r="J26" s="324">
        <v>0</v>
      </c>
      <c r="K26" s="324">
        <v>0</v>
      </c>
      <c r="L26" s="324">
        <v>0</v>
      </c>
      <c r="M26" s="324">
        <v>0</v>
      </c>
      <c r="N26" s="324">
        <v>0</v>
      </c>
    </row>
    <row r="27" spans="2:14" s="10" customFormat="1" x14ac:dyDescent="0.2">
      <c r="B27" s="62" t="s">
        <v>536</v>
      </c>
      <c r="C27" s="80">
        <v>0</v>
      </c>
      <c r="D27" s="365"/>
      <c r="E27" s="365"/>
      <c r="F27" s="77"/>
      <c r="H27" s="41">
        <f t="shared" si="2"/>
        <v>0</v>
      </c>
      <c r="I27" s="41">
        <f t="shared" si="3"/>
        <v>0</v>
      </c>
      <c r="J27" s="324">
        <v>0</v>
      </c>
      <c r="K27" s="324">
        <v>0</v>
      </c>
      <c r="L27" s="324">
        <v>0</v>
      </c>
      <c r="M27" s="324">
        <v>0</v>
      </c>
      <c r="N27" s="324">
        <v>0</v>
      </c>
    </row>
    <row r="28" spans="2:14" s="10" customFormat="1" x14ac:dyDescent="0.2">
      <c r="B28" s="62" t="s">
        <v>537</v>
      </c>
      <c r="C28" s="80">
        <v>0</v>
      </c>
      <c r="D28" s="365"/>
      <c r="E28" s="365"/>
      <c r="F28" s="77"/>
      <c r="H28" s="41">
        <f t="shared" si="2"/>
        <v>0</v>
      </c>
      <c r="I28" s="41">
        <f t="shared" si="3"/>
        <v>0</v>
      </c>
      <c r="J28" s="324">
        <v>0</v>
      </c>
      <c r="K28" s="324">
        <v>0</v>
      </c>
      <c r="L28" s="324">
        <v>0</v>
      </c>
      <c r="M28" s="324">
        <v>0</v>
      </c>
      <c r="N28" s="324">
        <v>0</v>
      </c>
    </row>
    <row r="29" spans="2:14" s="10" customFormat="1" x14ac:dyDescent="0.2">
      <c r="B29" s="62" t="s">
        <v>538</v>
      </c>
      <c r="C29" s="319">
        <v>0</v>
      </c>
      <c r="D29" s="365"/>
      <c r="E29" s="365"/>
      <c r="F29" s="77"/>
      <c r="H29" s="41">
        <f t="shared" si="2"/>
        <v>0</v>
      </c>
      <c r="I29" s="41">
        <f t="shared" si="3"/>
        <v>0</v>
      </c>
      <c r="J29" s="324">
        <v>0</v>
      </c>
      <c r="K29" s="324">
        <v>0</v>
      </c>
      <c r="L29" s="324">
        <v>0</v>
      </c>
      <c r="M29" s="324">
        <v>0</v>
      </c>
      <c r="N29" s="324">
        <v>0</v>
      </c>
    </row>
    <row r="30" spans="2:14" s="10" customFormat="1" x14ac:dyDescent="0.2">
      <c r="B30" s="74"/>
      <c r="C30" s="317"/>
      <c r="D30" s="41">
        <f>SUM(D20:D29)</f>
        <v>0</v>
      </c>
      <c r="E30" s="41">
        <f>SUM(E20:E29)</f>
        <v>0</v>
      </c>
      <c r="F30" s="318"/>
      <c r="H30" s="383">
        <f>SUM(H20:H29)</f>
        <v>0</v>
      </c>
      <c r="I30" s="383">
        <f>SUM(I20:I29)</f>
        <v>0</v>
      </c>
      <c r="J30" s="142">
        <f>SUM(J20:J29)</f>
        <v>0</v>
      </c>
      <c r="K30" s="142">
        <f t="shared" ref="K30:N30" si="4">SUM(K20:K29)</f>
        <v>0</v>
      </c>
      <c r="L30" s="142">
        <f t="shared" si="4"/>
        <v>0</v>
      </c>
      <c r="M30" s="142">
        <f t="shared" si="4"/>
        <v>0</v>
      </c>
      <c r="N30" s="142">
        <f t="shared" si="4"/>
        <v>0</v>
      </c>
    </row>
    <row r="31" spans="2:14" s="10" customFormat="1" x14ac:dyDescent="0.2"/>
    <row r="32" spans="2:14" s="10" customFormat="1" x14ac:dyDescent="0.2">
      <c r="B32" s="74" t="str">
        <f>Lang_Notes_On_Calculations_Estimates</f>
        <v>Notes on Calculations/ Estimates</v>
      </c>
    </row>
    <row r="33" spans="2:18" s="10" customFormat="1" x14ac:dyDescent="0.2">
      <c r="B33" s="482" t="s">
        <v>596</v>
      </c>
      <c r="C33" s="482"/>
      <c r="D33" s="482"/>
      <c r="R33" s="10" t="s">
        <v>39</v>
      </c>
    </row>
    <row r="34" spans="2:18" s="10" customFormat="1" x14ac:dyDescent="0.2">
      <c r="B34" s="482" t="s">
        <v>596</v>
      </c>
      <c r="C34" s="482"/>
      <c r="D34" s="482"/>
    </row>
    <row r="35" spans="2:18" s="10" customFormat="1" x14ac:dyDescent="0.2">
      <c r="B35" s="482" t="s">
        <v>596</v>
      </c>
      <c r="C35" s="482"/>
      <c r="D35" s="482"/>
    </row>
    <row r="36" spans="2:18" s="10" customFormat="1" x14ac:dyDescent="0.2">
      <c r="B36" s="482" t="s">
        <v>596</v>
      </c>
      <c r="C36" s="482"/>
      <c r="D36" s="482"/>
    </row>
    <row r="37" spans="2:18" s="10" customFormat="1" x14ac:dyDescent="0.2">
      <c r="B37" s="482" t="s">
        <v>596</v>
      </c>
      <c r="C37" s="482"/>
      <c r="D37" s="482"/>
    </row>
    <row r="38" spans="2:18" s="10" customFormat="1" x14ac:dyDescent="0.2">
      <c r="B38" s="482" t="s">
        <v>596</v>
      </c>
      <c r="C38" s="482"/>
      <c r="D38" s="482"/>
    </row>
    <row r="39" spans="2:18" s="10" customFormat="1" x14ac:dyDescent="0.2"/>
    <row r="40" spans="2:18" s="10" customFormat="1" hidden="1" x14ac:dyDescent="0.2">
      <c r="B40" s="55" t="str">
        <f>Lang_Currency_Options_For_Dropdown_List</f>
        <v>Currency Options for Dropdown List</v>
      </c>
      <c r="C40" s="50" t="str">
        <f>Lang_From_Econ_Tab</f>
        <v>(from Economic Tab)</v>
      </c>
    </row>
    <row r="41" spans="2:18" s="10" customFormat="1" hidden="1" x14ac:dyDescent="0.2">
      <c r="B41" s="49" t="str">
        <f>ECONOMICS!F7</f>
        <v>USD</v>
      </c>
    </row>
    <row r="42" spans="2:18" s="10" customFormat="1" hidden="1" x14ac:dyDescent="0.2">
      <c r="B42" s="49" t="str">
        <f>ECONOMICS!F8</f>
        <v>LCU</v>
      </c>
    </row>
    <row r="43" spans="2:18" s="10" customFormat="1" x14ac:dyDescent="0.2"/>
    <row r="44" spans="2:18" s="10" customFormat="1" x14ac:dyDescent="0.2"/>
    <row r="45" spans="2:18" s="10" customFormat="1" x14ac:dyDescent="0.2"/>
    <row r="46" spans="2:18" s="10" customFormat="1" x14ac:dyDescent="0.2">
      <c r="B46" s="76" t="str">
        <f>Lang_GoTo&amp;" "&amp;HL_COLD_Out_A</f>
        <v>Go to Cold Chain Expansion - Outputs</v>
      </c>
    </row>
    <row r="47" spans="2:18" s="10" customFormat="1" x14ac:dyDescent="0.2"/>
    <row r="48" spans="2:18" x14ac:dyDescent="0.2"/>
  </sheetData>
  <mergeCells count="6">
    <mergeCell ref="B38:D38"/>
    <mergeCell ref="B33:D33"/>
    <mergeCell ref="B34:D34"/>
    <mergeCell ref="B35:D35"/>
    <mergeCell ref="B36:D36"/>
    <mergeCell ref="B37:D37"/>
  </mergeCells>
  <conditionalFormatting sqref="D20:E30">
    <cfRule type="expression" dxfId="203" priority="1">
      <formula>$D$18=1</formula>
    </cfRule>
  </conditionalFormatting>
  <dataValidations count="2">
    <dataValidation type="custom" showErrorMessage="1" errorTitle="Invalid Assumption" error="Assumption must be a number." sqref="J20:N29 C20:F29" xr:uid="{00000000-0002-0000-1600-000000000000}">
      <formula1>NOT(ISERROR(C20/1))</formula1>
    </dataValidation>
    <dataValidation type="whole" showDropDown="1" showErrorMessage="1" errorTitle="Drop Down Box Cell Link" error="The value in a drop down box cell link must be a whole number within the control's lookup range rows." sqref="D18" xr:uid="{00000000-0002-0000-1600-000001000000}">
      <formula1>1</formula1>
      <formula2>ROWS(LU_COLD_Currency)</formula2>
    </dataValidation>
  </dataValidations>
  <hyperlinks>
    <hyperlink ref="B46" location="HL_COLD_Out_A" tooltip="Click to follow hyperlink." display="HL_COLD_Out_A" xr:uid="{00000000-0004-0000-1600-000000000000}"/>
    <hyperlink ref="A1" location="Contents!A1" tooltip="Go to Table of Contents" display="±" xr:uid="{00000000-0004-0000-1600-000001000000}"/>
    <hyperlink ref="A5" location="$B$10" tooltip="Go to Top of Sheet" display="$B$10" xr:uid="{7015A3BC-9516-42FC-B879-E339215DF068}"/>
  </hyperlinks>
  <pageMargins left="0.7" right="0.7" top="0.75" bottom="0.75" header="0.3" footer="0.3"/>
  <pageSetup scale="50" fitToHeight="0" orientation="landscape" horizontalDpi="0" verticalDpi="0" r:id="rId1"/>
  <headerFooter>
    <oddFooter>&amp;L&amp;B Confidential&amp;B&amp;C&amp;D&amp;RPage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96011" r:id="rId4" name="bpmDropDownCOLD11">
              <controlPr defaultSize="0" autoFill="0" autoPict="0">
                <anchor moveWithCells="1" siz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4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C000"/>
    <pageSetUpPr autoPageBreaks="0" fitToPage="1"/>
  </sheetPr>
  <dimension ref="A1:R49"/>
  <sheetViews>
    <sheetView showGridLines="0" zoomScaleNormal="100" workbookViewId="0">
      <pane xSplit="1" ySplit="10" topLeftCell="B11" activePane="bottomRight" state="frozen"/>
      <selection activeCell="I511" sqref="I511"/>
      <selection pane="topRight" activeCell="I511" sqref="I511"/>
      <selection pane="bottomLeft" activeCell="I511" sqref="I511"/>
      <selection pane="bottomRight" activeCell="B3" sqref="B3"/>
    </sheetView>
  </sheetViews>
  <sheetFormatPr defaultColWidth="11.7109375" defaultRowHeight="12" zeroHeight="1" x14ac:dyDescent="0.2"/>
  <cols>
    <col min="1" max="1" width="3.7109375" customWidth="1"/>
    <col min="2" max="2" width="30.7109375" customWidth="1"/>
    <col min="3" max="3" width="10.7109375" hidden="1" customWidth="1"/>
    <col min="4" max="4" width="35.7109375" customWidth="1"/>
    <col min="5" max="5" width="14.7109375" customWidth="1"/>
    <col min="6" max="6" width="20.7109375" customWidth="1"/>
    <col min="7" max="7" width="10.7109375" customWidth="1"/>
    <col min="8" max="8" width="12.7109375" customWidth="1"/>
    <col min="9" max="9" width="20.7109375" customWidth="1"/>
    <col min="10" max="14" width="15.7109375" customWidth="1"/>
  </cols>
  <sheetData>
    <row r="1" spans="1:14" ht="15" x14ac:dyDescent="0.2">
      <c r="A1" s="35" t="s">
        <v>128</v>
      </c>
      <c r="B1" s="31" t="str">
        <f>Lang_Other_Capital_Investments</f>
        <v>Other Capital Investments</v>
      </c>
    </row>
    <row r="2" spans="1:14" ht="12.75" x14ac:dyDescent="0.2">
      <c r="A2" s="36"/>
      <c r="B2" s="45" t="str">
        <f ca="1">Model_Name</f>
        <v>Cervical Cancer Prevention and Control Costing (C4P) Tool (Cost Projection)</v>
      </c>
    </row>
    <row r="3" spans="1:14" ht="12.75" x14ac:dyDescent="0.2">
      <c r="B3" s="9" t="str">
        <f>Lang_Goto_TOC</f>
        <v>Go to Table of Contents</v>
      </c>
      <c r="C3" s="47"/>
      <c r="D3" s="47"/>
      <c r="E3" s="47"/>
      <c r="F3" s="47"/>
    </row>
    <row r="4" spans="1:14" x14ac:dyDescent="0.2">
      <c r="C4" s="215"/>
      <c r="D4" s="215"/>
      <c r="E4" s="215"/>
      <c r="F4" s="215"/>
      <c r="G4" s="215"/>
      <c r="H4" s="215"/>
      <c r="I4" s="215"/>
      <c r="J4" s="216"/>
      <c r="K4" s="216"/>
      <c r="L4" s="216"/>
      <c r="M4" s="216"/>
      <c r="N4" s="216"/>
    </row>
    <row r="5" spans="1:14" x14ac:dyDescent="0.2">
      <c r="C5" s="215"/>
      <c r="D5" s="215"/>
      <c r="E5" s="215"/>
      <c r="F5" s="215"/>
      <c r="G5" s="215"/>
      <c r="H5" s="215"/>
      <c r="I5" s="215"/>
      <c r="J5" s="216"/>
      <c r="K5" s="216"/>
      <c r="L5" s="216"/>
      <c r="M5" s="216"/>
      <c r="N5" s="216"/>
    </row>
    <row r="6" spans="1:14" x14ac:dyDescent="0.2">
      <c r="A6" s="2" t="s">
        <v>5</v>
      </c>
      <c r="B6" s="218" t="str">
        <f>Lang_Year_Ending</f>
        <v>Year Ending</v>
      </c>
      <c r="C6" s="219"/>
      <c r="D6" s="219"/>
      <c r="E6" s="219"/>
      <c r="F6" s="219"/>
      <c r="G6" s="219"/>
      <c r="H6" s="219"/>
      <c r="I6" s="219"/>
      <c r="J6" s="220">
        <f t="shared" ref="J6:N6" si="0">J10</f>
        <v>2019</v>
      </c>
      <c r="K6" s="220">
        <f t="shared" si="0"/>
        <v>2020</v>
      </c>
      <c r="L6" s="220">
        <f t="shared" si="0"/>
        <v>2021</v>
      </c>
      <c r="M6" s="220">
        <f t="shared" si="0"/>
        <v>2022</v>
      </c>
      <c r="N6" s="220">
        <f t="shared" si="0"/>
        <v>2023</v>
      </c>
    </row>
    <row r="7" spans="1:14" hidden="1" x14ac:dyDescent="0.2">
      <c r="B7" s="15" t="str">
        <f>Lang_Period_Start_Date</f>
        <v>Period Start Date</v>
      </c>
      <c r="C7" s="215"/>
      <c r="D7" s="215"/>
      <c r="E7" s="215"/>
      <c r="F7" s="215"/>
      <c r="G7" s="215"/>
      <c r="H7" s="215"/>
      <c r="I7" s="215"/>
      <c r="J7" s="217">
        <f>EDATE(TS_Start_Date,(J9-1)*TS_Mths_In_Yr)</f>
        <v>43466</v>
      </c>
      <c r="K7" s="217">
        <f>EDATE(TS_Start_Date,(K9-1)*TS_Mths_In_Yr)</f>
        <v>43831</v>
      </c>
      <c r="L7" s="217">
        <f>EDATE(TS_Start_Date,(L9-1)*TS_Mths_In_Yr)</f>
        <v>44197</v>
      </c>
      <c r="M7" s="217">
        <f>EDATE(TS_Start_Date,(M9-1)*TS_Mths_In_Yr)</f>
        <v>44562</v>
      </c>
      <c r="N7" s="217">
        <f>EDATE(TS_Start_Date,(N9-1)*TS_Mths_In_Yr)</f>
        <v>44927</v>
      </c>
    </row>
    <row r="8" spans="1:14" hidden="1" x14ac:dyDescent="0.2">
      <c r="B8" s="15" t="str">
        <f>Lang_Period_End_Date</f>
        <v>Period End Date</v>
      </c>
      <c r="C8" s="215"/>
      <c r="D8" s="215"/>
      <c r="E8" s="215"/>
      <c r="F8" s="215"/>
      <c r="G8" s="215"/>
      <c r="H8" s="215"/>
      <c r="I8" s="215"/>
      <c r="J8" s="217">
        <f>EDATE(J7,TS_Mths_In_Yr)-1</f>
        <v>43830</v>
      </c>
      <c r="K8" s="217">
        <f>EDATE(K7,TS_Mths_In_Yr)-1</f>
        <v>44196</v>
      </c>
      <c r="L8" s="217">
        <f>EDATE(L7,TS_Mths_In_Yr)-1</f>
        <v>44561</v>
      </c>
      <c r="M8" s="217">
        <f>EDATE(M7,TS_Mths_In_Yr)-1</f>
        <v>44926</v>
      </c>
      <c r="N8" s="217">
        <f>EDATE(N7,TS_Mths_In_Yr)-1</f>
        <v>45291</v>
      </c>
    </row>
    <row r="9" spans="1:14" hidden="1" x14ac:dyDescent="0.2">
      <c r="B9" s="15" t="str">
        <f>Lang_Counter</f>
        <v>Counter</v>
      </c>
      <c r="C9" s="215"/>
      <c r="D9" s="215"/>
      <c r="E9" s="215"/>
      <c r="F9" s="215"/>
      <c r="G9" s="215"/>
      <c r="H9" s="215"/>
      <c r="I9" s="215"/>
      <c r="J9" s="42">
        <f>COLUMNS($J9:J9)</f>
        <v>1</v>
      </c>
      <c r="K9" s="42">
        <f>COLUMNS($J9:K9)</f>
        <v>2</v>
      </c>
      <c r="L9" s="42">
        <f>COLUMNS($J9:L9)</f>
        <v>3</v>
      </c>
      <c r="M9" s="42">
        <f>COLUMNS($J9:M9)</f>
        <v>4</v>
      </c>
      <c r="N9" s="42">
        <f>COLUMNS($J9:N9)</f>
        <v>5</v>
      </c>
    </row>
    <row r="10" spans="1:14" hidden="1" x14ac:dyDescent="0.2">
      <c r="B10" s="221" t="str">
        <f>Lang_Financial_Year</f>
        <v>Financial Year</v>
      </c>
      <c r="C10" s="219"/>
      <c r="D10" s="219"/>
      <c r="E10" s="219"/>
      <c r="F10" s="219"/>
      <c r="G10" s="219"/>
      <c r="H10" s="219"/>
      <c r="I10" s="219"/>
      <c r="J10" s="222">
        <f t="shared" ref="J10:N10" si="1">YEAR(J8)</f>
        <v>2019</v>
      </c>
      <c r="K10" s="222">
        <f t="shared" si="1"/>
        <v>2020</v>
      </c>
      <c r="L10" s="222">
        <f t="shared" si="1"/>
        <v>2021</v>
      </c>
      <c r="M10" s="222">
        <f t="shared" si="1"/>
        <v>2022</v>
      </c>
      <c r="N10" s="222">
        <f t="shared" si="1"/>
        <v>2023</v>
      </c>
    </row>
    <row r="11" spans="1:14" s="10" customFormat="1" x14ac:dyDescent="0.2"/>
    <row r="12" spans="1:14" s="10" customFormat="1" x14ac:dyDescent="0.2"/>
    <row r="13" spans="1:14" s="10" customFormat="1" x14ac:dyDescent="0.2">
      <c r="B13" s="13" t="str">
        <f>Lang_Other_Capital_Investments_Assumptions_Annual</f>
        <v>Other Capital Investments - Assumptions (Annual)</v>
      </c>
      <c r="C13" s="13"/>
      <c r="D13" s="13"/>
      <c r="E13" s="13"/>
      <c r="F13" s="13"/>
      <c r="G13" s="13"/>
      <c r="H13" s="13"/>
      <c r="I13" s="13"/>
    </row>
    <row r="14" spans="1:14" s="10" customFormat="1" x14ac:dyDescent="0.2"/>
    <row r="15" spans="1:14" s="10" customFormat="1" x14ac:dyDescent="0.2"/>
    <row r="16" spans="1:14" s="10" customFormat="1" x14ac:dyDescent="0.2">
      <c r="B16" s="65" t="str">
        <f>Lang_Required_Capital_Investments</f>
        <v>Required Capital Investments</v>
      </c>
    </row>
    <row r="17" spans="2:14" s="10" customFormat="1" x14ac:dyDescent="0.2"/>
    <row r="18" spans="2:14" s="10" customFormat="1" x14ac:dyDescent="0.2"/>
    <row r="19" spans="2:14" s="10" customFormat="1" x14ac:dyDescent="0.2">
      <c r="C19" s="223" t="str">
        <f>Lang_Input_Currency_For_Other_Capital_Investment</f>
        <v>Input Currency for Other Capital Investment</v>
      </c>
      <c r="D19" s="72">
        <v>1</v>
      </c>
    </row>
    <row r="20" spans="2:14" s="10" customFormat="1" ht="24" x14ac:dyDescent="0.2">
      <c r="B20" s="74" t="str">
        <f>Lang_Name_Of_Other_Capital_Investment</f>
        <v>Name of Other Capital Investment</v>
      </c>
      <c r="D20" s="225" t="str">
        <f ca="1">Lang_Price_Per_Unit_Fin&amp;" ("&amp;OFFSET(CAP_OTH_Lu!$D$13,$D$19,0)&amp;")"</f>
        <v>Price per Unit Financial (USD)</v>
      </c>
      <c r="E20" s="225" t="str">
        <f ca="1">Lang_Price_Per_Unit_Econ&amp;" ("&amp;OFFSET(CAP_OTH_Lu!$D$13,$D$19,0)&amp;")"</f>
        <v>Price per Unit Economic (USD)</v>
      </c>
      <c r="F20" s="316" t="str">
        <f>Lang_Useful_Life_Years</f>
        <v>Useful Life Years</v>
      </c>
      <c r="I20" s="55" t="str">
        <f>Lang_Total_All_Years</f>
        <v>TOTAL ALL YEARS</v>
      </c>
      <c r="J20" s="74" t="str">
        <f>Lang_Number_Of_Units</f>
        <v>Number of Units</v>
      </c>
      <c r="K20" s="74" t="str">
        <f>Lang_Number_Of_Units</f>
        <v>Number of Units</v>
      </c>
      <c r="L20" s="74" t="str">
        <f>Lang_Number_Of_Units</f>
        <v>Number of Units</v>
      </c>
      <c r="M20" s="74" t="str">
        <f>Lang_Number_Of_Units</f>
        <v>Number of Units</v>
      </c>
      <c r="N20" s="74" t="str">
        <f>Lang_Number_Of_Units</f>
        <v>Number of Units</v>
      </c>
    </row>
    <row r="21" spans="2:14" s="10" customFormat="1" x14ac:dyDescent="0.2">
      <c r="B21" s="62" t="s">
        <v>563</v>
      </c>
      <c r="C21" s="364">
        <v>1</v>
      </c>
      <c r="D21" s="324">
        <v>0</v>
      </c>
      <c r="E21" s="324">
        <v>0</v>
      </c>
      <c r="F21" s="77"/>
      <c r="H21" s="41">
        <f>I21*$C21</f>
        <v>0</v>
      </c>
      <c r="I21" s="41">
        <f t="shared" ref="I21:I30" si="2">SUM(J21:N21)</f>
        <v>0</v>
      </c>
      <c r="J21" s="324"/>
      <c r="K21" s="324">
        <v>0</v>
      </c>
      <c r="L21" s="324">
        <v>0</v>
      </c>
      <c r="M21" s="324">
        <v>0</v>
      </c>
      <c r="N21" s="324">
        <v>0</v>
      </c>
    </row>
    <row r="22" spans="2:14" s="10" customFormat="1" x14ac:dyDescent="0.2">
      <c r="B22" s="62" t="s">
        <v>564</v>
      </c>
      <c r="C22" s="364">
        <v>1</v>
      </c>
      <c r="D22" s="324">
        <v>0</v>
      </c>
      <c r="E22" s="324">
        <v>0</v>
      </c>
      <c r="F22" s="77"/>
      <c r="H22" s="41">
        <f t="shared" ref="H22:H30" si="3">I22*$C22</f>
        <v>0</v>
      </c>
      <c r="I22" s="41">
        <f t="shared" si="2"/>
        <v>0</v>
      </c>
      <c r="J22" s="324">
        <v>0</v>
      </c>
      <c r="K22" s="324">
        <v>0</v>
      </c>
      <c r="L22" s="324">
        <v>0</v>
      </c>
      <c r="M22" s="324">
        <v>0</v>
      </c>
      <c r="N22" s="324">
        <v>0</v>
      </c>
    </row>
    <row r="23" spans="2:14" s="10" customFormat="1" x14ac:dyDescent="0.2">
      <c r="B23" s="62" t="s">
        <v>565</v>
      </c>
      <c r="C23" s="364">
        <v>1</v>
      </c>
      <c r="D23" s="324">
        <v>0</v>
      </c>
      <c r="E23" s="324">
        <v>0</v>
      </c>
      <c r="F23" s="77"/>
      <c r="H23" s="41">
        <f t="shared" si="3"/>
        <v>0</v>
      </c>
      <c r="I23" s="41">
        <f t="shared" si="2"/>
        <v>0</v>
      </c>
      <c r="J23" s="324">
        <v>0</v>
      </c>
      <c r="K23" s="324">
        <v>0</v>
      </c>
      <c r="L23" s="324">
        <v>0</v>
      </c>
      <c r="M23" s="324">
        <v>0</v>
      </c>
      <c r="N23" s="324">
        <v>0</v>
      </c>
    </row>
    <row r="24" spans="2:14" s="10" customFormat="1" x14ac:dyDescent="0.2">
      <c r="B24" s="62" t="s">
        <v>566</v>
      </c>
      <c r="C24" s="364">
        <v>1</v>
      </c>
      <c r="D24" s="324">
        <v>0</v>
      </c>
      <c r="E24" s="324">
        <v>0</v>
      </c>
      <c r="F24" s="77"/>
      <c r="H24" s="41">
        <f t="shared" si="3"/>
        <v>0</v>
      </c>
      <c r="I24" s="41">
        <f t="shared" si="2"/>
        <v>0</v>
      </c>
      <c r="J24" s="324">
        <v>0</v>
      </c>
      <c r="K24" s="324">
        <v>0</v>
      </c>
      <c r="L24" s="324">
        <v>0</v>
      </c>
      <c r="M24" s="324">
        <v>0</v>
      </c>
      <c r="N24" s="324">
        <v>0</v>
      </c>
    </row>
    <row r="25" spans="2:14" s="10" customFormat="1" x14ac:dyDescent="0.2">
      <c r="B25" s="62" t="s">
        <v>567</v>
      </c>
      <c r="C25" s="364">
        <v>1</v>
      </c>
      <c r="D25" s="324">
        <v>0</v>
      </c>
      <c r="E25" s="324">
        <v>0</v>
      </c>
      <c r="F25" s="77"/>
      <c r="H25" s="41">
        <f t="shared" si="3"/>
        <v>0</v>
      </c>
      <c r="I25" s="41">
        <f t="shared" si="2"/>
        <v>0</v>
      </c>
      <c r="J25" s="324">
        <v>0</v>
      </c>
      <c r="K25" s="324">
        <v>0</v>
      </c>
      <c r="L25" s="324">
        <v>0</v>
      </c>
      <c r="M25" s="324">
        <v>0</v>
      </c>
      <c r="N25" s="324">
        <v>0</v>
      </c>
    </row>
    <row r="26" spans="2:14" s="10" customFormat="1" x14ac:dyDescent="0.2">
      <c r="B26" s="62" t="s">
        <v>568</v>
      </c>
      <c r="C26" s="364">
        <v>1</v>
      </c>
      <c r="D26" s="324">
        <v>0</v>
      </c>
      <c r="E26" s="324">
        <v>0</v>
      </c>
      <c r="F26" s="77"/>
      <c r="H26" s="41">
        <f t="shared" si="3"/>
        <v>0</v>
      </c>
      <c r="I26" s="41">
        <f t="shared" si="2"/>
        <v>0</v>
      </c>
      <c r="J26" s="324">
        <v>0</v>
      </c>
      <c r="K26" s="324">
        <v>0</v>
      </c>
      <c r="L26" s="324">
        <v>0</v>
      </c>
      <c r="M26" s="324">
        <v>0</v>
      </c>
      <c r="N26" s="324">
        <v>0</v>
      </c>
    </row>
    <row r="27" spans="2:14" s="10" customFormat="1" x14ac:dyDescent="0.2">
      <c r="B27" s="62" t="s">
        <v>569</v>
      </c>
      <c r="C27" s="364">
        <v>1</v>
      </c>
      <c r="D27" s="324">
        <v>0</v>
      </c>
      <c r="E27" s="324">
        <v>0</v>
      </c>
      <c r="F27" s="77"/>
      <c r="H27" s="41">
        <f t="shared" si="3"/>
        <v>0</v>
      </c>
      <c r="I27" s="41">
        <f t="shared" si="2"/>
        <v>0</v>
      </c>
      <c r="J27" s="324">
        <v>0</v>
      </c>
      <c r="K27" s="324">
        <v>0</v>
      </c>
      <c r="L27" s="324">
        <v>0</v>
      </c>
      <c r="M27" s="324">
        <v>0</v>
      </c>
      <c r="N27" s="324">
        <v>0</v>
      </c>
    </row>
    <row r="28" spans="2:14" s="10" customFormat="1" x14ac:dyDescent="0.2">
      <c r="B28" s="62" t="s">
        <v>570</v>
      </c>
      <c r="C28" s="364">
        <v>1</v>
      </c>
      <c r="D28" s="324">
        <v>0</v>
      </c>
      <c r="E28" s="324">
        <v>0</v>
      </c>
      <c r="F28" s="77"/>
      <c r="H28" s="41">
        <f t="shared" si="3"/>
        <v>0</v>
      </c>
      <c r="I28" s="41">
        <f t="shared" si="2"/>
        <v>0</v>
      </c>
      <c r="J28" s="324">
        <v>0</v>
      </c>
      <c r="K28" s="324">
        <v>0</v>
      </c>
      <c r="L28" s="324">
        <v>0</v>
      </c>
      <c r="M28" s="324">
        <v>0</v>
      </c>
      <c r="N28" s="324">
        <v>0</v>
      </c>
    </row>
    <row r="29" spans="2:14" s="10" customFormat="1" x14ac:dyDescent="0.2">
      <c r="B29" s="62" t="s">
        <v>571</v>
      </c>
      <c r="C29" s="364">
        <v>1</v>
      </c>
      <c r="D29" s="324">
        <v>0</v>
      </c>
      <c r="E29" s="324">
        <v>0</v>
      </c>
      <c r="F29" s="77"/>
      <c r="H29" s="41">
        <f t="shared" si="3"/>
        <v>0</v>
      </c>
      <c r="I29" s="41">
        <f t="shared" si="2"/>
        <v>0</v>
      </c>
      <c r="J29" s="324">
        <v>0</v>
      </c>
      <c r="K29" s="324">
        <v>0</v>
      </c>
      <c r="L29" s="324">
        <v>0</v>
      </c>
      <c r="M29" s="324">
        <v>0</v>
      </c>
      <c r="N29" s="324">
        <v>0</v>
      </c>
    </row>
    <row r="30" spans="2:14" s="10" customFormat="1" x14ac:dyDescent="0.2">
      <c r="B30" s="62" t="s">
        <v>572</v>
      </c>
      <c r="C30" s="364">
        <v>1</v>
      </c>
      <c r="D30" s="324">
        <v>0</v>
      </c>
      <c r="E30" s="324">
        <v>0</v>
      </c>
      <c r="F30" s="77"/>
      <c r="H30" s="41">
        <f t="shared" si="3"/>
        <v>0</v>
      </c>
      <c r="I30" s="41">
        <f t="shared" si="2"/>
        <v>0</v>
      </c>
      <c r="J30" s="324">
        <v>0</v>
      </c>
      <c r="K30" s="324">
        <v>0</v>
      </c>
      <c r="L30" s="324">
        <v>0</v>
      </c>
      <c r="M30" s="324">
        <v>0</v>
      </c>
      <c r="N30" s="324">
        <v>0</v>
      </c>
    </row>
    <row r="31" spans="2:14" s="10" customFormat="1" x14ac:dyDescent="0.2">
      <c r="B31" s="74"/>
      <c r="C31" s="320"/>
      <c r="D31"/>
      <c r="E31"/>
      <c r="F31" s="318"/>
      <c r="H31"/>
      <c r="I31"/>
      <c r="J31"/>
      <c r="K31"/>
      <c r="L31"/>
      <c r="M31"/>
      <c r="N31"/>
    </row>
    <row r="32" spans="2:14" s="10" customFormat="1" x14ac:dyDescent="0.2"/>
    <row r="33" spans="2:18" s="10" customFormat="1" x14ac:dyDescent="0.2">
      <c r="B33" s="74" t="str">
        <f>Lang_Notes_On_Calculations_Estimates</f>
        <v>Notes on Calculations/ Estimates</v>
      </c>
      <c r="R33" s="10" t="s">
        <v>39</v>
      </c>
    </row>
    <row r="34" spans="2:18" s="10" customFormat="1" x14ac:dyDescent="0.2">
      <c r="B34" s="404" t="s">
        <v>596</v>
      </c>
      <c r="C34" s="404"/>
      <c r="D34" s="404"/>
    </row>
    <row r="35" spans="2:18" s="10" customFormat="1" x14ac:dyDescent="0.2">
      <c r="B35" s="404" t="s">
        <v>596</v>
      </c>
      <c r="C35" s="404"/>
      <c r="D35" s="404"/>
    </row>
    <row r="36" spans="2:18" s="10" customFormat="1" x14ac:dyDescent="0.2">
      <c r="B36" s="404" t="s">
        <v>596</v>
      </c>
      <c r="C36" s="404"/>
      <c r="D36" s="404"/>
    </row>
    <row r="37" spans="2:18" s="10" customFormat="1" x14ac:dyDescent="0.2">
      <c r="B37" s="404" t="s">
        <v>596</v>
      </c>
      <c r="C37" s="404"/>
      <c r="D37" s="404"/>
    </row>
    <row r="38" spans="2:18" s="10" customFormat="1" x14ac:dyDescent="0.2">
      <c r="B38" s="404" t="s">
        <v>596</v>
      </c>
      <c r="C38" s="404"/>
      <c r="D38" s="404"/>
    </row>
    <row r="39" spans="2:18" s="10" customFormat="1" x14ac:dyDescent="0.2">
      <c r="B39" s="404" t="s">
        <v>596</v>
      </c>
      <c r="C39" s="404"/>
      <c r="D39" s="404"/>
    </row>
    <row r="40" spans="2:18" s="10" customFormat="1" x14ac:dyDescent="0.2"/>
    <row r="41" spans="2:18" s="10" customFormat="1" hidden="1" x14ac:dyDescent="0.2">
      <c r="B41" s="50" t="str">
        <f>Lang_Currency_Options_For_Dropdown_List</f>
        <v>Currency Options for Dropdown List</v>
      </c>
      <c r="D41" s="50" t="str">
        <f>Lang_From_Econ_Tab</f>
        <v>(from Economic Tab)</v>
      </c>
    </row>
    <row r="42" spans="2:18" s="10" customFormat="1" hidden="1" x14ac:dyDescent="0.2">
      <c r="B42" s="49" t="str">
        <f>ECONOMICS!F7</f>
        <v>USD</v>
      </c>
    </row>
    <row r="43" spans="2:18" s="10" customFormat="1" hidden="1" x14ac:dyDescent="0.2">
      <c r="B43" s="49" t="str">
        <f>ECONOMICS!F8</f>
        <v>LCU</v>
      </c>
    </row>
    <row r="44" spans="2:18" s="10" customFormat="1" x14ac:dyDescent="0.2"/>
    <row r="45" spans="2:18" s="10" customFormat="1" x14ac:dyDescent="0.2"/>
    <row r="46" spans="2:18" s="10" customFormat="1" x14ac:dyDescent="0.2"/>
    <row r="47" spans="2:18" s="10" customFormat="1" x14ac:dyDescent="0.2">
      <c r="B47" s="76" t="str">
        <f>Lang_GoTo&amp;" "&amp;HL_CAP_OTH_Out_A</f>
        <v>Go to Other Capital Investments - Outputs</v>
      </c>
    </row>
    <row r="48" spans="2:18" s="10" customFormat="1" x14ac:dyDescent="0.2"/>
    <row r="49" x14ac:dyDescent="0.2"/>
  </sheetData>
  <conditionalFormatting sqref="D21:E30">
    <cfRule type="expression" dxfId="202" priority="1">
      <formula>$D$19=1</formula>
    </cfRule>
  </conditionalFormatting>
  <dataValidations disablePrompts="1" count="2">
    <dataValidation type="custom" showErrorMessage="1" errorTitle="Invalid Assumption" error="Assumption must be a number." sqref="J21:N30 D21:F30" xr:uid="{00000000-0002-0000-1700-000000000000}">
      <formula1>NOT(ISERROR(D21/1))</formula1>
    </dataValidation>
    <dataValidation type="whole" showDropDown="1" showErrorMessage="1" errorTitle="Drop Down Box Cell Link" error="The value in a drop down box cell link must be a whole number within the control's lookup range rows." sqref="D19" xr:uid="{00000000-0002-0000-1700-000001000000}">
      <formula1>1</formula1>
      <formula2>ROWS(LU_CAP_OTH_Currency)</formula2>
    </dataValidation>
  </dataValidations>
  <hyperlinks>
    <hyperlink ref="B47" location="HL_CAP_OTH_Out_A" tooltip="Click to follow hyperlink." display="HL_CAP_OTH_Out_A" xr:uid="{00000000-0004-0000-1700-000000000000}"/>
    <hyperlink ref="B3" location="Contents!A1" tooltip="Go to Table of Contents" display="Contents!A1" xr:uid="{00000000-0004-0000-1700-000001000000}"/>
    <hyperlink ref="A1" location="Contents!A1" tooltip="Go to Table of Contents" display="±" xr:uid="{00000000-0004-0000-1700-000002000000}"/>
    <hyperlink ref="A6" location="$B$11" tooltip="Go to Top of Sheet" display="$B$11" xr:uid="{AAE0544D-713D-415E-ADE8-EDB546118609}"/>
  </hyperlinks>
  <pageMargins left="0.7" right="0.7" top="0.75" bottom="0.75" header="0.3" footer="0.3"/>
  <pageSetup scale="50" fitToHeight="0" orientation="landscape" horizontalDpi="0" verticalDpi="0" r:id="rId1"/>
  <headerFooter>
    <oddFooter>&amp;L&amp;B Confidential&amp;B&amp;C&amp;D&amp;RPage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12385" r:id="rId4" name="bpmDropDownCAP_OTH2">
              <controlPr defaultSize="0" autoFill="0" autoPict="0">
                <anchor moveWithCells="1" sizeWithCells="1">
                  <from>
                    <xdr:col>3</xdr:col>
                    <xdr:colOff>0</xdr:colOff>
                    <xdr:row>18</xdr:row>
                    <xdr:rowOff>0</xdr:rowOff>
                  </from>
                  <to>
                    <xdr:col>4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>
    <tabColor rgb="FF7030A0"/>
    <pageSetUpPr autoPageBreaks="0" fitToPage="1"/>
  </sheetPr>
  <dimension ref="A1:W37"/>
  <sheetViews>
    <sheetView showGridLines="0" zoomScaleNormal="100" workbookViewId="0">
      <selection activeCell="R28" sqref="R28:U29"/>
    </sheetView>
  </sheetViews>
  <sheetFormatPr defaultColWidth="0" defaultRowHeight="12" zeroHeight="1" x14ac:dyDescent="0.2"/>
  <cols>
    <col min="1" max="2" width="11.7109375" customWidth="1"/>
    <col min="3" max="6" width="3.7109375" customWidth="1"/>
    <col min="7" max="23" width="11.7109375" customWidth="1"/>
    <col min="24" max="16384" width="11.7109375" hidden="1"/>
  </cols>
  <sheetData>
    <row r="1" spans="1:7" x14ac:dyDescent="0.2">
      <c r="A1" s="35" t="s">
        <v>128</v>
      </c>
    </row>
    <row r="2" spans="1:7" x14ac:dyDescent="0.2"/>
    <row r="3" spans="1:7" x14ac:dyDescent="0.2"/>
    <row r="4" spans="1:7" x14ac:dyDescent="0.2"/>
    <row r="5" spans="1:7" x14ac:dyDescent="0.2"/>
    <row r="6" spans="1:7" x14ac:dyDescent="0.2"/>
    <row r="7" spans="1:7" x14ac:dyDescent="0.2"/>
    <row r="8" spans="1:7" x14ac:dyDescent="0.2"/>
    <row r="9" spans="1:7" ht="15" x14ac:dyDescent="0.2">
      <c r="C9" s="31" t="str">
        <f>Lang_Outputs</f>
        <v>Outputs</v>
      </c>
    </row>
    <row r="10" spans="1:7" ht="12.75" x14ac:dyDescent="0.2">
      <c r="C10" s="32" t="str">
        <f>Lang_Section_3</f>
        <v>Section 3.</v>
      </c>
    </row>
    <row r="11" spans="1:7" ht="12.75" x14ac:dyDescent="0.2">
      <c r="C11" s="45" t="str">
        <f ca="1">Model_Name</f>
        <v>Cervical Cancer Prevention and Control Costing (C4P) Tool (Cost Projection)</v>
      </c>
    </row>
    <row r="12" spans="1:7" ht="12.75" x14ac:dyDescent="0.2">
      <c r="C12" s="426" t="str">
        <f>Lang_Goto_TOC</f>
        <v>Go to Table of Contents</v>
      </c>
      <c r="D12" s="426"/>
      <c r="E12" s="426"/>
      <c r="F12" s="426"/>
      <c r="G12" s="426"/>
    </row>
    <row r="13" spans="1:7" x14ac:dyDescent="0.2">
      <c r="C13" s="38" t="s">
        <v>7</v>
      </c>
      <c r="D13" s="39" t="s">
        <v>8</v>
      </c>
    </row>
    <row r="14" spans="1:7" x14ac:dyDescent="0.2"/>
    <row r="15" spans="1:7" x14ac:dyDescent="0.2"/>
    <row r="16" spans="1:7" x14ac:dyDescent="0.2"/>
    <row r="17" spans="3:21" x14ac:dyDescent="0.2">
      <c r="C17" s="23"/>
    </row>
    <row r="18" spans="3:21" x14ac:dyDescent="0.2"/>
    <row r="19" spans="3:21" ht="15" x14ac:dyDescent="0.2">
      <c r="N19" s="146" t="str">
        <f>Lang_Current_Calc_Total_Per_FIP</f>
        <v>CURRENT CALCULATED TOTAL COST PER FULLY IMMUNISED PERSON (FIP)</v>
      </c>
    </row>
    <row r="20" spans="3:21" ht="12.75" thickBot="1" x14ac:dyDescent="0.25"/>
    <row r="21" spans="3:21" ht="12.75" thickBot="1" x14ac:dyDescent="0.25">
      <c r="R21" s="429" t="str">
        <f>Lang_Fin_Costs&amp;" ("&amp;Analy_Lu!$D$13&amp;")"</f>
        <v>FINANCIAL COSTS (LCU)</v>
      </c>
      <c r="S21" s="430"/>
      <c r="T21" s="429" t="str">
        <f>Lang_Econ_Costs&amp;" ("&amp;Analy_Lu!$D$13&amp;")"</f>
        <v>ECONOMIC COSTS (LCU)</v>
      </c>
      <c r="U21" s="430"/>
    </row>
    <row r="22" spans="3:21" x14ac:dyDescent="0.2">
      <c r="O22" s="431" t="str">
        <f>Lang_with&amp;" "&amp;Dashboard!$C$61</f>
        <v>with Vaccine and Injection Supply Costs</v>
      </c>
      <c r="P22" s="432"/>
      <c r="Q22" s="433"/>
      <c r="R22" s="434">
        <f>Dashboard!$E$76</f>
        <v>0</v>
      </c>
      <c r="S22" s="435"/>
      <c r="T22" s="435">
        <f>Dashboard!$F$76</f>
        <v>0</v>
      </c>
      <c r="U22" s="436"/>
    </row>
    <row r="23" spans="3:21" ht="12.75" thickBot="1" x14ac:dyDescent="0.25">
      <c r="O23" s="437" t="str">
        <f>Lang_without&amp;" "&amp;Dashboard!$C$61</f>
        <v>without Vaccine and Injection Supply Costs</v>
      </c>
      <c r="P23" s="438"/>
      <c r="Q23" s="438"/>
      <c r="R23" s="439">
        <f>Dashboard!$E$77</f>
        <v>0</v>
      </c>
      <c r="S23" s="440"/>
      <c r="T23" s="440">
        <f>Dashboard!$F$77</f>
        <v>0</v>
      </c>
      <c r="U23" s="441"/>
    </row>
    <row r="24" spans="3:21" x14ac:dyDescent="0.2"/>
    <row r="25" spans="3:21" x14ac:dyDescent="0.2">
      <c r="M25" s="427"/>
      <c r="N25" s="427"/>
      <c r="O25" s="427"/>
      <c r="P25" s="427"/>
      <c r="T25" s="56"/>
    </row>
    <row r="26" spans="3:21" ht="12.75" thickBot="1" x14ac:dyDescent="0.25"/>
    <row r="27" spans="3:21" ht="12.75" thickBot="1" x14ac:dyDescent="0.25">
      <c r="R27" s="446" t="str">
        <f>Lang_Fin_Costs&amp;" ("&amp;Analy_Lu!$D$12&amp;")"</f>
        <v>FINANCIAL COSTS (USD)</v>
      </c>
      <c r="S27" s="447"/>
      <c r="T27" s="447" t="str">
        <f>Lang_Econ_Costs&amp;" ("&amp;Analy_Lu!$D$12&amp;")"</f>
        <v>ECONOMIC COSTS (USD)</v>
      </c>
      <c r="U27" s="448"/>
    </row>
    <row r="28" spans="3:21" x14ac:dyDescent="0.2">
      <c r="O28" s="431" t="str">
        <f>Lang_with&amp;" "&amp;Dashboard!$C$61</f>
        <v>with Vaccine and Injection Supply Costs</v>
      </c>
      <c r="P28" s="432"/>
      <c r="Q28" s="433"/>
      <c r="R28" s="449">
        <f>Dashboard!$G$76</f>
        <v>0</v>
      </c>
      <c r="S28" s="450"/>
      <c r="T28" s="449">
        <f>Dashboard!$H$76</f>
        <v>0</v>
      </c>
      <c r="U28" s="451"/>
    </row>
    <row r="29" spans="3:21" ht="12.75" thickBot="1" x14ac:dyDescent="0.25">
      <c r="O29" s="437" t="str">
        <f>Lang_without&amp;" "&amp;Dashboard!$C$61</f>
        <v>without Vaccine and Injection Supply Costs</v>
      </c>
      <c r="P29" s="438"/>
      <c r="Q29" s="438"/>
      <c r="R29" s="443">
        <f>Dashboard!$G$77</f>
        <v>0</v>
      </c>
      <c r="S29" s="444"/>
      <c r="T29" s="443">
        <f>Dashboard!$H$77</f>
        <v>0</v>
      </c>
      <c r="U29" s="445"/>
    </row>
    <row r="30" spans="3:21" x14ac:dyDescent="0.2"/>
    <row r="31" spans="3:21" x14ac:dyDescent="0.2"/>
    <row r="32" spans="3:21" x14ac:dyDescent="0.2"/>
    <row r="33" spans="18:18" x14ac:dyDescent="0.2">
      <c r="R33" t="s">
        <v>39</v>
      </c>
    </row>
    <row r="34" spans="18:18" x14ac:dyDescent="0.2"/>
    <row r="35" spans="18:18" x14ac:dyDescent="0.2"/>
    <row r="36" spans="18:18" x14ac:dyDescent="0.2"/>
    <row r="37" spans="18:18" x14ac:dyDescent="0.2"/>
  </sheetData>
  <mergeCells count="18">
    <mergeCell ref="C12:G12"/>
    <mergeCell ref="R21:S21"/>
    <mergeCell ref="T21:U21"/>
    <mergeCell ref="O22:Q22"/>
    <mergeCell ref="R22:S22"/>
    <mergeCell ref="T22:U22"/>
    <mergeCell ref="O23:Q23"/>
    <mergeCell ref="R23:S23"/>
    <mergeCell ref="T23:U23"/>
    <mergeCell ref="M25:P25"/>
    <mergeCell ref="R27:S27"/>
    <mergeCell ref="T27:U27"/>
    <mergeCell ref="O28:Q28"/>
    <mergeCell ref="R28:S28"/>
    <mergeCell ref="T28:U28"/>
    <mergeCell ref="O29:Q29"/>
    <mergeCell ref="R29:S29"/>
    <mergeCell ref="T29:U29"/>
  </mergeCells>
  <hyperlinks>
    <hyperlink ref="D13" location="HL_Sheet_Main_35" tooltip="Go to Next Sheet" display="HL_Sheet_Main_35" xr:uid="{00000000-0004-0000-1800-000000000000}"/>
    <hyperlink ref="C13" location="HL_Sheet_Main_62" tooltip="Go to Previous Sheet" display="HL_Sheet_Main_62" xr:uid="{00000000-0004-0000-1800-000001000000}"/>
    <hyperlink ref="C12" location="HL_Home" tooltip="Go to Table of Contents" display="HL_Home" xr:uid="{00000000-0004-0000-1800-000002000000}"/>
    <hyperlink ref="C12:G12" location="Contents!A1" tooltip="Go to Table of Contents" display="Contents!A1" xr:uid="{00000000-0004-0000-1800-000003000000}"/>
    <hyperlink ref="A1" location="Contents!A1" tooltip="Go to Table of Contents" display="±" xr:uid="{00000000-0004-0000-1800-000004000000}"/>
  </hyperlinks>
  <pageMargins left="0.7" right="0.7" top="0.75" bottom="0.75" header="0.3" footer="0.3"/>
  <pageSetup fitToHeight="0" orientation="landscape" r:id="rId1"/>
  <headerFooter>
    <oddFooter>&amp;L&amp;B Confidential&amp;B&amp;C&amp;D&amp;RPage 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>
    <tabColor rgb="FF0070C0"/>
    <pageSetUpPr autoPageBreaks="0" fitToPage="1"/>
  </sheetPr>
  <dimension ref="A1:V116"/>
  <sheetViews>
    <sheetView showGridLines="0" zoomScaleNormal="100" workbookViewId="0">
      <pane xSplit="1" ySplit="7" topLeftCell="B77" activePane="bottomRight" state="frozen"/>
      <selection activeCell="I511" sqref="I511"/>
      <selection pane="topRight" activeCell="I511" sqref="I511"/>
      <selection pane="bottomLeft" activeCell="I511" sqref="I511"/>
      <selection pane="bottomRight" activeCell="J109" sqref="J109"/>
    </sheetView>
  </sheetViews>
  <sheetFormatPr defaultColWidth="0" defaultRowHeight="12" zeroHeight="1" x14ac:dyDescent="0.2"/>
  <cols>
    <col min="1" max="2" width="3.7109375" style="4" customWidth="1"/>
    <col min="3" max="3" width="5.7109375" style="4" customWidth="1"/>
    <col min="4" max="4" width="35.7109375" style="4" customWidth="1"/>
    <col min="5" max="5" width="30.7109375" style="4" customWidth="1"/>
    <col min="6" max="6" width="15.7109375" style="4" customWidth="1"/>
    <col min="7" max="7" width="10.7109375" style="4" customWidth="1"/>
    <col min="8" max="8" width="11.7109375" style="4" customWidth="1"/>
    <col min="9" max="9" width="15.7109375" style="4" customWidth="1"/>
    <col min="10" max="14" width="20.7109375" style="4" customWidth="1"/>
    <col min="15" max="15" width="11.7109375" style="4" customWidth="1"/>
    <col min="16" max="22" width="0" style="4" hidden="1" customWidth="1"/>
    <col min="23" max="16384" width="11.7109375" style="4" hidden="1"/>
  </cols>
  <sheetData>
    <row r="1" spans="1:14" ht="15" x14ac:dyDescent="0.2">
      <c r="A1" s="35" t="s">
        <v>128</v>
      </c>
      <c r="B1" s="8" t="str">
        <f>Lang_Target_Pop_And_Coverage_Summary</f>
        <v>Target Populations and Coverage Summary</v>
      </c>
    </row>
    <row r="2" spans="1:14" ht="12.75" x14ac:dyDescent="0.2">
      <c r="A2" s="36"/>
      <c r="B2" s="5" t="str">
        <f ca="1">Model_Name</f>
        <v>Cervical Cancer Prevention and Control Costing (C4P) Tool (Cost Projection)</v>
      </c>
    </row>
    <row r="3" spans="1:14" s="11" customFormat="1" x14ac:dyDescent="0.2">
      <c r="A3" s="12" t="s">
        <v>5</v>
      </c>
      <c r="B3" s="90" t="str">
        <f>Lang_Year_Ending</f>
        <v>Year Ending</v>
      </c>
      <c r="C3" s="90"/>
      <c r="D3" s="90"/>
      <c r="E3" s="90"/>
      <c r="F3" s="90"/>
      <c r="G3" s="90"/>
      <c r="H3" s="90"/>
      <c r="I3" s="90"/>
      <c r="J3" s="106">
        <f t="shared" ref="J3:N3" si="0">J7</f>
        <v>2019</v>
      </c>
      <c r="K3" s="106">
        <f t="shared" si="0"/>
        <v>2020</v>
      </c>
      <c r="L3" s="106">
        <f t="shared" si="0"/>
        <v>2021</v>
      </c>
      <c r="M3" s="106">
        <f t="shared" si="0"/>
        <v>2022</v>
      </c>
      <c r="N3" s="106">
        <f t="shared" si="0"/>
        <v>2023</v>
      </c>
    </row>
    <row r="4" spans="1:14" s="11" customFormat="1" hidden="1" x14ac:dyDescent="0.2">
      <c r="B4" s="50" t="str">
        <f>Lang_Period_Start_Date</f>
        <v>Period Start Date</v>
      </c>
      <c r="C4" s="10"/>
      <c r="D4" s="10"/>
      <c r="E4" s="10"/>
      <c r="F4" s="10"/>
      <c r="G4" s="10"/>
      <c r="H4" s="10"/>
      <c r="I4" s="10"/>
      <c r="J4" s="340">
        <f>EDATE(TS_Start_Date,(J6-1)*TS_Mths_In_Yr)</f>
        <v>43466</v>
      </c>
      <c r="K4" s="340">
        <f>EDATE(TS_Start_Date,(K6-1)*TS_Mths_In_Yr)</f>
        <v>43831</v>
      </c>
      <c r="L4" s="340">
        <f>EDATE(TS_Start_Date,(L6-1)*TS_Mths_In_Yr)</f>
        <v>44197</v>
      </c>
      <c r="M4" s="340">
        <f>EDATE(TS_Start_Date,(M6-1)*TS_Mths_In_Yr)</f>
        <v>44562</v>
      </c>
      <c r="N4" s="340">
        <f>EDATE(TS_Start_Date,(N6-1)*TS_Mths_In_Yr)</f>
        <v>44927</v>
      </c>
    </row>
    <row r="5" spans="1:14" s="11" customFormat="1" hidden="1" x14ac:dyDescent="0.2">
      <c r="B5" s="50" t="str">
        <f>Lang_Period_End_Date</f>
        <v>Period End Date</v>
      </c>
      <c r="C5" s="10"/>
      <c r="D5" s="10"/>
      <c r="E5" s="10"/>
      <c r="F5" s="10"/>
      <c r="G5" s="10"/>
      <c r="H5" s="10"/>
      <c r="I5" s="10"/>
      <c r="J5" s="340">
        <f>EDATE(J4,TS_Mths_In_Yr)-1</f>
        <v>43830</v>
      </c>
      <c r="K5" s="340">
        <f>EDATE(K4,TS_Mths_In_Yr)-1</f>
        <v>44196</v>
      </c>
      <c r="L5" s="340">
        <f>EDATE(L4,TS_Mths_In_Yr)-1</f>
        <v>44561</v>
      </c>
      <c r="M5" s="340">
        <f>EDATE(M4,TS_Mths_In_Yr)-1</f>
        <v>44926</v>
      </c>
      <c r="N5" s="340">
        <f>EDATE(N4,TS_Mths_In_Yr)-1</f>
        <v>45291</v>
      </c>
    </row>
    <row r="6" spans="1:14" s="11" customFormat="1" hidden="1" x14ac:dyDescent="0.2">
      <c r="B6" s="50" t="str">
        <f>Lang_Counter</f>
        <v>Counter</v>
      </c>
      <c r="C6" s="10"/>
      <c r="D6" s="10"/>
      <c r="E6" s="10"/>
      <c r="F6" s="10"/>
      <c r="G6" s="10"/>
      <c r="H6" s="10"/>
      <c r="I6" s="10"/>
      <c r="J6" s="42">
        <f>COLUMNS($J6:J6)</f>
        <v>1</v>
      </c>
      <c r="K6" s="42">
        <f>COLUMNS($J6:K6)</f>
        <v>2</v>
      </c>
      <c r="L6" s="42">
        <f>COLUMNS($J6:L6)</f>
        <v>3</v>
      </c>
      <c r="M6" s="42">
        <f>COLUMNS($J6:M6)</f>
        <v>4</v>
      </c>
      <c r="N6" s="42">
        <f>COLUMNS($J6:N6)</f>
        <v>5</v>
      </c>
    </row>
    <row r="7" spans="1:14" s="11" customFormat="1" hidden="1" x14ac:dyDescent="0.2">
      <c r="B7" s="91" t="str">
        <f>Lang_Financial_Year</f>
        <v>Financial Year</v>
      </c>
      <c r="C7" s="69"/>
      <c r="D7" s="69"/>
      <c r="E7" s="69"/>
      <c r="F7" s="69"/>
      <c r="G7" s="69"/>
      <c r="H7" s="69"/>
      <c r="I7" s="69"/>
      <c r="J7" s="341">
        <f t="shared" ref="J7:N7" si="1">YEAR(J5)</f>
        <v>2019</v>
      </c>
      <c r="K7" s="341">
        <f t="shared" si="1"/>
        <v>2020</v>
      </c>
      <c r="L7" s="341">
        <f t="shared" si="1"/>
        <v>2021</v>
      </c>
      <c r="M7" s="341">
        <f t="shared" si="1"/>
        <v>2022</v>
      </c>
      <c r="N7" s="341">
        <f t="shared" si="1"/>
        <v>2023</v>
      </c>
    </row>
    <row r="8" spans="1:14" s="11" customFormat="1" x14ac:dyDescent="0.2"/>
    <row r="9" spans="1:14" s="11" customFormat="1" x14ac:dyDescent="0.2">
      <c r="A9" s="12" t="s">
        <v>127</v>
      </c>
      <c r="B9" s="13" t="str">
        <f>Lang_Target_Groups_Counts_Summary</f>
        <v>Target Groups- Counts - Summary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1:14" s="11" customFormat="1" x14ac:dyDescent="0.2"/>
    <row r="11" spans="1:14" s="11" customFormat="1" x14ac:dyDescent="0.2">
      <c r="C11" s="71" t="str">
        <f>IF(TIME_SERIES!$H$6=1,COUNTS!C42&amp;" ("&amp;Lang_Projected_Calculation&amp;")",COUNTS!C100&amp;" ("&amp;Lang_Retrospective_Data&amp;")")</f>
        <v>Target Group Name1 (Projected Calculation)</v>
      </c>
    </row>
    <row r="12" spans="1:14" s="11" customFormat="1" x14ac:dyDescent="0.2"/>
    <row r="13" spans="1:14" s="11" customFormat="1" x14ac:dyDescent="0.2">
      <c r="D13" s="81" t="str">
        <f>IF(TIME_SERIES!$H$6=1,COUNTS!D48,COUNTS!D105)</f>
        <v>Target Group Name1 - IN-SCHOOL Proportion (%) (Projected Calculation)</v>
      </c>
      <c r="J13" s="83">
        <f>IF(TIME_SERIES!$H$6=1,COUNTS!J49,COUNTS!J105)</f>
        <v>40000</v>
      </c>
      <c r="K13" s="83">
        <f>IF(TIME_SERIES!$H$6=1,COUNTS!K49,COUNTS!K105)</f>
        <v>51500</v>
      </c>
      <c r="L13" s="83">
        <f>IF(TIME_SERIES!$H$6=1,COUNTS!L49,COUNTS!L105)</f>
        <v>42436</v>
      </c>
      <c r="M13" s="83">
        <f>IF(TIME_SERIES!$H$6=1,COUNTS!M49,COUNTS!M105)</f>
        <v>32782</v>
      </c>
      <c r="N13" s="83">
        <f>IF(TIME_SERIES!$H$6=1,COUNTS!N49,COUNTS!N105)</f>
        <v>112550</v>
      </c>
    </row>
    <row r="14" spans="1:14" s="11" customFormat="1" x14ac:dyDescent="0.2">
      <c r="D14" s="81" t="str">
        <f>IF(TIME_SERIES!$H$6=1,COUNTS!D51,COUNTS!D107)</f>
        <v>Target Group Name1 - OUT OF SCHOOL Proportion (%) (Projected) - AUTOCALCULATED</v>
      </c>
      <c r="J14" s="83">
        <f>IF(TIME_SERIES!$H$6=1,COUNTS!J52,COUNTS!J107)</f>
        <v>59999</v>
      </c>
      <c r="K14" s="83">
        <f>IF(TIME_SERIES!$H$6=1,COUNTS!K52,COUNTS!K107)</f>
        <v>51500</v>
      </c>
      <c r="L14" s="83">
        <f>IF(TIME_SERIES!$H$6=1,COUNTS!L52,COUNTS!L107)</f>
        <v>63653</v>
      </c>
      <c r="M14" s="83">
        <f>IF(TIME_SERIES!$H$6=1,COUNTS!M52,COUNTS!M107)</f>
        <v>76490</v>
      </c>
      <c r="N14" s="83">
        <f>IF(TIME_SERIES!$H$6=1,COUNTS!N52,COUNTS!N107)</f>
        <v>0</v>
      </c>
    </row>
    <row r="15" spans="1:14" s="11" customFormat="1" x14ac:dyDescent="0.2"/>
    <row r="16" spans="1:14" s="11" customFormat="1" x14ac:dyDescent="0.2"/>
    <row r="17" spans="3:14" s="11" customFormat="1" x14ac:dyDescent="0.2">
      <c r="D17" s="52" t="str">
        <f>IF(TIME_SERIES!$H$6=1,COUNTS!D45,COUNTS!D103)</f>
        <v>Target Group Name1 - Projected</v>
      </c>
      <c r="J17" s="51">
        <f>IF(TIME_SERIES!$H$6=1,COUNTS!J45,COUNTS!J103)</f>
        <v>99999</v>
      </c>
      <c r="K17" s="51">
        <f>IF(TIME_SERIES!$H$6=1,COUNTS!K45,COUNTS!K103)</f>
        <v>102999</v>
      </c>
      <c r="L17" s="51">
        <f>IF(TIME_SERIES!$H$6=1,COUNTS!L45,COUNTS!L103)</f>
        <v>106089</v>
      </c>
      <c r="M17" s="51">
        <f>IF(TIME_SERIES!$H$6=1,COUNTS!M45,COUNTS!M103)</f>
        <v>109272</v>
      </c>
      <c r="N17" s="51">
        <f>IF(TIME_SERIES!$H$6=1,COUNTS!N45,COUNTS!N103)</f>
        <v>112550</v>
      </c>
    </row>
    <row r="18" spans="3:14" s="11" customFormat="1" x14ac:dyDescent="0.2">
      <c r="D18" s="130" t="str">
        <f>Lang_Total_SmallLetter&amp;" "&amp;Lang_Eligible&amp;" "&amp;IF(TIME_SERIES!$H$6=1,COUNTS!C42&amp;" ("&amp;Lang_Projected_Calculation&amp;")",COUNTS!C100&amp;" ("&amp;Lang_Retrospective_Data&amp;")")</f>
        <v>Total Eligible Target Group Name1 (Projected Calculation)</v>
      </c>
      <c r="J18" s="89">
        <f t="shared" ref="J18:N18" si="2">SUM(J17:J17)</f>
        <v>99999</v>
      </c>
      <c r="K18" s="89">
        <f t="shared" si="2"/>
        <v>102999</v>
      </c>
      <c r="L18" s="89">
        <f t="shared" si="2"/>
        <v>106089</v>
      </c>
      <c r="M18" s="89">
        <f t="shared" si="2"/>
        <v>109272</v>
      </c>
      <c r="N18" s="89">
        <f t="shared" si="2"/>
        <v>112550</v>
      </c>
    </row>
    <row r="19" spans="3:14" s="11" customFormat="1" x14ac:dyDescent="0.2"/>
    <row r="20" spans="3:14" s="11" customFormat="1" x14ac:dyDescent="0.2">
      <c r="C20" s="71" t="str">
        <f>IF(TIME_SERIES!$H$6=1,COUNTS!C60&amp;" ("&amp;Lang_Projected_Calculation&amp;")",COUNTS!C116&amp;" ("&amp;Lang_Retrospective_Data&amp;")")</f>
        <v>Target Group Name2 (Projected Calculation)</v>
      </c>
    </row>
    <row r="21" spans="3:14" s="11" customFormat="1" x14ac:dyDescent="0.2"/>
    <row r="22" spans="3:14" s="11" customFormat="1" x14ac:dyDescent="0.2"/>
    <row r="23" spans="3:14" s="11" customFormat="1" x14ac:dyDescent="0.2">
      <c r="D23" s="81" t="str">
        <f>IF(TIME_SERIES!$H$6=1,COUNTS!D66,COUNTS!D121)</f>
        <v>Target Group Name2 - IN-SCHOOL Proportion (%) (Projected Calculation)</v>
      </c>
      <c r="J23" s="83">
        <f>IF(TIME_SERIES!$H$6=1,COUNTS!J67,COUNTS!J121)</f>
        <v>30000</v>
      </c>
      <c r="K23" s="83">
        <f>IF(TIME_SERIES!$H$6=1,COUNTS!K67,COUNTS!K121)</f>
        <v>50000</v>
      </c>
      <c r="L23" s="83">
        <f>IF(TIME_SERIES!$H$6=1,COUNTS!L67,COUNTS!L121)</f>
        <v>40000</v>
      </c>
      <c r="M23" s="83">
        <f>IF(TIME_SERIES!$H$6=1,COUNTS!M67,COUNTS!M121)</f>
        <v>30000</v>
      </c>
      <c r="N23" s="83">
        <f>IF(TIME_SERIES!$H$6=1,COUNTS!N67,COUNTS!N121)</f>
        <v>10000</v>
      </c>
    </row>
    <row r="24" spans="3:14" s="11" customFormat="1" x14ac:dyDescent="0.2">
      <c r="D24" s="81" t="str">
        <f>IF(TIME_SERIES!$H$6=1,COUNTS!D69,COUNTS!D123)</f>
        <v>Target Group Name2 - OUT OF SCHOOL Proportion (%) (Projected) - AUTOCALCULATED</v>
      </c>
      <c r="J24" s="83">
        <f>IF(TIME_SERIES!$H$6=1,COUNTS!J70,COUNTS!J123)</f>
        <v>69999</v>
      </c>
      <c r="K24" s="83">
        <f>IF(TIME_SERIES!$H$6=1,COUNTS!K70,COUNTS!K123)</f>
        <v>50000</v>
      </c>
      <c r="L24" s="83">
        <f>IF(TIME_SERIES!$H$6=1,COUNTS!L70,COUNTS!L123)</f>
        <v>59999</v>
      </c>
      <c r="M24" s="83">
        <f>IF(TIME_SERIES!$H$6=1,COUNTS!M70,COUNTS!M123)</f>
        <v>69999</v>
      </c>
      <c r="N24" s="83">
        <f>IF(TIME_SERIES!$H$6=1,COUNTS!N70,COUNTS!N123)</f>
        <v>89999</v>
      </c>
    </row>
    <row r="25" spans="3:14" s="11" customFormat="1" x14ac:dyDescent="0.2">
      <c r="D25" s="52" t="str">
        <f>IF(TIME_SERIES!$H$6=1,COUNTS!D63,COUNTS!D119)</f>
        <v>Target Group Name2 - Projected</v>
      </c>
      <c r="J25" s="51">
        <f>IF(TIME_SERIES!$H$6=1,COUNTS!J63,COUNTS!J119)</f>
        <v>99999</v>
      </c>
      <c r="K25" s="51">
        <f>IF(TIME_SERIES!$H$6=1,COUNTS!K63,COUNTS!K119)</f>
        <v>99999</v>
      </c>
      <c r="L25" s="51">
        <f>IF(TIME_SERIES!$H$6=1,COUNTS!L63,COUNTS!L119)</f>
        <v>99999</v>
      </c>
      <c r="M25" s="51">
        <f>IF(TIME_SERIES!$H$6=1,COUNTS!M63,COUNTS!M119)</f>
        <v>99999</v>
      </c>
      <c r="N25" s="51">
        <f>IF(TIME_SERIES!$H$6=1,COUNTS!N63,COUNTS!N119)</f>
        <v>99999</v>
      </c>
    </row>
    <row r="26" spans="3:14" s="11" customFormat="1" x14ac:dyDescent="0.2">
      <c r="D26" s="130" t="str">
        <f>Lang_Total_SmallLetter&amp;" "&amp;Lang_Eligible&amp;" "&amp;IF(TIME_SERIES!$H$6=1,COUNTS!C60&amp;" ("&amp;Lang_Projected_Calculation&amp;")",COUNTS!C116&amp;" ("&amp;Lang_Retrospective_Data&amp;")")</f>
        <v>Total Eligible Target Group Name2 (Projected Calculation)</v>
      </c>
      <c r="J26" s="89">
        <f t="shared" ref="J26:N26" si="3">SUM(J25:J25)</f>
        <v>99999</v>
      </c>
      <c r="K26" s="89">
        <f t="shared" si="3"/>
        <v>99999</v>
      </c>
      <c r="L26" s="89">
        <f t="shared" si="3"/>
        <v>99999</v>
      </c>
      <c r="M26" s="89">
        <f t="shared" si="3"/>
        <v>99999</v>
      </c>
      <c r="N26" s="89">
        <f t="shared" si="3"/>
        <v>99999</v>
      </c>
    </row>
    <row r="27" spans="3:14" s="11" customFormat="1" x14ac:dyDescent="0.2"/>
    <row r="28" spans="3:14" s="11" customFormat="1" x14ac:dyDescent="0.2"/>
    <row r="29" spans="3:14" s="11" customFormat="1" x14ac:dyDescent="0.2">
      <c r="C29" s="71" t="str">
        <f>IF(TIME_SERIES!$H$6=1,Lang_All_Target_Pop_SmallLetter&amp;" ("&amp;Lang_Projected_Calculation&amp;")",Lang_All_Target_Pop_SmallLetter&amp;" ("&amp;Lang_Retrospective_Data&amp;") - "&amp;Lang_Autocalculated)</f>
        <v>All Target Populations (Projected Calculation)</v>
      </c>
    </row>
    <row r="30" spans="3:14" s="11" customFormat="1" x14ac:dyDescent="0.2"/>
    <row r="31" spans="3:14" s="11" customFormat="1" x14ac:dyDescent="0.2">
      <c r="D31" s="53" t="str">
        <f>IF(TIME_SERIES!$H$6=1,Lang_All_Target_Pop_SmallLetter&amp;" ("&amp;Lang_Projected_Calculation&amp;")",Lang_All_Target_Pop_SmallLetter&amp;" ("&amp;Lang_Retrospective_Data&amp;") - "&amp;Lang_Autocalculated)</f>
        <v>All Target Populations (Projected Calculation)</v>
      </c>
      <c r="J31" s="51">
        <f t="shared" ref="J31:N31" si="4">SUM(J17,J25)</f>
        <v>199998</v>
      </c>
      <c r="K31" s="51">
        <f t="shared" si="4"/>
        <v>202998</v>
      </c>
      <c r="L31" s="51">
        <f t="shared" si="4"/>
        <v>206088</v>
      </c>
      <c r="M31" s="51">
        <f t="shared" si="4"/>
        <v>209271</v>
      </c>
      <c r="N31" s="51">
        <f t="shared" si="4"/>
        <v>212549</v>
      </c>
    </row>
    <row r="32" spans="3:14" s="11" customFormat="1" x14ac:dyDescent="0.2">
      <c r="D32" s="71" t="str">
        <f>Lang_Total_SmallLetter&amp;" "&amp;Lang_Eligible&amp;" "&amp;IF(TIME_SERIES!$H$6=1,Lang_All_Target_Pop_SmallLetter&amp;" ("&amp;Lang_Projected_Calculation&amp;")",Lang_All_Target_Pop_SmallLetter&amp;" ("&amp;Lang_Retrospective_Data&amp;") - "&amp;Lang_Autocalculated)</f>
        <v>Total Eligible All Target Populations (Projected Calculation)</v>
      </c>
      <c r="J32" s="89">
        <f t="shared" ref="J32:N32" si="5">SUM(J31:J31)</f>
        <v>199998</v>
      </c>
      <c r="K32" s="89">
        <f t="shared" si="5"/>
        <v>202998</v>
      </c>
      <c r="L32" s="89">
        <f t="shared" si="5"/>
        <v>206088</v>
      </c>
      <c r="M32" s="89">
        <f t="shared" si="5"/>
        <v>209271</v>
      </c>
      <c r="N32" s="89">
        <f t="shared" si="5"/>
        <v>212549</v>
      </c>
    </row>
    <row r="33" spans="1:18" s="11" customFormat="1" x14ac:dyDescent="0.2">
      <c r="R33" s="11" t="s">
        <v>39</v>
      </c>
    </row>
    <row r="34" spans="1:18" s="11" customFormat="1" x14ac:dyDescent="0.2"/>
    <row r="35" spans="1:18" s="11" customFormat="1" x14ac:dyDescent="0.2">
      <c r="C35" s="491" t="str">
        <f>IF(TIME_SERIES!$H$6=1,Lang_GoTo&amp;" "&amp;HL_Count_Ass_A," ")</f>
        <v>Go to COST PROJECTION COUNTS - Assumptions</v>
      </c>
      <c r="D35" s="491"/>
      <c r="E35" s="491"/>
      <c r="F35" s="491"/>
      <c r="G35" s="491"/>
      <c r="H35" s="491"/>
      <c r="I35" s="491"/>
    </row>
    <row r="36" spans="1:18" s="11" customFormat="1" x14ac:dyDescent="0.2">
      <c r="C36" s="491" t="str">
        <f>IF(TIME_SERIES!$H$6=2,Lang_GoTo&amp;" "&amp;HL_Count_Ass_B, HL_Count_Ass_B)</f>
        <v>NOT A RETROSPECTIVE COSTING. SKIP THIS SECTION. USE THE COST PROJECTION COUNTS - Assumptions Section.</v>
      </c>
      <c r="D36" s="491"/>
      <c r="E36" s="491"/>
      <c r="F36" s="491"/>
      <c r="G36" s="491"/>
      <c r="H36" s="491"/>
      <c r="I36" s="491"/>
    </row>
    <row r="37" spans="1:18" s="11" customFormat="1" x14ac:dyDescent="0.2"/>
    <row r="38" spans="1:18" s="11" customFormat="1" x14ac:dyDescent="0.2">
      <c r="A38" s="12" t="s">
        <v>127</v>
      </c>
      <c r="B38" s="13" t="str">
        <f>Lang_Coverage_Summary_Outputs</f>
        <v>Coverage - Summary Outputs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</row>
    <row r="39" spans="1:18" s="11" customFormat="1" x14ac:dyDescent="0.2"/>
    <row r="40" spans="1:18" s="11" customFormat="1" x14ac:dyDescent="0.2">
      <c r="C40" s="78" t="str">
        <f>CVG_Lu!$D$31</f>
        <v>HPV 1</v>
      </c>
    </row>
    <row r="41" spans="1:18" s="11" customFormat="1" x14ac:dyDescent="0.2"/>
    <row r="42" spans="1:18" s="11" customFormat="1" x14ac:dyDescent="0.2">
      <c r="C42" s="65" t="str">
        <f>IF(TIME_SERIES!$H$6=1,COVERAGE!D27&amp;" ("&amp;Lang_Coverage_Projection&amp;")",COVERAGE!D148&amp;" ("&amp;Lang_Coverage_Retrospective_Data&amp;")")</f>
        <v>Target Group Name1 (Coverage Projection)</v>
      </c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</row>
    <row r="43" spans="1:18" s="11" customFormat="1" x14ac:dyDescent="0.2"/>
    <row r="44" spans="1:18" s="11" customFormat="1" x14ac:dyDescent="0.2"/>
    <row r="45" spans="1:18" s="11" customFormat="1" x14ac:dyDescent="0.2">
      <c r="D45" s="84" t="str">
        <f>IF(TIME_SERIES!$H$6=1,COVERAGE!D27&amp;" ("&amp;Lang_Coverage_Projection&amp;")",COVERAGE!D148&amp;" ("&amp;Lang_Coverage_Retrospective_Data&amp;")")</f>
        <v>Target Group Name1 (Coverage Projection)</v>
      </c>
    </row>
    <row r="46" spans="1:18" s="11" customFormat="1" x14ac:dyDescent="0.2"/>
    <row r="47" spans="1:18" s="11" customFormat="1" x14ac:dyDescent="0.2">
      <c r="D47" s="127" t="str">
        <f>C$40&amp;":   "&amp;IF(TIME_SERIES!$H$6=1,COVERAGE!$D$27&amp;" "&amp;COVERAGE!$D$28,COVERAGE!$D$149)</f>
        <v>HPV 1:   Target Group Name1 Target Group Name1 - IN-SCHOOL (Projection)</v>
      </c>
      <c r="J47" s="83">
        <f>IF(TIME_SERIES!$H$6=1,COVERAGE!J$29,COVERAGE!J$149)</f>
        <v>20000</v>
      </c>
      <c r="K47" s="83">
        <f>IF(TIME_SERIES!$H$6=1,COVERAGE!K$29,COVERAGE!K$149)</f>
        <v>25750</v>
      </c>
      <c r="L47" s="83">
        <f>IF(TIME_SERIES!$H$6=1,COVERAGE!L$29,COVERAGE!L$149)</f>
        <v>21218</v>
      </c>
      <c r="M47" s="83">
        <f>IF(TIME_SERIES!$H$6=1,COVERAGE!M$29,COVERAGE!M$149)</f>
        <v>16391</v>
      </c>
      <c r="N47" s="83">
        <f>IF(TIME_SERIES!$H$6=1,COVERAGE!N$29,COVERAGE!N$149)</f>
        <v>56275</v>
      </c>
    </row>
    <row r="48" spans="1:18" s="11" customFormat="1" x14ac:dyDescent="0.2">
      <c r="D48" s="127" t="str">
        <f>C$40&amp;":   "&amp;IF(TIME_SERIES!$H$6=1,COVERAGE!$D$27&amp;" "&amp;COVERAGE!$D$32,COVERAGE!$D$153)</f>
        <v>HPV 1:   Target Group Name1 Target Group Name1 - OUT OF SCHOOL (Projection)</v>
      </c>
      <c r="J48" s="83">
        <f>IF(TIME_SERIES!$H$6=1,COVERAGE!J32,COVERAGE!J$153)</f>
        <v>29999.5</v>
      </c>
      <c r="K48" s="83">
        <f>IF(TIME_SERIES!$H$6=1,COVERAGE!K32,COVERAGE!K$153)</f>
        <v>25750</v>
      </c>
      <c r="L48" s="83">
        <f>IF(TIME_SERIES!$H$6=1,COVERAGE!L32,COVERAGE!L$153)</f>
        <v>31826.5</v>
      </c>
      <c r="M48" s="83">
        <f>IF(TIME_SERIES!$H$6=1,COVERAGE!M32,COVERAGE!M$153)</f>
        <v>38245</v>
      </c>
      <c r="N48" s="83">
        <f>IF(TIME_SERIES!$H$6=1,COVERAGE!N32,COVERAGE!N$153)</f>
        <v>0</v>
      </c>
    </row>
    <row r="49" spans="3:14" s="11" customFormat="1" x14ac:dyDescent="0.2"/>
    <row r="50" spans="3:14" s="11" customFormat="1" x14ac:dyDescent="0.2">
      <c r="D50" s="52" t="str">
        <f>IF(TIME_SERIES!$H$6=1,CALCS_COVERAGE!D21,CALCS_COVERAGE!D111)</f>
        <v>HPV 1 Target Group Name1 Vaccinations Administered (Projected)</v>
      </c>
      <c r="J50" s="51">
        <f>IF(TIME_SERIES!$H$6=1,CALCS_COVERAGE!J21,CALCS_COVERAGE!J111)</f>
        <v>49999.5</v>
      </c>
      <c r="K50" s="51">
        <f>IF(TIME_SERIES!$H$6=1,CALCS_COVERAGE!K21,CALCS_COVERAGE!K111)</f>
        <v>51499.999999999993</v>
      </c>
      <c r="L50" s="51">
        <f>IF(TIME_SERIES!$H$6=1,CALCS_COVERAGE!L21,CALCS_COVERAGE!L111)</f>
        <v>53044.5</v>
      </c>
      <c r="M50" s="51">
        <f>IF(TIME_SERIES!$H$6=1,CALCS_COVERAGE!M21,CALCS_COVERAGE!M111)</f>
        <v>54636</v>
      </c>
      <c r="N50" s="51">
        <f>IF(TIME_SERIES!$H$6=1,CALCS_COVERAGE!N21,CALCS_COVERAGE!N111)</f>
        <v>56275</v>
      </c>
    </row>
    <row r="51" spans="3:14" s="11" customFormat="1" x14ac:dyDescent="0.2">
      <c r="D51" s="71" t="str">
        <f>Lang_Total_SmallLetter&amp;" "&amp;C42&amp;" "&amp;C40</f>
        <v>Total Target Group Name1 (Coverage Projection) HPV 1</v>
      </c>
      <c r="J51" s="61">
        <f t="shared" ref="J51:N51" si="6">SUM(J50:J50)</f>
        <v>49999.5</v>
      </c>
      <c r="K51" s="61">
        <f t="shared" si="6"/>
        <v>51499.999999999993</v>
      </c>
      <c r="L51" s="61">
        <f t="shared" si="6"/>
        <v>53044.5</v>
      </c>
      <c r="M51" s="61">
        <f t="shared" si="6"/>
        <v>54636</v>
      </c>
      <c r="N51" s="61">
        <f t="shared" si="6"/>
        <v>56275</v>
      </c>
    </row>
    <row r="52" spans="3:14" s="11" customFormat="1" x14ac:dyDescent="0.2"/>
    <row r="53" spans="3:14" s="11" customFormat="1" x14ac:dyDescent="0.2"/>
    <row r="54" spans="3:14" s="11" customFormat="1" x14ac:dyDescent="0.2">
      <c r="C54" s="78" t="str">
        <f>CVG_Lu!$D$31</f>
        <v>HPV 1</v>
      </c>
    </row>
    <row r="55" spans="3:14" s="11" customFormat="1" x14ac:dyDescent="0.2"/>
    <row r="56" spans="3:14" s="11" customFormat="1" x14ac:dyDescent="0.2">
      <c r="C56" s="65" t="str">
        <f>IF(TIME_SERIES!$H$6=1,COVERAGE!D50&amp;" ("&amp;Lang_Coverage_Projection&amp;")",COVERAGE!D173&amp;" ("&amp;Lang_Coverage_Retrospective_Data&amp;")")</f>
        <v>Target Group Name2 (Coverage Projection)</v>
      </c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</row>
    <row r="57" spans="3:14" s="11" customFormat="1" x14ac:dyDescent="0.2"/>
    <row r="58" spans="3:14" s="11" customFormat="1" x14ac:dyDescent="0.2">
      <c r="D58" s="84" t="str">
        <f>IF(TIME_SERIES!$H$6=1,COVERAGE!D50&amp;" ("&amp;Lang_Coverage_Projection&amp;")",COVERAGE!D173&amp;" ("&amp;Lang_Coverage_Retrospective_Data&amp;")")</f>
        <v>Target Group Name2 (Coverage Projection)</v>
      </c>
    </row>
    <row r="59" spans="3:14" s="11" customFormat="1" x14ac:dyDescent="0.2"/>
    <row r="60" spans="3:14" s="11" customFormat="1" x14ac:dyDescent="0.2">
      <c r="D60" s="81" t="str">
        <f>C$40&amp;":   "&amp;IF(TIME_SERIES!$H$6=1,COVERAGE!$D$51,COVERAGE!$D$174)</f>
        <v>HPV 1:   Target Group Name2 - IN-SCHOOL (Projection)</v>
      </c>
      <c r="J60" s="68">
        <f>IF(TIME_SERIES!$H$6=1,COVERAGE!J$52,COVERAGE!J$174)</f>
        <v>15000</v>
      </c>
      <c r="K60" s="68">
        <f>IF(TIME_SERIES!$H$6=1,COVERAGE!K$52,COVERAGE!K$174)</f>
        <v>25000</v>
      </c>
      <c r="L60" s="68">
        <f>IF(TIME_SERIES!$H$6=1,COVERAGE!L$52,COVERAGE!L$174)</f>
        <v>20000</v>
      </c>
      <c r="M60" s="68">
        <f>IF(TIME_SERIES!$H$6=1,COVERAGE!M$52,COVERAGE!M$174)</f>
        <v>15000</v>
      </c>
      <c r="N60" s="68">
        <f>IF(TIME_SERIES!$H$6=1,COVERAGE!N$52,COVERAGE!N$174)</f>
        <v>5000</v>
      </c>
    </row>
    <row r="61" spans="3:14" s="11" customFormat="1" x14ac:dyDescent="0.2">
      <c r="D61" s="81" t="str">
        <f>C$40&amp;":   "&amp;IF(TIME_SERIES!$H$6=1,COVERAGE!$D$54,COVERAGE!$D$179)</f>
        <v>HPV 1:   Target Group Name2 - OUT OF SCHOOL (Projection)</v>
      </c>
      <c r="J61" s="68">
        <f>IF(TIME_SERIES!$H$6=1,COVERAGE!J$55,COVERAGE!J$179)</f>
        <v>34999.5</v>
      </c>
      <c r="K61" s="68">
        <f>IF(TIME_SERIES!$H$6=1,COVERAGE!K$55,COVERAGE!K$179)</f>
        <v>25000</v>
      </c>
      <c r="L61" s="68">
        <f>IF(TIME_SERIES!$H$6=1,COVERAGE!L$55,COVERAGE!L$179)</f>
        <v>29999.5</v>
      </c>
      <c r="M61" s="68">
        <f>IF(TIME_SERIES!$H$6=1,COVERAGE!M$55,COVERAGE!M$179)</f>
        <v>34999.5</v>
      </c>
      <c r="N61" s="68">
        <f>IF(TIME_SERIES!$H$6=1,COVERAGE!N$55,COVERAGE!N$179)</f>
        <v>44999.5</v>
      </c>
    </row>
    <row r="62" spans="3:14" s="11" customFormat="1" x14ac:dyDescent="0.2"/>
    <row r="63" spans="3:14" s="11" customFormat="1" x14ac:dyDescent="0.2">
      <c r="D63" s="52" t="str">
        <f>IF(TIME_SERIES!$H$6=1,CALCS_COVERAGE!D34,CALCS_COVERAGE!D122)</f>
        <v>HPV 1 Target Group Name2 Vaccinations Administered (Projected)</v>
      </c>
      <c r="J63" s="51">
        <f>IF(TIME_SERIES!$H$6=1,CALCS_COVERAGE!J34,CALCS_COVERAGE!J122)</f>
        <v>49999.5</v>
      </c>
      <c r="K63" s="51">
        <f>IF(TIME_SERIES!$H$6=1,CALCS_COVERAGE!K34,CALCS_COVERAGE!K122)</f>
        <v>50000</v>
      </c>
      <c r="L63" s="51">
        <f>IF(TIME_SERIES!$H$6=1,CALCS_COVERAGE!L34,CALCS_COVERAGE!L122)</f>
        <v>49999.5</v>
      </c>
      <c r="M63" s="51">
        <f>IF(TIME_SERIES!$H$6=1,CALCS_COVERAGE!M34,CALCS_COVERAGE!M122)</f>
        <v>49999.5</v>
      </c>
      <c r="N63" s="51">
        <f>IF(TIME_SERIES!$H$6=1,CALCS_COVERAGE!N34,CALCS_COVERAGE!N122)</f>
        <v>49999.5</v>
      </c>
    </row>
    <row r="64" spans="3:14" s="11" customFormat="1" x14ac:dyDescent="0.2">
      <c r="D64" s="71" t="str">
        <f>Lang_Total_SmallLetter&amp;" "&amp;C56&amp;" "&amp;C54</f>
        <v>Total Target Group Name2 (Coverage Projection) HPV 1</v>
      </c>
      <c r="J64" s="61">
        <f t="shared" ref="J64:N64" si="7">SUM(J63:J63)</f>
        <v>49999.5</v>
      </c>
      <c r="K64" s="61">
        <f t="shared" si="7"/>
        <v>50000</v>
      </c>
      <c r="L64" s="61">
        <f t="shared" si="7"/>
        <v>49999.5</v>
      </c>
      <c r="M64" s="61">
        <f t="shared" si="7"/>
        <v>49999.5</v>
      </c>
      <c r="N64" s="61">
        <f t="shared" si="7"/>
        <v>49999.5</v>
      </c>
    </row>
    <row r="65" spans="3:14" s="11" customFormat="1" x14ac:dyDescent="0.2"/>
    <row r="66" spans="3:14" s="11" customFormat="1" x14ac:dyDescent="0.2">
      <c r="C66" s="78" t="str">
        <f>CVG_Lu!$D$31</f>
        <v>HPV 1</v>
      </c>
    </row>
    <row r="67" spans="3:14" s="11" customFormat="1" x14ac:dyDescent="0.2"/>
    <row r="68" spans="3:14" s="11" customFormat="1" x14ac:dyDescent="0.2">
      <c r="C68" s="65" t="str">
        <f>IF(TIME_SERIES!$H$6=1,Lang_All_Target_Pop_Coverage&amp;" ("&amp;Lang_Prospective_Projection&amp;")",Lang_All_Target_Pop_Coverage&amp;" ("&amp;Lang_Retrospective_Data&amp;")")</f>
        <v>All Target Populations Coverage (Projection Projection)</v>
      </c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</row>
    <row r="69" spans="3:14" s="11" customFormat="1" x14ac:dyDescent="0.2"/>
    <row r="70" spans="3:14" s="11" customFormat="1" x14ac:dyDescent="0.2"/>
    <row r="71" spans="3:14" s="11" customFormat="1" x14ac:dyDescent="0.2">
      <c r="D71" s="81" t="str">
        <f>C$40&amp;":   "&amp;C68&amp;":  "&amp;CVG_Lu!$D$25</f>
        <v>HPV 1:   All Target Populations Coverage (Projection Projection):  IN-SCHOOL</v>
      </c>
      <c r="J71" s="83">
        <f t="shared" ref="J71:N72" si="8">SUM(J47,J60)</f>
        <v>35000</v>
      </c>
      <c r="K71" s="83">
        <f t="shared" si="8"/>
        <v>50750</v>
      </c>
      <c r="L71" s="83">
        <f t="shared" si="8"/>
        <v>41218</v>
      </c>
      <c r="M71" s="83">
        <f t="shared" si="8"/>
        <v>31391</v>
      </c>
      <c r="N71" s="83">
        <f t="shared" si="8"/>
        <v>61275</v>
      </c>
    </row>
    <row r="72" spans="3:14" s="11" customFormat="1" x14ac:dyDescent="0.2">
      <c r="D72" s="81" t="str">
        <f>C$40&amp;":   "&amp;C68&amp;":  "&amp;CVG_Lu!$D$26</f>
        <v>HPV 1:   All Target Populations Coverage (Projection Projection):  OUT OF SCHOOL</v>
      </c>
      <c r="J72" s="83">
        <f t="shared" si="8"/>
        <v>64999</v>
      </c>
      <c r="K72" s="83">
        <f t="shared" si="8"/>
        <v>50750</v>
      </c>
      <c r="L72" s="83">
        <f t="shared" si="8"/>
        <v>61826</v>
      </c>
      <c r="M72" s="83">
        <f t="shared" si="8"/>
        <v>73244.5</v>
      </c>
      <c r="N72" s="83">
        <f t="shared" si="8"/>
        <v>44999.5</v>
      </c>
    </row>
    <row r="73" spans="3:14" s="11" customFormat="1" x14ac:dyDescent="0.2"/>
    <row r="74" spans="3:14" s="11" customFormat="1" x14ac:dyDescent="0.2"/>
    <row r="75" spans="3:14" s="11" customFormat="1" x14ac:dyDescent="0.2">
      <c r="D75" s="53" t="str">
        <f>C$68&amp;" "&amp;C$66</f>
        <v>All Target Populations Coverage (Projection Projection) HPV 1</v>
      </c>
      <c r="J75" s="51">
        <f>SUM(J50,J63)</f>
        <v>99999</v>
      </c>
      <c r="K75" s="51">
        <f>SUM(K50,K63)</f>
        <v>101500</v>
      </c>
      <c r="L75" s="51">
        <f>SUM(L50,L63)</f>
        <v>103044</v>
      </c>
      <c r="M75" s="51">
        <f>SUM(M50,M63)</f>
        <v>104635.5</v>
      </c>
      <c r="N75" s="51">
        <f>SUM(N50,N63)</f>
        <v>106274.5</v>
      </c>
    </row>
    <row r="76" spans="3:14" s="11" customFormat="1" x14ac:dyDescent="0.2">
      <c r="D76" s="71" t="str">
        <f>Lang_Total_SmallLetter&amp;" "&amp;C68&amp;" "&amp;C66</f>
        <v>Total All Target Populations Coverage (Projection Projection) HPV 1</v>
      </c>
      <c r="I76" s="403">
        <f>SUM(J76:N76)</f>
        <v>515453</v>
      </c>
      <c r="J76" s="89">
        <f t="shared" ref="J76:N76" si="9">SUM(J75:J75)</f>
        <v>99999</v>
      </c>
      <c r="K76" s="89">
        <f t="shared" si="9"/>
        <v>101500</v>
      </c>
      <c r="L76" s="89">
        <f t="shared" si="9"/>
        <v>103044</v>
      </c>
      <c r="M76" s="89">
        <f t="shared" si="9"/>
        <v>104635.5</v>
      </c>
      <c r="N76" s="89">
        <f t="shared" si="9"/>
        <v>106274.5</v>
      </c>
    </row>
    <row r="77" spans="3:14" s="11" customFormat="1" x14ac:dyDescent="0.2"/>
    <row r="78" spans="3:14" s="11" customFormat="1" x14ac:dyDescent="0.2"/>
    <row r="79" spans="3:14" s="11" customFormat="1" x14ac:dyDescent="0.2">
      <c r="C79" s="78" t="str">
        <f>CVG_Lu!$D$32</f>
        <v>HPV 2</v>
      </c>
    </row>
    <row r="80" spans="3:14" s="11" customFormat="1" x14ac:dyDescent="0.2"/>
    <row r="81" spans="3:14" s="11" customFormat="1" x14ac:dyDescent="0.2">
      <c r="C81" s="65" t="str">
        <f>IF(TIME_SERIES!$H$6=1,COVERAGE!D27&amp;" ("&amp;Lang_Coverage_Projection&amp;")",COVERAGE!D148&amp;" ("&amp;Lang_Coverage_Retrospective_Data&amp;")")</f>
        <v>Target Group Name1 (Coverage Projection)</v>
      </c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</row>
    <row r="82" spans="3:14" s="11" customFormat="1" x14ac:dyDescent="0.2"/>
    <row r="83" spans="3:14" s="11" customFormat="1" x14ac:dyDescent="0.2">
      <c r="D83" s="81" t="str">
        <f>C$79&amp;":   "&amp;C81&amp;":  "&amp;CVG_Lu!$D$25</f>
        <v>HPV 2:   Target Group Name1 (Coverage Projection):  IN-SCHOOL</v>
      </c>
      <c r="J83" s="83">
        <f>IF(TIME_SERIES!$H$6=1,COVERAGE!J$75,COVERAGE!J$198)</f>
        <v>18000</v>
      </c>
      <c r="K83" s="83">
        <f>IF(TIME_SERIES!$H$6=1,COVERAGE!K$75,COVERAGE!K$198)</f>
        <v>23175</v>
      </c>
      <c r="L83" s="83">
        <f>IF(TIME_SERIES!$H$6=1,COVERAGE!L$75,COVERAGE!L$198)</f>
        <v>19096.2</v>
      </c>
      <c r="M83" s="83">
        <f>IF(TIME_SERIES!$H$6=1,COVERAGE!M$75,COVERAGE!M$198)</f>
        <v>14751.9</v>
      </c>
      <c r="N83" s="83">
        <f>IF(TIME_SERIES!$H$6=1,COVERAGE!N$75,COVERAGE!N$198)</f>
        <v>50647.5</v>
      </c>
    </row>
    <row r="84" spans="3:14" s="11" customFormat="1" x14ac:dyDescent="0.2">
      <c r="D84" s="81" t="str">
        <f>C$79&amp;":   "&amp;C81&amp;":  "&amp;CVG_Lu!$D$26</f>
        <v>HPV 2:   Target Group Name1 (Coverage Projection):  OUT OF SCHOOL</v>
      </c>
      <c r="J84" s="83">
        <f>IF(TIME_SERIES!$H$6=1,COVERAGE!J$78,COVERAGE!J$204)</f>
        <v>26999.55</v>
      </c>
      <c r="K84" s="83">
        <f>IF(TIME_SERIES!$H$6=1,COVERAGE!K$78,COVERAGE!K$204)</f>
        <v>23175</v>
      </c>
      <c r="L84" s="83">
        <f>IF(TIME_SERIES!$H$6=1,COVERAGE!L$78,COVERAGE!L$204)</f>
        <v>28643.85</v>
      </c>
      <c r="M84" s="83">
        <f>IF(TIME_SERIES!$H$6=1,COVERAGE!M$78,COVERAGE!M$204)</f>
        <v>34420.5</v>
      </c>
      <c r="N84" s="83">
        <f>IF(TIME_SERIES!$H$6=1,COVERAGE!N$78,COVERAGE!N$204)</f>
        <v>0</v>
      </c>
    </row>
    <row r="85" spans="3:14" s="11" customFormat="1" x14ac:dyDescent="0.2"/>
    <row r="86" spans="3:14" s="11" customFormat="1" x14ac:dyDescent="0.2"/>
    <row r="87" spans="3:14" s="11" customFormat="1" x14ac:dyDescent="0.2">
      <c r="D87" s="81" t="str">
        <f>IF(TIME_SERIES!$H$6=1,CALCS_COVERAGE!D46,CALCS_COVERAGE!D133)</f>
        <v>HPV 2 Target Group Name1 Vaccinations Administered (Projected)</v>
      </c>
      <c r="J87" s="51">
        <f>IF(TIME_SERIES!$H$6=1,CALCS_COVERAGE!J46,CALCS_COVERAGE!J133)</f>
        <v>44999.55</v>
      </c>
      <c r="K87" s="51">
        <f>IF(TIME_SERIES!$H$6=1,CALCS_COVERAGE!K46,CALCS_COVERAGE!K133)</f>
        <v>46350</v>
      </c>
      <c r="L87" s="51">
        <f>IF(TIME_SERIES!$H$6=1,CALCS_COVERAGE!L46,CALCS_COVERAGE!L133)</f>
        <v>47740.05</v>
      </c>
      <c r="M87" s="51">
        <f>IF(TIME_SERIES!$H$6=1,CALCS_COVERAGE!M46,CALCS_COVERAGE!M133)</f>
        <v>49172.4</v>
      </c>
      <c r="N87" s="51">
        <f>IF(TIME_SERIES!$H$6=1,CALCS_COVERAGE!N46,CALCS_COVERAGE!N133)</f>
        <v>50647.5</v>
      </c>
    </row>
    <row r="88" spans="3:14" s="11" customFormat="1" x14ac:dyDescent="0.2">
      <c r="D88" s="70" t="str">
        <f>Lang_Total_SmallLetter&amp;" "&amp;C81&amp;" "&amp;C79</f>
        <v>Total Target Group Name1 (Coverage Projection) HPV 2</v>
      </c>
      <c r="J88" s="61">
        <f t="shared" ref="J88:N88" si="10">SUM(J87:J87)</f>
        <v>44999.55</v>
      </c>
      <c r="K88" s="61">
        <f t="shared" si="10"/>
        <v>46350</v>
      </c>
      <c r="L88" s="61">
        <f t="shared" si="10"/>
        <v>47740.05</v>
      </c>
      <c r="M88" s="61">
        <f t="shared" si="10"/>
        <v>49172.4</v>
      </c>
      <c r="N88" s="61">
        <f t="shared" si="10"/>
        <v>50647.5</v>
      </c>
    </row>
    <row r="89" spans="3:14" s="11" customFormat="1" x14ac:dyDescent="0.2"/>
    <row r="90" spans="3:14" s="11" customFormat="1" x14ac:dyDescent="0.2">
      <c r="C90" s="78" t="str">
        <f>CVG_Lu!$D$32</f>
        <v>HPV 2</v>
      </c>
    </row>
    <row r="91" spans="3:14" s="11" customFormat="1" x14ac:dyDescent="0.2"/>
    <row r="92" spans="3:14" s="11" customFormat="1" x14ac:dyDescent="0.2">
      <c r="C92" s="65" t="str">
        <f>IF(TIME_SERIES!$H$6=1,COVERAGE!D50&amp;" ("&amp;Lang_Coverage_Projection&amp;")",COVERAGE!D173&amp;" ("&amp;Lang_Coverage_Retrospective_Data&amp;")")</f>
        <v>Target Group Name2 (Coverage Projection)</v>
      </c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</row>
    <row r="93" spans="3:14" s="11" customFormat="1" x14ac:dyDescent="0.2"/>
    <row r="94" spans="3:14" s="11" customFormat="1" x14ac:dyDescent="0.2">
      <c r="D94" s="81" t="str">
        <f>C$90&amp;":   "&amp;C92&amp;":  "&amp;CVG_Lu!$D$25</f>
        <v>HPV 2:   Target Group Name2 (Coverage Projection):  IN-SCHOOL</v>
      </c>
      <c r="J94" s="83">
        <f>IF(TIME_SERIES!$H$6=1,COVERAGE!J$101,COVERAGE!J$226)</f>
        <v>13500</v>
      </c>
      <c r="K94" s="83">
        <f>IF(TIME_SERIES!$H$6=1,COVERAGE!K$101,COVERAGE!K$226)</f>
        <v>22500</v>
      </c>
      <c r="L94" s="83">
        <f>IF(TIME_SERIES!$H$6=1,COVERAGE!L$101,COVERAGE!L$226)</f>
        <v>18000</v>
      </c>
      <c r="M94" s="83">
        <f>IF(TIME_SERIES!$H$6=1,COVERAGE!M$101,COVERAGE!M$226)</f>
        <v>13500</v>
      </c>
      <c r="N94" s="83">
        <f>IF(TIME_SERIES!$H$6=1,COVERAGE!N$101,COVERAGE!N$226)</f>
        <v>4500</v>
      </c>
    </row>
    <row r="95" spans="3:14" s="11" customFormat="1" x14ac:dyDescent="0.2">
      <c r="D95" s="81" t="str">
        <f>C$90&amp;":   "&amp;C92&amp;":  "&amp;CVG_Lu!$D$26</f>
        <v>HPV 2:   Target Group Name2 (Coverage Projection):  OUT OF SCHOOL</v>
      </c>
      <c r="J95" s="83">
        <f>IF(TIME_SERIES!$H$6=1,COVERAGE!J$104,COVERAGE!J$232)</f>
        <v>31499.55</v>
      </c>
      <c r="K95" s="83">
        <f>IF(TIME_SERIES!$H$6=1,COVERAGE!K$104,COVERAGE!K$232)</f>
        <v>22500</v>
      </c>
      <c r="L95" s="83">
        <f>IF(TIME_SERIES!$H$6=1,COVERAGE!L$104,COVERAGE!L$232)</f>
        <v>26999.55</v>
      </c>
      <c r="M95" s="83">
        <f>IF(TIME_SERIES!$H$6=1,COVERAGE!M$104,COVERAGE!M$232)</f>
        <v>31499.55</v>
      </c>
      <c r="N95" s="83">
        <f>IF(TIME_SERIES!$H$6=1,COVERAGE!N$104,COVERAGE!N$232)</f>
        <v>40499.550000000003</v>
      </c>
    </row>
    <row r="96" spans="3:14" s="11" customFormat="1" x14ac:dyDescent="0.2"/>
    <row r="97" spans="3:14" s="11" customFormat="1" x14ac:dyDescent="0.2">
      <c r="D97" s="81" t="str">
        <f>IF(TIME_SERIES!$H$6=1,CALCS_COVERAGE!D57,CALCS_COVERAGE!D144)</f>
        <v>HPV 2 Target Group Name2 Subgroups Vaccinations Administered (Projected)</v>
      </c>
      <c r="J97" s="51">
        <f>IF(TIME_SERIES!$H$6=1,CALCS_COVERAGE!J57,CALCS_COVERAGE!J144)</f>
        <v>44999.55</v>
      </c>
      <c r="K97" s="51">
        <f>IF(TIME_SERIES!$H$6=1,CALCS_COVERAGE!K57,CALCS_COVERAGE!K144)</f>
        <v>45000</v>
      </c>
      <c r="L97" s="51">
        <f>IF(TIME_SERIES!$H$6=1,CALCS_COVERAGE!L57,CALCS_COVERAGE!L144)</f>
        <v>44999.55</v>
      </c>
      <c r="M97" s="51">
        <f>IF(TIME_SERIES!$H$6=1,CALCS_COVERAGE!M57,CALCS_COVERAGE!M144)</f>
        <v>44999.55</v>
      </c>
      <c r="N97" s="51">
        <f>IF(TIME_SERIES!$H$6=1,CALCS_COVERAGE!N57,CALCS_COVERAGE!N144)</f>
        <v>44999.55</v>
      </c>
    </row>
    <row r="98" spans="3:14" s="11" customFormat="1" x14ac:dyDescent="0.2">
      <c r="D98" s="70" t="str">
        <f>Lang_Total_SmallLetter&amp;" "&amp;C92&amp;" "&amp;C90</f>
        <v>Total Target Group Name2 (Coverage Projection) HPV 2</v>
      </c>
      <c r="J98" s="61">
        <f t="shared" ref="J98:N98" si="11">SUM(J97:J97)</f>
        <v>44999.55</v>
      </c>
      <c r="K98" s="61">
        <f t="shared" si="11"/>
        <v>45000</v>
      </c>
      <c r="L98" s="61">
        <f t="shared" si="11"/>
        <v>44999.55</v>
      </c>
      <c r="M98" s="61">
        <f t="shared" si="11"/>
        <v>44999.55</v>
      </c>
      <c r="N98" s="61">
        <f t="shared" si="11"/>
        <v>44999.55</v>
      </c>
    </row>
    <row r="99" spans="3:14" s="11" customFormat="1" x14ac:dyDescent="0.2"/>
    <row r="100" spans="3:14" s="11" customFormat="1" x14ac:dyDescent="0.2">
      <c r="C100" s="78" t="str">
        <f>CVG_Lu!$D$32</f>
        <v>HPV 2</v>
      </c>
    </row>
    <row r="101" spans="3:14" s="11" customFormat="1" x14ac:dyDescent="0.2"/>
    <row r="102" spans="3:14" s="11" customFormat="1" x14ac:dyDescent="0.2">
      <c r="C102" s="65" t="str">
        <f>IF(TIME_SERIES!$H$6=1,Lang_All_Target_Pop_Coverage&amp;" ("&amp;Lang_Prospective_Projection&amp;")",Lang_All_Target_Pop_Coverage&amp;" ("&amp;Lang_Retrospective_Data&amp;")")</f>
        <v>All Target Populations Coverage (Projection Projection)</v>
      </c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</row>
    <row r="103" spans="3:14" s="11" customFormat="1" x14ac:dyDescent="0.2"/>
    <row r="104" spans="3:14" s="11" customFormat="1" x14ac:dyDescent="0.2">
      <c r="D104" s="81" t="str">
        <f>C100&amp;":   "&amp;C102&amp;":  "&amp;CVG_Lu!$D$25</f>
        <v>HPV 2:   All Target Populations Coverage (Projection Projection):  IN-SCHOOL</v>
      </c>
      <c r="J104" s="83">
        <f t="shared" ref="J104:N104" si="12">SUM(J83,J94)</f>
        <v>31500</v>
      </c>
      <c r="K104" s="83">
        <f t="shared" si="12"/>
        <v>45675</v>
      </c>
      <c r="L104" s="83">
        <f t="shared" si="12"/>
        <v>37096.199999999997</v>
      </c>
      <c r="M104" s="83">
        <f t="shared" si="12"/>
        <v>28251.9</v>
      </c>
      <c r="N104" s="83">
        <f t="shared" si="12"/>
        <v>55147.5</v>
      </c>
    </row>
    <row r="105" spans="3:14" s="11" customFormat="1" x14ac:dyDescent="0.2">
      <c r="D105" s="81" t="str">
        <f>C100&amp;":   "&amp;C102&amp;":  "&amp;CVG_Lu!$D$26</f>
        <v>HPV 2:   All Target Populations Coverage (Projection Projection):  OUT OF SCHOOL</v>
      </c>
      <c r="J105" s="83">
        <f t="shared" ref="J105:N105" si="13">SUM(J84,J95)</f>
        <v>58499.1</v>
      </c>
      <c r="K105" s="83">
        <f t="shared" si="13"/>
        <v>45675</v>
      </c>
      <c r="L105" s="83">
        <f t="shared" si="13"/>
        <v>55643.399999999994</v>
      </c>
      <c r="M105" s="83">
        <f t="shared" si="13"/>
        <v>65920.05</v>
      </c>
      <c r="N105" s="83">
        <f t="shared" si="13"/>
        <v>40499.550000000003</v>
      </c>
    </row>
    <row r="106" spans="3:14" s="11" customFormat="1" x14ac:dyDescent="0.2"/>
    <row r="107" spans="3:14" s="11" customFormat="1" x14ac:dyDescent="0.2"/>
    <row r="108" spans="3:14" s="11" customFormat="1" x14ac:dyDescent="0.2">
      <c r="D108" s="81" t="str">
        <f>C$102&amp;" "&amp;C$100</f>
        <v>All Target Populations Coverage (Projection Projection) HPV 2</v>
      </c>
      <c r="J108" s="51">
        <f t="shared" ref="J108:N108" si="14">SUM(J87,J97)</f>
        <v>89999.1</v>
      </c>
      <c r="K108" s="51">
        <f t="shared" si="14"/>
        <v>91350</v>
      </c>
      <c r="L108" s="51">
        <f t="shared" si="14"/>
        <v>92739.6</v>
      </c>
      <c r="M108" s="51">
        <f t="shared" si="14"/>
        <v>94171.950000000012</v>
      </c>
      <c r="N108" s="51">
        <f t="shared" si="14"/>
        <v>95647.05</v>
      </c>
    </row>
    <row r="109" spans="3:14" s="11" customFormat="1" x14ac:dyDescent="0.2">
      <c r="D109" s="70" t="str">
        <f>Lang_Total_SmallLetter&amp;" "&amp;C102&amp;" "&amp;C100</f>
        <v>Total All Target Populations Coverage (Projection Projection) HPV 2</v>
      </c>
      <c r="I109" s="403">
        <f>SUM(J109:N109)</f>
        <v>463907.7</v>
      </c>
      <c r="J109" s="89">
        <f t="shared" ref="J109:N109" si="15">SUM(J108:J108)</f>
        <v>89999.1</v>
      </c>
      <c r="K109" s="89">
        <f t="shared" si="15"/>
        <v>91350</v>
      </c>
      <c r="L109" s="89">
        <f t="shared" si="15"/>
        <v>92739.6</v>
      </c>
      <c r="M109" s="89">
        <f t="shared" si="15"/>
        <v>94171.950000000012</v>
      </c>
      <c r="N109" s="89">
        <f t="shared" si="15"/>
        <v>95647.05</v>
      </c>
    </row>
    <row r="110" spans="3:14" s="11" customFormat="1" x14ac:dyDescent="0.2"/>
    <row r="111" spans="3:14" s="11" customFormat="1" x14ac:dyDescent="0.2"/>
    <row r="112" spans="3:14" s="11" customFormat="1" x14ac:dyDescent="0.2"/>
    <row r="113" spans="3:9" s="11" customFormat="1" x14ac:dyDescent="0.2"/>
    <row r="114" spans="3:9" s="11" customFormat="1" x14ac:dyDescent="0.2">
      <c r="C114" s="491" t="str">
        <f>Lang_GoTo&amp;" "&amp;HL_CVG_Ass_B</f>
        <v>Go to Coverage- Navigation</v>
      </c>
      <c r="D114" s="491"/>
      <c r="E114" s="491"/>
      <c r="F114" s="491"/>
      <c r="G114" s="491"/>
      <c r="H114" s="491"/>
      <c r="I114" s="491"/>
    </row>
    <row r="115" spans="3:9" x14ac:dyDescent="0.2"/>
    <row r="116" spans="3:9" x14ac:dyDescent="0.2"/>
  </sheetData>
  <mergeCells count="3">
    <mergeCell ref="C114:I114"/>
    <mergeCell ref="C36:I36"/>
    <mergeCell ref="C35:I35"/>
  </mergeCells>
  <hyperlinks>
    <hyperlink ref="A9" location="HL_Count_Ass" tooltip="Click to follow hyperlink." display="HL_Count_Ass" xr:uid="{00000000-0004-0000-1900-000000000000}"/>
    <hyperlink ref="A38" location="HL_CVG_Ass_B" tooltip="Click to follow hyperlink." display="HL_CVG_Ass_B" xr:uid="{00000000-0004-0000-1900-000001000000}"/>
    <hyperlink ref="C35:I35" location="HL_Count_Ass_A" tooltip="Click to follow hyperlink." display="HL_Count_Ass_A" xr:uid="{00000000-0004-0000-1900-000002000000}"/>
    <hyperlink ref="C36:I36" location="HL_Count_Ass_B" tooltip="Click to follow hyperlink." display="HL_Count_Ass_B" xr:uid="{00000000-0004-0000-1900-000003000000}"/>
    <hyperlink ref="C114:I114" location="HL_CVG_Ass_B" tooltip="Click to follow hyperlink." display="HL_CVG_Ass_B" xr:uid="{00000000-0004-0000-1900-000004000000}"/>
    <hyperlink ref="A1" location="Contents!A1" tooltip="Go to Table of Contents" display="±" xr:uid="{00000000-0004-0000-1900-000005000000}"/>
    <hyperlink ref="A3" location="$B$8" tooltip="Go to Top of Sheet" display="$B$8" xr:uid="{515402B8-55D8-436B-94AB-7933BB3B68FC}"/>
  </hyperlinks>
  <pageMargins left="0.7" right="0.7" top="0.75" bottom="0.75" header="0.3" footer="0.3"/>
  <pageSetup scale="50" fitToHeight="0" orientation="landscape" r:id="rId1"/>
  <headerFooter>
    <oddFooter>&amp;L&amp;B Confidential&amp;B&amp;C&amp;D&amp;RPage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>
    <tabColor rgb="FF0070C0"/>
    <pageSetUpPr autoPageBreaks="0" fitToPage="1"/>
  </sheetPr>
  <dimension ref="A1:R608"/>
  <sheetViews>
    <sheetView showGridLines="0" zoomScaleNormal="100" workbookViewId="0">
      <pane xSplit="1" ySplit="7" topLeftCell="B8" activePane="bottomRight" state="frozen"/>
      <selection activeCell="I511" sqref="I511"/>
      <selection pane="topRight" activeCell="I511" sqref="I511"/>
      <selection pane="bottomLeft" activeCell="I511" sqref="I511"/>
      <selection pane="bottomRight"/>
    </sheetView>
  </sheetViews>
  <sheetFormatPr defaultColWidth="11.7109375" defaultRowHeight="12" x14ac:dyDescent="0.2"/>
  <cols>
    <col min="1" max="2" width="3.7109375" style="4" customWidth="1"/>
    <col min="3" max="3" width="5.7109375" style="4" customWidth="1"/>
    <col min="4" max="4" width="35.7109375" style="4" customWidth="1"/>
    <col min="5" max="5" width="30.7109375" style="4" customWidth="1"/>
    <col min="6" max="6" width="15.7109375" style="4" customWidth="1"/>
    <col min="7" max="7" width="10.7109375" style="4" customWidth="1"/>
    <col min="8" max="8" width="11.7109375" style="4"/>
    <col min="9" max="9" width="15.7109375" style="4" customWidth="1"/>
    <col min="10" max="14" width="20.7109375" style="4" customWidth="1"/>
    <col min="15" max="16384" width="11.7109375" style="4"/>
  </cols>
  <sheetData>
    <row r="1" spans="1:14" ht="14.25" customHeight="1" x14ac:dyDescent="0.2">
      <c r="A1" s="35" t="s">
        <v>128</v>
      </c>
      <c r="B1" s="8" t="str">
        <f>Lang_Activity_Quantities_And_Cost_Summary</f>
        <v>Activity Quantities and Cost Summary</v>
      </c>
    </row>
    <row r="2" spans="1:14" ht="12.75" x14ac:dyDescent="0.2">
      <c r="A2" s="36"/>
      <c r="B2" s="5" t="str">
        <f ca="1">Model_Name</f>
        <v>Cervical Cancer Prevention and Control Costing (C4P) Tool (Cost Projection)</v>
      </c>
    </row>
    <row r="3" spans="1:14" s="11" customFormat="1" x14ac:dyDescent="0.2">
      <c r="A3" s="12" t="s">
        <v>5</v>
      </c>
      <c r="B3" s="90" t="str">
        <f>Lang_Year_Ending</f>
        <v>Year Ending</v>
      </c>
      <c r="C3" s="90"/>
      <c r="D3" s="90"/>
      <c r="E3" s="90"/>
      <c r="F3" s="90"/>
      <c r="G3" s="90"/>
      <c r="H3" s="90"/>
      <c r="I3" s="90"/>
      <c r="J3" s="106">
        <f t="shared" ref="J3:N3" si="0">J7</f>
        <v>2019</v>
      </c>
      <c r="K3" s="106">
        <f t="shared" si="0"/>
        <v>2020</v>
      </c>
      <c r="L3" s="106">
        <f t="shared" si="0"/>
        <v>2021</v>
      </c>
      <c r="M3" s="106">
        <f t="shared" si="0"/>
        <v>2022</v>
      </c>
      <c r="N3" s="106">
        <f t="shared" si="0"/>
        <v>2023</v>
      </c>
    </row>
    <row r="4" spans="1:14" s="11" customFormat="1" hidden="1" x14ac:dyDescent="0.2">
      <c r="B4" s="50" t="str">
        <f>Lang_Period_Start_Date</f>
        <v>Period Start Date</v>
      </c>
      <c r="C4" s="10"/>
      <c r="D4" s="10"/>
      <c r="E4" s="10"/>
      <c r="F4" s="10"/>
      <c r="G4" s="10"/>
      <c r="H4" s="10"/>
      <c r="I4" s="10"/>
      <c r="J4" s="340">
        <f>EDATE(TS_Start_Date,(J6-1)*TS_Mths_In_Yr)</f>
        <v>43466</v>
      </c>
      <c r="K4" s="340">
        <f>EDATE(TS_Start_Date,(K6-1)*TS_Mths_In_Yr)</f>
        <v>43831</v>
      </c>
      <c r="L4" s="340">
        <f>EDATE(TS_Start_Date,(L6-1)*TS_Mths_In_Yr)</f>
        <v>44197</v>
      </c>
      <c r="M4" s="340">
        <f>EDATE(TS_Start_Date,(M6-1)*TS_Mths_In_Yr)</f>
        <v>44562</v>
      </c>
      <c r="N4" s="340">
        <f>EDATE(TS_Start_Date,(N6-1)*TS_Mths_In_Yr)</f>
        <v>44927</v>
      </c>
    </row>
    <row r="5" spans="1:14" s="11" customFormat="1" hidden="1" x14ac:dyDescent="0.2">
      <c r="B5" s="50" t="str">
        <f>Lang_Period_End_Date</f>
        <v>Period End Date</v>
      </c>
      <c r="C5" s="10"/>
      <c r="D5" s="10"/>
      <c r="E5" s="10"/>
      <c r="F5" s="10"/>
      <c r="G5" s="10"/>
      <c r="H5" s="10"/>
      <c r="I5" s="10"/>
      <c r="J5" s="340">
        <f>EDATE(J4,TS_Mths_In_Yr)-1</f>
        <v>43830</v>
      </c>
      <c r="K5" s="340">
        <f>EDATE(K4,TS_Mths_In_Yr)-1</f>
        <v>44196</v>
      </c>
      <c r="L5" s="340">
        <f>EDATE(L4,TS_Mths_In_Yr)-1</f>
        <v>44561</v>
      </c>
      <c r="M5" s="340">
        <f>EDATE(M4,TS_Mths_In_Yr)-1</f>
        <v>44926</v>
      </c>
      <c r="N5" s="340">
        <f>EDATE(N4,TS_Mths_In_Yr)-1</f>
        <v>45291</v>
      </c>
    </row>
    <row r="6" spans="1:14" s="11" customFormat="1" hidden="1" x14ac:dyDescent="0.2">
      <c r="B6" s="50" t="str">
        <f>Lang_Counter</f>
        <v>Counter</v>
      </c>
      <c r="C6" s="10"/>
      <c r="D6" s="10"/>
      <c r="E6" s="10"/>
      <c r="F6" s="10"/>
      <c r="G6" s="10"/>
      <c r="H6" s="10"/>
      <c r="I6" s="10"/>
      <c r="J6" s="42">
        <f>COLUMNS($J6:J6)</f>
        <v>1</v>
      </c>
      <c r="K6" s="42">
        <f>COLUMNS($J6:K6)</f>
        <v>2</v>
      </c>
      <c r="L6" s="42">
        <f>COLUMNS($J6:L6)</f>
        <v>3</v>
      </c>
      <c r="M6" s="42">
        <f>COLUMNS($J6:M6)</f>
        <v>4</v>
      </c>
      <c r="N6" s="42">
        <f>COLUMNS($J6:N6)</f>
        <v>5</v>
      </c>
    </row>
    <row r="7" spans="1:14" s="11" customFormat="1" hidden="1" x14ac:dyDescent="0.2">
      <c r="B7" s="91" t="str">
        <f>Lang_Financial_Year</f>
        <v>Financial Year</v>
      </c>
      <c r="C7" s="69"/>
      <c r="D7" s="69"/>
      <c r="E7" s="69"/>
      <c r="F7" s="69"/>
      <c r="G7" s="69"/>
      <c r="H7" s="69"/>
      <c r="I7" s="69"/>
      <c r="J7" s="341">
        <f t="shared" ref="J7:N7" si="1">YEAR(J5)</f>
        <v>2019</v>
      </c>
      <c r="K7" s="341">
        <f t="shared" si="1"/>
        <v>2020</v>
      </c>
      <c r="L7" s="341">
        <f t="shared" si="1"/>
        <v>2021</v>
      </c>
      <c r="M7" s="341">
        <f t="shared" si="1"/>
        <v>2022</v>
      </c>
      <c r="N7" s="341">
        <f t="shared" si="1"/>
        <v>2023</v>
      </c>
    </row>
    <row r="8" spans="1:14" s="11" customFormat="1" x14ac:dyDescent="0.2"/>
    <row r="9" spans="1:14" s="11" customFormat="1" x14ac:dyDescent="0.2">
      <c r="A9" s="12" t="s">
        <v>127</v>
      </c>
      <c r="B9" s="13" t="str">
        <f>Lang_Vaccines_And_Injection_Supplies_Financial_Local_Currency</f>
        <v>Vaccines and Injection Supplies- Financial (Local Currency)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1:14" s="11" customFormat="1" x14ac:dyDescent="0.2"/>
    <row r="11" spans="1:14" s="11" customFormat="1" x14ac:dyDescent="0.2">
      <c r="B11" s="74" t="str">
        <f>Lang_Fin</f>
        <v>Financial</v>
      </c>
    </row>
    <row r="12" spans="1:14" s="11" customFormat="1" x14ac:dyDescent="0.2"/>
    <row r="13" spans="1:14" s="11" customFormat="1" x14ac:dyDescent="0.2">
      <c r="C13" s="92" t="str">
        <f>Vacc_Lu!$D$13</f>
        <v>LCU</v>
      </c>
    </row>
    <row r="14" spans="1:14" s="11" customFormat="1" x14ac:dyDescent="0.2"/>
    <row r="15" spans="1:14" s="11" customFormat="1" x14ac:dyDescent="0.2">
      <c r="C15" s="55" t="str">
        <f>Lang_Vaccines</f>
        <v>Vaccines</v>
      </c>
    </row>
    <row r="16" spans="1:14" s="11" customFormat="1" x14ac:dyDescent="0.2">
      <c r="D16" s="52" t="str">
        <f>'VACCS_&amp;_SUPPLIES_To'!D38</f>
        <v>Vaccine Costs (Projected) Local Currency - Financial</v>
      </c>
      <c r="J16" s="51">
        <f>'VACCS_&amp;_SUPPLIES_To'!J38</f>
        <v>0</v>
      </c>
      <c r="K16" s="51">
        <f>'VACCS_&amp;_SUPPLIES_To'!K38</f>
        <v>0</v>
      </c>
      <c r="L16" s="51">
        <f>'VACCS_&amp;_SUPPLIES_To'!L38</f>
        <v>0</v>
      </c>
      <c r="M16" s="51">
        <f>'VACCS_&amp;_SUPPLIES_To'!M38</f>
        <v>0</v>
      </c>
      <c r="N16" s="51">
        <f>'VACCS_&amp;_SUPPLIES_To'!N38</f>
        <v>0</v>
      </c>
    </row>
    <row r="17" spans="1:14" s="11" customFormat="1" x14ac:dyDescent="0.2">
      <c r="D17" s="78" t="str">
        <f>'VACCS_&amp;_SUPPLIES_To'!D39</f>
        <v>Total Financial (LCU)</v>
      </c>
      <c r="J17" s="61">
        <f t="shared" ref="J17:N17" si="2">SUM(J16:J16)</f>
        <v>0</v>
      </c>
      <c r="K17" s="61">
        <f t="shared" si="2"/>
        <v>0</v>
      </c>
      <c r="L17" s="61">
        <f t="shared" si="2"/>
        <v>0</v>
      </c>
      <c r="M17" s="61">
        <f t="shared" si="2"/>
        <v>0</v>
      </c>
      <c r="N17" s="61">
        <f t="shared" si="2"/>
        <v>0</v>
      </c>
    </row>
    <row r="18" spans="1:14" s="11" customFormat="1" x14ac:dyDescent="0.2"/>
    <row r="19" spans="1:14" s="11" customFormat="1" x14ac:dyDescent="0.2">
      <c r="C19" s="55" t="str">
        <f>Lang_Syringes</f>
        <v>Syringes</v>
      </c>
    </row>
    <row r="20" spans="1:14" s="11" customFormat="1" x14ac:dyDescent="0.2">
      <c r="D20" s="52" t="str">
        <f>'VACCS_&amp;_SUPPLIES_To'!D73</f>
        <v>Syringe Costs (Projected) Local Currency - Financial</v>
      </c>
      <c r="J20" s="51">
        <f>'VACCS_&amp;_SUPPLIES_To'!J73</f>
        <v>0</v>
      </c>
      <c r="K20" s="51">
        <f>'VACCS_&amp;_SUPPLIES_To'!K73</f>
        <v>0</v>
      </c>
      <c r="L20" s="51">
        <f>'VACCS_&amp;_SUPPLIES_To'!L73</f>
        <v>0</v>
      </c>
      <c r="M20" s="51">
        <f>'VACCS_&amp;_SUPPLIES_To'!M73</f>
        <v>0</v>
      </c>
      <c r="N20" s="51">
        <f>'VACCS_&amp;_SUPPLIES_To'!N73</f>
        <v>0</v>
      </c>
    </row>
    <row r="21" spans="1:14" s="11" customFormat="1" x14ac:dyDescent="0.2">
      <c r="D21" s="78" t="str">
        <f>'VACCS_&amp;_SUPPLIES_To'!D74</f>
        <v>Total Financial (LCU)</v>
      </c>
      <c r="J21" s="61">
        <f t="shared" ref="J21:N21" si="3">SUM(J20:J20)</f>
        <v>0</v>
      </c>
      <c r="K21" s="61">
        <f t="shared" si="3"/>
        <v>0</v>
      </c>
      <c r="L21" s="61">
        <f t="shared" si="3"/>
        <v>0</v>
      </c>
      <c r="M21" s="61">
        <f t="shared" si="3"/>
        <v>0</v>
      </c>
      <c r="N21" s="61">
        <f t="shared" si="3"/>
        <v>0</v>
      </c>
    </row>
    <row r="22" spans="1:14" s="11" customFormat="1" x14ac:dyDescent="0.2"/>
    <row r="23" spans="1:14" s="11" customFormat="1" x14ac:dyDescent="0.2">
      <c r="C23" s="55" t="str">
        <f>Lang_Safety_Boxes</f>
        <v>Safety Boxes</v>
      </c>
    </row>
    <row r="24" spans="1:14" s="11" customFormat="1" x14ac:dyDescent="0.2">
      <c r="D24" s="52" t="str">
        <f>'VACCS_&amp;_SUPPLIES_To'!D109</f>
        <v>Safety Box Costs (Projected) Local Currency - Financial</v>
      </c>
      <c r="J24" s="51">
        <f>'VACCS_&amp;_SUPPLIES_To'!J109</f>
        <v>0</v>
      </c>
      <c r="K24" s="51">
        <f>'VACCS_&amp;_SUPPLIES_To'!K109</f>
        <v>0</v>
      </c>
      <c r="L24" s="51">
        <f>'VACCS_&amp;_SUPPLIES_To'!L109</f>
        <v>0</v>
      </c>
      <c r="M24" s="51">
        <f>'VACCS_&amp;_SUPPLIES_To'!M109</f>
        <v>0</v>
      </c>
      <c r="N24" s="51">
        <f>'VACCS_&amp;_SUPPLIES_To'!N109</f>
        <v>0</v>
      </c>
    </row>
    <row r="25" spans="1:14" s="11" customFormat="1" x14ac:dyDescent="0.2">
      <c r="D25" s="78" t="str">
        <f>'VACCS_&amp;_SUPPLIES_To'!D110</f>
        <v>Total Financial (LCU)</v>
      </c>
      <c r="J25" s="61">
        <f t="shared" ref="J25:N25" si="4">SUM(J24:J24)</f>
        <v>0</v>
      </c>
      <c r="K25" s="61">
        <f t="shared" si="4"/>
        <v>0</v>
      </c>
      <c r="L25" s="61">
        <f t="shared" si="4"/>
        <v>0</v>
      </c>
      <c r="M25" s="61">
        <f t="shared" si="4"/>
        <v>0</v>
      </c>
      <c r="N25" s="61">
        <f t="shared" si="4"/>
        <v>0</v>
      </c>
    </row>
    <row r="26" spans="1:14" s="11" customFormat="1" x14ac:dyDescent="0.2"/>
    <row r="27" spans="1:14" s="11" customFormat="1" x14ac:dyDescent="0.2">
      <c r="A27" s="12" t="s">
        <v>127</v>
      </c>
      <c r="B27" s="13" t="str">
        <f>Lang_Vaccine_And_Injection_Supplies_Economic_Local_Currency</f>
        <v>Vaccine and Injection Supplies- Economic (Local Currency)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</row>
    <row r="28" spans="1:14" s="11" customFormat="1" x14ac:dyDescent="0.2"/>
    <row r="29" spans="1:14" s="11" customFormat="1" x14ac:dyDescent="0.2">
      <c r="B29" s="74" t="str">
        <f>Lang_Econ</f>
        <v>Economic</v>
      </c>
    </row>
    <row r="30" spans="1:14" s="11" customFormat="1" x14ac:dyDescent="0.2"/>
    <row r="31" spans="1:14" s="11" customFormat="1" x14ac:dyDescent="0.2">
      <c r="C31" s="92" t="str">
        <f>Vacc_Lu!$D$13</f>
        <v>LCU</v>
      </c>
    </row>
    <row r="32" spans="1:14" s="11" customFormat="1" x14ac:dyDescent="0.2">
      <c r="C32" s="55" t="str">
        <f>Lang_Vaccines</f>
        <v>Vaccines</v>
      </c>
    </row>
    <row r="33" spans="1:18" s="11" customFormat="1" x14ac:dyDescent="0.2">
      <c r="D33" s="52" t="str">
        <f>'VACCS_&amp;_SUPPLIES_To'!D47</f>
        <v>Vaccine Costs (Projected) Local Currency - Economic</v>
      </c>
      <c r="J33" s="51">
        <f>'VACCS_&amp;_SUPPLIES'!$J$63*'VACCS_&amp;_SUPPLIES_To'!J15</f>
        <v>0</v>
      </c>
      <c r="K33" s="51">
        <f>'VACCS_&amp;_SUPPLIES'!$J$63*'VACCS_&amp;_SUPPLIES_To'!K15</f>
        <v>0</v>
      </c>
      <c r="L33" s="51">
        <f>'VACCS_&amp;_SUPPLIES'!$J$63*'VACCS_&amp;_SUPPLIES_To'!L15</f>
        <v>0</v>
      </c>
      <c r="M33" s="51">
        <f>'VACCS_&amp;_SUPPLIES'!$J$63*'VACCS_&amp;_SUPPLIES_To'!M15</f>
        <v>0</v>
      </c>
      <c r="N33" s="51">
        <f>'VACCS_&amp;_SUPPLIES'!$J$63*'VACCS_&amp;_SUPPLIES_To'!N15</f>
        <v>0</v>
      </c>
      <c r="R33" s="11" t="s">
        <v>39</v>
      </c>
    </row>
    <row r="34" spans="1:18" s="11" customFormat="1" x14ac:dyDescent="0.2">
      <c r="D34" s="78" t="str">
        <f>'VACCS_&amp;_SUPPLIES_To'!D48</f>
        <v>Total Economic (LCU)</v>
      </c>
      <c r="J34" s="61">
        <f t="shared" ref="J34:N34" si="5">SUM(J33:J33)</f>
        <v>0</v>
      </c>
      <c r="K34" s="61">
        <f t="shared" si="5"/>
        <v>0</v>
      </c>
      <c r="L34" s="61">
        <f t="shared" si="5"/>
        <v>0</v>
      </c>
      <c r="M34" s="61">
        <f t="shared" si="5"/>
        <v>0</v>
      </c>
      <c r="N34" s="61">
        <f t="shared" si="5"/>
        <v>0</v>
      </c>
    </row>
    <row r="35" spans="1:18" s="11" customFormat="1" x14ac:dyDescent="0.2"/>
    <row r="36" spans="1:18" s="11" customFormat="1" x14ac:dyDescent="0.2">
      <c r="C36" s="55" t="str">
        <f>Lang_Syringes</f>
        <v>Syringes</v>
      </c>
    </row>
    <row r="37" spans="1:18" s="11" customFormat="1" x14ac:dyDescent="0.2">
      <c r="D37" s="52" t="str">
        <f>'VACCS_&amp;_SUPPLIES_To'!D82</f>
        <v>Syringe Costs (Projected) Local Currency - Economic</v>
      </c>
      <c r="J37" s="51">
        <f>'VACCS_&amp;_SUPPLIES'!$J$74*'VACCS_&amp;_SUPPLIES_To'!J22</f>
        <v>0</v>
      </c>
      <c r="K37" s="51">
        <f>'VACCS_&amp;_SUPPLIES'!$J$74*'VACCS_&amp;_SUPPLIES_To'!K22</f>
        <v>0</v>
      </c>
      <c r="L37" s="51">
        <f>'VACCS_&amp;_SUPPLIES'!$J$74*'VACCS_&amp;_SUPPLIES_To'!L22</f>
        <v>0</v>
      </c>
      <c r="M37" s="51">
        <f>'VACCS_&amp;_SUPPLIES'!$J$74*'VACCS_&amp;_SUPPLIES_To'!M22</f>
        <v>0</v>
      </c>
      <c r="N37" s="51">
        <f>'VACCS_&amp;_SUPPLIES'!$J$74*'VACCS_&amp;_SUPPLIES_To'!N22</f>
        <v>0</v>
      </c>
    </row>
    <row r="38" spans="1:18" s="11" customFormat="1" x14ac:dyDescent="0.2">
      <c r="D38" s="78" t="str">
        <f>'VACCS_&amp;_SUPPLIES_To'!D83</f>
        <v>Total Economic (LCU)</v>
      </c>
      <c r="J38" s="61">
        <f t="shared" ref="J38:N38" si="6">SUM(J37:J37)</f>
        <v>0</v>
      </c>
      <c r="K38" s="61">
        <f t="shared" si="6"/>
        <v>0</v>
      </c>
      <c r="L38" s="61">
        <f t="shared" si="6"/>
        <v>0</v>
      </c>
      <c r="M38" s="61">
        <f t="shared" si="6"/>
        <v>0</v>
      </c>
      <c r="N38" s="61">
        <f t="shared" si="6"/>
        <v>0</v>
      </c>
    </row>
    <row r="39" spans="1:18" s="11" customFormat="1" x14ac:dyDescent="0.2"/>
    <row r="40" spans="1:18" s="11" customFormat="1" x14ac:dyDescent="0.2">
      <c r="C40" s="55" t="str">
        <f>Lang_Safety_Boxes</f>
        <v>Safety Boxes</v>
      </c>
    </row>
    <row r="41" spans="1:18" s="11" customFormat="1" x14ac:dyDescent="0.2">
      <c r="D41" s="52" t="str">
        <f>'VACCS_&amp;_SUPPLIES_To'!D118</f>
        <v>Safety Box Costs (Projected) Local Currency - Economic</v>
      </c>
      <c r="J41" s="51">
        <f>'VACCS_&amp;_SUPPLIES'!$J$85*'VACCS_&amp;_SUPPLIES_To'!J29</f>
        <v>0</v>
      </c>
      <c r="K41" s="51">
        <f>'VACCS_&amp;_SUPPLIES'!$J$85*'VACCS_&amp;_SUPPLIES_To'!K29</f>
        <v>0</v>
      </c>
      <c r="L41" s="51">
        <f>'VACCS_&amp;_SUPPLIES'!$J$85*'VACCS_&amp;_SUPPLIES_To'!L29</f>
        <v>0</v>
      </c>
      <c r="M41" s="51">
        <f>'VACCS_&amp;_SUPPLIES'!$J$85*'VACCS_&amp;_SUPPLIES_To'!M29</f>
        <v>0</v>
      </c>
      <c r="N41" s="51">
        <f>'VACCS_&amp;_SUPPLIES'!$J$85*'VACCS_&amp;_SUPPLIES_To'!N29</f>
        <v>0</v>
      </c>
    </row>
    <row r="42" spans="1:18" s="11" customFormat="1" x14ac:dyDescent="0.2">
      <c r="D42" s="78" t="str">
        <f>'VACCS_&amp;_SUPPLIES_To'!D119</f>
        <v>Total Economic (LCU)</v>
      </c>
      <c r="J42" s="61">
        <f t="shared" ref="J42:N42" si="7">SUM(J41:J41)</f>
        <v>0</v>
      </c>
      <c r="K42" s="61">
        <f t="shared" si="7"/>
        <v>0</v>
      </c>
      <c r="L42" s="61">
        <f t="shared" si="7"/>
        <v>0</v>
      </c>
      <c r="M42" s="61">
        <f t="shared" si="7"/>
        <v>0</v>
      </c>
      <c r="N42" s="61">
        <f t="shared" si="7"/>
        <v>0</v>
      </c>
    </row>
    <row r="43" spans="1:18" s="11" customFormat="1" x14ac:dyDescent="0.2"/>
    <row r="44" spans="1:18" s="11" customFormat="1" x14ac:dyDescent="0.2">
      <c r="A44" s="12" t="s">
        <v>127</v>
      </c>
      <c r="B44" s="13" t="str">
        <f>Lang_Vaccines_And_Injection_Supplies_Financial_International_Currency</f>
        <v>Vaccine and Injection Supplies - Financial  (International Currency)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</row>
    <row r="45" spans="1:18" s="11" customFormat="1" x14ac:dyDescent="0.2"/>
    <row r="46" spans="1:18" s="11" customFormat="1" x14ac:dyDescent="0.2">
      <c r="B46" s="74" t="str">
        <f>Lang_Fin</f>
        <v>Financial</v>
      </c>
    </row>
    <row r="47" spans="1:18" s="11" customFormat="1" x14ac:dyDescent="0.2"/>
    <row r="48" spans="1:18" s="11" customFormat="1" x14ac:dyDescent="0.2">
      <c r="C48" s="92" t="str">
        <f>Vacc_Lu!$D$12</f>
        <v>USD</v>
      </c>
    </row>
    <row r="49" spans="1:14" s="11" customFormat="1" x14ac:dyDescent="0.2">
      <c r="C49" s="55" t="str">
        <f>Lang_Vaccines</f>
        <v>Vaccines</v>
      </c>
    </row>
    <row r="50" spans="1:14" s="11" customFormat="1" x14ac:dyDescent="0.2">
      <c r="D50" s="52" t="str">
        <f>'VACCS_&amp;_SUPPLIES_To'!D$56</f>
        <v>Vaccine Costs (Projected) International Currency - Financial</v>
      </c>
      <c r="J50" s="119">
        <f>J16/Vacc_Baseline_Exchange_Rate</f>
        <v>0</v>
      </c>
      <c r="K50" s="119">
        <f>K16/Vacc_Baseline_Exchange_Rate</f>
        <v>0</v>
      </c>
      <c r="L50" s="119">
        <f>L16/Vacc_Baseline_Exchange_Rate</f>
        <v>0</v>
      </c>
      <c r="M50" s="119">
        <f>M16/Vacc_Baseline_Exchange_Rate</f>
        <v>0</v>
      </c>
      <c r="N50" s="119">
        <f>N16/Vacc_Baseline_Exchange_Rate</f>
        <v>0</v>
      </c>
    </row>
    <row r="51" spans="1:14" s="11" customFormat="1" x14ac:dyDescent="0.2">
      <c r="D51" s="78" t="str">
        <f>'VACCS_&amp;_SUPPLIES_To'!D$57</f>
        <v>Total Financial (USD)</v>
      </c>
      <c r="J51" s="125">
        <f t="shared" ref="J51:N51" si="8">SUM(J50:J50)</f>
        <v>0</v>
      </c>
      <c r="K51" s="125">
        <f t="shared" si="8"/>
        <v>0</v>
      </c>
      <c r="L51" s="125">
        <f t="shared" si="8"/>
        <v>0</v>
      </c>
      <c r="M51" s="125">
        <f t="shared" si="8"/>
        <v>0</v>
      </c>
      <c r="N51" s="125">
        <f t="shared" si="8"/>
        <v>0</v>
      </c>
    </row>
    <row r="52" spans="1:14" s="11" customFormat="1" x14ac:dyDescent="0.2"/>
    <row r="53" spans="1:14" s="11" customFormat="1" x14ac:dyDescent="0.2">
      <c r="C53" s="55" t="str">
        <f>Lang_Syringes</f>
        <v>Syringes</v>
      </c>
    </row>
    <row r="54" spans="1:14" s="11" customFormat="1" x14ac:dyDescent="0.2">
      <c r="D54" s="52" t="str">
        <f>'VACCS_&amp;_SUPPLIES_To'!D$91</f>
        <v>Syringe Costs (Projected) International Currency - Financial</v>
      </c>
      <c r="J54" s="119">
        <f>J20/Vacc_Baseline_Exchange_Rate</f>
        <v>0</v>
      </c>
      <c r="K54" s="119">
        <f>K20/Vacc_Baseline_Exchange_Rate</f>
        <v>0</v>
      </c>
      <c r="L54" s="119">
        <f>L20/Vacc_Baseline_Exchange_Rate</f>
        <v>0</v>
      </c>
      <c r="M54" s="119">
        <f>M20/Vacc_Baseline_Exchange_Rate</f>
        <v>0</v>
      </c>
      <c r="N54" s="119">
        <f>N20/Vacc_Baseline_Exchange_Rate</f>
        <v>0</v>
      </c>
    </row>
    <row r="55" spans="1:14" s="11" customFormat="1" x14ac:dyDescent="0.2">
      <c r="D55" s="78" t="str">
        <f>'VACCS_&amp;_SUPPLIES_To'!D$92</f>
        <v>Total Financial (USD)</v>
      </c>
      <c r="J55" s="125">
        <f t="shared" ref="J55:N55" si="9">SUM(J54:J54)</f>
        <v>0</v>
      </c>
      <c r="K55" s="125">
        <f t="shared" si="9"/>
        <v>0</v>
      </c>
      <c r="L55" s="125">
        <f t="shared" si="9"/>
        <v>0</v>
      </c>
      <c r="M55" s="125">
        <f t="shared" si="9"/>
        <v>0</v>
      </c>
      <c r="N55" s="125">
        <f t="shared" si="9"/>
        <v>0</v>
      </c>
    </row>
    <row r="56" spans="1:14" s="11" customFormat="1" x14ac:dyDescent="0.2"/>
    <row r="57" spans="1:14" s="11" customFormat="1" x14ac:dyDescent="0.2">
      <c r="C57" s="55" t="str">
        <f>Lang_Safety_Boxes</f>
        <v>Safety Boxes</v>
      </c>
    </row>
    <row r="58" spans="1:14" s="11" customFormat="1" x14ac:dyDescent="0.2">
      <c r="D58" s="52" t="str">
        <f>'VACCS_&amp;_SUPPLIES_To'!D$127</f>
        <v>Safety Box Costs (Projected) International Currency - Financial</v>
      </c>
      <c r="J58" s="119">
        <f>J24/Vacc_Baseline_Exchange_Rate</f>
        <v>0</v>
      </c>
      <c r="K58" s="119">
        <f>K24/Vacc_Baseline_Exchange_Rate</f>
        <v>0</v>
      </c>
      <c r="L58" s="119">
        <f>L24/Vacc_Baseline_Exchange_Rate</f>
        <v>0</v>
      </c>
      <c r="M58" s="119">
        <f>M24/Vacc_Baseline_Exchange_Rate</f>
        <v>0</v>
      </c>
      <c r="N58" s="119">
        <f>N24/Vacc_Baseline_Exchange_Rate</f>
        <v>0</v>
      </c>
    </row>
    <row r="59" spans="1:14" s="11" customFormat="1" x14ac:dyDescent="0.2">
      <c r="D59" s="78" t="str">
        <f>'VACCS_&amp;_SUPPLIES_To'!D$128</f>
        <v>Total Financial (USD)</v>
      </c>
      <c r="J59" s="125">
        <f t="shared" ref="J59:N59" si="10">SUM(J58:J58)</f>
        <v>0</v>
      </c>
      <c r="K59" s="125">
        <f t="shared" si="10"/>
        <v>0</v>
      </c>
      <c r="L59" s="125">
        <f t="shared" si="10"/>
        <v>0</v>
      </c>
      <c r="M59" s="125">
        <f t="shared" si="10"/>
        <v>0</v>
      </c>
      <c r="N59" s="125">
        <f t="shared" si="10"/>
        <v>0</v>
      </c>
    </row>
    <row r="60" spans="1:14" s="11" customFormat="1" x14ac:dyDescent="0.2"/>
    <row r="61" spans="1:14" s="11" customFormat="1" x14ac:dyDescent="0.2">
      <c r="A61" s="12" t="s">
        <v>127</v>
      </c>
      <c r="B61" s="13" t="str">
        <f>Lang_Vaccines_And_Injection_Supplies_Economic_International_Currency</f>
        <v>Vaccines and Injection Supplies - Economic  (International Currency)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4" s="11" customFormat="1" x14ac:dyDescent="0.2"/>
    <row r="63" spans="1:14" s="11" customFormat="1" x14ac:dyDescent="0.2">
      <c r="B63" s="74" t="str">
        <f>Lang_Econ</f>
        <v>Economic</v>
      </c>
    </row>
    <row r="64" spans="1:14" s="11" customFormat="1" x14ac:dyDescent="0.2"/>
    <row r="65" spans="1:14" s="11" customFormat="1" x14ac:dyDescent="0.2">
      <c r="C65" s="92" t="str">
        <f>Vacc_Lu!$D$12</f>
        <v>USD</v>
      </c>
    </row>
    <row r="66" spans="1:14" s="11" customFormat="1" x14ac:dyDescent="0.2">
      <c r="C66" s="55" t="str">
        <f>Lang_Vaccines</f>
        <v>Vaccines</v>
      </c>
    </row>
    <row r="67" spans="1:14" s="11" customFormat="1" x14ac:dyDescent="0.2">
      <c r="D67" s="52" t="str">
        <f>'VACCS_&amp;_SUPPLIES_To'!D$65</f>
        <v>Vaccine Costs (Projected) International Currency - Economic</v>
      </c>
      <c r="J67" s="82">
        <f>J33/Vacc_Baseline_Exchange_Rate</f>
        <v>0</v>
      </c>
      <c r="K67" s="82">
        <f>K33/Vacc_Baseline_Exchange_Rate</f>
        <v>0</v>
      </c>
      <c r="L67" s="82">
        <f>L33/Vacc_Baseline_Exchange_Rate</f>
        <v>0</v>
      </c>
      <c r="M67" s="82">
        <f>M33/Vacc_Baseline_Exchange_Rate</f>
        <v>0</v>
      </c>
      <c r="N67" s="82">
        <f>N33/Vacc_Baseline_Exchange_Rate</f>
        <v>0</v>
      </c>
    </row>
    <row r="68" spans="1:14" s="11" customFormat="1" x14ac:dyDescent="0.2">
      <c r="D68" s="78" t="str">
        <f>'VACCS_&amp;_SUPPLIES_To'!D$66</f>
        <v>Total Economic (USD)</v>
      </c>
      <c r="J68" s="102">
        <f t="shared" ref="J68:N68" si="11">SUM(J67:J67)</f>
        <v>0</v>
      </c>
      <c r="K68" s="102">
        <f t="shared" si="11"/>
        <v>0</v>
      </c>
      <c r="L68" s="102">
        <f t="shared" si="11"/>
        <v>0</v>
      </c>
      <c r="M68" s="102">
        <f t="shared" si="11"/>
        <v>0</v>
      </c>
      <c r="N68" s="102">
        <f t="shared" si="11"/>
        <v>0</v>
      </c>
    </row>
    <row r="69" spans="1:14" s="11" customFormat="1" x14ac:dyDescent="0.2"/>
    <row r="70" spans="1:14" s="11" customFormat="1" x14ac:dyDescent="0.2">
      <c r="C70" s="55" t="str">
        <f>Lang_Syringes</f>
        <v>Syringes</v>
      </c>
    </row>
    <row r="71" spans="1:14" s="11" customFormat="1" x14ac:dyDescent="0.2">
      <c r="D71" s="52" t="str">
        <f>'VACCS_&amp;_SUPPLIES_To'!D$100</f>
        <v>Syringe Costs (Projected) International Currency - Economic</v>
      </c>
      <c r="J71" s="82">
        <f>J37/Vacc_Baseline_Exchange_Rate</f>
        <v>0</v>
      </c>
      <c r="K71" s="82">
        <f>K37/Vacc_Baseline_Exchange_Rate</f>
        <v>0</v>
      </c>
      <c r="L71" s="82">
        <f>L37/Vacc_Baseline_Exchange_Rate</f>
        <v>0</v>
      </c>
      <c r="M71" s="82">
        <f>M37/Vacc_Baseline_Exchange_Rate</f>
        <v>0</v>
      </c>
      <c r="N71" s="82">
        <f>N37/Vacc_Baseline_Exchange_Rate</f>
        <v>0</v>
      </c>
    </row>
    <row r="72" spans="1:14" s="11" customFormat="1" x14ac:dyDescent="0.2">
      <c r="D72" s="78" t="str">
        <f>'VACCS_&amp;_SUPPLIES_To'!D$101</f>
        <v>Total Economic (USD)</v>
      </c>
      <c r="J72" s="102">
        <f t="shared" ref="J72:N72" si="12">SUM(J71:J71)</f>
        <v>0</v>
      </c>
      <c r="K72" s="102">
        <f t="shared" si="12"/>
        <v>0</v>
      </c>
      <c r="L72" s="102">
        <f t="shared" si="12"/>
        <v>0</v>
      </c>
      <c r="M72" s="102">
        <f t="shared" si="12"/>
        <v>0</v>
      </c>
      <c r="N72" s="102">
        <f t="shared" si="12"/>
        <v>0</v>
      </c>
    </row>
    <row r="73" spans="1:14" s="11" customFormat="1" x14ac:dyDescent="0.2"/>
    <row r="74" spans="1:14" s="11" customFormat="1" x14ac:dyDescent="0.2">
      <c r="C74" s="55" t="str">
        <f>Lang_Safety_Boxes</f>
        <v>Safety Boxes</v>
      </c>
    </row>
    <row r="75" spans="1:14" s="11" customFormat="1" x14ac:dyDescent="0.2">
      <c r="D75" s="52" t="str">
        <f>'VACCS_&amp;_SUPPLIES_To'!D$136</f>
        <v>Safety Box Costs (Projected) International Currency - Economic</v>
      </c>
      <c r="J75" s="82">
        <f>J41/Vacc_Baseline_Exchange_Rate</f>
        <v>0</v>
      </c>
      <c r="K75" s="82">
        <f>K41/Vacc_Baseline_Exchange_Rate</f>
        <v>0</v>
      </c>
      <c r="L75" s="82">
        <f>L41/Vacc_Baseline_Exchange_Rate</f>
        <v>0</v>
      </c>
      <c r="M75" s="82">
        <f>M41/Vacc_Baseline_Exchange_Rate</f>
        <v>0</v>
      </c>
      <c r="N75" s="82">
        <f>N41/Vacc_Baseline_Exchange_Rate</f>
        <v>0</v>
      </c>
    </row>
    <row r="76" spans="1:14" s="11" customFormat="1" x14ac:dyDescent="0.2">
      <c r="D76" s="78" t="str">
        <f>'VACCS_&amp;_SUPPLIES_To'!D$137</f>
        <v>Total Economic (USD)</v>
      </c>
      <c r="J76" s="102">
        <f t="shared" ref="J76:N76" si="13">SUM(J75:J75)</f>
        <v>0</v>
      </c>
      <c r="K76" s="102">
        <f t="shared" si="13"/>
        <v>0</v>
      </c>
      <c r="L76" s="102">
        <f t="shared" si="13"/>
        <v>0</v>
      </c>
      <c r="M76" s="102">
        <f t="shared" si="13"/>
        <v>0</v>
      </c>
      <c r="N76" s="102">
        <f t="shared" si="13"/>
        <v>0</v>
      </c>
    </row>
    <row r="77" spans="1:14" s="11" customFormat="1" x14ac:dyDescent="0.2"/>
    <row r="78" spans="1:14" s="11" customFormat="1" x14ac:dyDescent="0.2">
      <c r="A78" s="12" t="s">
        <v>125</v>
      </c>
      <c r="B78" s="13" t="str">
        <f>MICROPLANNING!D12&amp;" - "&amp;Lang_Summary_Costs_Annual</f>
        <v>Microplanning Activity #1 (Not in Use) - Summary Costs (Annual)</v>
      </c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</row>
    <row r="79" spans="1:14" s="11" customFormat="1" x14ac:dyDescent="0.2"/>
    <row r="80" spans="1:14" s="11" customFormat="1" x14ac:dyDescent="0.2">
      <c r="B80" s="78" t="str">
        <f>HL_TOP_ACTV_Name</f>
        <v>Microplanning Activity #1 (Not in Use)</v>
      </c>
    </row>
    <row r="81" spans="1:14" s="11" customFormat="1" x14ac:dyDescent="0.2"/>
    <row r="82" spans="1:14" s="11" customFormat="1" x14ac:dyDescent="0.2">
      <c r="D82" s="81" t="str">
        <f>MICROPLANNING!D38</f>
        <v>Microplanning Activity #1 (Not in Use) - Number of Activities per Year (Projected or Retrospective)</v>
      </c>
      <c r="J82" s="51">
        <f>MICROPLANNING!J38</f>
        <v>0</v>
      </c>
      <c r="K82" s="51">
        <f>MICROPLANNING!K38</f>
        <v>0</v>
      </c>
      <c r="L82" s="51">
        <f>MICROPLANNING!L38</f>
        <v>0</v>
      </c>
      <c r="M82" s="51">
        <f>MICROPLANNING!M38</f>
        <v>0</v>
      </c>
      <c r="N82" s="51">
        <f>MICROPLANNING!N38</f>
        <v>0</v>
      </c>
    </row>
    <row r="83" spans="1:14" s="11" customFormat="1" x14ac:dyDescent="0.2"/>
    <row r="84" spans="1:14" s="11" customFormat="1" x14ac:dyDescent="0.2">
      <c r="B84" s="92" t="str">
        <f>MICRO_Lu!$D$11</f>
        <v>LCU</v>
      </c>
      <c r="E84" s="81" t="str">
        <f>"("&amp;IF(DD_TOP_ACTV_Input_Detail_or_Freeform=1,MICROPLANNING!$D$20,MICROPLANNING!$D$26)&amp;")"</f>
        <v>(Direct User Entry Cost Estimate)</v>
      </c>
    </row>
    <row r="85" spans="1:14" s="11" customFormat="1" x14ac:dyDescent="0.2">
      <c r="C85" s="52" t="str">
        <f>CALCS_Annual!B11</f>
        <v>Financial (LCU)</v>
      </c>
      <c r="J85" s="51">
        <f>CALCS_Annual!J13*J82</f>
        <v>0</v>
      </c>
      <c r="K85" s="51">
        <f>CALCS_Annual!K13*K82</f>
        <v>0</v>
      </c>
      <c r="L85" s="51">
        <f>CALCS_Annual!L13*L82</f>
        <v>0</v>
      </c>
      <c r="M85" s="51">
        <f>CALCS_Annual!M13*M82</f>
        <v>0</v>
      </c>
      <c r="N85" s="51">
        <f>CALCS_Annual!N13*N82</f>
        <v>0</v>
      </c>
    </row>
    <row r="86" spans="1:14" s="11" customFormat="1" x14ac:dyDescent="0.2">
      <c r="C86" s="52" t="str">
        <f>CALCS_Annual!B19</f>
        <v>Economic (LCU)</v>
      </c>
      <c r="J86" s="51">
        <f>CALCS_Annual!J21*J82</f>
        <v>0</v>
      </c>
      <c r="K86" s="51">
        <f>CALCS_Annual!K21*K82</f>
        <v>0</v>
      </c>
      <c r="L86" s="51">
        <f>CALCS_Annual!L21*L82</f>
        <v>0</v>
      </c>
      <c r="M86" s="51">
        <f>CALCS_Annual!M21*M82</f>
        <v>0</v>
      </c>
      <c r="N86" s="51">
        <f>CALCS_Annual!N21*N82</f>
        <v>0</v>
      </c>
    </row>
    <row r="87" spans="1:14" s="11" customFormat="1" x14ac:dyDescent="0.2"/>
    <row r="88" spans="1:14" s="11" customFormat="1" x14ac:dyDescent="0.2">
      <c r="B88" s="92" t="str">
        <f>MICRO_Lu!$D$10</f>
        <v>USD</v>
      </c>
      <c r="E88" s="81" t="str">
        <f>"("&amp;IF(DD_TOP_ACTV_Input_Detail_or_Freeform=1,MICROPLANNING!$D$20,MICROPLANNING!$D$26)&amp;")"</f>
        <v>(Direct User Entry Cost Estimate)</v>
      </c>
    </row>
    <row r="89" spans="1:14" s="11" customFormat="1" x14ac:dyDescent="0.2">
      <c r="C89" s="52" t="str">
        <f>CALCS_Annual!B27</f>
        <v>Financial (USD)</v>
      </c>
      <c r="J89" s="82">
        <f>CALCS_Annual!J29*J82</f>
        <v>0</v>
      </c>
      <c r="K89" s="82">
        <f>CALCS_Annual!K29*K82</f>
        <v>0</v>
      </c>
      <c r="L89" s="82">
        <f>CALCS_Annual!L29*L82</f>
        <v>0</v>
      </c>
      <c r="M89" s="82">
        <f>CALCS_Annual!M29*M82</f>
        <v>0</v>
      </c>
      <c r="N89" s="82">
        <f>CALCS_Annual!N29*N82</f>
        <v>0</v>
      </c>
    </row>
    <row r="90" spans="1:14" s="11" customFormat="1" x14ac:dyDescent="0.2">
      <c r="C90" s="52" t="str">
        <f>CALCS_Annual!B35</f>
        <v>Economic (USD)</v>
      </c>
      <c r="J90" s="82">
        <f>CALCS_Annual!J37*J82</f>
        <v>0</v>
      </c>
      <c r="K90" s="82">
        <f>CALCS_Annual!K37*K82</f>
        <v>0</v>
      </c>
      <c r="L90" s="82">
        <f>CALCS_Annual!L37*L82</f>
        <v>0</v>
      </c>
      <c r="M90" s="82">
        <f>CALCS_Annual!M37*M82</f>
        <v>0</v>
      </c>
      <c r="N90" s="82">
        <f>CALCS_Annual!N37*N82</f>
        <v>0</v>
      </c>
    </row>
    <row r="91" spans="1:14" s="11" customFormat="1" x14ac:dyDescent="0.2"/>
    <row r="92" spans="1:14" s="11" customFormat="1" x14ac:dyDescent="0.2">
      <c r="A92" s="12" t="s">
        <v>125</v>
      </c>
      <c r="B92" s="13" t="str">
        <f>MICROPLANNING!D49&amp;" - "&amp;Lang_Summary_Costs_Annual</f>
        <v>Microplanning Activity #2 (Not in Use) - Summary Costs (Annual)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</row>
    <row r="93" spans="1:14" s="11" customFormat="1" x14ac:dyDescent="0.2"/>
    <row r="94" spans="1:14" s="11" customFormat="1" x14ac:dyDescent="0.2">
      <c r="B94" s="78" t="str">
        <f>HL_TOP_ACTV_7_Name</f>
        <v>Microplanning Activity #2 (Not in Use)</v>
      </c>
    </row>
    <row r="95" spans="1:14" s="11" customFormat="1" x14ac:dyDescent="0.2"/>
    <row r="96" spans="1:14" s="11" customFormat="1" x14ac:dyDescent="0.2">
      <c r="D96" s="81" t="str">
        <f>MICROPLANNING!D75</f>
        <v>Microplanning Activity #2 (Not in Use) - Number of Activities per Year (Projected or Retrospective)</v>
      </c>
      <c r="J96" s="51">
        <f>MICROPLANNING!J75</f>
        <v>0</v>
      </c>
      <c r="K96" s="51">
        <f>MICROPLANNING!K75</f>
        <v>0</v>
      </c>
      <c r="L96" s="51">
        <f>MICROPLANNING!L75</f>
        <v>0</v>
      </c>
      <c r="M96" s="51">
        <f>MICROPLANNING!M75</f>
        <v>0</v>
      </c>
      <c r="N96" s="51">
        <f>MICROPLANNING!N75</f>
        <v>0</v>
      </c>
    </row>
    <row r="97" spans="1:14" s="11" customFormat="1" x14ac:dyDescent="0.2"/>
    <row r="98" spans="1:14" s="11" customFormat="1" x14ac:dyDescent="0.2">
      <c r="B98" s="92" t="str">
        <f>MICRO_Lu!$D$46</f>
        <v>LCU</v>
      </c>
      <c r="E98" s="81" t="str">
        <f>"("&amp;IF(DD_TOP_ACTV_7_Input_Detail_or_Freeform=1,MICROPLANNING!$D$57,MICROPLANNING!$D$63)&amp;")"</f>
        <v>(Direct User Entry Cost Estimate)</v>
      </c>
    </row>
    <row r="99" spans="1:14" s="11" customFormat="1" x14ac:dyDescent="0.2">
      <c r="C99" s="52" t="str">
        <f>CALCS_Annual!B43</f>
        <v>Financial (LCU)</v>
      </c>
      <c r="J99" s="51">
        <f>CALCS_Annual!J45*J96</f>
        <v>0</v>
      </c>
      <c r="K99" s="51">
        <f>CALCS_Annual!K45*K96</f>
        <v>0</v>
      </c>
      <c r="L99" s="51">
        <f>CALCS_Annual!L45*L96</f>
        <v>0</v>
      </c>
      <c r="M99" s="51">
        <f>CALCS_Annual!M45*M96</f>
        <v>0</v>
      </c>
      <c r="N99" s="51">
        <f>CALCS_Annual!N45*N96</f>
        <v>0</v>
      </c>
    </row>
    <row r="100" spans="1:14" s="11" customFormat="1" x14ac:dyDescent="0.2">
      <c r="C100" s="52" t="str">
        <f>CALCS_Annual!B51</f>
        <v>Economic (LCU)</v>
      </c>
      <c r="J100" s="51">
        <f>CALCS_Annual!J53*J96</f>
        <v>0</v>
      </c>
      <c r="K100" s="51">
        <f>CALCS_Annual!K53*K96</f>
        <v>0</v>
      </c>
      <c r="L100" s="51">
        <f>CALCS_Annual!L53*L96</f>
        <v>0</v>
      </c>
      <c r="M100" s="51">
        <f>CALCS_Annual!M53*M96</f>
        <v>0</v>
      </c>
      <c r="N100" s="51">
        <f>CALCS_Annual!N53*N96</f>
        <v>0</v>
      </c>
    </row>
    <row r="101" spans="1:14" s="11" customFormat="1" x14ac:dyDescent="0.2"/>
    <row r="102" spans="1:14" s="11" customFormat="1" x14ac:dyDescent="0.2">
      <c r="B102" s="92" t="str">
        <f>MICRO_Lu!$D$45</f>
        <v>USD</v>
      </c>
      <c r="E102" s="81" t="str">
        <f>"("&amp;IF(DD_TOP_ACTV_7_Input_Detail_or_Freeform=1,MICROPLANNING!$D$57,MICROPLANNING!$D$63)&amp;")"</f>
        <v>(Direct User Entry Cost Estimate)</v>
      </c>
    </row>
    <row r="103" spans="1:14" s="11" customFormat="1" x14ac:dyDescent="0.2">
      <c r="C103" s="52" t="str">
        <f>CALCS_Annual!B59</f>
        <v>Financial (USD)</v>
      </c>
      <c r="J103" s="82">
        <f>CALCS_Annual!J61*J96</f>
        <v>0</v>
      </c>
      <c r="K103" s="82">
        <f>CALCS_Annual!K61*K96</f>
        <v>0</v>
      </c>
      <c r="L103" s="82">
        <f>CALCS_Annual!L61*L96</f>
        <v>0</v>
      </c>
      <c r="M103" s="82">
        <f>CALCS_Annual!M61*M96</f>
        <v>0</v>
      </c>
      <c r="N103" s="82">
        <f>CALCS_Annual!N61*N96</f>
        <v>0</v>
      </c>
    </row>
    <row r="104" spans="1:14" s="11" customFormat="1" x14ac:dyDescent="0.2">
      <c r="C104" s="52" t="str">
        <f>CALCS_Annual!B67</f>
        <v>Economic (USD)</v>
      </c>
      <c r="J104" s="82">
        <f>CALCS_Annual!J69*J96</f>
        <v>0</v>
      </c>
      <c r="K104" s="82">
        <f>CALCS_Annual!K69*K96</f>
        <v>0</v>
      </c>
      <c r="L104" s="82">
        <f>CALCS_Annual!L69*L96</f>
        <v>0</v>
      </c>
      <c r="M104" s="82">
        <f>CALCS_Annual!M69*M96</f>
        <v>0</v>
      </c>
      <c r="N104" s="82">
        <f>CALCS_Annual!N69*N96</f>
        <v>0</v>
      </c>
    </row>
    <row r="105" spans="1:14" s="11" customFormat="1" x14ac:dyDescent="0.2"/>
    <row r="106" spans="1:14" s="11" customFormat="1" x14ac:dyDescent="0.2">
      <c r="A106" s="12" t="s">
        <v>125</v>
      </c>
      <c r="B106" s="13" t="str">
        <f>MICROPLANNING!D86&amp;" - "&amp;Lang_Summary_Costs_Annual</f>
        <v>Microplanning Activity #3 (Not in Use) - Summary Costs (Annual)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</row>
    <row r="107" spans="1:14" s="11" customFormat="1" x14ac:dyDescent="0.2"/>
    <row r="108" spans="1:14" s="11" customFormat="1" x14ac:dyDescent="0.2">
      <c r="B108" s="84" t="str">
        <f>HL_LVL2_ACTV_Name</f>
        <v>Microplanning Activity #3 (Not in Use)</v>
      </c>
    </row>
    <row r="109" spans="1:14" s="11" customFormat="1" x14ac:dyDescent="0.2"/>
    <row r="110" spans="1:14" s="11" customFormat="1" x14ac:dyDescent="0.2">
      <c r="D110" s="81" t="str">
        <f>MICROPLANNING!D117</f>
        <v>Microplanning Activity #3 (Not in Use) - Number of Activities per Year (Projected or Retrospective)</v>
      </c>
      <c r="J110" s="83">
        <f>MICROPLANNING!J117</f>
        <v>0</v>
      </c>
      <c r="K110" s="83">
        <f>MICROPLANNING!K117</f>
        <v>0</v>
      </c>
      <c r="L110" s="83">
        <f>MICROPLANNING!L117</f>
        <v>0</v>
      </c>
      <c r="M110" s="83">
        <f>MICROPLANNING!M117</f>
        <v>0</v>
      </c>
      <c r="N110" s="83">
        <f>MICROPLANNING!N117</f>
        <v>0</v>
      </c>
    </row>
    <row r="111" spans="1:14" s="11" customFormat="1" x14ac:dyDescent="0.2"/>
    <row r="112" spans="1:14" s="11" customFormat="1" x14ac:dyDescent="0.2">
      <c r="B112" s="92" t="str">
        <f>MICRO_Lu!$D$81</f>
        <v>LCU</v>
      </c>
      <c r="E112" s="53" t="str">
        <f>"("&amp;IF(DD_LVL2_ACTV_Input_Detail_or_Freeform=1,MICROPLANNING!$D$96,MICROPLANNING!$D$102)&amp;")"</f>
        <v>(Direct User Entry Cost Estimate)</v>
      </c>
    </row>
    <row r="113" spans="1:14" s="11" customFormat="1" x14ac:dyDescent="0.2">
      <c r="C113" s="52" t="str">
        <f>CALCS_Annual!B75</f>
        <v>Financial (LCU)</v>
      </c>
      <c r="J113" s="51">
        <f>CALCS_Annual!J78*J110</f>
        <v>0</v>
      </c>
      <c r="K113" s="51">
        <f>CALCS_Annual!K78*K110</f>
        <v>0</v>
      </c>
      <c r="L113" s="51">
        <f>CALCS_Annual!L78*L110</f>
        <v>0</v>
      </c>
      <c r="M113" s="51">
        <f>CALCS_Annual!M78*M110</f>
        <v>0</v>
      </c>
      <c r="N113" s="51">
        <f>CALCS_Annual!N78*N110</f>
        <v>0</v>
      </c>
    </row>
    <row r="114" spans="1:14" s="11" customFormat="1" x14ac:dyDescent="0.2">
      <c r="C114" s="52" t="str">
        <f>CALCS_Annual!B85</f>
        <v>Economic (LCU)</v>
      </c>
      <c r="J114" s="51">
        <f>CALCS_Annual!J88*J110</f>
        <v>0</v>
      </c>
      <c r="K114" s="51">
        <f>CALCS_Annual!K88*K110</f>
        <v>0</v>
      </c>
      <c r="L114" s="51">
        <f>CALCS_Annual!L88*L110</f>
        <v>0</v>
      </c>
      <c r="M114" s="51">
        <f>CALCS_Annual!M88*M110</f>
        <v>0</v>
      </c>
      <c r="N114" s="51">
        <f>CALCS_Annual!N88*N110</f>
        <v>0</v>
      </c>
    </row>
    <row r="115" spans="1:14" s="11" customFormat="1" x14ac:dyDescent="0.2"/>
    <row r="116" spans="1:14" s="11" customFormat="1" x14ac:dyDescent="0.2">
      <c r="B116" s="92" t="str">
        <f>MICRO_Lu!$D$80</f>
        <v>USD</v>
      </c>
      <c r="E116" s="53" t="str">
        <f>"("&amp;IF(DD_LVL2_ACTV_Input_Detail_or_Freeform=1,MICROPLANNING!$D$96,MICROPLANNING!$D$102)&amp;")"</f>
        <v>(Direct User Entry Cost Estimate)</v>
      </c>
    </row>
    <row r="117" spans="1:14" s="11" customFormat="1" x14ac:dyDescent="0.2">
      <c r="C117" s="52" t="str">
        <f>CALCS_Annual!B94</f>
        <v>Financial (USD)</v>
      </c>
      <c r="J117" s="82">
        <f>CALCS_Annual!J97*J110</f>
        <v>0</v>
      </c>
      <c r="K117" s="82">
        <f>CALCS_Annual!K97*K110</f>
        <v>0</v>
      </c>
      <c r="L117" s="82">
        <f>CALCS_Annual!L97*L110</f>
        <v>0</v>
      </c>
      <c r="M117" s="82">
        <f>CALCS_Annual!M97*M110</f>
        <v>0</v>
      </c>
      <c r="N117" s="82">
        <f>CALCS_Annual!N97*N110</f>
        <v>0</v>
      </c>
    </row>
    <row r="118" spans="1:14" s="11" customFormat="1" x14ac:dyDescent="0.2">
      <c r="C118" s="52" t="str">
        <f>CALCS_Annual!B103</f>
        <v>Economic (USD)</v>
      </c>
      <c r="J118" s="82">
        <f>CALCS_Annual!J106*J110</f>
        <v>0</v>
      </c>
      <c r="K118" s="82">
        <f>CALCS_Annual!K106*K110</f>
        <v>0</v>
      </c>
      <c r="L118" s="82">
        <f>CALCS_Annual!L106*L110</f>
        <v>0</v>
      </c>
      <c r="M118" s="82">
        <f>CALCS_Annual!M106*M110</f>
        <v>0</v>
      </c>
      <c r="N118" s="82">
        <f>CALCS_Annual!N106*N110</f>
        <v>0</v>
      </c>
    </row>
    <row r="119" spans="1:14" s="11" customFormat="1" x14ac:dyDescent="0.2"/>
    <row r="120" spans="1:14" s="11" customFormat="1" x14ac:dyDescent="0.2">
      <c r="A120" s="12" t="s">
        <v>125</v>
      </c>
      <c r="B120" s="13" t="str">
        <f>MICROPLANNING!D129&amp;" - "&amp;Lang_Summary_Costs_Annual</f>
        <v>Microplanning Activity #4 (Not in Use) - Summary Costs (Annual)</v>
      </c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</row>
    <row r="121" spans="1:14" s="11" customFormat="1" x14ac:dyDescent="0.2"/>
    <row r="122" spans="1:14" s="11" customFormat="1" x14ac:dyDescent="0.2">
      <c r="B122" s="84" t="str">
        <f>HL_LVL2_ACTV_20_Name</f>
        <v>Microplanning Activity #4 (Not in Use)</v>
      </c>
    </row>
    <row r="123" spans="1:14" s="11" customFormat="1" x14ac:dyDescent="0.2"/>
    <row r="124" spans="1:14" s="11" customFormat="1" x14ac:dyDescent="0.2">
      <c r="D124" s="81" t="str">
        <f>MICROPLANNING!D160</f>
        <v>Microplanning Activity #4 (Not in Use) - Number of Activities per Year (Projected or Retrospective)</v>
      </c>
      <c r="J124" s="83">
        <f>MICROPLANNING!J160</f>
        <v>0</v>
      </c>
      <c r="K124" s="83">
        <f>MICROPLANNING!K160</f>
        <v>0</v>
      </c>
      <c r="L124" s="83">
        <f>MICROPLANNING!L160</f>
        <v>0</v>
      </c>
      <c r="M124" s="83">
        <f>MICROPLANNING!M160</f>
        <v>0</v>
      </c>
      <c r="N124" s="83">
        <f>MICROPLANNING!N160</f>
        <v>0</v>
      </c>
    </row>
    <row r="125" spans="1:14" s="11" customFormat="1" x14ac:dyDescent="0.2"/>
    <row r="126" spans="1:14" s="11" customFormat="1" x14ac:dyDescent="0.2">
      <c r="B126" s="92" t="str">
        <f>MICRO_Lu!$D$116</f>
        <v>LCU</v>
      </c>
      <c r="E126" s="53" t="str">
        <f>"("&amp;IF(DD_LVL2_ACTV_20_Input_Detail_or_Freeform=1,MICROPLANNING!$D$139,MICROPLANNING!$D$145)&amp;")"</f>
        <v>(Direct User Entry Cost Estimate)</v>
      </c>
    </row>
    <row r="127" spans="1:14" s="11" customFormat="1" x14ac:dyDescent="0.2">
      <c r="C127" s="52" t="str">
        <f>CALCS_Annual!B112</f>
        <v>Financial (LCU)</v>
      </c>
      <c r="J127" s="51">
        <f>CALCS_Annual!J115*J124</f>
        <v>0</v>
      </c>
      <c r="K127" s="51">
        <f>CALCS_Annual!K115*K124</f>
        <v>0</v>
      </c>
      <c r="L127" s="51">
        <f>CALCS_Annual!L115*L124</f>
        <v>0</v>
      </c>
      <c r="M127" s="51">
        <f>CALCS_Annual!M115*M124</f>
        <v>0</v>
      </c>
      <c r="N127" s="51">
        <f>CALCS_Annual!N115*N124</f>
        <v>0</v>
      </c>
    </row>
    <row r="128" spans="1:14" s="11" customFormat="1" x14ac:dyDescent="0.2">
      <c r="C128" s="52" t="str">
        <f>CALCS_Annual!B122</f>
        <v>Economic (LCU)</v>
      </c>
      <c r="J128" s="51">
        <f>CALCS_Annual!J125*J124</f>
        <v>0</v>
      </c>
      <c r="K128" s="51">
        <f>CALCS_Annual!K125*K124</f>
        <v>0</v>
      </c>
      <c r="L128" s="51">
        <f>CALCS_Annual!L125*L124</f>
        <v>0</v>
      </c>
      <c r="M128" s="51">
        <f>CALCS_Annual!M125*M124</f>
        <v>0</v>
      </c>
      <c r="N128" s="51">
        <f>CALCS_Annual!N125*N124</f>
        <v>0</v>
      </c>
    </row>
    <row r="129" spans="1:14" s="11" customFormat="1" x14ac:dyDescent="0.2"/>
    <row r="130" spans="1:14" s="11" customFormat="1" x14ac:dyDescent="0.2">
      <c r="B130" s="92" t="str">
        <f>MICRO_Lu!$D$115</f>
        <v>USD</v>
      </c>
      <c r="E130" s="53" t="str">
        <f>"("&amp;IF(DD_LVL2_ACTV_20_Input_Detail_or_Freeform=1,MICROPLANNING!$D$139,MICROPLANNING!$D$145)&amp;")"</f>
        <v>(Direct User Entry Cost Estimate)</v>
      </c>
    </row>
    <row r="131" spans="1:14" s="11" customFormat="1" x14ac:dyDescent="0.2">
      <c r="C131" s="52" t="str">
        <f>CALCS_Annual!B131</f>
        <v>Financial (USD)</v>
      </c>
      <c r="J131" s="82">
        <f>CALCS_Annual!J134*J124</f>
        <v>0</v>
      </c>
      <c r="K131" s="82">
        <f>CALCS_Annual!K134*K124</f>
        <v>0</v>
      </c>
      <c r="L131" s="82">
        <f>CALCS_Annual!L134*L124</f>
        <v>0</v>
      </c>
      <c r="M131" s="82">
        <f>CALCS_Annual!M134*M124</f>
        <v>0</v>
      </c>
      <c r="N131" s="82">
        <f>CALCS_Annual!N134*N124</f>
        <v>0</v>
      </c>
    </row>
    <row r="132" spans="1:14" s="11" customFormat="1" x14ac:dyDescent="0.2">
      <c r="C132" s="52" t="str">
        <f>CALCS_Annual!B140</f>
        <v>Economic (USD)</v>
      </c>
      <c r="J132" s="82">
        <f>CALCS_Annual!J143*J124</f>
        <v>0</v>
      </c>
      <c r="K132" s="82">
        <f>CALCS_Annual!K143*K124</f>
        <v>0</v>
      </c>
      <c r="L132" s="82">
        <f>CALCS_Annual!L143*L124</f>
        <v>0</v>
      </c>
      <c r="M132" s="82">
        <f>CALCS_Annual!M143*M124</f>
        <v>0</v>
      </c>
      <c r="N132" s="82">
        <f>CALCS_Annual!N143*N124</f>
        <v>0</v>
      </c>
    </row>
    <row r="133" spans="1:14" s="11" customFormat="1" x14ac:dyDescent="0.2"/>
    <row r="134" spans="1:14" s="11" customFormat="1" x14ac:dyDescent="0.2">
      <c r="A134" s="12" t="s">
        <v>125</v>
      </c>
      <c r="B134" s="13" t="str">
        <f>TRAINING!D12&amp;" - "&amp;Lang_Summary_Costs_Annual</f>
        <v>Training Activity #1 (Not in Use) - Summary Costs (Annual)</v>
      </c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</row>
    <row r="135" spans="1:14" s="11" customFormat="1" x14ac:dyDescent="0.2"/>
    <row r="136" spans="1:14" s="11" customFormat="1" x14ac:dyDescent="0.2">
      <c r="B136" s="78" t="str">
        <f>HL_TOP_ACTV_2_Name</f>
        <v>Training Activity #1 (Not in Use)</v>
      </c>
    </row>
    <row r="137" spans="1:14" s="11" customFormat="1" x14ac:dyDescent="0.2"/>
    <row r="138" spans="1:14" s="11" customFormat="1" x14ac:dyDescent="0.2">
      <c r="D138" s="81" t="str">
        <f>TRAINING!D38</f>
        <v>Training Activity #1 (Not in Use) - Number of Activities per Year (Projected or Retrospective)</v>
      </c>
      <c r="J138" s="51">
        <f>TRAINING!J38</f>
        <v>0</v>
      </c>
      <c r="K138" s="51">
        <f>TRAINING!K38</f>
        <v>0</v>
      </c>
      <c r="L138" s="51">
        <f>TRAINING!L38</f>
        <v>0</v>
      </c>
      <c r="M138" s="51">
        <f>TRAINING!M38</f>
        <v>0</v>
      </c>
      <c r="N138" s="51">
        <f>TRAINING!N38</f>
        <v>0</v>
      </c>
    </row>
    <row r="139" spans="1:14" s="11" customFormat="1" x14ac:dyDescent="0.2"/>
    <row r="140" spans="1:14" s="11" customFormat="1" x14ac:dyDescent="0.2">
      <c r="B140" s="92" t="str">
        <f>TRAIN_Lu!$D$11</f>
        <v>LCU</v>
      </c>
      <c r="E140" s="81" t="str">
        <f>"("&amp;IF(DD_TOP_ACTV_2_Input_Detail_or_Freeform=1,TRAINING!$D$20,TRAINING!$D$26)&amp;")"</f>
        <v>(Detailed Costing Worksheet Estimate)</v>
      </c>
    </row>
    <row r="141" spans="1:14" s="11" customFormat="1" x14ac:dyDescent="0.2">
      <c r="C141" s="52" t="str">
        <f>CALCS_Annual!B149</f>
        <v>Financial (LCU)</v>
      </c>
      <c r="J141" s="51">
        <f>CALCS_Annual!J151*J138</f>
        <v>0</v>
      </c>
      <c r="K141" s="51">
        <f>CALCS_Annual!K151*K138</f>
        <v>0</v>
      </c>
      <c r="L141" s="51">
        <f>CALCS_Annual!L151*L138</f>
        <v>0</v>
      </c>
      <c r="M141" s="51">
        <f>CALCS_Annual!M151*M138</f>
        <v>0</v>
      </c>
      <c r="N141" s="51">
        <f>CALCS_Annual!N151*N138</f>
        <v>0</v>
      </c>
    </row>
    <row r="142" spans="1:14" s="11" customFormat="1" x14ac:dyDescent="0.2">
      <c r="C142" s="52" t="str">
        <f>CALCS_Annual!B157</f>
        <v>Economic (LCU)</v>
      </c>
      <c r="J142" s="51">
        <f>CALCS_Annual!J159*J138</f>
        <v>0</v>
      </c>
      <c r="K142" s="51">
        <f>CALCS_Annual!K159*K138</f>
        <v>0</v>
      </c>
      <c r="L142" s="51">
        <f>CALCS_Annual!L159*L138</f>
        <v>0</v>
      </c>
      <c r="M142" s="51">
        <f>CALCS_Annual!M159*M138</f>
        <v>0</v>
      </c>
      <c r="N142" s="51">
        <f>CALCS_Annual!N159*N138</f>
        <v>0</v>
      </c>
    </row>
    <row r="143" spans="1:14" s="11" customFormat="1" x14ac:dyDescent="0.2"/>
    <row r="144" spans="1:14" s="11" customFormat="1" x14ac:dyDescent="0.2">
      <c r="B144" s="92" t="str">
        <f>TRAIN_Lu!$D$10</f>
        <v>USD</v>
      </c>
      <c r="E144" s="81" t="str">
        <f>"("&amp;IF(DD_TOP_ACTV_2_Input_Detail_or_Freeform=1,TRAINING!$D$20,TRAINING!$D$26)&amp;")"</f>
        <v>(Detailed Costing Worksheet Estimate)</v>
      </c>
    </row>
    <row r="145" spans="1:14" s="11" customFormat="1" x14ac:dyDescent="0.2">
      <c r="C145" s="52" t="str">
        <f>CALCS_Annual!B165</f>
        <v>Financial (USD)</v>
      </c>
      <c r="J145" s="82">
        <f>CALCS_Annual!J167*J138</f>
        <v>0</v>
      </c>
      <c r="K145" s="82">
        <f>CALCS_Annual!K167*K138</f>
        <v>0</v>
      </c>
      <c r="L145" s="82">
        <f>CALCS_Annual!L167*L138</f>
        <v>0</v>
      </c>
      <c r="M145" s="82">
        <f>CALCS_Annual!M167*M138</f>
        <v>0</v>
      </c>
      <c r="N145" s="82">
        <f>CALCS_Annual!N167*N138</f>
        <v>0</v>
      </c>
    </row>
    <row r="146" spans="1:14" s="11" customFormat="1" x14ac:dyDescent="0.2">
      <c r="C146" s="52" t="str">
        <f>CALCS_Annual!B173</f>
        <v>Economic (USD)</v>
      </c>
      <c r="J146" s="82">
        <f>CALCS_Annual!J175*J138</f>
        <v>0</v>
      </c>
      <c r="K146" s="82">
        <f>CALCS_Annual!K175*K138</f>
        <v>0</v>
      </c>
      <c r="L146" s="82">
        <f>CALCS_Annual!L175*L138</f>
        <v>0</v>
      </c>
      <c r="M146" s="82">
        <f>CALCS_Annual!M175*M138</f>
        <v>0</v>
      </c>
      <c r="N146" s="82">
        <f>CALCS_Annual!N175*N138</f>
        <v>0</v>
      </c>
    </row>
    <row r="147" spans="1:14" s="11" customFormat="1" x14ac:dyDescent="0.2"/>
    <row r="148" spans="1:14" s="11" customFormat="1" x14ac:dyDescent="0.2">
      <c r="A148" s="12" t="s">
        <v>125</v>
      </c>
      <c r="B148" s="13" t="str">
        <f>TRAINING!D49&amp;" - "&amp;Lang_Summary_Costs_Annual</f>
        <v>Training Activity #2 (Not in Use) - Summary Costs (Annual)</v>
      </c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</row>
    <row r="149" spans="1:14" s="11" customFormat="1" x14ac:dyDescent="0.2"/>
    <row r="150" spans="1:14" s="11" customFormat="1" x14ac:dyDescent="0.2">
      <c r="B150" s="78" t="str">
        <f>HL_TOP_ACTV_13_Name</f>
        <v>Training Activity #2 (Not in Use)</v>
      </c>
    </row>
    <row r="151" spans="1:14" s="11" customFormat="1" x14ac:dyDescent="0.2"/>
    <row r="152" spans="1:14" s="11" customFormat="1" x14ac:dyDescent="0.2">
      <c r="D152" s="81" t="str">
        <f>TRAINING!D75</f>
        <v>Training Activity #2 (Not in Use) - Number of Activities per Year (Projected or Retrospective)</v>
      </c>
      <c r="J152" s="51">
        <f>TRAINING!J75</f>
        <v>0</v>
      </c>
      <c r="K152" s="51">
        <f>TRAINING!K75</f>
        <v>0</v>
      </c>
      <c r="L152" s="51">
        <f>TRAINING!L75</f>
        <v>0</v>
      </c>
      <c r="M152" s="51">
        <f>TRAINING!M75</f>
        <v>0</v>
      </c>
      <c r="N152" s="51">
        <f>TRAINING!N75</f>
        <v>0</v>
      </c>
    </row>
    <row r="153" spans="1:14" s="11" customFormat="1" x14ac:dyDescent="0.2"/>
    <row r="154" spans="1:14" s="11" customFormat="1" x14ac:dyDescent="0.2">
      <c r="B154" s="92" t="str">
        <f>TRAIN_Lu!$D$46</f>
        <v>LCU</v>
      </c>
      <c r="E154" s="81" t="str">
        <f>"("&amp;IF(DD_TOP_ACTV_13_Input_Detail_or_Freeform=1,TRAINING!$D$57,TRAINING!$D$63)&amp;")"</f>
        <v>(Detailed Costing Worksheet Estimate)</v>
      </c>
    </row>
    <row r="155" spans="1:14" s="11" customFormat="1" x14ac:dyDescent="0.2">
      <c r="C155" s="52" t="str">
        <f>CALCS_Annual!B181</f>
        <v>Financial (LCU)</v>
      </c>
      <c r="J155" s="51">
        <f>CALCS_Annual!J183*J152</f>
        <v>0</v>
      </c>
      <c r="K155" s="51">
        <f>CALCS_Annual!K183*K152</f>
        <v>0</v>
      </c>
      <c r="L155" s="51">
        <f>CALCS_Annual!L183*L152</f>
        <v>0</v>
      </c>
      <c r="M155" s="51">
        <f>CALCS_Annual!M183*M152</f>
        <v>0</v>
      </c>
      <c r="N155" s="51">
        <f>CALCS_Annual!N183*N152</f>
        <v>0</v>
      </c>
    </row>
    <row r="156" spans="1:14" s="11" customFormat="1" x14ac:dyDescent="0.2">
      <c r="C156" s="52" t="str">
        <f>CALCS_Annual!B189</f>
        <v>Economic (LCU)</v>
      </c>
      <c r="J156" s="51">
        <f>CALCS_Annual!J191*J152</f>
        <v>0</v>
      </c>
      <c r="K156" s="51">
        <f>CALCS_Annual!K191*K152</f>
        <v>0</v>
      </c>
      <c r="L156" s="51">
        <f>CALCS_Annual!L191*L152</f>
        <v>0</v>
      </c>
      <c r="M156" s="51">
        <f>CALCS_Annual!M191*M152</f>
        <v>0</v>
      </c>
      <c r="N156" s="51">
        <f>CALCS_Annual!N191*N152</f>
        <v>0</v>
      </c>
    </row>
    <row r="157" spans="1:14" s="11" customFormat="1" x14ac:dyDescent="0.2"/>
    <row r="158" spans="1:14" s="11" customFormat="1" x14ac:dyDescent="0.2">
      <c r="B158" s="92" t="str">
        <f>TRAIN_Lu!$D$45</f>
        <v>USD</v>
      </c>
      <c r="E158" s="81" t="str">
        <f>"("&amp;IF(DD_TOP_ACTV_13_Input_Detail_or_Freeform=1,TRAINING!$D$57,TRAINING!$D$63)&amp;")"</f>
        <v>(Detailed Costing Worksheet Estimate)</v>
      </c>
    </row>
    <row r="159" spans="1:14" s="11" customFormat="1" x14ac:dyDescent="0.2">
      <c r="C159" s="52" t="str">
        <f>CALCS_Annual!B197</f>
        <v>Financial (USD)</v>
      </c>
      <c r="J159" s="82">
        <f>CALCS_Annual!J199*J152</f>
        <v>0</v>
      </c>
      <c r="K159" s="82">
        <f>CALCS_Annual!K199*K152</f>
        <v>0</v>
      </c>
      <c r="L159" s="82">
        <f>CALCS_Annual!L199*L152</f>
        <v>0</v>
      </c>
      <c r="M159" s="82">
        <f>CALCS_Annual!M199*M152</f>
        <v>0</v>
      </c>
      <c r="N159" s="82">
        <f>CALCS_Annual!N199*N152</f>
        <v>0</v>
      </c>
    </row>
    <row r="160" spans="1:14" s="11" customFormat="1" x14ac:dyDescent="0.2">
      <c r="C160" s="52" t="str">
        <f>CALCS_Annual!B205</f>
        <v>Economic (USD)</v>
      </c>
      <c r="J160" s="82">
        <f>CALCS_Annual!J207*J152</f>
        <v>0</v>
      </c>
      <c r="K160" s="82">
        <f>CALCS_Annual!K207*K152</f>
        <v>0</v>
      </c>
      <c r="L160" s="82">
        <f>CALCS_Annual!L207*L152</f>
        <v>0</v>
      </c>
      <c r="M160" s="82">
        <f>CALCS_Annual!M207*M152</f>
        <v>0</v>
      </c>
      <c r="N160" s="82">
        <f>CALCS_Annual!N207*N152</f>
        <v>0</v>
      </c>
    </row>
    <row r="161" spans="1:14" s="11" customFormat="1" x14ac:dyDescent="0.2"/>
    <row r="162" spans="1:14" s="11" customFormat="1" x14ac:dyDescent="0.2">
      <c r="A162" s="12" t="s">
        <v>125</v>
      </c>
      <c r="B162" s="13" t="str">
        <f>TRAINING!D86&amp;" - "&amp;Lang_Summary_Costs_Annual</f>
        <v>Training Activity #3 (Not in Use) - Summary Costs (Annual)</v>
      </c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</row>
    <row r="163" spans="1:14" s="11" customFormat="1" x14ac:dyDescent="0.2"/>
    <row r="164" spans="1:14" s="11" customFormat="1" x14ac:dyDescent="0.2">
      <c r="B164" s="78" t="str">
        <f>HL_TOP_ACTV_14_Name</f>
        <v>Training Activity #3 (Not in Use)</v>
      </c>
    </row>
    <row r="165" spans="1:14" s="11" customFormat="1" x14ac:dyDescent="0.2"/>
    <row r="166" spans="1:14" s="11" customFormat="1" x14ac:dyDescent="0.2">
      <c r="D166" s="81" t="str">
        <f>TRAINING!D112</f>
        <v>Training Activity #3 (Not in Use) - Number of Activities per Year (Projected or Retrospective)</v>
      </c>
      <c r="J166" s="51">
        <f>TRAINING!J112</f>
        <v>0</v>
      </c>
      <c r="K166" s="51">
        <f>TRAINING!K112</f>
        <v>0</v>
      </c>
      <c r="L166" s="51">
        <f>TRAINING!L112</f>
        <v>0</v>
      </c>
      <c r="M166" s="51">
        <f>TRAINING!M112</f>
        <v>0</v>
      </c>
      <c r="N166" s="51">
        <f>TRAINING!N112</f>
        <v>0</v>
      </c>
    </row>
    <row r="167" spans="1:14" s="11" customFormat="1" x14ac:dyDescent="0.2"/>
    <row r="168" spans="1:14" s="11" customFormat="1" x14ac:dyDescent="0.2">
      <c r="B168" s="92" t="str">
        <f>TRAIN_Lu!$D$81</f>
        <v>LCU</v>
      </c>
      <c r="E168" s="81" t="str">
        <f>"("&amp;IF(DD_TOP_ACTV_14_Input_Detail_or_Freeform=1,TRAINING!$D$94,TRAINING!$D$100)&amp;")"</f>
        <v>(Direct User Entry Cost Estimate)</v>
      </c>
    </row>
    <row r="169" spans="1:14" s="11" customFormat="1" x14ac:dyDescent="0.2">
      <c r="C169" s="52" t="str">
        <f>CALCS_Annual!B213</f>
        <v>Financial (LCU)</v>
      </c>
      <c r="J169" s="51">
        <f>CALCS_Annual!J215*J166</f>
        <v>0</v>
      </c>
      <c r="K169" s="51">
        <f>CALCS_Annual!K215*K166</f>
        <v>0</v>
      </c>
      <c r="L169" s="51">
        <f>CALCS_Annual!L215*L166</f>
        <v>0</v>
      </c>
      <c r="M169" s="51">
        <f>CALCS_Annual!M215*M166</f>
        <v>0</v>
      </c>
      <c r="N169" s="51">
        <f>CALCS_Annual!N215*N166</f>
        <v>0</v>
      </c>
    </row>
    <row r="170" spans="1:14" s="11" customFormat="1" x14ac:dyDescent="0.2">
      <c r="C170" s="52" t="str">
        <f>CALCS_Annual!B221</f>
        <v>Economic (LCU)</v>
      </c>
      <c r="J170" s="51">
        <f>CALCS_Annual!J223*J166</f>
        <v>0</v>
      </c>
      <c r="K170" s="51">
        <f>CALCS_Annual!K223*K166</f>
        <v>0</v>
      </c>
      <c r="L170" s="51">
        <f>CALCS_Annual!L223*L166</f>
        <v>0</v>
      </c>
      <c r="M170" s="51">
        <f>CALCS_Annual!M223*M166</f>
        <v>0</v>
      </c>
      <c r="N170" s="51">
        <f>CALCS_Annual!N223*N166</f>
        <v>0</v>
      </c>
    </row>
    <row r="171" spans="1:14" s="11" customFormat="1" x14ac:dyDescent="0.2"/>
    <row r="172" spans="1:14" s="11" customFormat="1" x14ac:dyDescent="0.2">
      <c r="B172" s="92" t="str">
        <f>TRAIN_Lu!$D$80</f>
        <v>USD</v>
      </c>
      <c r="E172" s="81" t="str">
        <f>"("&amp;IF(DD_TOP_ACTV_14_Input_Detail_or_Freeform=1,TRAINING!$D$94,TRAINING!$D$100)&amp;")"</f>
        <v>(Direct User Entry Cost Estimate)</v>
      </c>
    </row>
    <row r="173" spans="1:14" s="11" customFormat="1" x14ac:dyDescent="0.2">
      <c r="C173" s="52" t="str">
        <f>CALCS_Annual!B229</f>
        <v>Financial (USD)</v>
      </c>
      <c r="J173" s="82">
        <f>CALCS_Annual!J231*J166</f>
        <v>0</v>
      </c>
      <c r="K173" s="82">
        <f>CALCS_Annual!K231*K166</f>
        <v>0</v>
      </c>
      <c r="L173" s="82">
        <f>CALCS_Annual!L231*L166</f>
        <v>0</v>
      </c>
      <c r="M173" s="82">
        <f>CALCS_Annual!M231*M166</f>
        <v>0</v>
      </c>
      <c r="N173" s="82">
        <f>CALCS_Annual!N231*N166</f>
        <v>0</v>
      </c>
    </row>
    <row r="174" spans="1:14" s="11" customFormat="1" x14ac:dyDescent="0.2">
      <c r="C174" s="52" t="str">
        <f>CALCS_Annual!B237</f>
        <v>Economic (USD)</v>
      </c>
      <c r="J174" s="82">
        <f>CALCS_Annual!J239*J166</f>
        <v>0</v>
      </c>
      <c r="K174" s="82">
        <f>CALCS_Annual!K239*K166</f>
        <v>0</v>
      </c>
      <c r="L174" s="82">
        <f>CALCS_Annual!L239*L166</f>
        <v>0</v>
      </c>
      <c r="M174" s="82">
        <f>CALCS_Annual!M239*M166</f>
        <v>0</v>
      </c>
      <c r="N174" s="82">
        <f>CALCS_Annual!N239*N166</f>
        <v>0</v>
      </c>
    </row>
    <row r="175" spans="1:14" s="11" customFormat="1" x14ac:dyDescent="0.2"/>
    <row r="176" spans="1:14" s="11" customFormat="1" x14ac:dyDescent="0.2">
      <c r="A176" s="12" t="s">
        <v>125</v>
      </c>
      <c r="B176" s="13" t="str">
        <f>TRAINING!D123&amp;" - "&amp;Lang_Summary_Costs_Annual</f>
        <v>Training Activity #4 (Not in Use) - Summary Costs (Annual)</v>
      </c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</row>
    <row r="177" spans="1:14" s="11" customFormat="1" x14ac:dyDescent="0.2"/>
    <row r="178" spans="1:14" s="11" customFormat="1" x14ac:dyDescent="0.2">
      <c r="B178" s="84" t="str">
        <f>HL_LVL2_ACTV_2_Name</f>
        <v>Training Activity #4 (Not in Use)</v>
      </c>
    </row>
    <row r="179" spans="1:14" s="11" customFormat="1" x14ac:dyDescent="0.2"/>
    <row r="180" spans="1:14" s="11" customFormat="1" x14ac:dyDescent="0.2">
      <c r="D180" s="81" t="str">
        <f>TRAINING!D155</f>
        <v>Training Activity #4 (Not in Use) - Number of Activities per Year (Projected or Retrospective)</v>
      </c>
      <c r="J180" s="83">
        <f>TRAINING!J155</f>
        <v>0</v>
      </c>
      <c r="K180" s="83">
        <f>TRAINING!K155</f>
        <v>0</v>
      </c>
      <c r="L180" s="83">
        <f>TRAINING!L155</f>
        <v>0</v>
      </c>
      <c r="M180" s="83">
        <f>TRAINING!M155</f>
        <v>0</v>
      </c>
      <c r="N180" s="83">
        <f>TRAINING!N155</f>
        <v>0</v>
      </c>
    </row>
    <row r="181" spans="1:14" s="11" customFormat="1" x14ac:dyDescent="0.2"/>
    <row r="182" spans="1:14" s="11" customFormat="1" x14ac:dyDescent="0.2">
      <c r="B182" s="92" t="str">
        <f>TRAIN_Lu!$D$116</f>
        <v>LCU</v>
      </c>
      <c r="E182" s="53" t="str">
        <f>"("&amp;IF(DD_LVL2_ACTV_2_Input_Detail_or_Freeform=1,TRAINING!$D$133,TRAINING!$D$139)&amp;")"</f>
        <v>(Detailed Costing Worksheet Estimate)</v>
      </c>
    </row>
    <row r="183" spans="1:14" s="11" customFormat="1" x14ac:dyDescent="0.2">
      <c r="C183" s="52" t="str">
        <f>CALCS_Annual!B245</f>
        <v>Financial (LCU)</v>
      </c>
      <c r="J183" s="51">
        <f>CALCS_Annual!J248*J180</f>
        <v>0</v>
      </c>
      <c r="K183" s="51">
        <f>CALCS_Annual!K248*K180</f>
        <v>0</v>
      </c>
      <c r="L183" s="51">
        <f>CALCS_Annual!L248*L180</f>
        <v>0</v>
      </c>
      <c r="M183" s="51">
        <f>CALCS_Annual!M248*M180</f>
        <v>0</v>
      </c>
      <c r="N183" s="51">
        <f>CALCS_Annual!N248*N180</f>
        <v>0</v>
      </c>
    </row>
    <row r="184" spans="1:14" s="11" customFormat="1" x14ac:dyDescent="0.2">
      <c r="C184" s="52" t="str">
        <f>CALCS_Annual!B255</f>
        <v>Economic (LCU)</v>
      </c>
      <c r="J184" s="51">
        <f>CALCS_Annual!J258*J180</f>
        <v>0</v>
      </c>
      <c r="K184" s="51">
        <f>CALCS_Annual!K258*K180</f>
        <v>0</v>
      </c>
      <c r="L184" s="51">
        <f>CALCS_Annual!L258*L180</f>
        <v>0</v>
      </c>
      <c r="M184" s="51">
        <f>CALCS_Annual!M258*M180</f>
        <v>0</v>
      </c>
      <c r="N184" s="51">
        <f>CALCS_Annual!N258*N180</f>
        <v>0</v>
      </c>
    </row>
    <row r="185" spans="1:14" s="11" customFormat="1" x14ac:dyDescent="0.2"/>
    <row r="186" spans="1:14" s="11" customFormat="1" x14ac:dyDescent="0.2">
      <c r="B186" s="92" t="str">
        <f>TRAIN_Lu!$D$115</f>
        <v>USD</v>
      </c>
      <c r="E186" s="53" t="str">
        <f>"("&amp;IF(DD_LVL2_ACTV_2_Input_Detail_or_Freeform=1,TRAINING!$D$133,TRAINING!$D$139)&amp;")"</f>
        <v>(Detailed Costing Worksheet Estimate)</v>
      </c>
    </row>
    <row r="187" spans="1:14" s="11" customFormat="1" x14ac:dyDescent="0.2">
      <c r="C187" s="52" t="str">
        <f>CALCS_Annual!B264</f>
        <v>Financial (USD)</v>
      </c>
      <c r="J187" s="82">
        <f>CALCS_Annual!J267*J180</f>
        <v>0</v>
      </c>
      <c r="K187" s="82">
        <f>CALCS_Annual!K267*K180</f>
        <v>0</v>
      </c>
      <c r="L187" s="82">
        <f>CALCS_Annual!L267*L180</f>
        <v>0</v>
      </c>
      <c r="M187" s="82">
        <f>CALCS_Annual!M267*M180</f>
        <v>0</v>
      </c>
      <c r="N187" s="82">
        <f>CALCS_Annual!N267*N180</f>
        <v>0</v>
      </c>
    </row>
    <row r="188" spans="1:14" s="11" customFormat="1" x14ac:dyDescent="0.2">
      <c r="C188" s="52" t="str">
        <f>CALCS_Annual!B273</f>
        <v>Economic (USD)</v>
      </c>
      <c r="J188" s="82">
        <f>CALCS_Annual!J276*J180</f>
        <v>0</v>
      </c>
      <c r="K188" s="82">
        <f>CALCS_Annual!K276*K180</f>
        <v>0</v>
      </c>
      <c r="L188" s="82">
        <f>CALCS_Annual!L276*L180</f>
        <v>0</v>
      </c>
      <c r="M188" s="82">
        <f>CALCS_Annual!M276*M180</f>
        <v>0</v>
      </c>
      <c r="N188" s="82">
        <f>CALCS_Annual!N276*N180</f>
        <v>0</v>
      </c>
    </row>
    <row r="189" spans="1:14" s="11" customFormat="1" x14ac:dyDescent="0.2"/>
    <row r="190" spans="1:14" s="11" customFormat="1" x14ac:dyDescent="0.2">
      <c r="A190" s="12" t="s">
        <v>125</v>
      </c>
      <c r="B190" s="13" t="str">
        <f>SENSITISATION!D12&amp;" - "&amp;Lang_Summary_Costs_Annual</f>
        <v xml:space="preserve"> Sensitisation Activity # 1 (Not in Use) - Summary Costs (Annual)</v>
      </c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</row>
    <row r="191" spans="1:14" s="11" customFormat="1" x14ac:dyDescent="0.2"/>
    <row r="192" spans="1:14" s="11" customFormat="1" x14ac:dyDescent="0.2">
      <c r="B192" s="78" t="str">
        <f>HL_TOP_ACTV_3_Name</f>
        <v xml:space="preserve"> Sensitisation Activity # 1 (Not in Use)</v>
      </c>
    </row>
    <row r="193" spans="1:14" s="11" customFormat="1" x14ac:dyDescent="0.2"/>
    <row r="194" spans="1:14" s="11" customFormat="1" x14ac:dyDescent="0.2">
      <c r="D194" s="81" t="str">
        <f>SENSITISATION!D38</f>
        <v xml:space="preserve"> Sensitisation Activity # 1 (Not in Use) - Number of Activities per Year (Projected or Retrospective)</v>
      </c>
      <c r="J194" s="51">
        <f>SENSITISATION!J38</f>
        <v>0</v>
      </c>
      <c r="K194" s="51">
        <f>SENSITISATION!K38</f>
        <v>0</v>
      </c>
      <c r="L194" s="51">
        <f>SENSITISATION!L38</f>
        <v>0</v>
      </c>
      <c r="M194" s="51">
        <f>SENSITISATION!M38</f>
        <v>0</v>
      </c>
      <c r="N194" s="51">
        <f>SENSITISATION!N38</f>
        <v>0</v>
      </c>
    </row>
    <row r="195" spans="1:14" s="11" customFormat="1" x14ac:dyDescent="0.2"/>
    <row r="196" spans="1:14" s="11" customFormat="1" x14ac:dyDescent="0.2">
      <c r="B196" s="92" t="str">
        <f>SENS_Lu!$D$13</f>
        <v>LCU</v>
      </c>
      <c r="E196" s="81" t="str">
        <f>"("&amp;IF(DD_TOP_ACTV_3_Input_Detail_or_Freeform=1,SENSITISATION!$D$20,SENSITISATION!$D$26)&amp;")"</f>
        <v>(Direct User Entry Cost Estimate)</v>
      </c>
    </row>
    <row r="197" spans="1:14" s="11" customFormat="1" x14ac:dyDescent="0.2">
      <c r="C197" s="52" t="str">
        <f>CALCS_Annual!B282</f>
        <v>Financial (LCU)</v>
      </c>
      <c r="J197" s="51">
        <f>CALCS_Annual!J284*J194</f>
        <v>0</v>
      </c>
      <c r="K197" s="51">
        <f>CALCS_Annual!K284*K194</f>
        <v>0</v>
      </c>
      <c r="L197" s="51">
        <f>CALCS_Annual!L284*L194</f>
        <v>0</v>
      </c>
      <c r="M197" s="51">
        <f>CALCS_Annual!M284*M194</f>
        <v>0</v>
      </c>
      <c r="N197" s="51">
        <f>CALCS_Annual!N284*N194</f>
        <v>0</v>
      </c>
    </row>
    <row r="198" spans="1:14" s="11" customFormat="1" x14ac:dyDescent="0.2">
      <c r="C198" s="52" t="str">
        <f>CALCS_Annual!B290</f>
        <v>Economic (LCU)</v>
      </c>
      <c r="J198" s="51">
        <f>CALCS_Annual!J292*J194</f>
        <v>0</v>
      </c>
      <c r="K198" s="51">
        <f>CALCS_Annual!K292*K194</f>
        <v>0</v>
      </c>
      <c r="L198" s="51">
        <f>CALCS_Annual!L292*L194</f>
        <v>0</v>
      </c>
      <c r="M198" s="51">
        <f>CALCS_Annual!M292*M194</f>
        <v>0</v>
      </c>
      <c r="N198" s="51">
        <f>CALCS_Annual!N292*N194</f>
        <v>0</v>
      </c>
    </row>
    <row r="199" spans="1:14" s="11" customFormat="1" x14ac:dyDescent="0.2"/>
    <row r="200" spans="1:14" s="11" customFormat="1" x14ac:dyDescent="0.2">
      <c r="B200" s="92" t="str">
        <f>SENS_Lu!$D$12</f>
        <v>USD</v>
      </c>
      <c r="E200" s="81" t="str">
        <f>"("&amp;IF(DD_TOP_ACTV_3_Input_Detail_or_Freeform=1,SENSITISATION!$D$20,SENSITISATION!$D$26)&amp;")"</f>
        <v>(Direct User Entry Cost Estimate)</v>
      </c>
    </row>
    <row r="201" spans="1:14" s="11" customFormat="1" x14ac:dyDescent="0.2">
      <c r="C201" s="52" t="str">
        <f>CALCS_Annual!B298</f>
        <v>Financial (USD)</v>
      </c>
      <c r="J201" s="82">
        <f>CALCS_Annual!J300*J194</f>
        <v>0</v>
      </c>
      <c r="K201" s="82">
        <f>CALCS_Annual!K300*K194</f>
        <v>0</v>
      </c>
      <c r="L201" s="82">
        <f>CALCS_Annual!L300*L194</f>
        <v>0</v>
      </c>
      <c r="M201" s="82">
        <f>CALCS_Annual!M300*M194</f>
        <v>0</v>
      </c>
      <c r="N201" s="82">
        <f>CALCS_Annual!N300*N194</f>
        <v>0</v>
      </c>
    </row>
    <row r="202" spans="1:14" s="11" customFormat="1" x14ac:dyDescent="0.2">
      <c r="C202" s="52" t="str">
        <f>CALCS_Annual!B306</f>
        <v>Economic (USD)</v>
      </c>
      <c r="J202" s="82">
        <f>CALCS_Annual!J308*J194</f>
        <v>0</v>
      </c>
      <c r="K202" s="82">
        <f>CALCS_Annual!K308*K194</f>
        <v>0</v>
      </c>
      <c r="L202" s="82">
        <f>CALCS_Annual!L308*L194</f>
        <v>0</v>
      </c>
      <c r="M202" s="82">
        <f>CALCS_Annual!M308*M194</f>
        <v>0</v>
      </c>
      <c r="N202" s="82">
        <f>CALCS_Annual!N308*N194</f>
        <v>0</v>
      </c>
    </row>
    <row r="203" spans="1:14" s="11" customFormat="1" x14ac:dyDescent="0.2"/>
    <row r="204" spans="1:14" s="11" customFormat="1" x14ac:dyDescent="0.2">
      <c r="A204" s="12" t="s">
        <v>125</v>
      </c>
      <c r="B204" s="13" t="str">
        <f>SENSITISATION!D49&amp;" - "&amp;Lang_Summary_Costs_Annual</f>
        <v xml:space="preserve"> Sensitisation Activity # 2 (Not in Use) - Summary Costs (Annual)</v>
      </c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</row>
    <row r="205" spans="1:14" s="11" customFormat="1" x14ac:dyDescent="0.2"/>
    <row r="206" spans="1:14" s="11" customFormat="1" x14ac:dyDescent="0.2">
      <c r="B206" s="78" t="str">
        <f>HL_TOP_ACTV_10_Name</f>
        <v xml:space="preserve"> Sensitisation Activity # 2 (Not in Use)</v>
      </c>
    </row>
    <row r="207" spans="1:14" s="11" customFormat="1" x14ac:dyDescent="0.2"/>
    <row r="208" spans="1:14" s="11" customFormat="1" x14ac:dyDescent="0.2">
      <c r="D208" s="81" t="str">
        <f>SENSITISATION!D75</f>
        <v xml:space="preserve"> Sensitisation Activity # 2 (Not in Use) - Number of Activities per Year (Projected or Retrospective)</v>
      </c>
      <c r="J208" s="51">
        <f>SENSITISATION!J75</f>
        <v>0</v>
      </c>
      <c r="K208" s="51">
        <f>SENSITISATION!K75</f>
        <v>0</v>
      </c>
      <c r="L208" s="51">
        <f>SENSITISATION!L75</f>
        <v>0</v>
      </c>
      <c r="M208" s="51">
        <f>SENSITISATION!M75</f>
        <v>0</v>
      </c>
      <c r="N208" s="51">
        <f>SENSITISATION!N75</f>
        <v>0</v>
      </c>
    </row>
    <row r="209" spans="1:14" s="11" customFormat="1" x14ac:dyDescent="0.2"/>
    <row r="210" spans="1:14" s="11" customFormat="1" x14ac:dyDescent="0.2">
      <c r="B210" s="92" t="str">
        <f>SENS_Lu!$D$48</f>
        <v>LCU</v>
      </c>
      <c r="E210" s="81" t="str">
        <f>"("&amp;IF(DD_TOP_ACTV_10_Input_Detail_or_Freeform=1,SENSITISATION!$D$57,SENSITISATION!$D$63)&amp;")"</f>
        <v>(Direct User Entry Cost Estimate)</v>
      </c>
    </row>
    <row r="211" spans="1:14" s="11" customFormat="1" x14ac:dyDescent="0.2">
      <c r="C211" s="52" t="str">
        <f>CALCS_Annual!B314</f>
        <v>Financial (LCU)</v>
      </c>
      <c r="J211" s="51">
        <f>CALCS_Annual!J316*J208</f>
        <v>0</v>
      </c>
      <c r="K211" s="51">
        <f>CALCS_Annual!K316*K208</f>
        <v>0</v>
      </c>
      <c r="L211" s="51">
        <f>CALCS_Annual!L316*L208</f>
        <v>0</v>
      </c>
      <c r="M211" s="51">
        <f>CALCS_Annual!M316*M208</f>
        <v>0</v>
      </c>
      <c r="N211" s="51">
        <f>CALCS_Annual!N316*N208</f>
        <v>0</v>
      </c>
    </row>
    <row r="212" spans="1:14" s="11" customFormat="1" x14ac:dyDescent="0.2">
      <c r="C212" s="52" t="str">
        <f>CALCS_Annual!B322</f>
        <v>Economic (LCU)</v>
      </c>
      <c r="J212" s="51">
        <f>CALCS_Annual!J324*J208</f>
        <v>0</v>
      </c>
      <c r="K212" s="51">
        <f>CALCS_Annual!K324*K208</f>
        <v>0</v>
      </c>
      <c r="L212" s="51">
        <f>CALCS_Annual!L324*L208</f>
        <v>0</v>
      </c>
      <c r="M212" s="51">
        <f>CALCS_Annual!M324*M208</f>
        <v>0</v>
      </c>
      <c r="N212" s="51">
        <f>CALCS_Annual!N324*N208</f>
        <v>0</v>
      </c>
    </row>
    <row r="213" spans="1:14" s="11" customFormat="1" x14ac:dyDescent="0.2"/>
    <row r="214" spans="1:14" s="11" customFormat="1" x14ac:dyDescent="0.2">
      <c r="B214" s="92" t="str">
        <f>SENS_Lu!$D$47</f>
        <v>USD</v>
      </c>
      <c r="E214" s="81" t="str">
        <f>"("&amp;IF(DD_TOP_ACTV_10_Input_Detail_or_Freeform=1,SENSITISATION!$D$57,SENSITISATION!$D$63)&amp;")"</f>
        <v>(Direct User Entry Cost Estimate)</v>
      </c>
    </row>
    <row r="215" spans="1:14" s="11" customFormat="1" x14ac:dyDescent="0.2">
      <c r="C215" s="52" t="str">
        <f>CALCS_Annual!B330</f>
        <v>Financial (USD)</v>
      </c>
      <c r="J215" s="82">
        <f>CALCS_Annual!J332*J208</f>
        <v>0</v>
      </c>
      <c r="K215" s="82">
        <f>CALCS_Annual!K332*K208</f>
        <v>0</v>
      </c>
      <c r="L215" s="82">
        <f>CALCS_Annual!L332*L208</f>
        <v>0</v>
      </c>
      <c r="M215" s="82">
        <f>CALCS_Annual!M332*M208</f>
        <v>0</v>
      </c>
      <c r="N215" s="82">
        <f>CALCS_Annual!N332*N208</f>
        <v>0</v>
      </c>
    </row>
    <row r="216" spans="1:14" s="11" customFormat="1" x14ac:dyDescent="0.2">
      <c r="C216" s="52" t="str">
        <f>CALCS_Annual!B338</f>
        <v>Economic (USD)</v>
      </c>
      <c r="J216" s="82">
        <f>CALCS_Annual!J340*J208</f>
        <v>0</v>
      </c>
      <c r="K216" s="82">
        <f>CALCS_Annual!K340*K208</f>
        <v>0</v>
      </c>
      <c r="L216" s="82">
        <f>CALCS_Annual!L340*L208</f>
        <v>0</v>
      </c>
      <c r="M216" s="82">
        <f>CALCS_Annual!M340*M208</f>
        <v>0</v>
      </c>
      <c r="N216" s="82">
        <f>CALCS_Annual!N340*N208</f>
        <v>0</v>
      </c>
    </row>
    <row r="217" spans="1:14" s="11" customFormat="1" x14ac:dyDescent="0.2"/>
    <row r="218" spans="1:14" s="11" customFormat="1" x14ac:dyDescent="0.2">
      <c r="A218" s="12" t="s">
        <v>125</v>
      </c>
      <c r="B218" s="13" t="str">
        <f>SENSITISATION!D86&amp;" - "&amp;Lang_Summary_Costs_Annual</f>
        <v xml:space="preserve"> Sensitisation Activity # 3 (Not in Use) - Summary Costs (Annual)</v>
      </c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</row>
    <row r="219" spans="1:14" s="11" customFormat="1" x14ac:dyDescent="0.2"/>
    <row r="220" spans="1:14" s="11" customFormat="1" x14ac:dyDescent="0.2">
      <c r="B220" s="78" t="str">
        <f>HL_TOP_ACTV_11_Name</f>
        <v xml:space="preserve"> Sensitisation Activity # 3 (Not in Use)</v>
      </c>
    </row>
    <row r="221" spans="1:14" s="11" customFormat="1" x14ac:dyDescent="0.2"/>
    <row r="222" spans="1:14" s="11" customFormat="1" x14ac:dyDescent="0.2">
      <c r="D222" s="81" t="str">
        <f>SENSITISATION!D112</f>
        <v xml:space="preserve"> Sensitisation Activity # 3 (Not in Use) - Number of Activities per Year (Projected or Retrospective)</v>
      </c>
      <c r="J222" s="51">
        <f>SENSITISATION!J112</f>
        <v>0</v>
      </c>
      <c r="K222" s="51">
        <f>SENSITISATION!K112</f>
        <v>0</v>
      </c>
      <c r="L222" s="51">
        <f>SENSITISATION!L112</f>
        <v>0</v>
      </c>
      <c r="M222" s="51">
        <f>SENSITISATION!M112</f>
        <v>0</v>
      </c>
      <c r="N222" s="51">
        <f>SENSITISATION!N112</f>
        <v>0</v>
      </c>
    </row>
    <row r="223" spans="1:14" s="11" customFormat="1" x14ac:dyDescent="0.2"/>
    <row r="224" spans="1:14" s="11" customFormat="1" x14ac:dyDescent="0.2">
      <c r="B224" s="92" t="str">
        <f>SENS_Lu!$D$83</f>
        <v>LCU</v>
      </c>
      <c r="E224" s="81" t="str">
        <f>"("&amp;IF(DD_TOP_ACTV_11_Input_Detail_or_Freeform=1,SENSITISATION!$D$94,SENSITISATION!$D$100)&amp;")"</f>
        <v>(Direct User Entry Cost Estimate)</v>
      </c>
    </row>
    <row r="225" spans="1:14" s="11" customFormat="1" x14ac:dyDescent="0.2">
      <c r="C225" s="52" t="str">
        <f>CALCS_Annual!B346</f>
        <v>Financial (LCU)</v>
      </c>
      <c r="J225" s="51">
        <f>CALCS_Annual!J348*J222</f>
        <v>0</v>
      </c>
      <c r="K225" s="51">
        <f>CALCS_Annual!K348*K222</f>
        <v>0</v>
      </c>
      <c r="L225" s="51">
        <f>CALCS_Annual!L348*L222</f>
        <v>0</v>
      </c>
      <c r="M225" s="51">
        <f>CALCS_Annual!M348*M222</f>
        <v>0</v>
      </c>
      <c r="N225" s="51">
        <f>CALCS_Annual!N348*N222</f>
        <v>0</v>
      </c>
    </row>
    <row r="226" spans="1:14" s="11" customFormat="1" x14ac:dyDescent="0.2">
      <c r="C226" s="52" t="str">
        <f>CALCS_Annual!B354</f>
        <v>Economic (LCU)</v>
      </c>
      <c r="J226" s="51">
        <f>CALCS_Annual!J356*J222</f>
        <v>0</v>
      </c>
      <c r="K226" s="51">
        <f>CALCS_Annual!K356*K222</f>
        <v>0</v>
      </c>
      <c r="L226" s="51">
        <f>CALCS_Annual!L356*L222</f>
        <v>0</v>
      </c>
      <c r="M226" s="51">
        <f>CALCS_Annual!M356*M222</f>
        <v>0</v>
      </c>
      <c r="N226" s="51">
        <f>CALCS_Annual!N356*N222</f>
        <v>0</v>
      </c>
    </row>
    <row r="227" spans="1:14" s="11" customFormat="1" x14ac:dyDescent="0.2"/>
    <row r="228" spans="1:14" s="11" customFormat="1" x14ac:dyDescent="0.2">
      <c r="B228" s="92" t="str">
        <f>SENS_Lu!$D$82</f>
        <v>USD</v>
      </c>
      <c r="E228" s="81" t="str">
        <f>"("&amp;IF(DD_TOP_ACTV_11_Input_Detail_or_Freeform=1,SENSITISATION!$D$94,SENSITISATION!$D$100)&amp;")"</f>
        <v>(Direct User Entry Cost Estimate)</v>
      </c>
    </row>
    <row r="229" spans="1:14" s="11" customFormat="1" x14ac:dyDescent="0.2">
      <c r="C229" s="52" t="str">
        <f>CALCS_Annual!B362</f>
        <v>Financial (USD)</v>
      </c>
      <c r="J229" s="82">
        <f>CALCS_Annual!J364*J222</f>
        <v>0</v>
      </c>
      <c r="K229" s="82">
        <f>CALCS_Annual!K364*K222</f>
        <v>0</v>
      </c>
      <c r="L229" s="82">
        <f>CALCS_Annual!L364*L222</f>
        <v>0</v>
      </c>
      <c r="M229" s="82">
        <f>CALCS_Annual!M364*M222</f>
        <v>0</v>
      </c>
      <c r="N229" s="82">
        <f>CALCS_Annual!N364*N222</f>
        <v>0</v>
      </c>
    </row>
    <row r="230" spans="1:14" s="11" customFormat="1" x14ac:dyDescent="0.2">
      <c r="C230" s="52" t="str">
        <f>CALCS_Annual!B370</f>
        <v>Economic (USD)</v>
      </c>
      <c r="J230" s="82">
        <f>CALCS_Annual!J372*J222</f>
        <v>0</v>
      </c>
      <c r="K230" s="82">
        <f>CALCS_Annual!K372*K222</f>
        <v>0</v>
      </c>
      <c r="L230" s="82">
        <f>CALCS_Annual!L372*L222</f>
        <v>0</v>
      </c>
      <c r="M230" s="82">
        <f>CALCS_Annual!M372*M222</f>
        <v>0</v>
      </c>
      <c r="N230" s="82">
        <f>CALCS_Annual!N372*N222</f>
        <v>0</v>
      </c>
    </row>
    <row r="231" spans="1:14" s="11" customFormat="1" x14ac:dyDescent="0.2"/>
    <row r="232" spans="1:14" s="11" customFormat="1" x14ac:dyDescent="0.2">
      <c r="A232" s="12" t="s">
        <v>125</v>
      </c>
      <c r="B232" s="13" t="str">
        <f>SENSITISATION!D123&amp;" - "&amp;Lang_Summary_Costs_Annual</f>
        <v xml:space="preserve"> Sensitisation Activity # 4 (Not in Use) - Summary Costs (Annual)</v>
      </c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</row>
    <row r="233" spans="1:14" s="11" customFormat="1" x14ac:dyDescent="0.2"/>
    <row r="234" spans="1:14" s="11" customFormat="1" x14ac:dyDescent="0.2">
      <c r="B234" s="84" t="str">
        <f>HL_LVL2_ACTV_3_Name</f>
        <v xml:space="preserve"> Sensitisation Activity # 4 (Not in Use)</v>
      </c>
    </row>
    <row r="235" spans="1:14" s="11" customFormat="1" x14ac:dyDescent="0.2"/>
    <row r="236" spans="1:14" s="11" customFormat="1" x14ac:dyDescent="0.2">
      <c r="D236" s="81" t="str">
        <f>SENSITISATION!D154</f>
        <v xml:space="preserve"> Sensitisation Activity # 4 (Not in Use) - Number of Activities per Year (Projected or Retrospective)</v>
      </c>
      <c r="J236" s="83">
        <f>SENSITISATION!J154</f>
        <v>0</v>
      </c>
      <c r="K236" s="83">
        <f>SENSITISATION!K154</f>
        <v>0</v>
      </c>
      <c r="L236" s="83">
        <f>SENSITISATION!L154</f>
        <v>0</v>
      </c>
      <c r="M236" s="83">
        <f>SENSITISATION!M154</f>
        <v>0</v>
      </c>
      <c r="N236" s="83">
        <f>SENSITISATION!N154</f>
        <v>0</v>
      </c>
    </row>
    <row r="237" spans="1:14" s="11" customFormat="1" x14ac:dyDescent="0.2"/>
    <row r="238" spans="1:14" s="11" customFormat="1" x14ac:dyDescent="0.2">
      <c r="B238" s="92" t="str">
        <f>SENS_Lu!$D$118</f>
        <v>LCU</v>
      </c>
      <c r="E238" s="53" t="str">
        <f>"("&amp;IF(DD_LVL2_ACTV_3_Input_Detail_or_Freeform=1,SENSITISATION!$D$133,SENSITISATION!$D$139)&amp;")"</f>
        <v>(Direct User Entry Cost Estimate)</v>
      </c>
    </row>
    <row r="239" spans="1:14" s="11" customFormat="1" x14ac:dyDescent="0.2">
      <c r="C239" s="52" t="str">
        <f>CALCS_Annual!B378</f>
        <v>Financial (LCU)</v>
      </c>
      <c r="J239" s="51">
        <f>CALCS_Annual!J381*J236</f>
        <v>0</v>
      </c>
      <c r="K239" s="51">
        <f>CALCS_Annual!K381*K236</f>
        <v>0</v>
      </c>
      <c r="L239" s="51">
        <f>CALCS_Annual!L381*L236</f>
        <v>0</v>
      </c>
      <c r="M239" s="51">
        <f>CALCS_Annual!M381*M236</f>
        <v>0</v>
      </c>
      <c r="N239" s="51">
        <f>CALCS_Annual!N381*N236</f>
        <v>0</v>
      </c>
    </row>
    <row r="240" spans="1:14" s="11" customFormat="1" x14ac:dyDescent="0.2">
      <c r="C240" s="52" t="str">
        <f>CALCS_Annual!B388</f>
        <v>Economic (LCU)</v>
      </c>
      <c r="J240" s="51">
        <f>CALCS_Annual!J391*J236</f>
        <v>0</v>
      </c>
      <c r="K240" s="51">
        <f>CALCS_Annual!K391*K236</f>
        <v>0</v>
      </c>
      <c r="L240" s="51">
        <f>CALCS_Annual!L391*L236</f>
        <v>0</v>
      </c>
      <c r="M240" s="51">
        <f>CALCS_Annual!M391*M236</f>
        <v>0</v>
      </c>
      <c r="N240" s="51">
        <f>CALCS_Annual!N391*N236</f>
        <v>0</v>
      </c>
    </row>
    <row r="241" spans="1:14" s="11" customFormat="1" x14ac:dyDescent="0.2"/>
    <row r="242" spans="1:14" s="11" customFormat="1" x14ac:dyDescent="0.2">
      <c r="B242" s="92" t="str">
        <f>SENS_Lu!$D$117</f>
        <v>USD</v>
      </c>
      <c r="E242" s="53" t="str">
        <f>"("&amp;IF(DD_LVL2_ACTV_3_Input_Detail_or_Freeform=1,SENSITISATION!$D$133,SENSITISATION!$D$139)&amp;")"</f>
        <v>(Direct User Entry Cost Estimate)</v>
      </c>
    </row>
    <row r="243" spans="1:14" s="11" customFormat="1" x14ac:dyDescent="0.2">
      <c r="C243" s="52" t="str">
        <f>CALCS_Annual!B397</f>
        <v>Financial (USD)</v>
      </c>
      <c r="J243" s="82">
        <f>CALCS_Annual!J400*J236</f>
        <v>0</v>
      </c>
      <c r="K243" s="82">
        <f>CALCS_Annual!K400*K236</f>
        <v>0</v>
      </c>
      <c r="L243" s="82">
        <f>CALCS_Annual!L400*L236</f>
        <v>0</v>
      </c>
      <c r="M243" s="82">
        <f>CALCS_Annual!M400*M236</f>
        <v>0</v>
      </c>
      <c r="N243" s="82">
        <f>CALCS_Annual!N400*N236</f>
        <v>0</v>
      </c>
    </row>
    <row r="244" spans="1:14" s="11" customFormat="1" x14ac:dyDescent="0.2">
      <c r="C244" s="52" t="str">
        <f>CALCS_Annual!B406</f>
        <v>Economic (USD)</v>
      </c>
      <c r="J244" s="82">
        <f>CALCS_Annual!J409*J236</f>
        <v>0</v>
      </c>
      <c r="K244" s="82">
        <f>CALCS_Annual!K409*K236</f>
        <v>0</v>
      </c>
      <c r="L244" s="82">
        <f>CALCS_Annual!L409*L236</f>
        <v>0</v>
      </c>
      <c r="M244" s="82">
        <f>CALCS_Annual!M409*M236</f>
        <v>0</v>
      </c>
      <c r="N244" s="82">
        <f>CALCS_Annual!N409*N236</f>
        <v>0</v>
      </c>
    </row>
    <row r="245" spans="1:14" s="11" customFormat="1" x14ac:dyDescent="0.2"/>
    <row r="246" spans="1:14" s="11" customFormat="1" x14ac:dyDescent="0.2">
      <c r="A246" s="12" t="s">
        <v>125</v>
      </c>
      <c r="B246" s="13" t="str">
        <f>SENSITISATION!D166&amp;" - "&amp;Lang_Summary_Costs_Annual</f>
        <v xml:space="preserve"> Sensitisation Activity # 5 (Not in Use) - Summary Costs (Annual)</v>
      </c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</row>
    <row r="247" spans="1:14" s="11" customFormat="1" x14ac:dyDescent="0.2"/>
    <row r="248" spans="1:14" s="11" customFormat="1" x14ac:dyDescent="0.2">
      <c r="B248" s="84" t="str">
        <f>HL_LVL2_ACTV_18_Name</f>
        <v xml:space="preserve"> Sensitisation Activity # 5 (Not in Use)</v>
      </c>
    </row>
    <row r="249" spans="1:14" s="11" customFormat="1" x14ac:dyDescent="0.2"/>
    <row r="250" spans="1:14" s="11" customFormat="1" x14ac:dyDescent="0.2">
      <c r="D250" s="81" t="str">
        <f>SENSITISATION!D197</f>
        <v xml:space="preserve"> Sensitisation Activity # 5 (Not in Use) - Number of Activities per Year (Projected or Retrospective)</v>
      </c>
      <c r="J250" s="83">
        <f>SENSITISATION!J197</f>
        <v>0</v>
      </c>
      <c r="K250" s="83">
        <f>SENSITISATION!K197</f>
        <v>0</v>
      </c>
      <c r="L250" s="83">
        <f>SENSITISATION!L197</f>
        <v>0</v>
      </c>
      <c r="M250" s="83">
        <f>SENSITISATION!M197</f>
        <v>0</v>
      </c>
      <c r="N250" s="83">
        <f>SENSITISATION!N197</f>
        <v>0</v>
      </c>
    </row>
    <row r="251" spans="1:14" s="11" customFormat="1" x14ac:dyDescent="0.2"/>
    <row r="252" spans="1:14" s="11" customFormat="1" x14ac:dyDescent="0.2">
      <c r="B252" s="92" t="str">
        <f>SENS_Lu!$D$153</f>
        <v>LCU</v>
      </c>
      <c r="E252" s="53" t="str">
        <f>"("&amp;IF(DD_LVL2_ACTV_18_Input_Detail_or_Freeform=1,SENSITISATION!$D$176,SENSITISATION!$D$182)&amp;")"</f>
        <v>(Direct User Entry Cost Estimate)</v>
      </c>
    </row>
    <row r="253" spans="1:14" s="11" customFormat="1" x14ac:dyDescent="0.2">
      <c r="C253" s="52" t="str">
        <f>CALCS_Annual!B415</f>
        <v>Financial (LCU)</v>
      </c>
      <c r="J253" s="51">
        <f>CALCS_Annual!J418*J250</f>
        <v>0</v>
      </c>
      <c r="K253" s="51">
        <f>CALCS_Annual!K418*K250</f>
        <v>0</v>
      </c>
      <c r="L253" s="51">
        <f>CALCS_Annual!L418*L250</f>
        <v>0</v>
      </c>
      <c r="M253" s="51">
        <f>CALCS_Annual!M418*M250</f>
        <v>0</v>
      </c>
      <c r="N253" s="51">
        <f>CALCS_Annual!N418*N250</f>
        <v>0</v>
      </c>
    </row>
    <row r="254" spans="1:14" s="11" customFormat="1" x14ac:dyDescent="0.2">
      <c r="C254" s="52" t="str">
        <f>CALCS_Annual!B425</f>
        <v>Economic (LCU)</v>
      </c>
      <c r="J254" s="51">
        <f>CALCS_Annual!J428*J250</f>
        <v>0</v>
      </c>
      <c r="K254" s="51">
        <f>CALCS_Annual!K428*K250</f>
        <v>0</v>
      </c>
      <c r="L254" s="51">
        <f>CALCS_Annual!L428*L250</f>
        <v>0</v>
      </c>
      <c r="M254" s="51">
        <f>CALCS_Annual!M428*M250</f>
        <v>0</v>
      </c>
      <c r="N254" s="51">
        <f>CALCS_Annual!N428*N250</f>
        <v>0</v>
      </c>
    </row>
    <row r="255" spans="1:14" s="11" customFormat="1" x14ac:dyDescent="0.2"/>
    <row r="256" spans="1:14" s="11" customFormat="1" x14ac:dyDescent="0.2">
      <c r="B256" s="92" t="str">
        <f>SENS_Lu!$D$152</f>
        <v>USD</v>
      </c>
      <c r="E256" s="53" t="str">
        <f>"("&amp;IF(DD_LVL2_ACTV_18_Input_Detail_or_Freeform=1,SENSITISATION!$D$176,SENSITISATION!$D$182)&amp;")"</f>
        <v>(Direct User Entry Cost Estimate)</v>
      </c>
    </row>
    <row r="257" spans="1:14" s="11" customFormat="1" x14ac:dyDescent="0.2">
      <c r="C257" s="52" t="str">
        <f>CALCS_Annual!B434</f>
        <v>Financial (USD)</v>
      </c>
      <c r="J257" s="82">
        <f>CALCS_Annual!J437*J250</f>
        <v>0</v>
      </c>
      <c r="K257" s="82">
        <f>CALCS_Annual!K437*K250</f>
        <v>0</v>
      </c>
      <c r="L257" s="82">
        <f>CALCS_Annual!L437*L250</f>
        <v>0</v>
      </c>
      <c r="M257" s="82">
        <f>CALCS_Annual!M437*M250</f>
        <v>0</v>
      </c>
      <c r="N257" s="82">
        <f>CALCS_Annual!N437*N250</f>
        <v>0</v>
      </c>
    </row>
    <row r="258" spans="1:14" s="11" customFormat="1" x14ac:dyDescent="0.2">
      <c r="C258" s="52" t="str">
        <f>CALCS_Annual!B443</f>
        <v>Economic (USD)</v>
      </c>
      <c r="J258" s="82">
        <f>CALCS_Annual!J446*J250</f>
        <v>0</v>
      </c>
      <c r="K258" s="82">
        <f>CALCS_Annual!K446*K250</f>
        <v>0</v>
      </c>
      <c r="L258" s="82">
        <f>CALCS_Annual!L446*L250</f>
        <v>0</v>
      </c>
      <c r="M258" s="82">
        <f>CALCS_Annual!M446*M250</f>
        <v>0</v>
      </c>
      <c r="N258" s="82">
        <f>CALCS_Annual!N446*N250</f>
        <v>0</v>
      </c>
    </row>
    <row r="259" spans="1:14" s="11" customFormat="1" x14ac:dyDescent="0.2"/>
    <row r="260" spans="1:14" s="11" customFormat="1" x14ac:dyDescent="0.2">
      <c r="A260" s="12" t="s">
        <v>125</v>
      </c>
      <c r="B260" s="13" t="str">
        <f>SENSITISATION!D209&amp;" - "&amp;Lang_Summary_Costs_Annual</f>
        <v xml:space="preserve"> Sensitisation Activity # 6 (Not in Use) - Summary Costs (Annual)</v>
      </c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</row>
    <row r="261" spans="1:14" s="11" customFormat="1" x14ac:dyDescent="0.2"/>
    <row r="262" spans="1:14" s="11" customFormat="1" x14ac:dyDescent="0.2">
      <c r="B262" s="84" t="str">
        <f>HL_LVL2_ACTV_19_Name</f>
        <v xml:space="preserve"> Sensitisation Activity # 6 (Not in Use)</v>
      </c>
    </row>
    <row r="263" spans="1:14" s="11" customFormat="1" x14ac:dyDescent="0.2"/>
    <row r="264" spans="1:14" s="11" customFormat="1" x14ac:dyDescent="0.2">
      <c r="D264" s="81" t="str">
        <f>SENSITISATION!D240</f>
        <v xml:space="preserve"> Sensitisation Activity # 6 (Not in Use) - Number of Activities per Year (Projected or Retrospective)</v>
      </c>
      <c r="J264" s="83">
        <f>SENSITISATION!J240</f>
        <v>0</v>
      </c>
      <c r="K264" s="83">
        <f>SENSITISATION!K240</f>
        <v>0</v>
      </c>
      <c r="L264" s="83">
        <f>SENSITISATION!L240</f>
        <v>0</v>
      </c>
      <c r="M264" s="83">
        <f>SENSITISATION!M240</f>
        <v>0</v>
      </c>
      <c r="N264" s="83">
        <f>SENSITISATION!N240</f>
        <v>0</v>
      </c>
    </row>
    <row r="265" spans="1:14" s="11" customFormat="1" x14ac:dyDescent="0.2"/>
    <row r="266" spans="1:14" s="11" customFormat="1" x14ac:dyDescent="0.2">
      <c r="B266" s="92" t="str">
        <f>SENS_Lu!$D$188</f>
        <v>LCU</v>
      </c>
      <c r="E266" s="53" t="str">
        <f>"("&amp;IF(DD_LVL2_ACTV_19_Input_Detail_or_Freeform=1,SENSITISATION!$D$219,SENSITISATION!$D$225)&amp;")"</f>
        <v>(Direct User Entry Cost Estimate)</v>
      </c>
    </row>
    <row r="267" spans="1:14" s="11" customFormat="1" x14ac:dyDescent="0.2">
      <c r="C267" s="52" t="str">
        <f>CALCS_Annual!B452</f>
        <v>Financial (LCU)</v>
      </c>
      <c r="J267" s="51">
        <f>CALCS_Annual!J455*J264</f>
        <v>0</v>
      </c>
      <c r="K267" s="51">
        <f>CALCS_Annual!K455*K264</f>
        <v>0</v>
      </c>
      <c r="L267" s="51">
        <f>CALCS_Annual!L455*L264</f>
        <v>0</v>
      </c>
      <c r="M267" s="51">
        <f>CALCS_Annual!M455*M264</f>
        <v>0</v>
      </c>
      <c r="N267" s="51">
        <f>CALCS_Annual!N455*N264</f>
        <v>0</v>
      </c>
    </row>
    <row r="268" spans="1:14" s="11" customFormat="1" x14ac:dyDescent="0.2">
      <c r="C268" s="52" t="str">
        <f>CALCS_Annual!B462</f>
        <v>Economic (LCU)</v>
      </c>
      <c r="J268" s="51">
        <f>CALCS_Annual!J465*J264</f>
        <v>0</v>
      </c>
      <c r="K268" s="51">
        <f>CALCS_Annual!K465*K264</f>
        <v>0</v>
      </c>
      <c r="L268" s="51">
        <f>CALCS_Annual!L465*L264</f>
        <v>0</v>
      </c>
      <c r="M268" s="51">
        <f>CALCS_Annual!M465*M264</f>
        <v>0</v>
      </c>
      <c r="N268" s="51">
        <f>CALCS_Annual!N465*N264</f>
        <v>0</v>
      </c>
    </row>
    <row r="269" spans="1:14" s="11" customFormat="1" x14ac:dyDescent="0.2"/>
    <row r="270" spans="1:14" s="11" customFormat="1" x14ac:dyDescent="0.2">
      <c r="B270" s="92" t="str">
        <f>SENS_Lu!$D$187</f>
        <v>USD</v>
      </c>
      <c r="E270" s="53" t="str">
        <f>"("&amp;IF(DD_LVL2_ACTV_19_Input_Detail_or_Freeform=1,SENSITISATION!$D$219,SENSITISATION!$D$225)&amp;")"</f>
        <v>(Direct User Entry Cost Estimate)</v>
      </c>
    </row>
    <row r="271" spans="1:14" s="11" customFormat="1" x14ac:dyDescent="0.2">
      <c r="C271" s="52" t="str">
        <f>CALCS_Annual!B471</f>
        <v>Financial (USD)</v>
      </c>
      <c r="J271" s="82">
        <f>CALCS_Annual!J474*J264</f>
        <v>0</v>
      </c>
      <c r="K271" s="82">
        <f>CALCS_Annual!K474*K264</f>
        <v>0</v>
      </c>
      <c r="L271" s="82">
        <f>CALCS_Annual!L474*L264</f>
        <v>0</v>
      </c>
      <c r="M271" s="82">
        <f>CALCS_Annual!M474*M264</f>
        <v>0</v>
      </c>
      <c r="N271" s="82">
        <f>CALCS_Annual!N474*N264</f>
        <v>0</v>
      </c>
    </row>
    <row r="272" spans="1:14" s="11" customFormat="1" x14ac:dyDescent="0.2">
      <c r="C272" s="52" t="str">
        <f>CALCS_Annual!B480</f>
        <v>Economic (USD)</v>
      </c>
      <c r="J272" s="82">
        <f>CALCS_Annual!J483*J264</f>
        <v>0</v>
      </c>
      <c r="K272" s="82">
        <f>CALCS_Annual!K483*K264</f>
        <v>0</v>
      </c>
      <c r="L272" s="82">
        <f>CALCS_Annual!L483*L264</f>
        <v>0</v>
      </c>
      <c r="M272" s="82">
        <f>CALCS_Annual!M483*M264</f>
        <v>0</v>
      </c>
      <c r="N272" s="82">
        <f>CALCS_Annual!N483*N264</f>
        <v>0</v>
      </c>
    </row>
    <row r="273" spans="1:14" s="11" customFormat="1" x14ac:dyDescent="0.2"/>
    <row r="274" spans="1:14" s="11" customFormat="1" x14ac:dyDescent="0.2">
      <c r="A274" s="12" t="s">
        <v>125</v>
      </c>
      <c r="B274" s="13" t="str">
        <f>SOCIAL_MOBILISATION!D12&amp;" - "&amp;Lang_Summary_Costs_Annual</f>
        <v>IEC Soc Mob  Activity # 1 (Not in Use) - Summary Costs (Annual)</v>
      </c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</row>
    <row r="275" spans="1:14" s="11" customFormat="1" x14ac:dyDescent="0.2"/>
    <row r="276" spans="1:14" s="11" customFormat="1" x14ac:dyDescent="0.2">
      <c r="B276" s="78" t="str">
        <f>HL_TOP_ACTV_4_Name</f>
        <v>IEC Soc Mob  Activity # 1 (Not in Use)</v>
      </c>
    </row>
    <row r="277" spans="1:14" s="11" customFormat="1" x14ac:dyDescent="0.2"/>
    <row r="278" spans="1:14" s="11" customFormat="1" x14ac:dyDescent="0.2">
      <c r="D278" s="81" t="str">
        <f>SOCIAL_MOBILISATION!D38</f>
        <v>IEC Soc Mob  Activity # 1 (Not in Use) - Number of Activities per Year (Projected or Retrospective)</v>
      </c>
      <c r="J278" s="51">
        <f>SOCIAL_MOBILISATION!J38</f>
        <v>0</v>
      </c>
      <c r="K278" s="51">
        <f>SOCIAL_MOBILISATION!K38</f>
        <v>0</v>
      </c>
      <c r="L278" s="51">
        <f>SOCIAL_MOBILISATION!L38</f>
        <v>0</v>
      </c>
      <c r="M278" s="51">
        <f>SOCIAL_MOBILISATION!M38</f>
        <v>0</v>
      </c>
      <c r="N278" s="51">
        <f>SOCIAL_MOBILISATION!N38</f>
        <v>0</v>
      </c>
    </row>
    <row r="279" spans="1:14" s="11" customFormat="1" x14ac:dyDescent="0.2"/>
    <row r="280" spans="1:14" s="11" customFormat="1" x14ac:dyDescent="0.2">
      <c r="B280" s="92" t="str">
        <f>SOCMOB_Lu!$D$13</f>
        <v>LCU</v>
      </c>
      <c r="E280" s="81" t="str">
        <f>"("&amp;IF(DD_TOP_ACTV_4_Input_Detail_or_Freeform=1,SOCIAL_MOBILISATION!$D$20,SOCIAL_MOBILISATION!$D$26)&amp;")"</f>
        <v>(Direct User Entry Cost Estimate)</v>
      </c>
    </row>
    <row r="281" spans="1:14" s="11" customFormat="1" x14ac:dyDescent="0.2">
      <c r="C281" s="52" t="str">
        <f>CALCS_Annual!B489</f>
        <v>Financial (LCU)</v>
      </c>
      <c r="J281" s="51">
        <f>CALCS_Annual!J491*J278</f>
        <v>0</v>
      </c>
      <c r="K281" s="51">
        <f>CALCS_Annual!K491*K278</f>
        <v>0</v>
      </c>
      <c r="L281" s="51">
        <f>CALCS_Annual!L491*L278</f>
        <v>0</v>
      </c>
      <c r="M281" s="51">
        <f>CALCS_Annual!M491*M278</f>
        <v>0</v>
      </c>
      <c r="N281" s="51">
        <f>CALCS_Annual!N491*N278</f>
        <v>0</v>
      </c>
    </row>
    <row r="282" spans="1:14" s="11" customFormat="1" x14ac:dyDescent="0.2">
      <c r="C282" s="52" t="str">
        <f>CALCS_Annual!B497</f>
        <v>Economic (LCU)</v>
      </c>
      <c r="J282" s="51">
        <f>CALCS_Annual!J499*J278</f>
        <v>0</v>
      </c>
      <c r="K282" s="51">
        <f>CALCS_Annual!K499*K278</f>
        <v>0</v>
      </c>
      <c r="L282" s="51">
        <f>CALCS_Annual!L499*L278</f>
        <v>0</v>
      </c>
      <c r="M282" s="51">
        <f>CALCS_Annual!M499*M278</f>
        <v>0</v>
      </c>
      <c r="N282" s="51">
        <f>CALCS_Annual!N499*N278</f>
        <v>0</v>
      </c>
    </row>
    <row r="283" spans="1:14" s="11" customFormat="1" x14ac:dyDescent="0.2"/>
    <row r="284" spans="1:14" s="11" customFormat="1" x14ac:dyDescent="0.2">
      <c r="B284" s="92" t="str">
        <f>SOCMOB_Lu!$D$12</f>
        <v>USD</v>
      </c>
      <c r="E284" s="81" t="str">
        <f>"("&amp;IF(DD_TOP_ACTV_4_Input_Detail_or_Freeform=1,SOCIAL_MOBILISATION!$D$20,SOCIAL_MOBILISATION!$D$26)&amp;")"</f>
        <v>(Direct User Entry Cost Estimate)</v>
      </c>
    </row>
    <row r="285" spans="1:14" s="11" customFormat="1" x14ac:dyDescent="0.2">
      <c r="C285" s="52" t="str">
        <f>CALCS_Annual!B505</f>
        <v>Financial (USD)</v>
      </c>
      <c r="J285" s="82">
        <f>CALCS_Annual!J507*J278</f>
        <v>0</v>
      </c>
      <c r="K285" s="82">
        <f>CALCS_Annual!K507*K278</f>
        <v>0</v>
      </c>
      <c r="L285" s="82">
        <f>CALCS_Annual!L507*L278</f>
        <v>0</v>
      </c>
      <c r="M285" s="82">
        <f>CALCS_Annual!M507*M278</f>
        <v>0</v>
      </c>
      <c r="N285" s="82">
        <f>CALCS_Annual!N507*N278</f>
        <v>0</v>
      </c>
    </row>
    <row r="286" spans="1:14" s="11" customFormat="1" x14ac:dyDescent="0.2">
      <c r="C286" s="52" t="str">
        <f>CALCS_Annual!B513</f>
        <v>Economic (USD)</v>
      </c>
      <c r="J286" s="82">
        <f>CALCS_Annual!J515*J278</f>
        <v>0</v>
      </c>
      <c r="K286" s="82">
        <f>CALCS_Annual!K515*K278</f>
        <v>0</v>
      </c>
      <c r="L286" s="82">
        <f>CALCS_Annual!L515*L278</f>
        <v>0</v>
      </c>
      <c r="M286" s="82">
        <f>CALCS_Annual!M515*M278</f>
        <v>0</v>
      </c>
      <c r="N286" s="82">
        <f>CALCS_Annual!N515*N278</f>
        <v>0</v>
      </c>
    </row>
    <row r="287" spans="1:14" s="11" customFormat="1" x14ac:dyDescent="0.2"/>
    <row r="288" spans="1:14" s="11" customFormat="1" x14ac:dyDescent="0.2">
      <c r="A288" s="12" t="s">
        <v>125</v>
      </c>
      <c r="B288" s="13" t="str">
        <f>SOCIAL_MOBILISATION!D49&amp;" - "&amp;Lang_Summary_Costs_Annual</f>
        <v>IEC Soc Mob  Activity # 2 (Not in Use) - Summary Costs (Annual)</v>
      </c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</row>
    <row r="289" spans="1:14" s="11" customFormat="1" x14ac:dyDescent="0.2"/>
    <row r="290" spans="1:14" s="11" customFormat="1" x14ac:dyDescent="0.2">
      <c r="B290" s="78" t="str">
        <f>HL_TOP_ACTV_15_Name</f>
        <v>IEC Soc Mob  Activity # 2 (Not in Use)</v>
      </c>
    </row>
    <row r="291" spans="1:14" s="11" customFormat="1" x14ac:dyDescent="0.2"/>
    <row r="292" spans="1:14" s="11" customFormat="1" x14ac:dyDescent="0.2">
      <c r="D292" s="81" t="str">
        <f>SOCIAL_MOBILISATION!D75</f>
        <v>IEC Soc Mob  Activity # 2 (Not in Use) - Number of Activities per Year (Projected or Retrospective)</v>
      </c>
      <c r="J292" s="51">
        <f>SOCIAL_MOBILISATION!J75</f>
        <v>0</v>
      </c>
      <c r="K292" s="51">
        <f>SOCIAL_MOBILISATION!K75</f>
        <v>0</v>
      </c>
      <c r="L292" s="51">
        <f>SOCIAL_MOBILISATION!L75</f>
        <v>0</v>
      </c>
      <c r="M292" s="51">
        <f>SOCIAL_MOBILISATION!M75</f>
        <v>0</v>
      </c>
      <c r="N292" s="51">
        <f>SOCIAL_MOBILISATION!N75</f>
        <v>0</v>
      </c>
    </row>
    <row r="293" spans="1:14" s="11" customFormat="1" x14ac:dyDescent="0.2"/>
    <row r="294" spans="1:14" s="11" customFormat="1" x14ac:dyDescent="0.2">
      <c r="B294" s="92" t="str">
        <f>SOCMOB_Lu!$D$48</f>
        <v>LCU</v>
      </c>
      <c r="E294" s="81" t="str">
        <f>"("&amp;IF(DD_TOP_ACTV_15_Input_Detail_or_Freeform=1,SOCIAL_MOBILISATION!$D$57,SOCIAL_MOBILISATION!$D$63)&amp;")"</f>
        <v>(Direct User Entry Cost Estimate)</v>
      </c>
    </row>
    <row r="295" spans="1:14" s="11" customFormat="1" x14ac:dyDescent="0.2">
      <c r="C295" s="52" t="str">
        <f>CALCS_Annual!B521</f>
        <v>Financial (LCU)</v>
      </c>
      <c r="J295" s="51">
        <f>CALCS_Annual!J523*J292</f>
        <v>0</v>
      </c>
      <c r="K295" s="51">
        <f>CALCS_Annual!K523*K292</f>
        <v>0</v>
      </c>
      <c r="L295" s="51">
        <f>CALCS_Annual!L523*L292</f>
        <v>0</v>
      </c>
      <c r="M295" s="51">
        <f>CALCS_Annual!M523*M292</f>
        <v>0</v>
      </c>
      <c r="N295" s="51">
        <f>CALCS_Annual!N523*N292</f>
        <v>0</v>
      </c>
    </row>
    <row r="296" spans="1:14" s="11" customFormat="1" x14ac:dyDescent="0.2">
      <c r="C296" s="52" t="str">
        <f>CALCS_Annual!B529</f>
        <v>Economic (LCU)</v>
      </c>
      <c r="J296" s="51">
        <f>CALCS_Annual!J531*J292</f>
        <v>0</v>
      </c>
      <c r="K296" s="51">
        <f>CALCS_Annual!K531*K292</f>
        <v>0</v>
      </c>
      <c r="L296" s="51">
        <f>CALCS_Annual!L531*L292</f>
        <v>0</v>
      </c>
      <c r="M296" s="51">
        <f>CALCS_Annual!M531*M292</f>
        <v>0</v>
      </c>
      <c r="N296" s="51">
        <f>CALCS_Annual!N531*N292</f>
        <v>0</v>
      </c>
    </row>
    <row r="297" spans="1:14" s="11" customFormat="1" x14ac:dyDescent="0.2"/>
    <row r="298" spans="1:14" s="11" customFormat="1" x14ac:dyDescent="0.2">
      <c r="B298" s="92" t="str">
        <f>SOCMOB_Lu!$D$47</f>
        <v>USD</v>
      </c>
      <c r="E298" s="81" t="str">
        <f>"("&amp;IF(DD_TOP_ACTV_15_Input_Detail_or_Freeform=1,SOCIAL_MOBILISATION!$D$57,SOCIAL_MOBILISATION!$D$63)&amp;")"</f>
        <v>(Direct User Entry Cost Estimate)</v>
      </c>
    </row>
    <row r="299" spans="1:14" s="11" customFormat="1" x14ac:dyDescent="0.2">
      <c r="C299" s="52" t="str">
        <f>CALCS_Annual!B537</f>
        <v>Financial (USD)</v>
      </c>
      <c r="J299" s="82">
        <f>CALCS_Annual!J539*J292</f>
        <v>0</v>
      </c>
      <c r="K299" s="82">
        <f>CALCS_Annual!K539*K292</f>
        <v>0</v>
      </c>
      <c r="L299" s="82">
        <f>CALCS_Annual!L539*L292</f>
        <v>0</v>
      </c>
      <c r="M299" s="82">
        <f>CALCS_Annual!M539*M292</f>
        <v>0</v>
      </c>
      <c r="N299" s="82">
        <f>CALCS_Annual!N539*N292</f>
        <v>0</v>
      </c>
    </row>
    <row r="300" spans="1:14" s="11" customFormat="1" x14ac:dyDescent="0.2">
      <c r="C300" s="52" t="str">
        <f>CALCS_Annual!B545</f>
        <v>Economic (USD)</v>
      </c>
      <c r="J300" s="82">
        <f>CALCS_Annual!J547*J292</f>
        <v>0</v>
      </c>
      <c r="K300" s="82">
        <f>CALCS_Annual!K547*K292</f>
        <v>0</v>
      </c>
      <c r="L300" s="82">
        <f>CALCS_Annual!L547*L292</f>
        <v>0</v>
      </c>
      <c r="M300" s="82">
        <f>CALCS_Annual!M547*M292</f>
        <v>0</v>
      </c>
      <c r="N300" s="82">
        <f>CALCS_Annual!N547*N292</f>
        <v>0</v>
      </c>
    </row>
    <row r="301" spans="1:14" s="11" customFormat="1" x14ac:dyDescent="0.2"/>
    <row r="302" spans="1:14" s="11" customFormat="1" x14ac:dyDescent="0.2">
      <c r="A302" s="12" t="s">
        <v>125</v>
      </c>
      <c r="B302" s="13" t="str">
        <f>SOCIAL_MOBILISATION!D86&amp;" - "&amp;Lang_Summary_Costs_Annual</f>
        <v>IEC Soc Mob  Activity # 3 (Not in Use) - Summary Costs (Annual)</v>
      </c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</row>
    <row r="303" spans="1:14" s="11" customFormat="1" x14ac:dyDescent="0.2"/>
    <row r="304" spans="1:14" s="11" customFormat="1" x14ac:dyDescent="0.2">
      <c r="B304" s="78" t="str">
        <f>HL_TOP_ACTV_16_Name</f>
        <v>IEC Soc Mob  Activity # 3 (Not in Use)</v>
      </c>
    </row>
    <row r="305" spans="1:14" s="11" customFormat="1" x14ac:dyDescent="0.2"/>
    <row r="306" spans="1:14" s="11" customFormat="1" x14ac:dyDescent="0.2">
      <c r="D306" s="81" t="str">
        <f>SOCIAL_MOBILISATION!D112</f>
        <v>IEC Soc Mob  Activity # 3 (Not in Use) - Number of Activities per Year (Projected or Retrospective)</v>
      </c>
      <c r="J306" s="51">
        <f>SOCIAL_MOBILISATION!J112</f>
        <v>0</v>
      </c>
      <c r="K306" s="51">
        <f>SOCIAL_MOBILISATION!K112</f>
        <v>0</v>
      </c>
      <c r="L306" s="51">
        <f>SOCIAL_MOBILISATION!L112</f>
        <v>0</v>
      </c>
      <c r="M306" s="51">
        <f>SOCIAL_MOBILISATION!M112</f>
        <v>0</v>
      </c>
      <c r="N306" s="51">
        <f>SOCIAL_MOBILISATION!N112</f>
        <v>0</v>
      </c>
    </row>
    <row r="307" spans="1:14" s="11" customFormat="1" x14ac:dyDescent="0.2"/>
    <row r="308" spans="1:14" s="11" customFormat="1" x14ac:dyDescent="0.2">
      <c r="B308" s="92" t="str">
        <f>SOCMOB_Lu!$D$83</f>
        <v>LCU</v>
      </c>
      <c r="E308" s="81" t="str">
        <f>"("&amp;IF(DD_TOP_ACTV_16_Input_Detail_or_Freeform=1,SOCIAL_MOBILISATION!$D$94,SOCIAL_MOBILISATION!$D$100)&amp;")"</f>
        <v>(Direct User Entry Cost Estimate)</v>
      </c>
    </row>
    <row r="309" spans="1:14" s="11" customFormat="1" x14ac:dyDescent="0.2">
      <c r="C309" s="52" t="str">
        <f>CALCS_Annual!B553</f>
        <v>Financial (LCU)</v>
      </c>
      <c r="J309" s="51">
        <f>CALCS_Annual!J555*J306</f>
        <v>0</v>
      </c>
      <c r="K309" s="51">
        <f>CALCS_Annual!K555*K306</f>
        <v>0</v>
      </c>
      <c r="L309" s="51">
        <f>CALCS_Annual!L555*L306</f>
        <v>0</v>
      </c>
      <c r="M309" s="51">
        <f>CALCS_Annual!M555*M306</f>
        <v>0</v>
      </c>
      <c r="N309" s="51">
        <f>CALCS_Annual!N555*N306</f>
        <v>0</v>
      </c>
    </row>
    <row r="310" spans="1:14" s="11" customFormat="1" x14ac:dyDescent="0.2">
      <c r="C310" s="52" t="str">
        <f>CALCS_Annual!B561</f>
        <v>Economic (LCU)</v>
      </c>
      <c r="J310" s="51">
        <f>CALCS_Annual!J563*J306</f>
        <v>0</v>
      </c>
      <c r="K310" s="51">
        <f>CALCS_Annual!K563*K306</f>
        <v>0</v>
      </c>
      <c r="L310" s="51">
        <f>CALCS_Annual!L563*L306</f>
        <v>0</v>
      </c>
      <c r="M310" s="51">
        <f>CALCS_Annual!M563*M306</f>
        <v>0</v>
      </c>
      <c r="N310" s="51">
        <f>CALCS_Annual!N563*N306</f>
        <v>0</v>
      </c>
    </row>
    <row r="311" spans="1:14" s="11" customFormat="1" x14ac:dyDescent="0.2"/>
    <row r="312" spans="1:14" s="11" customFormat="1" x14ac:dyDescent="0.2">
      <c r="B312" s="92" t="str">
        <f>SOCMOB_Lu!$D$82</f>
        <v>USD</v>
      </c>
      <c r="E312" s="81" t="str">
        <f>"("&amp;IF(DD_TOP_ACTV_16_Input_Detail_or_Freeform=1,SOCIAL_MOBILISATION!$D$94,SOCIAL_MOBILISATION!$D$100)&amp;")"</f>
        <v>(Direct User Entry Cost Estimate)</v>
      </c>
    </row>
    <row r="313" spans="1:14" s="11" customFormat="1" x14ac:dyDescent="0.2">
      <c r="C313" s="52" t="str">
        <f>CALCS_Annual!B569</f>
        <v>Financial (USD)</v>
      </c>
      <c r="J313" s="82">
        <f>CALCS_Annual!J571*J306</f>
        <v>0</v>
      </c>
      <c r="K313" s="82">
        <f>CALCS_Annual!K571*K306</f>
        <v>0</v>
      </c>
      <c r="L313" s="82">
        <f>CALCS_Annual!L571*L306</f>
        <v>0</v>
      </c>
      <c r="M313" s="82">
        <f>CALCS_Annual!M571*M306</f>
        <v>0</v>
      </c>
      <c r="N313" s="82">
        <f>CALCS_Annual!N571*N306</f>
        <v>0</v>
      </c>
    </row>
    <row r="314" spans="1:14" s="11" customFormat="1" x14ac:dyDescent="0.2">
      <c r="C314" s="52" t="str">
        <f>CALCS_Annual!B577</f>
        <v>Economic (USD)</v>
      </c>
      <c r="J314" s="82">
        <f>CALCS_Annual!J579*J306</f>
        <v>0</v>
      </c>
      <c r="K314" s="82">
        <f>CALCS_Annual!K579*K306</f>
        <v>0</v>
      </c>
      <c r="L314" s="82">
        <f>CALCS_Annual!L579*L306</f>
        <v>0</v>
      </c>
      <c r="M314" s="82">
        <f>CALCS_Annual!M579*M306</f>
        <v>0</v>
      </c>
      <c r="N314" s="82">
        <f>CALCS_Annual!N579*N306</f>
        <v>0</v>
      </c>
    </row>
    <row r="315" spans="1:14" s="11" customFormat="1" x14ac:dyDescent="0.2"/>
    <row r="316" spans="1:14" s="11" customFormat="1" x14ac:dyDescent="0.2">
      <c r="A316" s="12" t="s">
        <v>125</v>
      </c>
      <c r="B316" s="13" t="str">
        <f>SOCIAL_MOBILISATION!D123&amp;" - "&amp;Lang_Summary_Costs_Annual</f>
        <v>IEC Soc Mob  Activity # 4  (Not in Use) - Summary Costs (Annual)</v>
      </c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</row>
    <row r="317" spans="1:14" s="11" customFormat="1" x14ac:dyDescent="0.2"/>
    <row r="318" spans="1:14" s="11" customFormat="1" x14ac:dyDescent="0.2">
      <c r="B318" s="84" t="str">
        <f>HL_LVL2_ACTV_4_Name</f>
        <v>IEC Soc Mob  Activity # 4  (Not in Use)</v>
      </c>
    </row>
    <row r="319" spans="1:14" s="11" customFormat="1" x14ac:dyDescent="0.2"/>
    <row r="320" spans="1:14" s="11" customFormat="1" x14ac:dyDescent="0.2">
      <c r="D320" s="81" t="str">
        <f>SOCIAL_MOBILISATION!D154</f>
        <v>IEC Soc Mob  Activity # 4  (Not in Use) - Number of Activities per Year (Projected or Retrospective)</v>
      </c>
      <c r="J320" s="83">
        <f>SOCIAL_MOBILISATION!J154</f>
        <v>0</v>
      </c>
      <c r="K320" s="83">
        <f>SOCIAL_MOBILISATION!K154</f>
        <v>0</v>
      </c>
      <c r="L320" s="83">
        <f>SOCIAL_MOBILISATION!L154</f>
        <v>0</v>
      </c>
      <c r="M320" s="83">
        <f>SOCIAL_MOBILISATION!M154</f>
        <v>0</v>
      </c>
      <c r="N320" s="83">
        <f>SOCIAL_MOBILISATION!N154</f>
        <v>0</v>
      </c>
    </row>
    <row r="321" spans="1:14" s="11" customFormat="1" x14ac:dyDescent="0.2"/>
    <row r="322" spans="1:14" s="11" customFormat="1" x14ac:dyDescent="0.2">
      <c r="B322" s="92" t="str">
        <f>SOCMOB_Lu!$D$118</f>
        <v>LCU</v>
      </c>
      <c r="E322" s="53" t="str">
        <f>"("&amp;IF(DD_LVL2_ACTV_4_Input_Detail_or_Freeform=1,SOCIAL_MOBILISATION!$D$133,SOCIAL_MOBILISATION!$D$139)&amp;")"</f>
        <v>(Direct User Entry Cost Estimate)</v>
      </c>
    </row>
    <row r="323" spans="1:14" s="11" customFormat="1" x14ac:dyDescent="0.2">
      <c r="C323" s="52" t="str">
        <f>CALCS_Annual!B585</f>
        <v>Financial (LCU)</v>
      </c>
      <c r="J323" s="51">
        <f>CALCS_Annual!J588*J320</f>
        <v>0</v>
      </c>
      <c r="K323" s="51">
        <f>CALCS_Annual!K588*K320</f>
        <v>0</v>
      </c>
      <c r="L323" s="51">
        <f>CALCS_Annual!L588*L320</f>
        <v>0</v>
      </c>
      <c r="M323" s="51">
        <f>CALCS_Annual!M588*M320</f>
        <v>0</v>
      </c>
      <c r="N323" s="51">
        <f>CALCS_Annual!N588*N320</f>
        <v>0</v>
      </c>
    </row>
    <row r="324" spans="1:14" s="11" customFormat="1" x14ac:dyDescent="0.2">
      <c r="C324" s="52" t="str">
        <f>CALCS_Annual!B595</f>
        <v>Economic (LCU)</v>
      </c>
      <c r="J324" s="51">
        <f>CALCS_Annual!J598*J320</f>
        <v>0</v>
      </c>
      <c r="K324" s="51">
        <f>CALCS_Annual!K598*K320</f>
        <v>0</v>
      </c>
      <c r="L324" s="51">
        <f>CALCS_Annual!L598*L320</f>
        <v>0</v>
      </c>
      <c r="M324" s="51">
        <f>CALCS_Annual!M598*M320</f>
        <v>0</v>
      </c>
      <c r="N324" s="51">
        <f>CALCS_Annual!N598*N320</f>
        <v>0</v>
      </c>
    </row>
    <row r="325" spans="1:14" s="11" customFormat="1" x14ac:dyDescent="0.2"/>
    <row r="326" spans="1:14" s="11" customFormat="1" x14ac:dyDescent="0.2">
      <c r="B326" s="92" t="str">
        <f>SOCMOB_Lu!$D$117</f>
        <v>USD</v>
      </c>
      <c r="E326" s="53" t="str">
        <f>"("&amp;IF(DD_LVL2_ACTV_4_Input_Detail_or_Freeform=1,SOCIAL_MOBILISATION!$D$133,SOCIAL_MOBILISATION!$D$139)&amp;")"</f>
        <v>(Direct User Entry Cost Estimate)</v>
      </c>
    </row>
    <row r="327" spans="1:14" s="11" customFormat="1" x14ac:dyDescent="0.2">
      <c r="C327" s="52" t="str">
        <f>CALCS_Annual!B604</f>
        <v>Financial (USD)</v>
      </c>
      <c r="J327" s="82">
        <f>CALCS_Annual!J607*J320</f>
        <v>0</v>
      </c>
      <c r="K327" s="82">
        <f>CALCS_Annual!K607*K320</f>
        <v>0</v>
      </c>
      <c r="L327" s="82">
        <f>CALCS_Annual!L607*L320</f>
        <v>0</v>
      </c>
      <c r="M327" s="82">
        <f>CALCS_Annual!M607*M320</f>
        <v>0</v>
      </c>
      <c r="N327" s="82">
        <f>CALCS_Annual!N607*N320</f>
        <v>0</v>
      </c>
    </row>
    <row r="328" spans="1:14" s="11" customFormat="1" x14ac:dyDescent="0.2">
      <c r="C328" s="52" t="str">
        <f>CALCS_Annual!B613</f>
        <v>Economic (USD)</v>
      </c>
      <c r="J328" s="82">
        <f>CALCS_Annual!J616*J320</f>
        <v>0</v>
      </c>
      <c r="K328" s="82">
        <f>CALCS_Annual!K616*K320</f>
        <v>0</v>
      </c>
      <c r="L328" s="82">
        <f>CALCS_Annual!L616*L320</f>
        <v>0</v>
      </c>
      <c r="M328" s="82">
        <f>CALCS_Annual!M616*M320</f>
        <v>0</v>
      </c>
      <c r="N328" s="82">
        <f>CALCS_Annual!N616*N320</f>
        <v>0</v>
      </c>
    </row>
    <row r="329" spans="1:14" s="11" customFormat="1" x14ac:dyDescent="0.2"/>
    <row r="330" spans="1:14" s="11" customFormat="1" x14ac:dyDescent="0.2">
      <c r="A330" s="12" t="s">
        <v>125</v>
      </c>
      <c r="B330" s="13" t="str">
        <f>SOCIAL_MOBILISATION!D166&amp;" - "&amp;Lang_Summary_Costs_Annual</f>
        <v>IEC Soc Mob  Activity # 5  (Not in Use) - Summary Costs (Annual)</v>
      </c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</row>
    <row r="331" spans="1:14" s="11" customFormat="1" x14ac:dyDescent="0.2"/>
    <row r="332" spans="1:14" s="11" customFormat="1" x14ac:dyDescent="0.2">
      <c r="B332" s="84" t="str">
        <f>HL_LVL2_ACTV_10_Name</f>
        <v>IEC Soc Mob  Activity # 5  (Not in Use)</v>
      </c>
    </row>
    <row r="333" spans="1:14" s="11" customFormat="1" x14ac:dyDescent="0.2"/>
    <row r="334" spans="1:14" s="11" customFormat="1" x14ac:dyDescent="0.2">
      <c r="D334" s="81" t="str">
        <f>SOCIAL_MOBILISATION!D197</f>
        <v>IEC Soc Mob  Activity # 5  (Not in Use) - Number of Activities per Year (Projected or Retrospective)</v>
      </c>
      <c r="J334" s="83">
        <f>SOCIAL_MOBILISATION!J197</f>
        <v>0</v>
      </c>
      <c r="K334" s="83">
        <f>SOCIAL_MOBILISATION!K197</f>
        <v>0</v>
      </c>
      <c r="L334" s="83">
        <f>SOCIAL_MOBILISATION!L197</f>
        <v>0</v>
      </c>
      <c r="M334" s="83">
        <f>SOCIAL_MOBILISATION!M197</f>
        <v>0</v>
      </c>
      <c r="N334" s="83">
        <f>SOCIAL_MOBILISATION!N197</f>
        <v>0</v>
      </c>
    </row>
    <row r="335" spans="1:14" s="11" customFormat="1" x14ac:dyDescent="0.2"/>
    <row r="336" spans="1:14" s="11" customFormat="1" x14ac:dyDescent="0.2">
      <c r="B336" s="92" t="str">
        <f>SOCMOB_Lu!$D$153</f>
        <v>LCU</v>
      </c>
      <c r="E336" s="53" t="str">
        <f>"("&amp;IF(DD_LVL2_ACTV_10_Input_Detail_or_Freeform=1,SOCIAL_MOBILISATION!$D$176,SOCIAL_MOBILISATION!$D$182)&amp;")"</f>
        <v>(Direct User Entry Cost Estimate)</v>
      </c>
    </row>
    <row r="337" spans="1:14" s="11" customFormat="1" x14ac:dyDescent="0.2">
      <c r="C337" s="52" t="str">
        <f>CALCS_Annual!B622</f>
        <v>Financial (LCU)</v>
      </c>
      <c r="J337" s="51">
        <f>CALCS_Annual!J625*J334</f>
        <v>0</v>
      </c>
      <c r="K337" s="51">
        <f>CALCS_Annual!K625*K334</f>
        <v>0</v>
      </c>
      <c r="L337" s="51">
        <f>CALCS_Annual!L625*L334</f>
        <v>0</v>
      </c>
      <c r="M337" s="51">
        <f>CALCS_Annual!M625*M334</f>
        <v>0</v>
      </c>
      <c r="N337" s="51">
        <f>CALCS_Annual!N625*N334</f>
        <v>0</v>
      </c>
    </row>
    <row r="338" spans="1:14" s="11" customFormat="1" x14ac:dyDescent="0.2">
      <c r="C338" s="52" t="str">
        <f>CALCS_Annual!B632</f>
        <v>Economic (LCU)</v>
      </c>
      <c r="J338" s="51">
        <f>CALCS_Annual!J635*J334</f>
        <v>0</v>
      </c>
      <c r="K338" s="51">
        <f>CALCS_Annual!K635*K334</f>
        <v>0</v>
      </c>
      <c r="L338" s="51">
        <f>CALCS_Annual!L635*L334</f>
        <v>0</v>
      </c>
      <c r="M338" s="51">
        <f>CALCS_Annual!M635*M334</f>
        <v>0</v>
      </c>
      <c r="N338" s="51">
        <f>CALCS_Annual!N635*N334</f>
        <v>0</v>
      </c>
    </row>
    <row r="339" spans="1:14" s="11" customFormat="1" x14ac:dyDescent="0.2"/>
    <row r="340" spans="1:14" s="11" customFormat="1" x14ac:dyDescent="0.2">
      <c r="B340" s="92" t="str">
        <f>SOCMOB_Lu!$D$152</f>
        <v>USD</v>
      </c>
      <c r="E340" s="53" t="str">
        <f>"("&amp;IF(DD_LVL2_ACTV_10_Input_Detail_or_Freeform=1,SOCIAL_MOBILISATION!$D$176,SOCIAL_MOBILISATION!$D$182)&amp;")"</f>
        <v>(Direct User Entry Cost Estimate)</v>
      </c>
    </row>
    <row r="341" spans="1:14" s="11" customFormat="1" x14ac:dyDescent="0.2">
      <c r="C341" s="52" t="str">
        <f>CALCS_Annual!B641</f>
        <v>Financial (USD)</v>
      </c>
      <c r="J341" s="82">
        <f>CALCS_Annual!J644*J334</f>
        <v>0</v>
      </c>
      <c r="K341" s="82">
        <f>CALCS_Annual!K644*K334</f>
        <v>0</v>
      </c>
      <c r="L341" s="82">
        <f>CALCS_Annual!L644*L334</f>
        <v>0</v>
      </c>
      <c r="M341" s="82">
        <f>CALCS_Annual!M644*M334</f>
        <v>0</v>
      </c>
      <c r="N341" s="82">
        <f>CALCS_Annual!N644*N334</f>
        <v>0</v>
      </c>
    </row>
    <row r="342" spans="1:14" s="11" customFormat="1" x14ac:dyDescent="0.2">
      <c r="C342" s="52" t="str">
        <f>CALCS_Annual!B650</f>
        <v>Economic (USD)</v>
      </c>
      <c r="J342" s="82">
        <f>CALCS_Annual!J653*J334</f>
        <v>0</v>
      </c>
      <c r="K342" s="82">
        <f>CALCS_Annual!K653*K334</f>
        <v>0</v>
      </c>
      <c r="L342" s="82">
        <f>CALCS_Annual!L653*L334</f>
        <v>0</v>
      </c>
      <c r="M342" s="82">
        <f>CALCS_Annual!M653*M334</f>
        <v>0</v>
      </c>
      <c r="N342" s="82">
        <f>CALCS_Annual!N653*N334</f>
        <v>0</v>
      </c>
    </row>
    <row r="343" spans="1:14" s="11" customFormat="1" x14ac:dyDescent="0.2"/>
    <row r="344" spans="1:14" s="11" customFormat="1" x14ac:dyDescent="0.2">
      <c r="A344" s="12" t="s">
        <v>125</v>
      </c>
      <c r="B344" s="13" t="str">
        <f>SOCIAL_MOBILISATION!D209&amp;" - "&amp;Lang_Summary_Costs_Annual</f>
        <v>IEC Soc Mob  Activity # 6 (Not in Use) - Summary Costs (Annual)</v>
      </c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</row>
    <row r="345" spans="1:14" s="11" customFormat="1" x14ac:dyDescent="0.2"/>
    <row r="346" spans="1:14" s="11" customFormat="1" x14ac:dyDescent="0.2">
      <c r="B346" s="84" t="str">
        <f>HL_LVL2_ACTV_11_Name</f>
        <v>IEC Soc Mob  Activity # 6 (Not in Use)</v>
      </c>
    </row>
    <row r="347" spans="1:14" s="11" customFormat="1" x14ac:dyDescent="0.2"/>
    <row r="348" spans="1:14" s="11" customFormat="1" x14ac:dyDescent="0.2">
      <c r="D348" s="81" t="str">
        <f>SOCIAL_MOBILISATION!D240</f>
        <v>IEC Soc Mob  Activity # 6 (Not in Use) - Number of Activities per Year (Projected or Retrospective)</v>
      </c>
      <c r="J348" s="83">
        <f>SOCIAL_MOBILISATION!J240</f>
        <v>0</v>
      </c>
      <c r="K348" s="83">
        <f>SOCIAL_MOBILISATION!K240</f>
        <v>0</v>
      </c>
      <c r="L348" s="83">
        <f>SOCIAL_MOBILISATION!L240</f>
        <v>0</v>
      </c>
      <c r="M348" s="83">
        <f>SOCIAL_MOBILISATION!M240</f>
        <v>0</v>
      </c>
      <c r="N348" s="83">
        <f>SOCIAL_MOBILISATION!N240</f>
        <v>0</v>
      </c>
    </row>
    <row r="349" spans="1:14" s="11" customFormat="1" x14ac:dyDescent="0.2"/>
    <row r="350" spans="1:14" s="11" customFormat="1" x14ac:dyDescent="0.2">
      <c r="B350" s="92" t="str">
        <f>SOCMOB_Lu!$D$188</f>
        <v>LCU</v>
      </c>
      <c r="E350" s="53" t="str">
        <f>"("&amp;IF(DD_LVL2_ACTV_11_Input_Detail_or_Freeform=1,SOCIAL_MOBILISATION!$D$219,SOCIAL_MOBILISATION!$D$225)&amp;")"</f>
        <v>(Direct User Entry Cost Estimate)</v>
      </c>
    </row>
    <row r="351" spans="1:14" s="11" customFormat="1" x14ac:dyDescent="0.2">
      <c r="C351" s="52" t="str">
        <f>CALCS_Annual!B659</f>
        <v>Financial (LCU)</v>
      </c>
      <c r="J351" s="51">
        <f>CALCS_Annual!J662*J348</f>
        <v>0</v>
      </c>
      <c r="K351" s="51">
        <f>CALCS_Annual!K662*K348</f>
        <v>0</v>
      </c>
      <c r="L351" s="51">
        <f>CALCS_Annual!L662*L348</f>
        <v>0</v>
      </c>
      <c r="M351" s="51">
        <f>CALCS_Annual!M662*M348</f>
        <v>0</v>
      </c>
      <c r="N351" s="51">
        <f>CALCS_Annual!N662*N348</f>
        <v>0</v>
      </c>
    </row>
    <row r="352" spans="1:14" s="11" customFormat="1" x14ac:dyDescent="0.2">
      <c r="C352" s="52" t="str">
        <f>CALCS_Annual!B669</f>
        <v>Economic (LCU)</v>
      </c>
      <c r="J352" s="51">
        <f>CALCS_Annual!J672*J348</f>
        <v>0</v>
      </c>
      <c r="K352" s="51">
        <f>CALCS_Annual!K672*K348</f>
        <v>0</v>
      </c>
      <c r="L352" s="51">
        <f>CALCS_Annual!L672*L348</f>
        <v>0</v>
      </c>
      <c r="M352" s="51">
        <f>CALCS_Annual!M672*M348</f>
        <v>0</v>
      </c>
      <c r="N352" s="51">
        <f>CALCS_Annual!N672*N348</f>
        <v>0</v>
      </c>
    </row>
    <row r="353" spans="1:14" s="11" customFormat="1" x14ac:dyDescent="0.2"/>
    <row r="354" spans="1:14" s="11" customFormat="1" x14ac:dyDescent="0.2">
      <c r="B354" s="92" t="str">
        <f>SOCMOB_Lu!$D$187</f>
        <v>USD</v>
      </c>
      <c r="E354" s="53" t="str">
        <f>"("&amp;IF(DD_LVL2_ACTV_11_Input_Detail_or_Freeform=1,SOCIAL_MOBILISATION!$D$219,SOCIAL_MOBILISATION!$D$225)&amp;")"</f>
        <v>(Direct User Entry Cost Estimate)</v>
      </c>
    </row>
    <row r="355" spans="1:14" s="11" customFormat="1" x14ac:dyDescent="0.2">
      <c r="C355" s="52" t="str">
        <f>CALCS_Annual!B678</f>
        <v>Financial (USD)</v>
      </c>
      <c r="J355" s="82">
        <f>CALCS_Annual!J681*J348</f>
        <v>0</v>
      </c>
      <c r="K355" s="82">
        <f>CALCS_Annual!K681*K348</f>
        <v>0</v>
      </c>
      <c r="L355" s="82">
        <f>CALCS_Annual!L681*L348</f>
        <v>0</v>
      </c>
      <c r="M355" s="82">
        <f>CALCS_Annual!M681*M348</f>
        <v>0</v>
      </c>
      <c r="N355" s="82">
        <f>CALCS_Annual!N681*N348</f>
        <v>0</v>
      </c>
    </row>
    <row r="356" spans="1:14" s="11" customFormat="1" x14ac:dyDescent="0.2">
      <c r="C356" s="52" t="str">
        <f>CALCS_Annual!B687</f>
        <v>Economic (USD)</v>
      </c>
      <c r="J356" s="82">
        <f>CALCS_Annual!J690*J348</f>
        <v>0</v>
      </c>
      <c r="K356" s="82">
        <f>CALCS_Annual!K690*K348</f>
        <v>0</v>
      </c>
      <c r="L356" s="82">
        <f>CALCS_Annual!L690*L348</f>
        <v>0</v>
      </c>
      <c r="M356" s="82">
        <f>CALCS_Annual!M690*M348</f>
        <v>0</v>
      </c>
      <c r="N356" s="82">
        <f>CALCS_Annual!N690*N348</f>
        <v>0</v>
      </c>
    </row>
    <row r="357" spans="1:14" s="11" customFormat="1" x14ac:dyDescent="0.2"/>
    <row r="358" spans="1:14" s="11" customFormat="1" x14ac:dyDescent="0.2">
      <c r="A358" s="12" t="s">
        <v>125</v>
      </c>
      <c r="B358" s="13" t="str">
        <f>SOCIAL_MOBILISATION!D252&amp;" - "&amp;Lang_Summary_Costs_Annual</f>
        <v>IEC Soc Mob  Activity # 7 (Not in Use) - Summary Costs (Annual)</v>
      </c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</row>
    <row r="359" spans="1:14" s="11" customFormat="1" x14ac:dyDescent="0.2"/>
    <row r="360" spans="1:14" s="11" customFormat="1" x14ac:dyDescent="0.2">
      <c r="B360" s="84" t="str">
        <f>HL_LVL2_ACTV_8_Name</f>
        <v>IEC Soc Mob  Activity # 7 (Not in Use)</v>
      </c>
    </row>
    <row r="361" spans="1:14" s="11" customFormat="1" x14ac:dyDescent="0.2"/>
    <row r="362" spans="1:14" s="11" customFormat="1" x14ac:dyDescent="0.2">
      <c r="D362" s="81" t="str">
        <f>SOCIAL_MOBILISATION!D283</f>
        <v>IEC Soc Mob  Activity # 7 (Not in Use) - Number of Activities per Year (Projected or Retrospective)</v>
      </c>
      <c r="J362" s="83">
        <f>SOCIAL_MOBILISATION!J283</f>
        <v>0</v>
      </c>
      <c r="K362" s="83">
        <f>SOCIAL_MOBILISATION!K283</f>
        <v>0</v>
      </c>
      <c r="L362" s="83">
        <f>SOCIAL_MOBILISATION!L283</f>
        <v>0</v>
      </c>
      <c r="M362" s="83">
        <f>SOCIAL_MOBILISATION!M283</f>
        <v>0</v>
      </c>
      <c r="N362" s="83">
        <f>SOCIAL_MOBILISATION!N283</f>
        <v>0</v>
      </c>
    </row>
    <row r="363" spans="1:14" s="11" customFormat="1" x14ac:dyDescent="0.2"/>
    <row r="364" spans="1:14" s="11" customFormat="1" x14ac:dyDescent="0.2">
      <c r="B364" s="92" t="str">
        <f>SOCMOB_Lu!$D$223</f>
        <v>LCU</v>
      </c>
      <c r="E364" s="53" t="str">
        <f>"("&amp;IF(DD_LVL2_ACTV_8_Input_Detail_or_Freeform=1,SOCIAL_MOBILISATION!$D$262,SOCIAL_MOBILISATION!$D$268)&amp;")"</f>
        <v>(Direct User Entry Cost Estimate)</v>
      </c>
    </row>
    <row r="365" spans="1:14" s="11" customFormat="1" x14ac:dyDescent="0.2">
      <c r="C365" s="52" t="str">
        <f>CALCS_Annual!B696</f>
        <v>Financial (LCU)</v>
      </c>
      <c r="J365" s="51">
        <f>CALCS_Annual!J699*J362</f>
        <v>0</v>
      </c>
      <c r="K365" s="51">
        <f>CALCS_Annual!K699*K362</f>
        <v>0</v>
      </c>
      <c r="L365" s="51">
        <f>CALCS_Annual!L699*L362</f>
        <v>0</v>
      </c>
      <c r="M365" s="51">
        <f>CALCS_Annual!M699*M362</f>
        <v>0</v>
      </c>
      <c r="N365" s="51">
        <f>CALCS_Annual!N699*N362</f>
        <v>0</v>
      </c>
    </row>
    <row r="366" spans="1:14" s="11" customFormat="1" x14ac:dyDescent="0.2">
      <c r="C366" s="52" t="str">
        <f>CALCS_Annual!B706</f>
        <v>Economic (LCU)</v>
      </c>
      <c r="J366" s="51">
        <f>CALCS_Annual!J709*J362</f>
        <v>0</v>
      </c>
      <c r="K366" s="51">
        <f>CALCS_Annual!K709*K362</f>
        <v>0</v>
      </c>
      <c r="L366" s="51">
        <f>CALCS_Annual!L709*L362</f>
        <v>0</v>
      </c>
      <c r="M366" s="51">
        <f>CALCS_Annual!M709*M362</f>
        <v>0</v>
      </c>
      <c r="N366" s="51">
        <f>CALCS_Annual!N709*N362</f>
        <v>0</v>
      </c>
    </row>
    <row r="367" spans="1:14" s="11" customFormat="1" x14ac:dyDescent="0.2"/>
    <row r="368" spans="1:14" s="11" customFormat="1" x14ac:dyDescent="0.2">
      <c r="B368" s="92" t="str">
        <f>SOCMOB_Lu!$D$222</f>
        <v>USD</v>
      </c>
      <c r="E368" s="53" t="str">
        <f>"("&amp;IF(DD_LVL2_ACTV_8_Input_Detail_or_Freeform=1,SOCIAL_MOBILISATION!$D$262,SOCIAL_MOBILISATION!$D$268)&amp;")"</f>
        <v>(Direct User Entry Cost Estimate)</v>
      </c>
    </row>
    <row r="369" spans="1:14" s="11" customFormat="1" x14ac:dyDescent="0.2">
      <c r="C369" s="52" t="str">
        <f>CALCS_Annual!B715</f>
        <v>Financial (USD)</v>
      </c>
      <c r="J369" s="82">
        <f>CALCS_Annual!J718*J362</f>
        <v>0</v>
      </c>
      <c r="K369" s="82">
        <f>CALCS_Annual!K718*K362</f>
        <v>0</v>
      </c>
      <c r="L369" s="82">
        <f>CALCS_Annual!L718*L362</f>
        <v>0</v>
      </c>
      <c r="M369" s="82">
        <f>CALCS_Annual!M718*M362</f>
        <v>0</v>
      </c>
      <c r="N369" s="82">
        <f>CALCS_Annual!N718*N362</f>
        <v>0</v>
      </c>
    </row>
    <row r="370" spans="1:14" s="11" customFormat="1" x14ac:dyDescent="0.2">
      <c r="C370" s="52" t="str">
        <f>CALCS_Annual!B724</f>
        <v>Economic (USD)</v>
      </c>
      <c r="J370" s="82">
        <f>CALCS_Annual!J727*J362</f>
        <v>0</v>
      </c>
      <c r="K370" s="82">
        <f>CALCS_Annual!K727*K362</f>
        <v>0</v>
      </c>
      <c r="L370" s="82">
        <f>CALCS_Annual!L727*L362</f>
        <v>0</v>
      </c>
      <c r="M370" s="82">
        <f>CALCS_Annual!M727*M362</f>
        <v>0</v>
      </c>
      <c r="N370" s="82">
        <f>CALCS_Annual!N727*N362</f>
        <v>0</v>
      </c>
    </row>
    <row r="371" spans="1:14" s="11" customFormat="1" x14ac:dyDescent="0.2"/>
    <row r="372" spans="1:14" s="11" customFormat="1" x14ac:dyDescent="0.2">
      <c r="A372" s="12" t="s">
        <v>125</v>
      </c>
      <c r="B372" s="13" t="str">
        <f>SOCIAL_MOBILISATION!D295&amp;" - "&amp;Lang_Summary_Costs_Annual</f>
        <v>IEC Soc Mob  Activity # 8 (Not in Use) - Summary Costs (Annual)</v>
      </c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</row>
    <row r="373" spans="1:14" s="11" customFormat="1" x14ac:dyDescent="0.2"/>
    <row r="374" spans="1:14" s="11" customFormat="1" x14ac:dyDescent="0.2">
      <c r="B374" s="84" t="str">
        <f>HL_LVL2_ACTV_21_Name</f>
        <v>IEC Soc Mob  Activity # 8 (Not in Use)</v>
      </c>
    </row>
    <row r="375" spans="1:14" s="11" customFormat="1" x14ac:dyDescent="0.2"/>
    <row r="376" spans="1:14" s="11" customFormat="1" x14ac:dyDescent="0.2">
      <c r="D376" s="81" t="str">
        <f>SOCIAL_MOBILISATION!D326</f>
        <v>IEC Soc Mob  Activity # 8 (Not in Use) - Number of Activities per Year (Projected or Retrospective)</v>
      </c>
      <c r="J376" s="83">
        <f>SOCIAL_MOBILISATION!J326</f>
        <v>0</v>
      </c>
      <c r="K376" s="83">
        <f>SOCIAL_MOBILISATION!K326</f>
        <v>0</v>
      </c>
      <c r="L376" s="83">
        <f>SOCIAL_MOBILISATION!L326</f>
        <v>0</v>
      </c>
      <c r="M376" s="83">
        <f>SOCIAL_MOBILISATION!M326</f>
        <v>0</v>
      </c>
      <c r="N376" s="83">
        <f>SOCIAL_MOBILISATION!N326</f>
        <v>0</v>
      </c>
    </row>
    <row r="377" spans="1:14" s="11" customFormat="1" x14ac:dyDescent="0.2"/>
    <row r="378" spans="1:14" s="11" customFormat="1" x14ac:dyDescent="0.2">
      <c r="B378" s="92" t="str">
        <f>SOCMOB_Lu!$D$258</f>
        <v>LCU</v>
      </c>
      <c r="E378" s="53" t="str">
        <f>"("&amp;IF(DD_LVL2_ACTV_21_Input_Detail_or_Freeform=1,SOCIAL_MOBILISATION!$D$305,SOCIAL_MOBILISATION!$D$311)&amp;")"</f>
        <v>(Direct User Entry Cost Estimate)</v>
      </c>
    </row>
    <row r="379" spans="1:14" s="11" customFormat="1" x14ac:dyDescent="0.2">
      <c r="C379" s="52" t="str">
        <f>CALCS_Annual!B733</f>
        <v>Financial (LCU)</v>
      </c>
      <c r="J379" s="51">
        <f>CALCS_Annual!J736*J376</f>
        <v>0</v>
      </c>
      <c r="K379" s="51">
        <f>CALCS_Annual!K736*K376</f>
        <v>0</v>
      </c>
      <c r="L379" s="51">
        <f>CALCS_Annual!L736*L376</f>
        <v>0</v>
      </c>
      <c r="M379" s="51">
        <f>CALCS_Annual!M736*M376</f>
        <v>0</v>
      </c>
      <c r="N379" s="51">
        <f>CALCS_Annual!N736*N376</f>
        <v>0</v>
      </c>
    </row>
    <row r="380" spans="1:14" s="11" customFormat="1" x14ac:dyDescent="0.2">
      <c r="C380" s="52" t="str">
        <f>CALCS_Annual!B743</f>
        <v>Economic (LCU)</v>
      </c>
      <c r="J380" s="51">
        <f>CALCS_Annual!J746*J376</f>
        <v>0</v>
      </c>
      <c r="K380" s="51">
        <f>CALCS_Annual!K746*K376</f>
        <v>0</v>
      </c>
      <c r="L380" s="51">
        <f>CALCS_Annual!L746*L376</f>
        <v>0</v>
      </c>
      <c r="M380" s="51">
        <f>CALCS_Annual!M746*M376</f>
        <v>0</v>
      </c>
      <c r="N380" s="51">
        <f>CALCS_Annual!N746*N376</f>
        <v>0</v>
      </c>
    </row>
    <row r="381" spans="1:14" s="11" customFormat="1" x14ac:dyDescent="0.2"/>
    <row r="382" spans="1:14" s="11" customFormat="1" x14ac:dyDescent="0.2">
      <c r="B382" s="92" t="str">
        <f>SOCMOB_Lu!$D$257</f>
        <v>USD</v>
      </c>
      <c r="E382" s="53" t="str">
        <f>"("&amp;IF(DD_LVL2_ACTV_21_Input_Detail_or_Freeform=1,SOCIAL_MOBILISATION!$D$305,SOCIAL_MOBILISATION!$D$311)&amp;")"</f>
        <v>(Direct User Entry Cost Estimate)</v>
      </c>
    </row>
    <row r="383" spans="1:14" s="11" customFormat="1" x14ac:dyDescent="0.2">
      <c r="C383" s="52" t="str">
        <f>CALCS_Annual!B752</f>
        <v>Financial (USD)</v>
      </c>
      <c r="J383" s="82">
        <f>CALCS_Annual!J755*J376</f>
        <v>0</v>
      </c>
      <c r="K383" s="82">
        <f>CALCS_Annual!K755*K376</f>
        <v>0</v>
      </c>
      <c r="L383" s="82">
        <f>CALCS_Annual!L755*L376</f>
        <v>0</v>
      </c>
      <c r="M383" s="82">
        <f>CALCS_Annual!M755*M376</f>
        <v>0</v>
      </c>
      <c r="N383" s="82">
        <f>CALCS_Annual!N755*N376</f>
        <v>0</v>
      </c>
    </row>
    <row r="384" spans="1:14" s="11" customFormat="1" x14ac:dyDescent="0.2">
      <c r="C384" s="52" t="str">
        <f>CALCS_Annual!B761</f>
        <v>Economic (USD)</v>
      </c>
      <c r="J384" s="82">
        <f>CALCS_Annual!J764*J376</f>
        <v>0</v>
      </c>
      <c r="K384" s="82">
        <f>CALCS_Annual!K764*K376</f>
        <v>0</v>
      </c>
      <c r="L384" s="82">
        <f>CALCS_Annual!L764*L376</f>
        <v>0</v>
      </c>
      <c r="M384" s="82">
        <f>CALCS_Annual!M764*M376</f>
        <v>0</v>
      </c>
      <c r="N384" s="82">
        <f>CALCS_Annual!N764*N376</f>
        <v>0</v>
      </c>
    </row>
    <row r="385" spans="1:14" s="11" customFormat="1" x14ac:dyDescent="0.2"/>
    <row r="386" spans="1:14" s="11" customFormat="1" x14ac:dyDescent="0.2">
      <c r="A386" s="12" t="s">
        <v>125</v>
      </c>
      <c r="B386" s="13" t="str">
        <f>SERVICE_DELIVERY!D238&amp;" - "&amp;Lang_Summary_Costs_Annual</f>
        <v>Single Vaccination Service Delivery Type 1 - Summary Costs (Annual)</v>
      </c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</row>
    <row r="387" spans="1:14" s="11" customFormat="1" x14ac:dyDescent="0.2"/>
    <row r="388" spans="1:14" s="11" customFormat="1" x14ac:dyDescent="0.2">
      <c r="B388" s="84" t="str">
        <f>HL_LVL2_ACTV_6_Name</f>
        <v>Single Vaccination Service Delivery Type 1</v>
      </c>
    </row>
    <row r="389" spans="1:14" s="11" customFormat="1" x14ac:dyDescent="0.2"/>
    <row r="390" spans="1:14" s="11" customFormat="1" x14ac:dyDescent="0.2">
      <c r="D390" s="84" t="str">
        <f>IF(TIME_SERIES!$H$6=1,SERVICE_DELIVERY!D163&amp;" "&amp;Lang_In_A&amp;" "&amp;SERVICE_DELIVERY!D164,SERVICE_DELIVERY!D216&amp;" "&amp;Lang_In_A&amp;" "&amp;SERVICE_DELIVERY!D217)</f>
        <v>Number of Single Vaccination Activities Required to Administer Vaccines in a Single Vaccination Service Delivery Type 1</v>
      </c>
      <c r="J390" s="103">
        <f>IF(TIME_SERIES!$H$6=1,SERVICE_DELIVERY!J164,SERVICE_DELIVERY!J217)</f>
        <v>75999.24000000002</v>
      </c>
      <c r="K390" s="103">
        <f>IF(TIME_SERIES!$H$6=1,SERVICE_DELIVERY!K164,SERVICE_DELIVERY!K217)</f>
        <v>77140</v>
      </c>
      <c r="L390" s="103">
        <f>IF(TIME_SERIES!$H$6=1,SERVICE_DELIVERY!L164,SERVICE_DELIVERY!L217)</f>
        <v>78313.440000000002</v>
      </c>
      <c r="M390" s="103">
        <f>IF(TIME_SERIES!$H$6=1,SERVICE_DELIVERY!M164,SERVICE_DELIVERY!M217)</f>
        <v>79522.98000000001</v>
      </c>
      <c r="N390" s="103">
        <f>IF(TIME_SERIES!$H$6=1,SERVICE_DELIVERY!N164,SERVICE_DELIVERY!N217)</f>
        <v>80768.62</v>
      </c>
    </row>
    <row r="391" spans="1:14" s="11" customFormat="1" x14ac:dyDescent="0.2"/>
    <row r="392" spans="1:14" s="11" customFormat="1" x14ac:dyDescent="0.2">
      <c r="B392" s="92" t="str">
        <f>SD_Lu!$D$13</f>
        <v>LCU</v>
      </c>
      <c r="E392" s="53" t="str">
        <f>"("&amp;IF(DD_LVL2_ACTV_6_Input_Detail_or_Freeform=1,SERVICE_DELIVERY!$D$248,SERVICE_DELIVERY!$D$254)&amp;")"</f>
        <v>(Detailed Costing Worksheet Estimate)</v>
      </c>
    </row>
    <row r="393" spans="1:14" s="11" customFormat="1" x14ac:dyDescent="0.2">
      <c r="C393" s="53" t="str">
        <f>$B$388&amp;" "&amp;CALCS_Annual!B1007</f>
        <v>Single Vaccination Service Delivery Type 1 Financial (LCU)</v>
      </c>
      <c r="J393" s="51">
        <f>CALCS_Annual!J1010*J$390</f>
        <v>0</v>
      </c>
      <c r="K393" s="51">
        <f>CALCS_Annual!K1010*K$390</f>
        <v>0</v>
      </c>
      <c r="L393" s="51">
        <f>CALCS_Annual!L1010*L$390</f>
        <v>0</v>
      </c>
      <c r="M393" s="51">
        <f>CALCS_Annual!M1010*M$390</f>
        <v>0</v>
      </c>
      <c r="N393" s="51">
        <f>CALCS_Annual!N1010*N$390</f>
        <v>0</v>
      </c>
    </row>
    <row r="394" spans="1:14" s="11" customFormat="1" x14ac:dyDescent="0.2">
      <c r="C394" s="53" t="str">
        <f>$B$388&amp;" "&amp;CALCS_Annual!B1016</f>
        <v>Single Vaccination Service Delivery Type 1 Economic (LCU)</v>
      </c>
      <c r="J394" s="51">
        <f>CALCS_Annual!J1019*J$390</f>
        <v>0</v>
      </c>
      <c r="K394" s="51">
        <f>CALCS_Annual!K1019*K$390</f>
        <v>0</v>
      </c>
      <c r="L394" s="51">
        <f>CALCS_Annual!L1019*L$390</f>
        <v>0</v>
      </c>
      <c r="M394" s="51">
        <f>CALCS_Annual!M1019*M$390</f>
        <v>0</v>
      </c>
      <c r="N394" s="51">
        <f>CALCS_Annual!N1019*N$390</f>
        <v>0</v>
      </c>
    </row>
    <row r="395" spans="1:14" s="11" customFormat="1" x14ac:dyDescent="0.2"/>
    <row r="396" spans="1:14" s="11" customFormat="1" x14ac:dyDescent="0.2">
      <c r="B396" s="92" t="str">
        <f>SD_Lu!$D$12</f>
        <v>USD</v>
      </c>
      <c r="E396" s="53" t="str">
        <f>"("&amp;IF(DD_LVL2_ACTV_6_Input_Detail_or_Freeform=1,SERVICE_DELIVERY!$D$248,SERVICE_DELIVERY!$D$254)&amp;")"</f>
        <v>(Detailed Costing Worksheet Estimate)</v>
      </c>
    </row>
    <row r="397" spans="1:14" s="11" customFormat="1" x14ac:dyDescent="0.2">
      <c r="C397" s="53" t="str">
        <f>$B$388&amp;" "&amp;CALCS_Annual!B1025</f>
        <v>Single Vaccination Service Delivery Type 1 Financial (USD)</v>
      </c>
      <c r="J397" s="82">
        <f>CALCS_Annual!J1030*J$390</f>
        <v>0</v>
      </c>
      <c r="K397" s="82">
        <f>CALCS_Annual!K1030*K$390</f>
        <v>0</v>
      </c>
      <c r="L397" s="82">
        <f>CALCS_Annual!L1030*L$390</f>
        <v>0</v>
      </c>
      <c r="M397" s="82">
        <f>CALCS_Annual!M1030*M$390</f>
        <v>0</v>
      </c>
      <c r="N397" s="82">
        <f>CALCS_Annual!N1030*N$390</f>
        <v>0</v>
      </c>
    </row>
    <row r="398" spans="1:14" s="11" customFormat="1" x14ac:dyDescent="0.2">
      <c r="C398" s="53" t="str">
        <f>$B$388&amp;" "&amp;CALCS_Annual!B1036</f>
        <v>Single Vaccination Service Delivery Type 1 Economic (USD)</v>
      </c>
      <c r="J398" s="82">
        <f>CALCS_Annual!J1039*J$390</f>
        <v>0</v>
      </c>
      <c r="K398" s="82">
        <f>CALCS_Annual!K1039*K$390</f>
        <v>0</v>
      </c>
      <c r="L398" s="82">
        <f>CALCS_Annual!L1039*L$390</f>
        <v>0</v>
      </c>
      <c r="M398" s="82">
        <f>CALCS_Annual!M1039*M$390</f>
        <v>0</v>
      </c>
      <c r="N398" s="82">
        <f>CALCS_Annual!N1039*N$390</f>
        <v>0</v>
      </c>
    </row>
    <row r="399" spans="1:14" s="11" customFormat="1" x14ac:dyDescent="0.2"/>
    <row r="400" spans="1:14" s="11" customFormat="1" x14ac:dyDescent="0.2">
      <c r="A400" s="12" t="s">
        <v>125</v>
      </c>
      <c r="B400" s="13" t="str">
        <f>SERVICE_DELIVERY!D262&amp;" - "&amp;Lang_Summary_Costs_Annual</f>
        <v>Single Vaccination Service Delivery Type 2 - Summary Costs (Annual)</v>
      </c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</row>
    <row r="401" spans="1:14" s="11" customFormat="1" x14ac:dyDescent="0.2"/>
    <row r="402" spans="1:14" s="11" customFormat="1" x14ac:dyDescent="0.2">
      <c r="B402" s="84" t="str">
        <f>HL_LVL2_ACTV_12_Name</f>
        <v>Single Vaccination Service Delivery Type 2</v>
      </c>
    </row>
    <row r="403" spans="1:14" s="11" customFormat="1" x14ac:dyDescent="0.2"/>
    <row r="404" spans="1:14" s="11" customFormat="1" x14ac:dyDescent="0.2">
      <c r="D404" s="84" t="str">
        <f>IF(TIME_SERIES!$H$6=1,SERVICE_DELIVERY!D163&amp;" "&amp;Lang_In_A&amp;" "&amp;SERVICE_DELIVERY!D165,SERVICE_DELIVERY!D216&amp;" "&amp;Lang_In_A&amp;" "&amp;SERVICE_DELIVERY!D218)</f>
        <v>Number of Single Vaccination Activities Required to Administer Vaccines in a Single Vaccination Service Delivery Type 2</v>
      </c>
      <c r="J404" s="103">
        <f>IF(TIME_SERIES!$H$6=1,SERVICE_DELIVERY!J165,SERVICE_DELIVERY!J218)</f>
        <v>75999.24000000002</v>
      </c>
      <c r="K404" s="103">
        <f>IF(TIME_SERIES!$H$6=1,SERVICE_DELIVERY!K165,SERVICE_DELIVERY!K218)</f>
        <v>77140</v>
      </c>
      <c r="L404" s="103">
        <f>IF(TIME_SERIES!$H$6=1,SERVICE_DELIVERY!L165,SERVICE_DELIVERY!L218)</f>
        <v>78313.440000000002</v>
      </c>
      <c r="M404" s="103">
        <f>IF(TIME_SERIES!$H$6=1,SERVICE_DELIVERY!M165,SERVICE_DELIVERY!M218)</f>
        <v>79522.98000000001</v>
      </c>
      <c r="N404" s="103">
        <f>IF(TIME_SERIES!$H$6=1,SERVICE_DELIVERY!N165,SERVICE_DELIVERY!N218)</f>
        <v>80768.62</v>
      </c>
    </row>
    <row r="405" spans="1:14" s="11" customFormat="1" x14ac:dyDescent="0.2"/>
    <row r="406" spans="1:14" s="11" customFormat="1" x14ac:dyDescent="0.2">
      <c r="B406" s="92" t="str">
        <f>SD_Lu!$D$48</f>
        <v>LCU</v>
      </c>
      <c r="E406" s="53" t="str">
        <f>"("&amp;IF(DD_LVL2_ACTV_12_Input_Detail_or_Freeform=1,SERVICE_DELIVERY!$D$272,SERVICE_DELIVERY!$D$278)&amp;")"</f>
        <v>(Detailed Costing Worksheet Estimate)</v>
      </c>
    </row>
    <row r="407" spans="1:14" s="11" customFormat="1" x14ac:dyDescent="0.2">
      <c r="C407" s="53" t="str">
        <f>$B$402&amp;" "&amp;CALCS_Annual!B1045</f>
        <v>Single Vaccination Service Delivery Type 2 Financial (LCU)</v>
      </c>
      <c r="J407" s="51">
        <f>CALCS_Annual!J1048*J$404</f>
        <v>0</v>
      </c>
      <c r="K407" s="51">
        <f>CALCS_Annual!K1048*K$404</f>
        <v>0</v>
      </c>
      <c r="L407" s="51">
        <f>CALCS_Annual!L1048*L$404</f>
        <v>0</v>
      </c>
      <c r="M407" s="51">
        <f>CALCS_Annual!M1048*M$404</f>
        <v>0</v>
      </c>
      <c r="N407" s="51">
        <f>CALCS_Annual!N1048*N$404</f>
        <v>0</v>
      </c>
    </row>
    <row r="408" spans="1:14" s="11" customFormat="1" x14ac:dyDescent="0.2">
      <c r="C408" s="53" t="str">
        <f>$B$402&amp;" "&amp;CALCS_Annual!B1054</f>
        <v>Single Vaccination Service Delivery Type 2 Economic (LCU)</v>
      </c>
      <c r="J408" s="51">
        <f>CALCS_Annual!J1057*J$404</f>
        <v>0</v>
      </c>
      <c r="K408" s="51">
        <f>CALCS_Annual!K1057*K$404</f>
        <v>0</v>
      </c>
      <c r="L408" s="51">
        <f>CALCS_Annual!L1057*L$404</f>
        <v>0</v>
      </c>
      <c r="M408" s="51">
        <f>CALCS_Annual!M1057*M$404</f>
        <v>0</v>
      </c>
      <c r="N408" s="51">
        <f>CALCS_Annual!N1057*N$404</f>
        <v>0</v>
      </c>
    </row>
    <row r="409" spans="1:14" s="11" customFormat="1" x14ac:dyDescent="0.2"/>
    <row r="410" spans="1:14" s="11" customFormat="1" x14ac:dyDescent="0.2">
      <c r="B410" s="92" t="str">
        <f>SD_Lu!$D$47</f>
        <v>USD</v>
      </c>
      <c r="E410" s="53" t="str">
        <f>"("&amp;IF(DD_LVL2_ACTV_12_Input_Detail_or_Freeform=1,SERVICE_DELIVERY!$D$272,SERVICE_DELIVERY!$D$278)&amp;")"</f>
        <v>(Detailed Costing Worksheet Estimate)</v>
      </c>
    </row>
    <row r="411" spans="1:14" s="11" customFormat="1" x14ac:dyDescent="0.2">
      <c r="C411" s="53" t="str">
        <f>$B$402&amp;" "&amp;CALCS_Annual!B1063</f>
        <v>Single Vaccination Service Delivery Type 2 Financial (USD)</v>
      </c>
      <c r="J411" s="82">
        <f>CALCS_Annual!J1066*J$404</f>
        <v>0</v>
      </c>
      <c r="K411" s="82">
        <f>CALCS_Annual!K1066*K$404</f>
        <v>0</v>
      </c>
      <c r="L411" s="82">
        <f>CALCS_Annual!L1066*L$404</f>
        <v>0</v>
      </c>
      <c r="M411" s="82">
        <f>CALCS_Annual!M1066*M$404</f>
        <v>0</v>
      </c>
      <c r="N411" s="82">
        <f>CALCS_Annual!N1066*N$404</f>
        <v>0</v>
      </c>
    </row>
    <row r="412" spans="1:14" s="11" customFormat="1" x14ac:dyDescent="0.2">
      <c r="C412" s="53" t="str">
        <f>$B$402&amp;" "&amp;CALCS_Annual!B1072</f>
        <v>Single Vaccination Service Delivery Type 2 Economic (USD)</v>
      </c>
      <c r="J412" s="82">
        <f>CALCS_Annual!J1075*J$404</f>
        <v>0</v>
      </c>
      <c r="K412" s="82">
        <f>CALCS_Annual!K1075*K$404</f>
        <v>0</v>
      </c>
      <c r="L412" s="82">
        <f>CALCS_Annual!L1075*L$404</f>
        <v>0</v>
      </c>
      <c r="M412" s="82">
        <f>CALCS_Annual!M1075*M$404</f>
        <v>0</v>
      </c>
      <c r="N412" s="82">
        <f>CALCS_Annual!N1075*N$404</f>
        <v>0</v>
      </c>
    </row>
    <row r="413" spans="1:14" s="11" customFormat="1" x14ac:dyDescent="0.2"/>
    <row r="414" spans="1:14" s="11" customFormat="1" x14ac:dyDescent="0.2">
      <c r="A414" s="12" t="s">
        <v>125</v>
      </c>
      <c r="B414" s="13" t="str">
        <f>SERVICE_DELIVERY!D286&amp;" - "&amp;Lang_Summary_Costs_Annual</f>
        <v>Small Group Vaccination Activity (30 people vaccinated) - Summary Costs (Annual)</v>
      </c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</row>
    <row r="415" spans="1:14" s="11" customFormat="1" x14ac:dyDescent="0.2"/>
    <row r="416" spans="1:14" s="11" customFormat="1" x14ac:dyDescent="0.2">
      <c r="B416" s="84" t="str">
        <f>HL_LVL2_ACTV_13_Name</f>
        <v>Small Group Vaccination Activity (30 people vaccinated)</v>
      </c>
    </row>
    <row r="417" spans="1:14" s="11" customFormat="1" x14ac:dyDescent="0.2"/>
    <row r="418" spans="1:14" s="11" customFormat="1" x14ac:dyDescent="0.2">
      <c r="D418" s="84" t="str">
        <f>IF(TIME_SERIES!$H$6=1,SERVICE_DELIVERY!D168,SERVICE_DELIVERY!D225)</f>
        <v>Total (HPV 1 &amp; HPV 2) Small Group Vaccination Activity (30 people vaccinated) Activities (Projection)</v>
      </c>
      <c r="J418" s="83">
        <f>IF(TIME_SERIES!$H$6=1,SERVICE_DELIVERY!J168,SERVICE_DELIVERY!J225)</f>
        <v>633.32700000000011</v>
      </c>
      <c r="K418" s="83">
        <f>IF(TIME_SERIES!$H$6=1,SERVICE_DELIVERY!K168,SERVICE_DELIVERY!K225)</f>
        <v>642.83333333333337</v>
      </c>
      <c r="L418" s="83">
        <f>IF(TIME_SERIES!$H$6=1,SERVICE_DELIVERY!L168,SERVICE_DELIVERY!L225)</f>
        <v>652.61199999999997</v>
      </c>
      <c r="M418" s="83">
        <f>IF(TIME_SERIES!$H$6=1,SERVICE_DELIVERY!M168,SERVICE_DELIVERY!M225)</f>
        <v>662.69150000000013</v>
      </c>
      <c r="N418" s="83">
        <f>IF(TIME_SERIES!$H$6=1,SERVICE_DELIVERY!N168,SERVICE_DELIVERY!N225)</f>
        <v>673.0718333333333</v>
      </c>
    </row>
    <row r="419" spans="1:14" s="11" customFormat="1" x14ac:dyDescent="0.2"/>
    <row r="420" spans="1:14" s="11" customFormat="1" x14ac:dyDescent="0.2">
      <c r="B420" s="92" t="str">
        <f>SD_Lu!$D$83</f>
        <v>LCU</v>
      </c>
      <c r="E420" s="53" t="str">
        <f>"("&amp;IF(DD_LVL2_ACTV_13_Input_Detail_or_Freeform=1,SERVICE_DELIVERY!$D$296,SERVICE_DELIVERY!$D$302)&amp;")"</f>
        <v>(Detailed Costing Worksheet Estimate)</v>
      </c>
    </row>
    <row r="421" spans="1:14" s="11" customFormat="1" x14ac:dyDescent="0.2">
      <c r="C421" s="53" t="str">
        <f>$B$416&amp;" "&amp;CALCS_Annual!B1081</f>
        <v>Small Group Vaccination Activity (30 people vaccinated) Financial (LCU)</v>
      </c>
      <c r="J421" s="51">
        <f>CALCS_Annual!J1083*J$418</f>
        <v>0</v>
      </c>
      <c r="K421" s="51">
        <f>CALCS_Annual!K1083*K$418</f>
        <v>0</v>
      </c>
      <c r="L421" s="51">
        <f>CALCS_Annual!L1083*L$418</f>
        <v>0</v>
      </c>
      <c r="M421" s="51">
        <f>CALCS_Annual!M1083*M$418</f>
        <v>0</v>
      </c>
      <c r="N421" s="51">
        <f>CALCS_Annual!N1083*N$418</f>
        <v>0</v>
      </c>
    </row>
    <row r="422" spans="1:14" s="11" customFormat="1" x14ac:dyDescent="0.2">
      <c r="C422" s="53" t="str">
        <f>$B$416&amp;" "&amp;CALCS_Annual!B1089</f>
        <v>Small Group Vaccination Activity (30 people vaccinated) Economic (LCU)</v>
      </c>
      <c r="J422" s="42">
        <f>CALCS_Annual!J1091*J$418</f>
        <v>0</v>
      </c>
      <c r="K422" s="42">
        <f>CALCS_Annual!K1091*K$418</f>
        <v>0</v>
      </c>
      <c r="L422" s="42">
        <f>CALCS_Annual!L1091*L$418</f>
        <v>0</v>
      </c>
      <c r="M422" s="42">
        <f>CALCS_Annual!M1091*M$418</f>
        <v>0</v>
      </c>
      <c r="N422" s="42">
        <f>CALCS_Annual!N1091*N$418</f>
        <v>0</v>
      </c>
    </row>
    <row r="423" spans="1:14" s="11" customFormat="1" x14ac:dyDescent="0.2"/>
    <row r="424" spans="1:14" s="11" customFormat="1" x14ac:dyDescent="0.2">
      <c r="B424" s="92" t="str">
        <f>SD_Lu!$D$82</f>
        <v>USD</v>
      </c>
      <c r="E424" s="53" t="str">
        <f>"("&amp;IF(DD_LVL2_ACTV_13_Input_Detail_or_Freeform=1,SERVICE_DELIVERY!$D$296,SERVICE_DELIVERY!$D$302)&amp;")"</f>
        <v>(Detailed Costing Worksheet Estimate)</v>
      </c>
    </row>
    <row r="425" spans="1:14" s="11" customFormat="1" x14ac:dyDescent="0.2">
      <c r="C425" s="53" t="str">
        <f>$B$416&amp;" "&amp;CALCS_Annual!B1097</f>
        <v>Small Group Vaccination Activity (30 people vaccinated) Financial (USD)</v>
      </c>
      <c r="J425" s="82">
        <f>CALCS_Annual!J1099*J$418</f>
        <v>0</v>
      </c>
      <c r="K425" s="82">
        <f>CALCS_Annual!K1099*K$418</f>
        <v>0</v>
      </c>
      <c r="L425" s="82">
        <f>CALCS_Annual!L1099*L$418</f>
        <v>0</v>
      </c>
      <c r="M425" s="82">
        <f>CALCS_Annual!M1099*M$418</f>
        <v>0</v>
      </c>
      <c r="N425" s="82">
        <f>CALCS_Annual!N1099*N$418</f>
        <v>0</v>
      </c>
    </row>
    <row r="426" spans="1:14" s="11" customFormat="1" x14ac:dyDescent="0.2">
      <c r="C426" s="53" t="str">
        <f>$B$416&amp;" "&amp;CALCS_Annual!B1105</f>
        <v>Small Group Vaccination Activity (30 people vaccinated) Economic (USD)</v>
      </c>
      <c r="J426" s="82">
        <f>CALCS_Annual!J1107*J$418</f>
        <v>0</v>
      </c>
      <c r="K426" s="82">
        <f>CALCS_Annual!K1107*K$418</f>
        <v>0</v>
      </c>
      <c r="L426" s="82">
        <f>CALCS_Annual!L1107*L$418</f>
        <v>0</v>
      </c>
      <c r="M426" s="82">
        <f>CALCS_Annual!M1107*M$418</f>
        <v>0</v>
      </c>
      <c r="N426" s="82">
        <f>CALCS_Annual!N1107*N$418</f>
        <v>0</v>
      </c>
    </row>
    <row r="427" spans="1:14" s="11" customFormat="1" x14ac:dyDescent="0.2"/>
    <row r="428" spans="1:14" s="11" customFormat="1" x14ac:dyDescent="0.2">
      <c r="A428" s="12" t="s">
        <v>125</v>
      </c>
      <c r="B428" s="13" t="str">
        <f>SERVICE_DELIVERY!D311&amp;" - "&amp;Lang_Summary_Costs_Annual</f>
        <v>Large Group Vaccination Activity (100 people vaccinated) - Summary Costs (Annual)</v>
      </c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</row>
    <row r="429" spans="1:14" s="11" customFormat="1" x14ac:dyDescent="0.2"/>
    <row r="430" spans="1:14" s="11" customFormat="1" x14ac:dyDescent="0.2">
      <c r="B430" s="84" t="str">
        <f>HL_LVL2_ACTV_9_Name</f>
        <v>Large Group Vaccination Activity (100 people vaccinated)</v>
      </c>
    </row>
    <row r="431" spans="1:14" s="11" customFormat="1" x14ac:dyDescent="0.2"/>
    <row r="432" spans="1:14" s="11" customFormat="1" x14ac:dyDescent="0.2">
      <c r="D432" s="84" t="str">
        <f>IF(TIME_SERIES!$H$6=1,SERVICE_DELIVERY!D169,SERVICE_DELIVERY!D226)</f>
        <v>Total (HPV 1 &amp; HPV 2) Large Group Vaccination Activity (100 people vaccinated) Activities (Projection)</v>
      </c>
      <c r="J432" s="83">
        <f>IF(TIME_SERIES!$H$6=1,SERVICE_DELIVERY!J169,SERVICE_DELIVERY!J226)</f>
        <v>189.99810000000005</v>
      </c>
      <c r="K432" s="83">
        <f>IF(TIME_SERIES!$H$6=1,SERVICE_DELIVERY!K169,SERVICE_DELIVERY!K226)</f>
        <v>192.85</v>
      </c>
      <c r="L432" s="83">
        <f>IF(TIME_SERIES!$H$6=1,SERVICE_DELIVERY!L169,SERVICE_DELIVERY!L226)</f>
        <v>195.78360000000001</v>
      </c>
      <c r="M432" s="83">
        <f>IF(TIME_SERIES!$H$6=1,SERVICE_DELIVERY!M169,SERVICE_DELIVERY!M226)</f>
        <v>198.80745000000002</v>
      </c>
      <c r="N432" s="83">
        <f>IF(TIME_SERIES!$H$6=1,SERVICE_DELIVERY!N169,SERVICE_DELIVERY!N226)</f>
        <v>201.92155</v>
      </c>
    </row>
    <row r="433" spans="1:14" s="11" customFormat="1" x14ac:dyDescent="0.2"/>
    <row r="434" spans="1:14" s="11" customFormat="1" x14ac:dyDescent="0.2">
      <c r="B434" s="92" t="str">
        <f>SD_Lu!$D$118</f>
        <v>LCU</v>
      </c>
      <c r="E434" s="53" t="str">
        <f>"("&amp;IF(DD_LVL2_ACTV_9_Input_Detail_or_Freeform=1,SERVICE_DELIVERY!$D$321,SERVICE_DELIVERY!$D$327)&amp;")"</f>
        <v>(Detailed Costing Worksheet Estimate)</v>
      </c>
    </row>
    <row r="435" spans="1:14" s="11" customFormat="1" x14ac:dyDescent="0.2">
      <c r="C435" s="53" t="str">
        <f>$B$430&amp;" "&amp;CALCS_Annual!B1113</f>
        <v>Large Group Vaccination Activity (100 people vaccinated) Financial (LCU)</v>
      </c>
      <c r="J435" s="51">
        <f>CALCS_Annual!J1115*J$432</f>
        <v>0</v>
      </c>
      <c r="K435" s="51">
        <f>CALCS_Annual!K1115*K$432</f>
        <v>0</v>
      </c>
      <c r="L435" s="51">
        <f>CALCS_Annual!L1115*L$432</f>
        <v>0</v>
      </c>
      <c r="M435" s="51">
        <f>CALCS_Annual!M1115*M$432</f>
        <v>0</v>
      </c>
      <c r="N435" s="51">
        <f>CALCS_Annual!N1115*N$432</f>
        <v>0</v>
      </c>
    </row>
    <row r="436" spans="1:14" s="11" customFormat="1" x14ac:dyDescent="0.2">
      <c r="C436" s="53" t="str">
        <f>$B$430&amp;" "&amp;CALCS_Annual!B1121</f>
        <v>Large Group Vaccination Activity (100 people vaccinated) Economic (LCU)</v>
      </c>
      <c r="J436" s="51">
        <f>CALCS_Annual!J1123*J$432</f>
        <v>0</v>
      </c>
      <c r="K436" s="51">
        <f>CALCS_Annual!K1123*K$432</f>
        <v>0</v>
      </c>
      <c r="L436" s="51">
        <f>CALCS_Annual!L1123*L$432</f>
        <v>0</v>
      </c>
      <c r="M436" s="51">
        <f>CALCS_Annual!M1123*M$432</f>
        <v>0</v>
      </c>
      <c r="N436" s="51">
        <f>CALCS_Annual!N1123*N$432</f>
        <v>0</v>
      </c>
    </row>
    <row r="437" spans="1:14" s="11" customFormat="1" x14ac:dyDescent="0.2"/>
    <row r="438" spans="1:14" s="11" customFormat="1" x14ac:dyDescent="0.2">
      <c r="B438" s="92" t="str">
        <f>SD_Lu!$D$117</f>
        <v>USD</v>
      </c>
      <c r="E438" s="53" t="str">
        <f>"("&amp;IF(DD_LVL2_ACTV_9_Input_Detail_or_Freeform=1,SERVICE_DELIVERY!$D$321,SERVICE_DELIVERY!$D$327)&amp;")"</f>
        <v>(Detailed Costing Worksheet Estimate)</v>
      </c>
    </row>
    <row r="439" spans="1:14" s="11" customFormat="1" x14ac:dyDescent="0.2">
      <c r="C439" s="53" t="str">
        <f>$B$430&amp;" "&amp;CALCS_Annual!B1129</f>
        <v>Large Group Vaccination Activity (100 people vaccinated) Financial (USD)</v>
      </c>
      <c r="J439" s="82">
        <f>CALCS_Annual!J1131*J$432</f>
        <v>0</v>
      </c>
      <c r="K439" s="82">
        <f>CALCS_Annual!K1131*K$432</f>
        <v>0</v>
      </c>
      <c r="L439" s="82">
        <f>CALCS_Annual!L1131*L$432</f>
        <v>0</v>
      </c>
      <c r="M439" s="82">
        <f>CALCS_Annual!M1131*M$432</f>
        <v>0</v>
      </c>
      <c r="N439" s="82">
        <f>CALCS_Annual!N1131*N$432</f>
        <v>0</v>
      </c>
    </row>
    <row r="440" spans="1:14" s="11" customFormat="1" x14ac:dyDescent="0.2">
      <c r="C440" s="53" t="str">
        <f>$B$430&amp;" "&amp;CALCS_Annual!B1138</f>
        <v>Large Group Vaccination Activity (100 people vaccinated) Economic (USD)</v>
      </c>
      <c r="J440" s="82">
        <f>CALCS_Annual!J1140*J$432</f>
        <v>0</v>
      </c>
      <c r="K440" s="82">
        <f>CALCS_Annual!K1140*K$432</f>
        <v>0</v>
      </c>
      <c r="L440" s="82">
        <f>CALCS_Annual!L1140*L$432</f>
        <v>0</v>
      </c>
      <c r="M440" s="82">
        <f>CALCS_Annual!M1140*M$432</f>
        <v>0</v>
      </c>
      <c r="N440" s="82">
        <f>CALCS_Annual!N1140*N$432</f>
        <v>0</v>
      </c>
    </row>
    <row r="441" spans="1:14" s="11" customFormat="1" x14ac:dyDescent="0.2"/>
    <row r="442" spans="1:14" s="11" customFormat="1" x14ac:dyDescent="0.2">
      <c r="A442" s="12" t="s">
        <v>125</v>
      </c>
      <c r="B442" s="13" t="str">
        <f>SUPERVISION!D12&amp;" - "&amp;Lang_Summary_Costs_Annual</f>
        <v>SME Activity #1 (Not in Use) - Summary Costs (Annual)</v>
      </c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</row>
    <row r="443" spans="1:14" s="11" customFormat="1" x14ac:dyDescent="0.2"/>
    <row r="444" spans="1:14" s="11" customFormat="1" x14ac:dyDescent="0.2">
      <c r="B444" s="78" t="str">
        <f>HL_TOP_ACTV_5_Name</f>
        <v>SME Activity #1 (Not in Use)</v>
      </c>
    </row>
    <row r="445" spans="1:14" s="11" customFormat="1" x14ac:dyDescent="0.2"/>
    <row r="446" spans="1:14" s="11" customFormat="1" x14ac:dyDescent="0.2">
      <c r="D446" s="81" t="str">
        <f>SUPERVISION!D38</f>
        <v>SME Activity #1 (Not in Use) - Number of Activities per Year (Projected or Retrospective)</v>
      </c>
      <c r="J446" s="51">
        <f>SUPERVISION!J38</f>
        <v>0</v>
      </c>
      <c r="K446" s="51">
        <f>SUPERVISION!K38</f>
        <v>0</v>
      </c>
      <c r="L446" s="51">
        <f>SUPERVISION!L38</f>
        <v>0</v>
      </c>
      <c r="M446" s="51">
        <f>SUPERVISION!M38</f>
        <v>0</v>
      </c>
      <c r="N446" s="51">
        <f>SUPERVISION!N38</f>
        <v>0</v>
      </c>
    </row>
    <row r="447" spans="1:14" s="11" customFormat="1" x14ac:dyDescent="0.2"/>
    <row r="448" spans="1:14" s="11" customFormat="1" x14ac:dyDescent="0.2">
      <c r="B448" s="92" t="str">
        <f>SUPV_Lu!$D$13</f>
        <v>LCU</v>
      </c>
      <c r="E448" s="81" t="str">
        <f>"("&amp;IF(DD_TOP_ACTV_5_Input_Detail_or_Freeform=1,SUPERVISION!$D$20,SUPERVISION!$D$26)&amp;")"</f>
        <v>(Detailed Costing Worksheet Estimate)</v>
      </c>
    </row>
    <row r="449" spans="1:14" s="11" customFormat="1" x14ac:dyDescent="0.2">
      <c r="C449" s="52" t="str">
        <f>CALCS_Annual!B770</f>
        <v>Financial (LCU)</v>
      </c>
      <c r="J449" s="51">
        <f>CALCS_Annual!J772*J446</f>
        <v>0</v>
      </c>
      <c r="K449" s="51">
        <f>CALCS_Annual!K772*K446</f>
        <v>0</v>
      </c>
      <c r="L449" s="51">
        <f>CALCS_Annual!L772*L446</f>
        <v>0</v>
      </c>
      <c r="M449" s="51">
        <f>CALCS_Annual!M772*M446</f>
        <v>0</v>
      </c>
      <c r="N449" s="51">
        <f>CALCS_Annual!N772*N446</f>
        <v>0</v>
      </c>
    </row>
    <row r="450" spans="1:14" s="11" customFormat="1" x14ac:dyDescent="0.2">
      <c r="C450" s="52" t="str">
        <f>CALCS_Annual!B778</f>
        <v>Economic (LCU)</v>
      </c>
      <c r="J450" s="51">
        <f>CALCS_Annual!J780*J446</f>
        <v>0</v>
      </c>
      <c r="K450" s="51">
        <f>CALCS_Annual!K780*K446</f>
        <v>0</v>
      </c>
      <c r="L450" s="51">
        <f>CALCS_Annual!L780*L446</f>
        <v>0</v>
      </c>
      <c r="M450" s="51">
        <f>CALCS_Annual!M780*M446</f>
        <v>0</v>
      </c>
      <c r="N450" s="51">
        <f>CALCS_Annual!N780*N446</f>
        <v>0</v>
      </c>
    </row>
    <row r="451" spans="1:14" s="11" customFormat="1" x14ac:dyDescent="0.2"/>
    <row r="452" spans="1:14" s="11" customFormat="1" x14ac:dyDescent="0.2">
      <c r="B452" s="92" t="str">
        <f>SUPV_Lu!$D$12</f>
        <v>USD</v>
      </c>
      <c r="E452" s="81" t="str">
        <f>"("&amp;IF(DD_TOP_ACTV_5_Input_Detail_or_Freeform=1,SUPERVISION!$D$20,SUPERVISION!$D$26)&amp;")"</f>
        <v>(Detailed Costing Worksheet Estimate)</v>
      </c>
    </row>
    <row r="453" spans="1:14" s="11" customFormat="1" x14ac:dyDescent="0.2">
      <c r="C453" s="52" t="str">
        <f>CALCS_Annual!B786</f>
        <v>Financial (USD)</v>
      </c>
      <c r="J453" s="82">
        <f>CALCS_Annual!J788*J446</f>
        <v>0</v>
      </c>
      <c r="K453" s="82">
        <f>CALCS_Annual!K788*K446</f>
        <v>0</v>
      </c>
      <c r="L453" s="82">
        <f>CALCS_Annual!L788*L446</f>
        <v>0</v>
      </c>
      <c r="M453" s="82">
        <f>CALCS_Annual!M788*M446</f>
        <v>0</v>
      </c>
      <c r="N453" s="82">
        <f>CALCS_Annual!N788*N446</f>
        <v>0</v>
      </c>
    </row>
    <row r="454" spans="1:14" s="11" customFormat="1" x14ac:dyDescent="0.2">
      <c r="C454" s="52" t="str">
        <f>CALCS_Annual!B794</f>
        <v>Economic (USD)</v>
      </c>
      <c r="J454" s="82">
        <f>CALCS_Annual!J796*J446</f>
        <v>0</v>
      </c>
      <c r="K454" s="82">
        <f>CALCS_Annual!K796*K446</f>
        <v>0</v>
      </c>
      <c r="L454" s="82">
        <f>CALCS_Annual!L796*L446</f>
        <v>0</v>
      </c>
      <c r="M454" s="82">
        <f>CALCS_Annual!M796*M446</f>
        <v>0</v>
      </c>
      <c r="N454" s="82">
        <f>CALCS_Annual!N796*N446</f>
        <v>0</v>
      </c>
    </row>
    <row r="455" spans="1:14" s="11" customFormat="1" x14ac:dyDescent="0.2"/>
    <row r="456" spans="1:14" s="11" customFormat="1" x14ac:dyDescent="0.2">
      <c r="A456" s="12" t="s">
        <v>125</v>
      </c>
      <c r="B456" s="13" t="str">
        <f>SUPERVISION!D49&amp;" - "&amp;Lang_Summary_Costs_Annual</f>
        <v>SME Activity #2 (Not in Use) - Summary Costs (Annual)</v>
      </c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</row>
    <row r="457" spans="1:14" s="11" customFormat="1" x14ac:dyDescent="0.2"/>
    <row r="458" spans="1:14" s="11" customFormat="1" x14ac:dyDescent="0.2">
      <c r="B458" s="78" t="str">
        <f>HL_TOP_ACTV_17_Name</f>
        <v>SME Activity #2 (Not in Use)</v>
      </c>
    </row>
    <row r="459" spans="1:14" s="11" customFormat="1" x14ac:dyDescent="0.2"/>
    <row r="460" spans="1:14" s="11" customFormat="1" x14ac:dyDescent="0.2">
      <c r="D460" s="81" t="str">
        <f>SUPERVISION!D75</f>
        <v>SME Activity #2 (Not in Use) - Number of Activities per Year (Projected or Retrospective)</v>
      </c>
      <c r="J460" s="51">
        <f>SUPERVISION!J75</f>
        <v>0</v>
      </c>
      <c r="K460" s="51">
        <f>SUPERVISION!K75</f>
        <v>0</v>
      </c>
      <c r="L460" s="51">
        <f>SUPERVISION!L75</f>
        <v>0</v>
      </c>
      <c r="M460" s="51">
        <f>SUPERVISION!M75</f>
        <v>0</v>
      </c>
      <c r="N460" s="51">
        <f>SUPERVISION!N75</f>
        <v>0</v>
      </c>
    </row>
    <row r="461" spans="1:14" s="11" customFormat="1" x14ac:dyDescent="0.2"/>
    <row r="462" spans="1:14" s="11" customFormat="1" x14ac:dyDescent="0.2">
      <c r="B462" s="92" t="str">
        <f>SUPV_Lu!$D$48</f>
        <v>LCU</v>
      </c>
      <c r="E462" s="81" t="str">
        <f>"("&amp;IF(DD_TOP_ACTV_17_Input_Detail_or_Freeform=1,SUPERVISION!$D$57,SUPERVISION!$D$63)&amp;")"</f>
        <v>(Direct User Entry Cost Estimate)</v>
      </c>
    </row>
    <row r="463" spans="1:14" s="11" customFormat="1" x14ac:dyDescent="0.2">
      <c r="C463" s="52" t="str">
        <f>CALCS_Annual!B802</f>
        <v>Financial (LCU)</v>
      </c>
      <c r="J463" s="51">
        <f>CALCS_Annual!J804*J460</f>
        <v>0</v>
      </c>
      <c r="K463" s="51">
        <f>CALCS_Annual!K804*K460</f>
        <v>0</v>
      </c>
      <c r="L463" s="51">
        <f>CALCS_Annual!L804*L460</f>
        <v>0</v>
      </c>
      <c r="M463" s="51">
        <f>CALCS_Annual!M804*M460</f>
        <v>0</v>
      </c>
      <c r="N463" s="51">
        <f>CALCS_Annual!N804*N460</f>
        <v>0</v>
      </c>
    </row>
    <row r="464" spans="1:14" s="11" customFormat="1" x14ac:dyDescent="0.2">
      <c r="C464" s="52" t="str">
        <f>CALCS_Annual!B810</f>
        <v>Economic (LCU)</v>
      </c>
      <c r="J464" s="51">
        <f>CALCS_Annual!J812*J460</f>
        <v>0</v>
      </c>
      <c r="K464" s="51">
        <f>CALCS_Annual!K812*K460</f>
        <v>0</v>
      </c>
      <c r="L464" s="51">
        <f>CALCS_Annual!L812*L460</f>
        <v>0</v>
      </c>
      <c r="M464" s="51">
        <f>CALCS_Annual!M812*M460</f>
        <v>0</v>
      </c>
      <c r="N464" s="51">
        <f>CALCS_Annual!N812*N460</f>
        <v>0</v>
      </c>
    </row>
    <row r="465" spans="1:14" s="11" customFormat="1" x14ac:dyDescent="0.2"/>
    <row r="466" spans="1:14" s="11" customFormat="1" x14ac:dyDescent="0.2">
      <c r="B466" s="92" t="str">
        <f>SUPV_Lu!$D$47</f>
        <v>USD</v>
      </c>
      <c r="E466" s="81" t="str">
        <f>"("&amp;IF(DD_TOP_ACTV_17_Input_Detail_or_Freeform=1,SUPERVISION!$D$57,SUPERVISION!$D$63)&amp;")"</f>
        <v>(Direct User Entry Cost Estimate)</v>
      </c>
    </row>
    <row r="467" spans="1:14" s="11" customFormat="1" x14ac:dyDescent="0.2">
      <c r="C467" s="52" t="str">
        <f>CALCS_Annual!B818</f>
        <v>Financial (USD)</v>
      </c>
      <c r="J467" s="82">
        <f>CALCS_Annual!J820*J460</f>
        <v>0</v>
      </c>
      <c r="K467" s="82">
        <f>CALCS_Annual!K820*K460</f>
        <v>0</v>
      </c>
      <c r="L467" s="82">
        <f>CALCS_Annual!L820*L460</f>
        <v>0</v>
      </c>
      <c r="M467" s="82">
        <f>CALCS_Annual!M820*M460</f>
        <v>0</v>
      </c>
      <c r="N467" s="82">
        <f>CALCS_Annual!N820*N460</f>
        <v>0</v>
      </c>
    </row>
    <row r="468" spans="1:14" s="11" customFormat="1" x14ac:dyDescent="0.2">
      <c r="C468" s="52" t="str">
        <f>CALCS_Annual!B826</f>
        <v>Economic (USD)</v>
      </c>
      <c r="J468" s="82">
        <f>CALCS_Annual!J828*J460</f>
        <v>0</v>
      </c>
      <c r="K468" s="82">
        <f>CALCS_Annual!K828*K460</f>
        <v>0</v>
      </c>
      <c r="L468" s="82">
        <f>CALCS_Annual!L828*L460</f>
        <v>0</v>
      </c>
      <c r="M468" s="82">
        <f>CALCS_Annual!M828*M460</f>
        <v>0</v>
      </c>
      <c r="N468" s="82">
        <f>CALCS_Annual!N828*N460</f>
        <v>0</v>
      </c>
    </row>
    <row r="469" spans="1:14" s="11" customFormat="1" x14ac:dyDescent="0.2"/>
    <row r="470" spans="1:14" s="11" customFormat="1" x14ac:dyDescent="0.2">
      <c r="A470" s="12" t="s">
        <v>125</v>
      </c>
      <c r="B470" s="13" t="str">
        <f>SUPERVISION!D86&amp;" - "&amp;Lang_Summary_Costs_Annual</f>
        <v>SME Activity #3 (Not in Use) - Summary Costs (Annual)</v>
      </c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</row>
    <row r="471" spans="1:14" s="11" customFormat="1" x14ac:dyDescent="0.2"/>
    <row r="472" spans="1:14" s="11" customFormat="1" x14ac:dyDescent="0.2">
      <c r="B472" s="78" t="str">
        <f>HL_TOP_ACTV_18_Name</f>
        <v>SME Activity #3 (Not in Use)</v>
      </c>
    </row>
    <row r="473" spans="1:14" s="11" customFormat="1" x14ac:dyDescent="0.2"/>
    <row r="474" spans="1:14" s="11" customFormat="1" x14ac:dyDescent="0.2">
      <c r="D474" s="81" t="str">
        <f>SUPERVISION!D112</f>
        <v>SME Activity #3 (Not in Use) - Number of Activities per Year (Projected or Retrospective)</v>
      </c>
      <c r="J474" s="51">
        <f>SUPERVISION!J112</f>
        <v>0</v>
      </c>
      <c r="K474" s="51">
        <f>SUPERVISION!K112</f>
        <v>0</v>
      </c>
      <c r="L474" s="51">
        <f>SUPERVISION!L112</f>
        <v>0</v>
      </c>
      <c r="M474" s="51">
        <f>SUPERVISION!M112</f>
        <v>0</v>
      </c>
      <c r="N474" s="51">
        <f>SUPERVISION!N112</f>
        <v>0</v>
      </c>
    </row>
    <row r="475" spans="1:14" s="11" customFormat="1" x14ac:dyDescent="0.2"/>
    <row r="476" spans="1:14" s="11" customFormat="1" x14ac:dyDescent="0.2">
      <c r="B476" s="92" t="str">
        <f>SUPV_Lu!$D$83</f>
        <v>LCU</v>
      </c>
      <c r="E476" s="81" t="str">
        <f>"("&amp;IF(DD_TOP_ACTV_18_Input_Detail_or_Freeform=1,SUPERVISION!$D$94,SUPERVISION!$D$100)&amp;")"</f>
        <v>(Direct User Entry Cost Estimate)</v>
      </c>
    </row>
    <row r="477" spans="1:14" s="11" customFormat="1" x14ac:dyDescent="0.2">
      <c r="C477" s="52" t="str">
        <f>CALCS_Annual!B834</f>
        <v>Financial (LCU)</v>
      </c>
      <c r="J477" s="51">
        <f>CALCS_Annual!J836*J474</f>
        <v>0</v>
      </c>
      <c r="K477" s="51">
        <f>CALCS_Annual!K836*K474</f>
        <v>0</v>
      </c>
      <c r="L477" s="51">
        <f>CALCS_Annual!L836*L474</f>
        <v>0</v>
      </c>
      <c r="M477" s="51">
        <f>CALCS_Annual!M836*M474</f>
        <v>0</v>
      </c>
      <c r="N477" s="51">
        <f>CALCS_Annual!N836*N474</f>
        <v>0</v>
      </c>
    </row>
    <row r="478" spans="1:14" s="11" customFormat="1" x14ac:dyDescent="0.2">
      <c r="C478" s="52" t="str">
        <f>CALCS_Annual!B842</f>
        <v>Economic (LCU)</v>
      </c>
      <c r="J478" s="51">
        <f>CALCS_Annual!J844*J474</f>
        <v>0</v>
      </c>
      <c r="K478" s="51">
        <f>CALCS_Annual!K844*K474</f>
        <v>0</v>
      </c>
      <c r="L478" s="51">
        <f>CALCS_Annual!L844*L474</f>
        <v>0</v>
      </c>
      <c r="M478" s="51">
        <f>CALCS_Annual!M844*M474</f>
        <v>0</v>
      </c>
      <c r="N478" s="51">
        <f>CALCS_Annual!N844*N474</f>
        <v>0</v>
      </c>
    </row>
    <row r="479" spans="1:14" s="11" customFormat="1" x14ac:dyDescent="0.2"/>
    <row r="480" spans="1:14" s="11" customFormat="1" x14ac:dyDescent="0.2">
      <c r="B480" s="92" t="str">
        <f>SUPV_Lu!$D$82</f>
        <v>USD</v>
      </c>
      <c r="E480" s="81" t="str">
        <f>"("&amp;IF(DD_TOP_ACTV_18_Input_Detail_or_Freeform=1,SUPERVISION!$D$94,SUPERVISION!$D$100)&amp;")"</f>
        <v>(Direct User Entry Cost Estimate)</v>
      </c>
    </row>
    <row r="481" spans="1:14" s="11" customFormat="1" x14ac:dyDescent="0.2">
      <c r="C481" s="52" t="str">
        <f>CALCS_Annual!B850</f>
        <v>Financial (USD)</v>
      </c>
      <c r="J481" s="82">
        <f>CALCS_Annual!J852*J474</f>
        <v>0</v>
      </c>
      <c r="K481" s="82">
        <f>CALCS_Annual!K852*K474</f>
        <v>0</v>
      </c>
      <c r="L481" s="82">
        <f>CALCS_Annual!L852*L474</f>
        <v>0</v>
      </c>
      <c r="M481" s="82">
        <f>CALCS_Annual!M852*M474</f>
        <v>0</v>
      </c>
      <c r="N481" s="82">
        <f>CALCS_Annual!N852*N474</f>
        <v>0</v>
      </c>
    </row>
    <row r="482" spans="1:14" s="11" customFormat="1" x14ac:dyDescent="0.2">
      <c r="C482" s="52" t="str">
        <f>CALCS_Annual!B858</f>
        <v>Economic (USD)</v>
      </c>
      <c r="J482" s="82">
        <f>CALCS_Annual!J860*J474</f>
        <v>0</v>
      </c>
      <c r="K482" s="82">
        <f>CALCS_Annual!K860*K474</f>
        <v>0</v>
      </c>
      <c r="L482" s="82">
        <f>CALCS_Annual!L860*L474</f>
        <v>0</v>
      </c>
      <c r="M482" s="82">
        <f>CALCS_Annual!M860*M474</f>
        <v>0</v>
      </c>
      <c r="N482" s="82">
        <f>CALCS_Annual!N860*N474</f>
        <v>0</v>
      </c>
    </row>
    <row r="483" spans="1:14" s="11" customFormat="1" x14ac:dyDescent="0.2"/>
    <row r="484" spans="1:14" s="11" customFormat="1" x14ac:dyDescent="0.2">
      <c r="A484" s="12" t="s">
        <v>125</v>
      </c>
      <c r="B484" s="13" t="str">
        <f>SUPERVISION!D123&amp;" - "&amp;Lang_Summary_Costs_Annual</f>
        <v>SME Activity #4 (Not in Use) - Summary Costs (Annual)</v>
      </c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</row>
    <row r="485" spans="1:14" s="11" customFormat="1" x14ac:dyDescent="0.2"/>
    <row r="486" spans="1:14" s="11" customFormat="1" x14ac:dyDescent="0.2">
      <c r="B486" s="78" t="str">
        <f>HL_TOP_ACTV_8_Name</f>
        <v>SME Activity #4 (Not in Use)</v>
      </c>
    </row>
    <row r="487" spans="1:14" s="11" customFormat="1" x14ac:dyDescent="0.2"/>
    <row r="488" spans="1:14" s="11" customFormat="1" x14ac:dyDescent="0.2">
      <c r="D488" s="81" t="str">
        <f>SUPERVISION!D149</f>
        <v>SME Activity #4 (Not in Use) - Number of Activities per Year (Projected or Retrospective)</v>
      </c>
      <c r="J488" s="51">
        <f>SUPERVISION!J149</f>
        <v>0</v>
      </c>
      <c r="K488" s="51">
        <f>SUPERVISION!K149</f>
        <v>0</v>
      </c>
      <c r="L488" s="51">
        <f>SUPERVISION!L149</f>
        <v>0</v>
      </c>
      <c r="M488" s="51">
        <f>SUPERVISION!M149</f>
        <v>0</v>
      </c>
      <c r="N488" s="51">
        <f>SUPERVISION!N149</f>
        <v>0</v>
      </c>
    </row>
    <row r="489" spans="1:14" s="11" customFormat="1" x14ac:dyDescent="0.2"/>
    <row r="490" spans="1:14" s="11" customFormat="1" x14ac:dyDescent="0.2">
      <c r="B490" s="92" t="str">
        <f>SUPV_Lu!$D$118</f>
        <v>LCU</v>
      </c>
      <c r="E490" s="81" t="str">
        <f>"("&amp;IF(DD_TOP_ACTV_8_Input_Detail_or_Freeform=1,SUPERVISION!$D$131,SUPERVISION!$D$137)&amp;")"</f>
        <v>(Direct User Entry Cost Estimate)</v>
      </c>
    </row>
    <row r="491" spans="1:14" s="11" customFormat="1" x14ac:dyDescent="0.2">
      <c r="C491" s="52" t="str">
        <f>CALCS_Annual!B866</f>
        <v>Financial (LCU)</v>
      </c>
      <c r="J491" s="51">
        <f>CALCS_Annual!J868*J488</f>
        <v>0</v>
      </c>
      <c r="K491" s="51">
        <f>CALCS_Annual!K868*K488</f>
        <v>0</v>
      </c>
      <c r="L491" s="51">
        <f>CALCS_Annual!L868*L488</f>
        <v>0</v>
      </c>
      <c r="M491" s="51">
        <f>CALCS_Annual!M868*M488</f>
        <v>0</v>
      </c>
      <c r="N491" s="51">
        <f>CALCS_Annual!N868*N488</f>
        <v>0</v>
      </c>
    </row>
    <row r="492" spans="1:14" s="11" customFormat="1" x14ac:dyDescent="0.2">
      <c r="C492" s="52" t="str">
        <f>CALCS_Annual!B874</f>
        <v>Economic (LCU)</v>
      </c>
      <c r="J492" s="51">
        <f>CALCS_Annual!J876*J488</f>
        <v>0</v>
      </c>
      <c r="K492" s="51">
        <f>CALCS_Annual!K876*K488</f>
        <v>0</v>
      </c>
      <c r="L492" s="51">
        <f>CALCS_Annual!L876*L488</f>
        <v>0</v>
      </c>
      <c r="M492" s="51">
        <f>CALCS_Annual!M876*M488</f>
        <v>0</v>
      </c>
      <c r="N492" s="51">
        <f>CALCS_Annual!N876*N488</f>
        <v>0</v>
      </c>
    </row>
    <row r="493" spans="1:14" s="11" customFormat="1" x14ac:dyDescent="0.2"/>
    <row r="494" spans="1:14" s="11" customFormat="1" x14ac:dyDescent="0.2">
      <c r="B494" s="92" t="str">
        <f>SUPV_Lu!$D$117</f>
        <v>USD</v>
      </c>
      <c r="E494" s="81" t="str">
        <f>"("&amp;IF(DD_TOP_ACTV_8_Input_Detail_or_Freeform=1,SUPERVISION!$D$131,SUPERVISION!$D$137)&amp;")"</f>
        <v>(Direct User Entry Cost Estimate)</v>
      </c>
    </row>
    <row r="495" spans="1:14" s="11" customFormat="1" x14ac:dyDescent="0.2">
      <c r="C495" s="52" t="str">
        <f>CALCS_Annual!B882</f>
        <v>Financial (USD)</v>
      </c>
      <c r="J495" s="82">
        <f>CALCS_Annual!J884*J488</f>
        <v>0</v>
      </c>
      <c r="K495" s="82">
        <f>CALCS_Annual!K884*K488</f>
        <v>0</v>
      </c>
      <c r="L495" s="82">
        <f>CALCS_Annual!L884*L488</f>
        <v>0</v>
      </c>
      <c r="M495" s="82">
        <f>CALCS_Annual!M884*M488</f>
        <v>0</v>
      </c>
      <c r="N495" s="82">
        <f>CALCS_Annual!N884*N488</f>
        <v>0</v>
      </c>
    </row>
    <row r="496" spans="1:14" s="11" customFormat="1" x14ac:dyDescent="0.2">
      <c r="C496" s="52" t="str">
        <f>CALCS_Annual!B890</f>
        <v>Economic (USD)</v>
      </c>
      <c r="J496" s="82">
        <f>CALCS_Annual!J892*J488</f>
        <v>0</v>
      </c>
      <c r="K496" s="82">
        <f>CALCS_Annual!K892*K488</f>
        <v>0</v>
      </c>
      <c r="L496" s="82">
        <f>CALCS_Annual!L892*L488</f>
        <v>0</v>
      </c>
      <c r="M496" s="82">
        <f>CALCS_Annual!M892*M488</f>
        <v>0</v>
      </c>
      <c r="N496" s="82">
        <f>CALCS_Annual!N892*N488</f>
        <v>0</v>
      </c>
    </row>
    <row r="497" spans="1:14" s="11" customFormat="1" x14ac:dyDescent="0.2"/>
    <row r="498" spans="1:14" s="11" customFormat="1" x14ac:dyDescent="0.2">
      <c r="A498" s="12" t="s">
        <v>125</v>
      </c>
      <c r="B498" s="13" t="str">
        <f>SUPERVISION!D160&amp;" - "&amp;Lang_Summary_Costs_Annual</f>
        <v>SME Activity #5 (Not in Use) - Summary Costs (Annual)</v>
      </c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</row>
    <row r="499" spans="1:14" s="11" customFormat="1" x14ac:dyDescent="0.2"/>
    <row r="500" spans="1:14" s="11" customFormat="1" x14ac:dyDescent="0.2">
      <c r="B500" s="84" t="str">
        <f>HL_LVL2_ACTV_5_Name</f>
        <v>SME Activity #5 (Not in Use)</v>
      </c>
    </row>
    <row r="501" spans="1:14" s="11" customFormat="1" x14ac:dyDescent="0.2"/>
    <row r="502" spans="1:14" s="11" customFormat="1" x14ac:dyDescent="0.2">
      <c r="D502" s="81" t="str">
        <f>SUPERVISION!D191</f>
        <v>SME Activity #5 (Not in Use) - Number of Activities per Year (Projected or Retrospective)</v>
      </c>
      <c r="J502" s="83">
        <f>SUPERVISION!J191</f>
        <v>0</v>
      </c>
      <c r="K502" s="83">
        <f>SUPERVISION!K191</f>
        <v>0</v>
      </c>
      <c r="L502" s="83">
        <f>SUPERVISION!L191</f>
        <v>0</v>
      </c>
      <c r="M502" s="83">
        <f>SUPERVISION!M191</f>
        <v>0</v>
      </c>
      <c r="N502" s="83">
        <f>SUPERVISION!N191</f>
        <v>0</v>
      </c>
    </row>
    <row r="503" spans="1:14" s="11" customFormat="1" x14ac:dyDescent="0.2"/>
    <row r="504" spans="1:14" s="11" customFormat="1" x14ac:dyDescent="0.2">
      <c r="B504" s="92" t="str">
        <f>SUPV_Lu!$D$153</f>
        <v>LCU</v>
      </c>
      <c r="E504" s="53" t="str">
        <f>"("&amp;IF(DD_LVL2_ACTV_5_Input_Detail_or_Freeform=1,SUPERVISION!$D$170,SUPERVISION!$D$176)&amp;")"</f>
        <v>(Direct User Entry Cost Estimate)</v>
      </c>
    </row>
    <row r="505" spans="1:14" s="11" customFormat="1" x14ac:dyDescent="0.2">
      <c r="C505" s="52" t="str">
        <f>CALCS_Annual!B898</f>
        <v>Financial (LCU)</v>
      </c>
      <c r="J505" s="51">
        <f>CALCS_Annual!J901*J502</f>
        <v>0</v>
      </c>
      <c r="K505" s="51">
        <f>CALCS_Annual!K901*K502</f>
        <v>0</v>
      </c>
      <c r="L505" s="51">
        <f>CALCS_Annual!L901*L502</f>
        <v>0</v>
      </c>
      <c r="M505" s="51">
        <f>CALCS_Annual!M901*M502</f>
        <v>0</v>
      </c>
      <c r="N505" s="51">
        <f>CALCS_Annual!N901*N502</f>
        <v>0</v>
      </c>
    </row>
    <row r="506" spans="1:14" s="11" customFormat="1" x14ac:dyDescent="0.2">
      <c r="C506" s="52" t="str">
        <f>CALCS_Annual!B907</f>
        <v>Economic (LCU)</v>
      </c>
      <c r="J506" s="51">
        <f>CALCS_Annual!J910*J502</f>
        <v>0</v>
      </c>
      <c r="K506" s="51">
        <f>CALCS_Annual!K910*K502</f>
        <v>0</v>
      </c>
      <c r="L506" s="51">
        <f>CALCS_Annual!L910*L502</f>
        <v>0</v>
      </c>
      <c r="M506" s="51">
        <f>CALCS_Annual!M910*M502</f>
        <v>0</v>
      </c>
      <c r="N506" s="51">
        <f>CALCS_Annual!N910*N502</f>
        <v>0</v>
      </c>
    </row>
    <row r="507" spans="1:14" s="11" customFormat="1" x14ac:dyDescent="0.2"/>
    <row r="508" spans="1:14" s="11" customFormat="1" x14ac:dyDescent="0.2">
      <c r="B508" s="92" t="str">
        <f>SUPV_Lu!$D$152</f>
        <v>USD</v>
      </c>
      <c r="E508" s="53" t="str">
        <f>"("&amp;IF(DD_LVL2_ACTV_5_Input_Detail_or_Freeform=1,SUPERVISION!$D$170,SUPERVISION!$D$176)&amp;")"</f>
        <v>(Direct User Entry Cost Estimate)</v>
      </c>
    </row>
    <row r="509" spans="1:14" s="11" customFormat="1" x14ac:dyDescent="0.2">
      <c r="C509" s="52" t="str">
        <f>CALCS_Annual!B916</f>
        <v>Financial (USD)</v>
      </c>
      <c r="J509" s="82">
        <f>CALCS_Annual!J919*J502</f>
        <v>0</v>
      </c>
      <c r="K509" s="82">
        <f>CALCS_Annual!K919*K502</f>
        <v>0</v>
      </c>
      <c r="L509" s="82">
        <f>CALCS_Annual!L919*L502</f>
        <v>0</v>
      </c>
      <c r="M509" s="82">
        <f>CALCS_Annual!M919*M502</f>
        <v>0</v>
      </c>
      <c r="N509" s="82">
        <f>CALCS_Annual!N919*N502</f>
        <v>0</v>
      </c>
    </row>
    <row r="510" spans="1:14" s="11" customFormat="1" x14ac:dyDescent="0.2">
      <c r="C510" s="52" t="str">
        <f>CALCS_Annual!B925</f>
        <v>Economic (USD)</v>
      </c>
      <c r="J510" s="82">
        <f>CALCS_Annual!J928*J502</f>
        <v>0</v>
      </c>
      <c r="K510" s="82">
        <f>CALCS_Annual!K928*K502</f>
        <v>0</v>
      </c>
      <c r="L510" s="82">
        <f>CALCS_Annual!L928*L502</f>
        <v>0</v>
      </c>
      <c r="M510" s="82">
        <f>CALCS_Annual!M928*M502</f>
        <v>0</v>
      </c>
      <c r="N510" s="82">
        <f>CALCS_Annual!N928*N502</f>
        <v>0</v>
      </c>
    </row>
    <row r="511" spans="1:14" s="11" customFormat="1" x14ac:dyDescent="0.2"/>
    <row r="512" spans="1:14" s="11" customFormat="1" x14ac:dyDescent="0.2">
      <c r="A512" s="12" t="s">
        <v>125</v>
      </c>
      <c r="B512" s="13" t="str">
        <f>SUPERVISION!D203&amp;" - "&amp;Lang_Summary_Costs_Annual</f>
        <v>SME Activity #6 (Not in Use) - Summary Costs (Annual)</v>
      </c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</row>
    <row r="513" spans="1:14" s="11" customFormat="1" x14ac:dyDescent="0.2"/>
    <row r="514" spans="1:14" s="11" customFormat="1" x14ac:dyDescent="0.2">
      <c r="B514" s="84" t="str">
        <f>HL_LVL2_ACTV_14_Name</f>
        <v>SME Activity #6 (Not in Use)</v>
      </c>
    </row>
    <row r="515" spans="1:14" s="11" customFormat="1" x14ac:dyDescent="0.2"/>
    <row r="516" spans="1:14" s="11" customFormat="1" x14ac:dyDescent="0.2">
      <c r="D516" s="81" t="str">
        <f>SUPERVISION!D234</f>
        <v>SME Activity #6 (Not in Use) - Number of Activities per Year (Projected or Retrospective)</v>
      </c>
      <c r="J516" s="83">
        <f>SUPERVISION!J234</f>
        <v>0</v>
      </c>
      <c r="K516" s="83">
        <f>SUPERVISION!K234</f>
        <v>0</v>
      </c>
      <c r="L516" s="83">
        <f>SUPERVISION!L234</f>
        <v>0</v>
      </c>
      <c r="M516" s="83">
        <f>SUPERVISION!M234</f>
        <v>0</v>
      </c>
      <c r="N516" s="83">
        <f>SUPERVISION!N234</f>
        <v>0</v>
      </c>
    </row>
    <row r="517" spans="1:14" s="11" customFormat="1" x14ac:dyDescent="0.2"/>
    <row r="518" spans="1:14" s="11" customFormat="1" x14ac:dyDescent="0.2">
      <c r="B518" s="92" t="str">
        <f>SUPV_Lu!$D$188</f>
        <v>LCU</v>
      </c>
      <c r="E518" s="53" t="str">
        <f>"("&amp;IF(DD_LVL2_ACTV_14_Input_Detail_or_Freeform=1,SUPERVISION!$D$213,SUPERVISION!$D$219)&amp;")"</f>
        <v>(Direct User Entry Cost Estimate)</v>
      </c>
    </row>
    <row r="519" spans="1:14" s="11" customFormat="1" x14ac:dyDescent="0.2">
      <c r="C519" s="52" t="str">
        <f>CALCS_Annual!B934</f>
        <v>Financial (LCU)</v>
      </c>
      <c r="J519" s="51">
        <f>CALCS_Annual!J937*J516</f>
        <v>0</v>
      </c>
      <c r="K519" s="51">
        <f>CALCS_Annual!K937*K516</f>
        <v>0</v>
      </c>
      <c r="L519" s="51">
        <f>CALCS_Annual!L937*L516</f>
        <v>0</v>
      </c>
      <c r="M519" s="51">
        <f>CALCS_Annual!M937*M516</f>
        <v>0</v>
      </c>
      <c r="N519" s="51">
        <f>CALCS_Annual!N937*N516</f>
        <v>0</v>
      </c>
    </row>
    <row r="520" spans="1:14" s="11" customFormat="1" x14ac:dyDescent="0.2">
      <c r="C520" s="52" t="str">
        <f>CALCS_Annual!B943</f>
        <v>Economic (LCU)</v>
      </c>
      <c r="J520" s="51">
        <f>CALCS_Annual!J946*J516</f>
        <v>0</v>
      </c>
      <c r="K520" s="51">
        <f>CALCS_Annual!K946*K516</f>
        <v>0</v>
      </c>
      <c r="L520" s="51">
        <f>CALCS_Annual!L946*L516</f>
        <v>0</v>
      </c>
      <c r="M520" s="51">
        <f>CALCS_Annual!M946*M516</f>
        <v>0</v>
      </c>
      <c r="N520" s="51">
        <f>CALCS_Annual!N946*N516</f>
        <v>0</v>
      </c>
    </row>
    <row r="521" spans="1:14" s="11" customFormat="1" x14ac:dyDescent="0.2"/>
    <row r="522" spans="1:14" s="11" customFormat="1" x14ac:dyDescent="0.2">
      <c r="B522" s="92" t="str">
        <f>SUPV_Lu!$D$187</f>
        <v>USD</v>
      </c>
      <c r="E522" s="53" t="str">
        <f>"("&amp;IF(DD_LVL2_ACTV_14_Input_Detail_or_Freeform=1,SUPERVISION!$D$213,SUPERVISION!$D$219)&amp;")"</f>
        <v>(Direct User Entry Cost Estimate)</v>
      </c>
    </row>
    <row r="523" spans="1:14" s="11" customFormat="1" x14ac:dyDescent="0.2">
      <c r="C523" s="52" t="str">
        <f>CALCS_Annual!B952</f>
        <v>Financial (USD)</v>
      </c>
      <c r="J523" s="82">
        <f>CALCS_Annual!J955*J516</f>
        <v>0</v>
      </c>
      <c r="K523" s="82">
        <f>CALCS_Annual!K955*K516</f>
        <v>0</v>
      </c>
      <c r="L523" s="82">
        <f>CALCS_Annual!L955*L516</f>
        <v>0</v>
      </c>
      <c r="M523" s="82">
        <f>CALCS_Annual!M955*M516</f>
        <v>0</v>
      </c>
      <c r="N523" s="82">
        <f>CALCS_Annual!N955*N516</f>
        <v>0</v>
      </c>
    </row>
    <row r="524" spans="1:14" s="11" customFormat="1" x14ac:dyDescent="0.2">
      <c r="C524" s="52" t="str">
        <f>CALCS_Annual!B961</f>
        <v>Economic (USD)</v>
      </c>
      <c r="J524" s="82">
        <f>CALCS_Annual!J964*J516</f>
        <v>0</v>
      </c>
      <c r="K524" s="82">
        <f>CALCS_Annual!K964*K516</f>
        <v>0</v>
      </c>
      <c r="L524" s="82">
        <f>CALCS_Annual!L964*L516</f>
        <v>0</v>
      </c>
      <c r="M524" s="82">
        <f>CALCS_Annual!M964*M516</f>
        <v>0</v>
      </c>
      <c r="N524" s="82">
        <f>CALCS_Annual!N964*N516</f>
        <v>0</v>
      </c>
    </row>
    <row r="525" spans="1:14" s="11" customFormat="1" x14ac:dyDescent="0.2"/>
    <row r="526" spans="1:14" s="11" customFormat="1" x14ac:dyDescent="0.2">
      <c r="A526" s="12" t="s">
        <v>125</v>
      </c>
      <c r="B526" s="13" t="str">
        <f>SUPERVISION!D246&amp;" - "&amp;Lang_Summary_Costs_Annual</f>
        <v>SME Activity #7 (Not in Use) - Summary Costs (Annual)</v>
      </c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</row>
    <row r="527" spans="1:14" s="11" customFormat="1" x14ac:dyDescent="0.2"/>
    <row r="528" spans="1:14" s="11" customFormat="1" x14ac:dyDescent="0.2">
      <c r="B528" s="84" t="str">
        <f>HL_LVL2_ACTV_15_Name</f>
        <v>SME Activity #7 (Not in Use)</v>
      </c>
    </row>
    <row r="529" spans="1:14" s="11" customFormat="1" x14ac:dyDescent="0.2"/>
    <row r="530" spans="1:14" s="11" customFormat="1" x14ac:dyDescent="0.2">
      <c r="D530" s="81" t="str">
        <f>SUPERVISION!D277</f>
        <v>SME Activity #7 (Not in Use) - Number of Activities per Year (Projected or Retrospective)</v>
      </c>
      <c r="J530" s="83">
        <f>SUPERVISION!J277</f>
        <v>0</v>
      </c>
      <c r="K530" s="83">
        <f>SUPERVISION!K277</f>
        <v>0</v>
      </c>
      <c r="L530" s="83">
        <f>SUPERVISION!L277</f>
        <v>0</v>
      </c>
      <c r="M530" s="83">
        <f>SUPERVISION!M277</f>
        <v>0</v>
      </c>
      <c r="N530" s="83">
        <f>SUPERVISION!N277</f>
        <v>0</v>
      </c>
    </row>
    <row r="531" spans="1:14" s="11" customFormat="1" x14ac:dyDescent="0.2"/>
    <row r="532" spans="1:14" s="11" customFormat="1" x14ac:dyDescent="0.2">
      <c r="B532" s="92" t="str">
        <f>SUPV_Lu!$D$223</f>
        <v>LCU</v>
      </c>
      <c r="E532" s="53" t="str">
        <f>"("&amp;IF(DD_LVL2_ACTV_15_Input_Detail_or_Freeform=1,SUPERVISION!$D$256,SUPERVISION!$D$262)&amp;")"</f>
        <v>(Direct User Entry Cost Estimate)</v>
      </c>
    </row>
    <row r="533" spans="1:14" s="11" customFormat="1" x14ac:dyDescent="0.2">
      <c r="C533" s="52" t="str">
        <f>CALCS_Annual!B970</f>
        <v>Financial (LCU)</v>
      </c>
      <c r="J533" s="51">
        <f>CALCS_Annual!J973*J530</f>
        <v>0</v>
      </c>
      <c r="K533" s="51">
        <f>CALCS_Annual!K973*K530</f>
        <v>0</v>
      </c>
      <c r="L533" s="51">
        <f>CALCS_Annual!L973*L530</f>
        <v>0</v>
      </c>
      <c r="M533" s="51">
        <f>CALCS_Annual!M973*M530</f>
        <v>0</v>
      </c>
      <c r="N533" s="51">
        <f>CALCS_Annual!N973*N530</f>
        <v>0</v>
      </c>
    </row>
    <row r="534" spans="1:14" s="11" customFormat="1" x14ac:dyDescent="0.2">
      <c r="C534" s="52" t="str">
        <f>CALCS_Annual!B980</f>
        <v>Economic (LCU)</v>
      </c>
      <c r="J534" s="51">
        <f>CALCS_Annual!J983*J530</f>
        <v>0</v>
      </c>
      <c r="K534" s="51">
        <f>CALCS_Annual!K983*K530</f>
        <v>0</v>
      </c>
      <c r="L534" s="51">
        <f>CALCS_Annual!L983*L530</f>
        <v>0</v>
      </c>
      <c r="M534" s="51">
        <f>CALCS_Annual!M983*M530</f>
        <v>0</v>
      </c>
      <c r="N534" s="51">
        <f>CALCS_Annual!N983*N530</f>
        <v>0</v>
      </c>
    </row>
    <row r="535" spans="1:14" s="11" customFormat="1" x14ac:dyDescent="0.2"/>
    <row r="536" spans="1:14" s="11" customFormat="1" x14ac:dyDescent="0.2">
      <c r="B536" s="92" t="str">
        <f>SUPV_Lu!$D$222</f>
        <v>USD</v>
      </c>
      <c r="E536" s="53" t="str">
        <f>"("&amp;IF(DD_LVL2_ACTV_15_Input_Detail_or_Freeform=1,SUPERVISION!$D$256,SUPERVISION!$D$262)&amp;")"</f>
        <v>(Direct User Entry Cost Estimate)</v>
      </c>
    </row>
    <row r="537" spans="1:14" s="11" customFormat="1" x14ac:dyDescent="0.2">
      <c r="C537" s="52" t="str">
        <f>CALCS_Annual!B989</f>
        <v>Financial (USD)</v>
      </c>
      <c r="J537" s="82">
        <f>CALCS_Annual!J992*J530</f>
        <v>0</v>
      </c>
      <c r="K537" s="82">
        <f>CALCS_Annual!K992*K530</f>
        <v>0</v>
      </c>
      <c r="L537" s="82">
        <f>CALCS_Annual!L992*L530</f>
        <v>0</v>
      </c>
      <c r="M537" s="82">
        <f>CALCS_Annual!M992*M530</f>
        <v>0</v>
      </c>
      <c r="N537" s="82">
        <f>CALCS_Annual!N992*N530</f>
        <v>0</v>
      </c>
    </row>
    <row r="538" spans="1:14" s="11" customFormat="1" x14ac:dyDescent="0.2">
      <c r="C538" s="52" t="str">
        <f>CALCS_Annual!B998</f>
        <v>Economic (USD)</v>
      </c>
      <c r="J538" s="82">
        <f>CALCS_Annual!J1001*J530</f>
        <v>0</v>
      </c>
      <c r="K538" s="82">
        <f>CALCS_Annual!K1001*K530</f>
        <v>0</v>
      </c>
      <c r="L538" s="82">
        <f>CALCS_Annual!L1001*L530</f>
        <v>0</v>
      </c>
      <c r="M538" s="82">
        <f>CALCS_Annual!M1001*M530</f>
        <v>0</v>
      </c>
      <c r="N538" s="82">
        <f>CALCS_Annual!N1001*N530</f>
        <v>0</v>
      </c>
    </row>
    <row r="539" spans="1:14" s="11" customFormat="1" x14ac:dyDescent="0.2"/>
    <row r="540" spans="1:14" s="11" customFormat="1" x14ac:dyDescent="0.2">
      <c r="A540" s="12" t="s">
        <v>125</v>
      </c>
      <c r="B540" s="13" t="str">
        <f>OTHER!D12&amp;" - "&amp;Lang_Summary_Costs_Annual</f>
        <v>Other Activity #1 - (Recurrent Costs Only) (Not in Use) - Summary Costs (Annual)</v>
      </c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</row>
    <row r="541" spans="1:14" s="11" customFormat="1" x14ac:dyDescent="0.2"/>
    <row r="542" spans="1:14" s="11" customFormat="1" x14ac:dyDescent="0.2">
      <c r="B542" s="78" t="str">
        <f>HL_TOP_ACTV_6_Name</f>
        <v>Other Activity #1 - (Recurrent Costs Only) (Not in Use)</v>
      </c>
    </row>
    <row r="543" spans="1:14" s="11" customFormat="1" x14ac:dyDescent="0.2"/>
    <row r="544" spans="1:14" s="11" customFormat="1" x14ac:dyDescent="0.2">
      <c r="D544" s="81" t="str">
        <f>OTHER!D38</f>
        <v>Other Activity #1 - (Recurrent Costs Only) (Not in Use) - Number of Activities per Year (Projected or Retrospective)</v>
      </c>
      <c r="J544" s="51">
        <f>OTHER!J38</f>
        <v>0</v>
      </c>
      <c r="K544" s="51">
        <f>OTHER!K38</f>
        <v>0</v>
      </c>
      <c r="L544" s="51">
        <f>OTHER!L38</f>
        <v>0</v>
      </c>
      <c r="M544" s="51">
        <f>OTHER!M38</f>
        <v>0</v>
      </c>
      <c r="N544" s="51">
        <f>OTHER!N38</f>
        <v>0</v>
      </c>
    </row>
    <row r="545" spans="1:14" s="11" customFormat="1" x14ac:dyDescent="0.2"/>
    <row r="546" spans="1:14" s="11" customFormat="1" x14ac:dyDescent="0.2">
      <c r="B546" s="92" t="str">
        <f>OTHER_Lu!$D$13</f>
        <v>LCU</v>
      </c>
      <c r="E546" s="81" t="str">
        <f>"("&amp;IF(DD_TOP_ACTV_6_Input_Detail_or_Freeform=1,OTHER!$D$20,OTHER!$D$26)&amp;")"</f>
        <v>(Direct User Entry Cost Estimate)</v>
      </c>
    </row>
    <row r="547" spans="1:14" s="11" customFormat="1" x14ac:dyDescent="0.2">
      <c r="C547" s="52" t="str">
        <f>CALCS_Annual!B1147</f>
        <v>Financial (LCU)</v>
      </c>
      <c r="J547" s="51">
        <f>CALCS_Annual!J1149*J544</f>
        <v>0</v>
      </c>
      <c r="K547" s="51">
        <f>CALCS_Annual!K1149*K544</f>
        <v>0</v>
      </c>
      <c r="L547" s="51">
        <f>CALCS_Annual!L1149*L544</f>
        <v>0</v>
      </c>
      <c r="M547" s="51">
        <f>CALCS_Annual!M1149*M544</f>
        <v>0</v>
      </c>
      <c r="N547" s="51">
        <f>CALCS_Annual!N1149*N544</f>
        <v>0</v>
      </c>
    </row>
    <row r="548" spans="1:14" s="11" customFormat="1" x14ac:dyDescent="0.2">
      <c r="C548" s="52" t="str">
        <f>CALCS_Annual!B1155</f>
        <v>Economic (LCU)</v>
      </c>
      <c r="J548" s="51">
        <f>CALCS_Annual!J1157*J544</f>
        <v>0</v>
      </c>
      <c r="K548" s="51">
        <f>CALCS_Annual!K1157*K544</f>
        <v>0</v>
      </c>
      <c r="L548" s="51">
        <f>CALCS_Annual!L1157*L544</f>
        <v>0</v>
      </c>
      <c r="M548" s="51">
        <f>CALCS_Annual!M1157*M544</f>
        <v>0</v>
      </c>
      <c r="N548" s="51">
        <f>CALCS_Annual!N1157*N544</f>
        <v>0</v>
      </c>
    </row>
    <row r="549" spans="1:14" s="11" customFormat="1" x14ac:dyDescent="0.2"/>
    <row r="550" spans="1:14" s="11" customFormat="1" x14ac:dyDescent="0.2">
      <c r="B550" s="92" t="str">
        <f>OTHER_Lu!$D$12</f>
        <v>USD</v>
      </c>
      <c r="E550" s="81" t="str">
        <f>"("&amp;IF(DD_TOP_ACTV_6_Input_Detail_or_Freeform=1,OTHER!$D$20,OTHER!$D$26)&amp;")"</f>
        <v>(Direct User Entry Cost Estimate)</v>
      </c>
    </row>
    <row r="551" spans="1:14" s="11" customFormat="1" x14ac:dyDescent="0.2">
      <c r="C551" s="52" t="str">
        <f>CALCS_Annual!B1163</f>
        <v>Financial (USD)</v>
      </c>
      <c r="J551" s="82">
        <f>CALCS_Annual!J1165*J544</f>
        <v>0</v>
      </c>
      <c r="K551" s="82">
        <f>CALCS_Annual!K1165*K544</f>
        <v>0</v>
      </c>
      <c r="L551" s="82">
        <f>CALCS_Annual!L1165*L544</f>
        <v>0</v>
      </c>
      <c r="M551" s="82">
        <f>CALCS_Annual!M1165*M544</f>
        <v>0</v>
      </c>
      <c r="N551" s="82">
        <f>CALCS_Annual!N1165*N544</f>
        <v>0</v>
      </c>
    </row>
    <row r="552" spans="1:14" s="11" customFormat="1" x14ac:dyDescent="0.2">
      <c r="C552" s="52" t="str">
        <f>CALCS_Annual!B1171</f>
        <v>Economic (USD)</v>
      </c>
      <c r="J552" s="82">
        <f>CALCS_Annual!J1173*J544</f>
        <v>0</v>
      </c>
      <c r="K552" s="82">
        <f>CALCS_Annual!K1173*K544</f>
        <v>0</v>
      </c>
      <c r="L552" s="82">
        <f>CALCS_Annual!L1173*L544</f>
        <v>0</v>
      </c>
      <c r="M552" s="82">
        <f>CALCS_Annual!M1173*M544</f>
        <v>0</v>
      </c>
      <c r="N552" s="82">
        <f>CALCS_Annual!N1173*N544</f>
        <v>0</v>
      </c>
    </row>
    <row r="553" spans="1:14" s="11" customFormat="1" x14ac:dyDescent="0.2"/>
    <row r="554" spans="1:14" s="11" customFormat="1" x14ac:dyDescent="0.2">
      <c r="A554" s="12" t="s">
        <v>125</v>
      </c>
      <c r="B554" s="13" t="str">
        <f>OTHER!D46&amp;" - "&amp;Lang_Summary_Costs_Annual</f>
        <v>Other Activity #2 - (Recurrent Costs Only) (Not in Use) - Summary Costs (Annual)</v>
      </c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</row>
    <row r="555" spans="1:14" s="11" customFormat="1" x14ac:dyDescent="0.2"/>
    <row r="556" spans="1:14" s="11" customFormat="1" x14ac:dyDescent="0.2">
      <c r="B556" s="78" t="str">
        <f>HL_TOP_ACTV_20_Name</f>
        <v>Other Activity #2 - (Recurrent Costs Only) (Not in Use)</v>
      </c>
    </row>
    <row r="557" spans="1:14" s="11" customFormat="1" x14ac:dyDescent="0.2"/>
    <row r="558" spans="1:14" s="11" customFormat="1" x14ac:dyDescent="0.2">
      <c r="D558" s="81" t="str">
        <f>OTHER!D73</f>
        <v>Other Activity #2 - (Recurrent Costs Only) (Not in Use) - Number of Activities per Year (Projected or Retrospective)</v>
      </c>
      <c r="J558" s="51">
        <f>OTHER!J73</f>
        <v>0</v>
      </c>
      <c r="K558" s="51">
        <f>OTHER!K73</f>
        <v>0</v>
      </c>
      <c r="L558" s="51">
        <f>OTHER!L73</f>
        <v>0</v>
      </c>
      <c r="M558" s="51">
        <f>OTHER!M73</f>
        <v>0</v>
      </c>
      <c r="N558" s="51">
        <f>OTHER!N73</f>
        <v>0</v>
      </c>
    </row>
    <row r="559" spans="1:14" s="11" customFormat="1" x14ac:dyDescent="0.2"/>
    <row r="560" spans="1:14" s="11" customFormat="1" x14ac:dyDescent="0.2">
      <c r="B560" s="92" t="str">
        <f>OTHER_Lu!$D$48</f>
        <v>LCU</v>
      </c>
      <c r="E560" s="81" t="str">
        <f>"("&amp;IF(DD_TOP_ACTV_20_Input_Detail_or_Freeform=1,OTHER!$D$54,OTHER!$D$60)&amp;")"</f>
        <v>(Direct User Entry Cost Estimate)</v>
      </c>
    </row>
    <row r="561" spans="1:14" s="11" customFormat="1" x14ac:dyDescent="0.2">
      <c r="C561" s="52" t="str">
        <f>CALCS_Annual!B1179</f>
        <v>Financial (LCU)</v>
      </c>
      <c r="J561" s="51">
        <f>CALCS_Annual!J1181*J558</f>
        <v>0</v>
      </c>
      <c r="K561" s="51">
        <f>CALCS_Annual!K1181*K558</f>
        <v>0</v>
      </c>
      <c r="L561" s="51">
        <f>CALCS_Annual!L1181*L558</f>
        <v>0</v>
      </c>
      <c r="M561" s="51">
        <f>CALCS_Annual!M1181*M558</f>
        <v>0</v>
      </c>
      <c r="N561" s="51">
        <f>CALCS_Annual!N1181*N558</f>
        <v>0</v>
      </c>
    </row>
    <row r="562" spans="1:14" s="11" customFormat="1" x14ac:dyDescent="0.2">
      <c r="C562" s="52" t="str">
        <f>CALCS_Annual!B1187</f>
        <v>Economic (LCU)</v>
      </c>
      <c r="J562" s="51">
        <f>CALCS_Annual!J1189*J558</f>
        <v>0</v>
      </c>
      <c r="K562" s="51">
        <f>CALCS_Annual!K1189*K558</f>
        <v>0</v>
      </c>
      <c r="L562" s="51">
        <f>CALCS_Annual!L1189*L558</f>
        <v>0</v>
      </c>
      <c r="M562" s="51">
        <f>CALCS_Annual!M1189*M558</f>
        <v>0</v>
      </c>
      <c r="N562" s="51">
        <f>CALCS_Annual!N1189*N558</f>
        <v>0</v>
      </c>
    </row>
    <row r="563" spans="1:14" s="11" customFormat="1" x14ac:dyDescent="0.2"/>
    <row r="564" spans="1:14" s="11" customFormat="1" x14ac:dyDescent="0.2">
      <c r="B564" s="92" t="str">
        <f>OTHER_Lu!$D$47</f>
        <v>USD</v>
      </c>
      <c r="E564" s="81" t="str">
        <f>"("&amp;IF(DD_TOP_ACTV_20_Input_Detail_or_Freeform=1,OTHER!$D$54,OTHER!$D$60)&amp;")"</f>
        <v>(Direct User Entry Cost Estimate)</v>
      </c>
    </row>
    <row r="565" spans="1:14" s="11" customFormat="1" x14ac:dyDescent="0.2">
      <c r="C565" s="52" t="str">
        <f>CALCS_Annual!B1195</f>
        <v>Financial (USD)</v>
      </c>
      <c r="J565" s="82">
        <f>CALCS_Annual!J1197*J558</f>
        <v>0</v>
      </c>
      <c r="K565" s="82">
        <f>CALCS_Annual!K1197*K558</f>
        <v>0</v>
      </c>
      <c r="L565" s="82">
        <f>CALCS_Annual!L1197*L558</f>
        <v>0</v>
      </c>
      <c r="M565" s="82">
        <f>CALCS_Annual!M1197*M558</f>
        <v>0</v>
      </c>
      <c r="N565" s="82">
        <f>CALCS_Annual!N1197*N558</f>
        <v>0</v>
      </c>
    </row>
    <row r="566" spans="1:14" s="11" customFormat="1" x14ac:dyDescent="0.2">
      <c r="C566" s="52" t="str">
        <f>CALCS_Annual!B1203</f>
        <v>Economic (USD)</v>
      </c>
      <c r="J566" s="82">
        <f>CALCS_Annual!J1205*J558</f>
        <v>0</v>
      </c>
      <c r="K566" s="82">
        <f>CALCS_Annual!K1205*K558</f>
        <v>0</v>
      </c>
      <c r="L566" s="82">
        <f>CALCS_Annual!L1205*L558</f>
        <v>0</v>
      </c>
      <c r="M566" s="82">
        <f>CALCS_Annual!M1205*M558</f>
        <v>0</v>
      </c>
      <c r="N566" s="82">
        <f>CALCS_Annual!N1205*N558</f>
        <v>0</v>
      </c>
    </row>
    <row r="567" spans="1:14" s="11" customFormat="1" x14ac:dyDescent="0.2"/>
    <row r="568" spans="1:14" s="11" customFormat="1" x14ac:dyDescent="0.2">
      <c r="A568" s="12" t="s">
        <v>125</v>
      </c>
      <c r="B568" s="13" t="str">
        <f>OTHER!D81&amp;" - "&amp;Lang_Summary_Costs_Annual</f>
        <v>Other Activity #3 - (Recurrent Costs Only) (Not in Use) - Summary Costs (Annual)</v>
      </c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</row>
    <row r="569" spans="1:14" s="11" customFormat="1" x14ac:dyDescent="0.2"/>
    <row r="570" spans="1:14" s="11" customFormat="1" x14ac:dyDescent="0.2">
      <c r="B570" s="78" t="str">
        <f>HL_TOP_ACTV_19_Name</f>
        <v>Other Activity #3 - (Recurrent Costs Only) (Not in Use)</v>
      </c>
    </row>
    <row r="571" spans="1:14" s="11" customFormat="1" x14ac:dyDescent="0.2"/>
    <row r="572" spans="1:14" s="11" customFormat="1" x14ac:dyDescent="0.2">
      <c r="D572" s="81" t="str">
        <f>OTHER!D108</f>
        <v>Other Activity #3 - (Recurrent Costs Only) (Not in Use) - Number of Activities per Year (Projected or Retrospective)</v>
      </c>
      <c r="J572" s="51">
        <f>OTHER!J108</f>
        <v>0</v>
      </c>
      <c r="K572" s="51">
        <f>OTHER!K108</f>
        <v>0</v>
      </c>
      <c r="L572" s="51">
        <f>OTHER!L108</f>
        <v>0</v>
      </c>
      <c r="M572" s="51">
        <f>OTHER!M108</f>
        <v>0</v>
      </c>
      <c r="N572" s="51">
        <f>OTHER!N108</f>
        <v>0</v>
      </c>
    </row>
    <row r="573" spans="1:14" s="11" customFormat="1" x14ac:dyDescent="0.2"/>
    <row r="574" spans="1:14" s="11" customFormat="1" x14ac:dyDescent="0.2">
      <c r="B574" s="92" t="str">
        <f>OTHER_Lu!$D$83</f>
        <v>LCU</v>
      </c>
      <c r="E574" s="81" t="str">
        <f>"("&amp;IF(DD_TOP_ACTV_19_Input_Detail_or_Freeform=1,OTHER!$D$89,OTHER!$D$95)&amp;")"</f>
        <v>(Direct User Entry Cost Estimate)</v>
      </c>
    </row>
    <row r="575" spans="1:14" s="11" customFormat="1" x14ac:dyDescent="0.2">
      <c r="C575" s="52" t="str">
        <f>CALCS_Annual!B1211</f>
        <v>Financial (LCU)</v>
      </c>
      <c r="J575" s="51">
        <f>CALCS_Annual!J1213*J572</f>
        <v>0</v>
      </c>
      <c r="K575" s="51">
        <f>CALCS_Annual!K1213*K572</f>
        <v>0</v>
      </c>
      <c r="L575" s="51">
        <f>CALCS_Annual!L1213*L572</f>
        <v>0</v>
      </c>
      <c r="M575" s="51">
        <f>CALCS_Annual!M1213*M572</f>
        <v>0</v>
      </c>
      <c r="N575" s="51">
        <f>CALCS_Annual!N1213*N572</f>
        <v>0</v>
      </c>
    </row>
    <row r="576" spans="1:14" s="11" customFormat="1" x14ac:dyDescent="0.2">
      <c r="C576" s="52" t="str">
        <f>CALCS_Annual!B1219</f>
        <v>Economic (LCU)</v>
      </c>
      <c r="J576" s="51">
        <f>CALCS_Annual!J1221*J572</f>
        <v>0</v>
      </c>
      <c r="K576" s="51">
        <f>CALCS_Annual!K1221*K572</f>
        <v>0</v>
      </c>
      <c r="L576" s="51">
        <f>CALCS_Annual!L1221*L572</f>
        <v>0</v>
      </c>
      <c r="M576" s="51">
        <f>CALCS_Annual!M1221*M572</f>
        <v>0</v>
      </c>
      <c r="N576" s="51">
        <f>CALCS_Annual!N1221*N572</f>
        <v>0</v>
      </c>
    </row>
    <row r="577" spans="1:14" s="11" customFormat="1" x14ac:dyDescent="0.2"/>
    <row r="578" spans="1:14" s="11" customFormat="1" x14ac:dyDescent="0.2">
      <c r="B578" s="92" t="str">
        <f>OTHER_Lu!$D$82</f>
        <v>USD</v>
      </c>
      <c r="E578" s="81" t="str">
        <f>"("&amp;IF(DD_TOP_ACTV_19_Input_Detail_or_Freeform=1,OTHER!$D$89,OTHER!$D$95)&amp;")"</f>
        <v>(Direct User Entry Cost Estimate)</v>
      </c>
    </row>
    <row r="579" spans="1:14" s="11" customFormat="1" x14ac:dyDescent="0.2">
      <c r="C579" s="52" t="str">
        <f>CALCS_Annual!B1227</f>
        <v>Financial (USD)</v>
      </c>
      <c r="J579" s="82">
        <f>CALCS_Annual!J1229*J572</f>
        <v>0</v>
      </c>
      <c r="K579" s="82">
        <f>CALCS_Annual!K1229*K572</f>
        <v>0</v>
      </c>
      <c r="L579" s="82">
        <f>CALCS_Annual!L1229*L572</f>
        <v>0</v>
      </c>
      <c r="M579" s="82">
        <f>CALCS_Annual!M1229*M572</f>
        <v>0</v>
      </c>
      <c r="N579" s="82">
        <f>CALCS_Annual!N1229*N572</f>
        <v>0</v>
      </c>
    </row>
    <row r="580" spans="1:14" s="11" customFormat="1" x14ac:dyDescent="0.2">
      <c r="C580" s="52" t="str">
        <f>CALCS_Annual!B1235</f>
        <v>Economic (USD)</v>
      </c>
      <c r="J580" s="82">
        <f>CALCS_Annual!J1237*J572</f>
        <v>0</v>
      </c>
      <c r="K580" s="82">
        <f>CALCS_Annual!K1237*K572</f>
        <v>0</v>
      </c>
      <c r="L580" s="82">
        <f>CALCS_Annual!L1237*L572</f>
        <v>0</v>
      </c>
      <c r="M580" s="82">
        <f>CALCS_Annual!M1237*M572</f>
        <v>0</v>
      </c>
      <c r="N580" s="82">
        <f>CALCS_Annual!N1237*N572</f>
        <v>0</v>
      </c>
    </row>
    <row r="581" spans="1:14" s="11" customFormat="1" x14ac:dyDescent="0.2"/>
    <row r="582" spans="1:14" s="11" customFormat="1" x14ac:dyDescent="0.2">
      <c r="A582" s="12" t="s">
        <v>125</v>
      </c>
      <c r="B582" s="13" t="str">
        <f>OTHER!D116&amp;" - "&amp;Lang_Summary_Costs_Annual</f>
        <v>Other Activity #4 - (Recurrent Costs Only) (Not in Use) - Summary Costs (Annual)</v>
      </c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</row>
    <row r="583" spans="1:14" s="11" customFormat="1" x14ac:dyDescent="0.2"/>
    <row r="584" spans="1:14" s="11" customFormat="1" x14ac:dyDescent="0.2">
      <c r="B584" s="84" t="str">
        <f>HL_LVL2_ACTV_7_Name</f>
        <v>Other Activity #4 - (Recurrent Costs Only) (Not in Use)</v>
      </c>
    </row>
    <row r="585" spans="1:14" s="11" customFormat="1" x14ac:dyDescent="0.2"/>
    <row r="586" spans="1:14" s="11" customFormat="1" x14ac:dyDescent="0.2">
      <c r="D586" s="81" t="str">
        <f>OTHER!D148</f>
        <v>Other Activity #4 - (Recurrent Costs Only) (Not in Use) - Number of Activities per Year (Projected or Retrospective)</v>
      </c>
      <c r="J586" s="83">
        <f>OTHER!J148</f>
        <v>0</v>
      </c>
      <c r="K586" s="83">
        <f>OTHER!K148</f>
        <v>0</v>
      </c>
      <c r="L586" s="83">
        <f>OTHER!L148</f>
        <v>0</v>
      </c>
      <c r="M586" s="83">
        <f>OTHER!M148</f>
        <v>0</v>
      </c>
      <c r="N586" s="83">
        <f>OTHER!N148</f>
        <v>0</v>
      </c>
    </row>
    <row r="587" spans="1:14" s="11" customFormat="1" x14ac:dyDescent="0.2"/>
    <row r="588" spans="1:14" s="11" customFormat="1" x14ac:dyDescent="0.2">
      <c r="B588" s="92" t="str">
        <f>OTHER_Lu!$D$118</f>
        <v>LCU</v>
      </c>
      <c r="E588" s="53" t="str">
        <f>"("&amp;IF(DD_LVL2_ACTV_7_Input_Detail_or_Freeform=1,OTHER!$D$126,OTHER!$D$132)&amp;")"</f>
        <v>(Direct User Entry Cost Estimate)</v>
      </c>
    </row>
    <row r="589" spans="1:14" s="11" customFormat="1" x14ac:dyDescent="0.2">
      <c r="C589" s="52" t="str">
        <f>CALCS_Annual!B1243</f>
        <v>Financial (LCU)</v>
      </c>
      <c r="J589" s="51">
        <f>CALCS_Annual!J1246*J586</f>
        <v>0</v>
      </c>
      <c r="K589" s="51">
        <f>CALCS_Annual!K1246*K586</f>
        <v>0</v>
      </c>
      <c r="L589" s="51">
        <f>CALCS_Annual!L1246*L586</f>
        <v>0</v>
      </c>
      <c r="M589" s="51">
        <f>CALCS_Annual!M1246*M586</f>
        <v>0</v>
      </c>
      <c r="N589" s="51">
        <f>CALCS_Annual!N1246*N586</f>
        <v>0</v>
      </c>
    </row>
    <row r="590" spans="1:14" s="11" customFormat="1" x14ac:dyDescent="0.2">
      <c r="C590" s="52" t="str">
        <f>CALCS_Annual!B1253</f>
        <v>Economic (LCU)</v>
      </c>
      <c r="J590" s="51">
        <f>CALCS_Annual!J1256*J586</f>
        <v>0</v>
      </c>
      <c r="K590" s="51">
        <f>CALCS_Annual!K1256*K586</f>
        <v>0</v>
      </c>
      <c r="L590" s="51">
        <f>CALCS_Annual!L1256*L586</f>
        <v>0</v>
      </c>
      <c r="M590" s="51">
        <f>CALCS_Annual!M1256*M586</f>
        <v>0</v>
      </c>
      <c r="N590" s="51">
        <f>CALCS_Annual!N1256*N586</f>
        <v>0</v>
      </c>
    </row>
    <row r="591" spans="1:14" s="11" customFormat="1" x14ac:dyDescent="0.2"/>
    <row r="592" spans="1:14" s="11" customFormat="1" x14ac:dyDescent="0.2">
      <c r="B592" s="92" t="str">
        <f>OTHER_Lu!$D$117</f>
        <v>USD</v>
      </c>
      <c r="E592" s="53" t="str">
        <f>"("&amp;IF(DD_LVL2_ACTV_7_Input_Detail_or_Freeform=1,OTHER!$D$126,OTHER!$D$132)&amp;")"</f>
        <v>(Direct User Entry Cost Estimate)</v>
      </c>
    </row>
    <row r="593" spans="1:14" s="11" customFormat="1" x14ac:dyDescent="0.2">
      <c r="C593" s="52" t="str">
        <f>CALCS_Annual!B1262</f>
        <v>Financial (USD)</v>
      </c>
      <c r="J593" s="82">
        <f>CALCS_Annual!J1265*J586</f>
        <v>0</v>
      </c>
      <c r="K593" s="82">
        <f>CALCS_Annual!K1265*K586</f>
        <v>0</v>
      </c>
      <c r="L593" s="82">
        <f>CALCS_Annual!L1265*L586</f>
        <v>0</v>
      </c>
      <c r="M593" s="82">
        <f>CALCS_Annual!M1265*M586</f>
        <v>0</v>
      </c>
      <c r="N593" s="82">
        <f>CALCS_Annual!N1265*N586</f>
        <v>0</v>
      </c>
    </row>
    <row r="594" spans="1:14" s="11" customFormat="1" x14ac:dyDescent="0.2">
      <c r="C594" s="52" t="str">
        <f>CALCS_Annual!B1271</f>
        <v>Economic (USD)</v>
      </c>
      <c r="J594" s="82">
        <f>CALCS_Annual!J1274*J586</f>
        <v>0</v>
      </c>
      <c r="K594" s="82">
        <f>CALCS_Annual!K1274*K586</f>
        <v>0</v>
      </c>
      <c r="L594" s="82">
        <f>CALCS_Annual!L1274*L586</f>
        <v>0</v>
      </c>
      <c r="M594" s="82">
        <f>CALCS_Annual!M1274*M586</f>
        <v>0</v>
      </c>
      <c r="N594" s="82">
        <f>CALCS_Annual!N1274*N586</f>
        <v>0</v>
      </c>
    </row>
    <row r="595" spans="1:14" s="11" customFormat="1" x14ac:dyDescent="0.2"/>
    <row r="596" spans="1:14" s="11" customFormat="1" x14ac:dyDescent="0.2">
      <c r="A596" s="12" t="s">
        <v>125</v>
      </c>
      <c r="B596" s="13" t="str">
        <f>OTHER!D157&amp;" - "&amp;Lang_Summary_Costs_Annual</f>
        <v>Other Activity #5 - (Recurrent Costs Only) (Not in Use) - Summary Costs (Annual)</v>
      </c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</row>
    <row r="597" spans="1:14" s="11" customFormat="1" x14ac:dyDescent="0.2"/>
    <row r="598" spans="1:14" s="11" customFormat="1" x14ac:dyDescent="0.2">
      <c r="B598" s="84" t="str">
        <f>HL_LVL2_ACTV_16_Name</f>
        <v>Other Activity #5 - (Recurrent Costs Only) (Not in Use)</v>
      </c>
    </row>
    <row r="599" spans="1:14" s="11" customFormat="1" x14ac:dyDescent="0.2"/>
    <row r="600" spans="1:14" s="11" customFormat="1" x14ac:dyDescent="0.2">
      <c r="D600" s="81" t="str">
        <f>OTHER!D188</f>
        <v>Other Activity #5 - (Recurrent Costs Only) (Not in Use) - Number of Activities per Year (Projected or Retrospective)</v>
      </c>
      <c r="J600" s="83">
        <f>OTHER!J188</f>
        <v>0</v>
      </c>
      <c r="K600" s="83">
        <f>OTHER!K188</f>
        <v>0</v>
      </c>
      <c r="L600" s="83">
        <f>OTHER!L188</f>
        <v>0</v>
      </c>
      <c r="M600" s="83">
        <f>OTHER!M188</f>
        <v>0</v>
      </c>
      <c r="N600" s="83">
        <f>OTHER!N188</f>
        <v>0</v>
      </c>
    </row>
    <row r="601" spans="1:14" s="11" customFormat="1" x14ac:dyDescent="0.2"/>
    <row r="602" spans="1:14" s="11" customFormat="1" x14ac:dyDescent="0.2">
      <c r="B602" s="92" t="str">
        <f>OTHER_Lu!$D$153</f>
        <v>LCU</v>
      </c>
      <c r="E602" s="53" t="str">
        <f>"("&amp;IF(DD_LVL2_ACTV_16_Input_Detail_or_Freeform=1,OTHER!$D$167,OTHER!$D$173)&amp;")"</f>
        <v>(Direct User Entry Cost Estimate)</v>
      </c>
    </row>
    <row r="603" spans="1:14" s="11" customFormat="1" x14ac:dyDescent="0.2">
      <c r="C603" s="52" t="str">
        <f>CALCS_Annual!B1280</f>
        <v>Financial (LCU)</v>
      </c>
      <c r="J603" s="51">
        <f>CALCS_Annual!J1283*J600</f>
        <v>0</v>
      </c>
      <c r="K603" s="51">
        <f>CALCS_Annual!K1283*K600</f>
        <v>0</v>
      </c>
      <c r="L603" s="51">
        <f>CALCS_Annual!L1283*L600</f>
        <v>0</v>
      </c>
      <c r="M603" s="51">
        <f>CALCS_Annual!M1283*M600</f>
        <v>0</v>
      </c>
      <c r="N603" s="51">
        <f>CALCS_Annual!N1283*N600</f>
        <v>0</v>
      </c>
    </row>
    <row r="604" spans="1:14" s="11" customFormat="1" x14ac:dyDescent="0.2">
      <c r="C604" s="52" t="str">
        <f>CALCS_Annual!B1290</f>
        <v>Economic (LCU)</v>
      </c>
      <c r="J604" s="51">
        <f>CALCS_Annual!J1293*J600</f>
        <v>0</v>
      </c>
      <c r="K604" s="51">
        <f>CALCS_Annual!K1293*K600</f>
        <v>0</v>
      </c>
      <c r="L604" s="51">
        <f>CALCS_Annual!L1293*L600</f>
        <v>0</v>
      </c>
      <c r="M604" s="51">
        <f>CALCS_Annual!M1293*M600</f>
        <v>0</v>
      </c>
      <c r="N604" s="51">
        <f>CALCS_Annual!N1293*N600</f>
        <v>0</v>
      </c>
    </row>
    <row r="605" spans="1:14" s="11" customFormat="1" x14ac:dyDescent="0.2"/>
    <row r="606" spans="1:14" s="11" customFormat="1" x14ac:dyDescent="0.2">
      <c r="B606" s="92" t="str">
        <f>OTHER_Lu!$D$152</f>
        <v>USD</v>
      </c>
      <c r="E606" s="53" t="str">
        <f>"("&amp;IF(DD_LVL2_ACTV_16_Input_Detail_or_Freeform=1,OTHER!$D$167,OTHER!$D$173)&amp;")"</f>
        <v>(Direct User Entry Cost Estimate)</v>
      </c>
    </row>
    <row r="607" spans="1:14" s="11" customFormat="1" x14ac:dyDescent="0.2">
      <c r="C607" s="52" t="str">
        <f>CALCS_Annual!B1299</f>
        <v>Financial (USD)</v>
      </c>
      <c r="J607" s="82">
        <f>CALCS_Annual!J1302*J600</f>
        <v>0</v>
      </c>
      <c r="K607" s="82">
        <f>CALCS_Annual!K1302*K600</f>
        <v>0</v>
      </c>
      <c r="L607" s="82">
        <f>CALCS_Annual!L1302*L600</f>
        <v>0</v>
      </c>
      <c r="M607" s="82">
        <f>CALCS_Annual!M1302*M600</f>
        <v>0</v>
      </c>
      <c r="N607" s="82">
        <f>CALCS_Annual!N1302*N600</f>
        <v>0</v>
      </c>
    </row>
    <row r="608" spans="1:14" s="11" customFormat="1" x14ac:dyDescent="0.2">
      <c r="C608" s="52" t="str">
        <f>CALCS_Annual!B1308</f>
        <v>Economic (USD)</v>
      </c>
      <c r="J608" s="82">
        <f>CALCS_Annual!J1311*J600</f>
        <v>0</v>
      </c>
      <c r="K608" s="82">
        <f>CALCS_Annual!K1311*K600</f>
        <v>0</v>
      </c>
      <c r="L608" s="82">
        <f>CALCS_Annual!L1311*L600</f>
        <v>0</v>
      </c>
      <c r="M608" s="82">
        <f>CALCS_Annual!M1311*M600</f>
        <v>0</v>
      </c>
      <c r="N608" s="82">
        <f>CALCS_Annual!N1311*N600</f>
        <v>0</v>
      </c>
    </row>
  </sheetData>
  <hyperlinks>
    <hyperlink ref="A9" location="HL_Vacc_Ass_C" tooltip="Click to follow hyperlink." display="HL_Vacc_Ass_C" xr:uid="{00000000-0004-0000-1A00-000000000000}"/>
    <hyperlink ref="A27" location="HL_Vacc_Ass_C" tooltip="Click to follow hyperlink." display="HL_Vacc_Ass_C" xr:uid="{00000000-0004-0000-1A00-000001000000}"/>
    <hyperlink ref="A44" location="HL_Vacc_Ass_C" tooltip="Click to follow hyperlink." display="HL_Vacc_Ass_C" xr:uid="{00000000-0004-0000-1A00-000002000000}"/>
    <hyperlink ref="A61" location="HL_Vacc_Ass_C" tooltip="Click to follow hyperlink." display="HL_Vacc_Ass_C" xr:uid="{00000000-0004-0000-1A00-000003000000}"/>
    <hyperlink ref="A498" location="HL_LVL2_ACTV_5_Single_Activity_Cost_Outputs_Annual_FIN_Local_Currency" tooltip="Click to follow hyperlink." display="HL_LVL2_ACTV_5_Single_Activity_Cost_Outputs_Annual_FIN_Local_Currency" xr:uid="{00000000-0004-0000-1A00-000004000000}"/>
    <hyperlink ref="A442" location="HL_TOP_ACTV_5_Single_Activity_Cost_Outputs_Annual_FIN_Local_Currency" tooltip="Click to follow hyperlink." display="HL_TOP_ACTV_5_Single_Activity_Cost_Outputs_Annual_FIN_Local_Currency" xr:uid="{00000000-0004-0000-1A00-000005000000}"/>
    <hyperlink ref="A386" location="HL_LVL2_ACTV_6_Single_Activity_Cost_Outputs_Annual_FIN_Local_Currency" tooltip="Click to follow hyperlink." display="HL_LVL2_ACTV_6_Single_Activity_Cost_Outputs_Annual_FIN_Local_Currency" xr:uid="{00000000-0004-0000-1A00-000006000000}"/>
    <hyperlink ref="A316" location="HL_LVL2_ACTV_4_Single_Activity_Cost_Outputs_Annual_FIN_Local_Currency" tooltip="Click to follow hyperlink." display="HL_LVL2_ACTV_4_Single_Activity_Cost_Outputs_Annual_FIN_Local_Currency" xr:uid="{00000000-0004-0000-1A00-000007000000}"/>
    <hyperlink ref="A274" location="HL_TOP_ACTV_4_Single_Activity_Cost_Outputs_Annual_FIN_Local_Currency" tooltip="Click to follow hyperlink." display="HL_TOP_ACTV_4_Single_Activity_Cost_Outputs_Annual_FIN_Local_Currency" xr:uid="{00000000-0004-0000-1A00-000008000000}"/>
    <hyperlink ref="A232" location="HL_LVL2_ACTV_3_Single_Activity_Cost_Outputs_Annual_FIN_Local_Currency" tooltip="Click to follow hyperlink." display="HL_LVL2_ACTV_3_Single_Activity_Cost_Outputs_Annual_FIN_Local_Currency" xr:uid="{00000000-0004-0000-1A00-000009000000}"/>
    <hyperlink ref="A190" location="HL_TOP_ACTV_3_Single_Activity_Cost_Outputs_Annual_FIN_Local_Currency" tooltip="Click to follow hyperlink." display="HL_TOP_ACTV_3_Single_Activity_Cost_Outputs_Annual_FIN_Local_Currency" xr:uid="{00000000-0004-0000-1A00-00000A000000}"/>
    <hyperlink ref="A176" location="HL_LVL2_ACTV_2_Single_Activity_Cost_Outputs_Annual_FIN_Local_Currency" tooltip="Click to follow hyperlink." display="HL_LVL2_ACTV_2_Single_Activity_Cost_Outputs_Annual_FIN_Local_Currency" xr:uid="{00000000-0004-0000-1A00-00000B000000}"/>
    <hyperlink ref="A134" location="HL_TOP_ACTV_2_Single_Activity_Cost_Outputs_Annual_FIN_Local_Currency" tooltip="Click to follow hyperlink." display="HL_TOP_ACTV_2_Single_Activity_Cost_Outputs_Annual_FIN_Local_Currency" xr:uid="{00000000-0004-0000-1A00-00000C000000}"/>
    <hyperlink ref="A106" location="HL_LVL2_ACTV_Single_Activity_Cost_Outputs_Annual_FIN_Local_Currency" tooltip="Click to follow hyperlink." display="HL_LVL2_ACTV_Single_Activity_Cost_Outputs_Annual_FIN_Local_Currency" xr:uid="{00000000-0004-0000-1A00-00000D000000}"/>
    <hyperlink ref="A78" location="HL_TOP_ACTV_Single_Activity_Cost_Outputs_Annual_FIN_Local_Currency" tooltip="Click to follow hyperlink." display="HL_TOP_ACTV_Single_Activity_Cost_Outputs_Annual_FIN_Local_Currency" xr:uid="{00000000-0004-0000-1A00-00000E000000}"/>
    <hyperlink ref="A582" location="HL_LVL2_ACTV_7_Single_Activity_Cost_Outputs_Annual_FIN_Local_Currency" tooltip="Click to follow hyperlink." display="HL_LVL2_ACTV_7_Single_Activity_Cost_Outputs_Annual_FIN_Local_Currency" xr:uid="{00000000-0004-0000-1A00-00000F000000}"/>
    <hyperlink ref="A540" location="HL_TOP_ACTV_6_Single_Activity_Cost_Outputs_Annual_FIN_Local_Currency" tooltip="Click to follow hyperlink." display="HL_TOP_ACTV_6_Single_Activity_Cost_Outputs_Annual_FIN_Local_Currency" xr:uid="{00000000-0004-0000-1A00-000010000000}"/>
    <hyperlink ref="A92" location="HL_TOP_ACTV_7_Single_Activity_Cost_Outputs_Annual_FIN_Local_Currency" tooltip="Click to follow hyperlink." display="HL_TOP_ACTV_7_Single_Activity_Cost_Outputs_Annual_FIN_Local_Currency" xr:uid="{00000000-0004-0000-1A00-000011000000}"/>
    <hyperlink ref="A204" location="HL_TOP_ACTV_10_Single_Activity_Cost_Outputs_Annual_FIN_Local_Currency" tooltip="Click to follow hyperlink." display="HL_TOP_ACTV_10_Single_Activity_Cost_Outputs_Annual_FIN_Local_Currency" xr:uid="{00000000-0004-0000-1A00-000012000000}"/>
    <hyperlink ref="A218" location="HL_TOP_ACTV_11_Single_Activity_Cost_Outputs_Annual_FIN_Local_Currency" tooltip="Click to follow hyperlink." display="HL_TOP_ACTV_11_Single_Activity_Cost_Outputs_Annual_FIN_Local_Currency" xr:uid="{00000000-0004-0000-1A00-000013000000}"/>
    <hyperlink ref="A148" location="HL_TOP_ACTV_13_Single_Activity_Cost_Outputs_Annual_FIN_Local_Currency" tooltip="Click to follow hyperlink." display="HL_TOP_ACTV_13_Single_Activity_Cost_Outputs_Annual_FIN_Local_Currency" xr:uid="{00000000-0004-0000-1A00-000014000000}"/>
    <hyperlink ref="A162" location="HL_TOP_ACTV_14_Single_Activity_Cost_Outputs_Annual_FIN_Local_Currency" tooltip="Click to follow hyperlink." display="HL_TOP_ACTV_14_Single_Activity_Cost_Outputs_Annual_FIN_Local_Currency" xr:uid="{00000000-0004-0000-1A00-000015000000}"/>
    <hyperlink ref="A288" location="HL_TOP_ACTV_15_Single_Activity_Cost_Outputs_Annual_FIN_Local_Currency" tooltip="Click to follow hyperlink." display="HL_TOP_ACTV_15_Single_Activity_Cost_Outputs_Annual_FIN_Local_Currency" xr:uid="{00000000-0004-0000-1A00-000016000000}"/>
    <hyperlink ref="A302" location="HL_TOP_ACTV_16_Single_Activity_Cost_Outputs_Annual_FIN_Local_Currency" tooltip="Click to follow hyperlink." display="HL_TOP_ACTV_16_Single_Activity_Cost_Outputs_Annual_FIN_Local_Currency" xr:uid="{00000000-0004-0000-1A00-000017000000}"/>
    <hyperlink ref="A330" location="HL_LVL2_ACTV_10_Single_Activity_Cost_Outputs_Annual_FIN_Local_Currency" tooltip="Click to follow hyperlink." display="HL_LVL2_ACTV_10_Single_Activity_Cost_Outputs_Annual_FIN_Local_Currency" xr:uid="{00000000-0004-0000-1A00-000018000000}"/>
    <hyperlink ref="A344" location="HL_LVL2_ACTV_11_Single_Activity_Cost_Outputs_Annual_FIN_Local_Currency" tooltip="Click to follow hyperlink." display="HL_LVL2_ACTV_11_Single_Activity_Cost_Outputs_Annual_FIN_Local_Currency" xr:uid="{00000000-0004-0000-1A00-000019000000}"/>
    <hyperlink ref="A400" location="HL_LVL2_ACTV_12_Single_Activity_Cost_Outputs_Annual_FIN_Local_Currency" tooltip="Click to follow hyperlink." display="HL_LVL2_ACTV_12_Single_Activity_Cost_Outputs_Annual_FIN_Local_Currency" xr:uid="{00000000-0004-0000-1A00-00001A000000}"/>
    <hyperlink ref="A414" location="HL_LVL2_ACTV_13_Single_Activity_Cost_Outputs_Annual_FIN_Local_Currency" tooltip="Click to follow hyperlink." display="HL_LVL2_ACTV_13_Single_Activity_Cost_Outputs_Annual_FIN_Local_Currency" xr:uid="{00000000-0004-0000-1A00-00001B000000}"/>
    <hyperlink ref="A456" location="HL_TOP_ACTV_17_Single_Activity_Cost_Outputs_Annual_FIN_Local_Currency" tooltip="Click to follow hyperlink." display="HL_TOP_ACTV_17_Single_Activity_Cost_Outputs_Annual_FIN_Local_Currency" xr:uid="{00000000-0004-0000-1A00-00001C000000}"/>
    <hyperlink ref="A470" location="HL_TOP_ACTV_18_Single_Activity_Cost_Outputs_Annual_FIN_Local_Currency" tooltip="Click to follow hyperlink." display="HL_TOP_ACTV_18_Single_Activity_Cost_Outputs_Annual_FIN_Local_Currency" xr:uid="{00000000-0004-0000-1A00-00001D000000}"/>
    <hyperlink ref="A512" location="HL_LVL2_ACTV_14_Single_Activity_Cost_Outputs_Annual_FIN_Local_Currency" tooltip="Click to follow hyperlink." display="HL_LVL2_ACTV_14_Single_Activity_Cost_Outputs_Annual_FIN_Local_Currency" xr:uid="{00000000-0004-0000-1A00-00001E000000}"/>
    <hyperlink ref="A526" location="HL_LVL2_ACTV_15_Single_Activity_Cost_Outputs_Annual_FIN_Local_Currency" tooltip="Click to follow hyperlink." display="HL_LVL2_ACTV_15_Single_Activity_Cost_Outputs_Annual_FIN_Local_Currency" xr:uid="{00000000-0004-0000-1A00-00001F000000}"/>
    <hyperlink ref="A568" location="HL_TOP_ACTV_19_Single_Activity_Cost_Outputs_Annual_FIN_Local_Currency" tooltip="Click to follow hyperlink." display="HL_TOP_ACTV_19_Single_Activity_Cost_Outputs_Annual_FIN_Local_Currency" xr:uid="{00000000-0004-0000-1A00-000020000000}"/>
    <hyperlink ref="A554" location="HL_TOP_ACTV_20_Single_Activity_Cost_Outputs_Annual_FIN_Local_Currency" tooltip="Click to follow hyperlink." display="HL_TOP_ACTV_20_Single_Activity_Cost_Outputs_Annual_FIN_Local_Currency" xr:uid="{00000000-0004-0000-1A00-000021000000}"/>
    <hyperlink ref="A596" location="HL_LVL2_ACTV_16_Single_Activity_Cost_Outputs_Annual_FIN_Local_Currency" tooltip="Click to follow hyperlink." display="HL_LVL2_ACTV_16_Single_Activity_Cost_Outputs_Annual_FIN_Local_Currency" xr:uid="{00000000-0004-0000-1A00-000022000000}"/>
    <hyperlink ref="A246" location="HL_LVL2_ACTV_18_Single_Activity_Cost_Outputs_Annual_FIN_Local_Currency" tooltip="Click to follow hyperlink." display="HL_LVL2_ACTV_18_Single_Activity_Cost_Outputs_Annual_FIN_Local_Currency" xr:uid="{00000000-0004-0000-1A00-000023000000}"/>
    <hyperlink ref="A260" location="HL_LVL2_ACTV_19_Single_Activity_Cost_Outputs_Annual_FIN_Local_Currency" tooltip="Click to follow hyperlink." display="HL_LVL2_ACTV_19_Single_Activity_Cost_Outputs_Annual_FIN_Local_Currency" xr:uid="{00000000-0004-0000-1A00-000024000000}"/>
    <hyperlink ref="A120" location="HL_LVL2_ACTV_20_Single_Activity_Cost_Outputs_Annual_FIN_Local_Currency" tooltip="Click to follow hyperlink." display="HL_LVL2_ACTV_20_Single_Activity_Cost_Outputs_Annual_FIN_Local_Currency" xr:uid="{00000000-0004-0000-1A00-000025000000}"/>
    <hyperlink ref="A358" location="HL_LVL2_ACTV_8_Single_Activity_Cost_Outputs_Annual_FIN_Local_Currency" tooltip="Click to follow hyperlink." display="HL_LVL2_ACTV_8_Single_Activity_Cost_Outputs_Annual_FIN_Local_Currency" xr:uid="{00000000-0004-0000-1A00-000026000000}"/>
    <hyperlink ref="A372" location="HL_LVL2_ACTV_21_Single_Activity_Cost_Outputs_Annual_FIN_Local_Currency" tooltip="Click to follow hyperlink." display="HL_LVL2_ACTV_21_Single_Activity_Cost_Outputs_Annual_FIN_Local_Currency" xr:uid="{00000000-0004-0000-1A00-000027000000}"/>
    <hyperlink ref="A484" location="HL_TOP_ACTV_8_Single_Activity_Cost_Outputs_Annual_FIN_Local_Currency" tooltip="Click to follow hyperlink." display="HL_TOP_ACTV_8_Single_Activity_Cost_Outputs_Annual_FIN_Local_Currency" xr:uid="{00000000-0004-0000-1A00-000028000000}"/>
    <hyperlink ref="A428" location="HL_LVL2_ACTV_9_Single_Activity_Cost_Outputs_Annual_FIN_Local_Currency" tooltip="Click to follow hyperlink." display="HL_LVL2_ACTV_9_Single_Activity_Cost_Outputs_Annual_FIN_Local_Currency" xr:uid="{00000000-0004-0000-1A00-000029000000}"/>
    <hyperlink ref="A1" location="Contents!A1" tooltip="Go to Table of Contents" display="±" xr:uid="{00000000-0004-0000-1A00-00002A000000}"/>
    <hyperlink ref="A3" location="$B$8" tooltip="Go to Top of Sheet" display="$B$8" xr:uid="{FD6E98A3-4CA9-4D08-8203-EA3B8CD4CF76}"/>
  </hyperlinks>
  <pageMargins left="0.7" right="0.7" top="0.75" bottom="0.75" header="0.3" footer="0.3"/>
  <pageSetup scale="50" fitToHeight="0" orientation="landscape" r:id="rId1"/>
  <headerFooter>
    <oddFooter>&amp;L&amp;B Confidential&amp;B&amp;C&amp;D&amp;RPage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70C0"/>
    <pageSetUpPr autoPageBreaks="0"/>
  </sheetPr>
  <dimension ref="A1:N134"/>
  <sheetViews>
    <sheetView showGridLines="0" zoomScale="90" zoomScaleNormal="90" workbookViewId="0">
      <pane xSplit="1" ySplit="9" topLeftCell="B10" activePane="bottomRight" state="frozen"/>
      <selection activeCell="I511" sqref="I511"/>
      <selection pane="topRight" activeCell="I511" sqref="I511"/>
      <selection pane="bottomLeft" activeCell="I511" sqref="I511"/>
      <selection pane="bottomRight" activeCell="E46" sqref="E46:E56"/>
    </sheetView>
  </sheetViews>
  <sheetFormatPr defaultColWidth="11.7109375" defaultRowHeight="12" x14ac:dyDescent="0.2"/>
  <cols>
    <col min="1" max="1" width="3.7109375" customWidth="1"/>
    <col min="2" max="2" width="30.7109375" customWidth="1"/>
    <col min="3" max="3" width="10.7109375" customWidth="1"/>
    <col min="4" max="4" width="35.7109375" customWidth="1"/>
    <col min="5" max="5" width="14.7109375" customWidth="1"/>
    <col min="6" max="6" width="20.7109375" customWidth="1"/>
    <col min="7" max="7" width="10.7109375" customWidth="1"/>
    <col min="8" max="8" width="12.7109375" customWidth="1"/>
    <col min="9" max="9" width="20.7109375" customWidth="1"/>
    <col min="10" max="14" width="15.7109375" customWidth="1"/>
  </cols>
  <sheetData>
    <row r="1" spans="1:14" ht="15" x14ac:dyDescent="0.2">
      <c r="A1" s="35" t="s">
        <v>128</v>
      </c>
      <c r="B1" s="31" t="str">
        <f>Lang_Cold_Chain_Expansion</f>
        <v>Cold Chain Expansion</v>
      </c>
    </row>
    <row r="2" spans="1:14" ht="12.75" x14ac:dyDescent="0.2">
      <c r="A2" s="36"/>
      <c r="B2" s="45" t="str">
        <f ca="1">Model_Name</f>
        <v>Cervical Cancer Prevention and Control Costing (C4P) Tool (Cost Projection)</v>
      </c>
    </row>
    <row r="3" spans="1:14" s="10" customFormat="1" x14ac:dyDescent="0.2">
      <c r="C3" s="229"/>
      <c r="D3" s="229"/>
      <c r="E3" s="229"/>
      <c r="F3" s="229"/>
      <c r="G3" s="229"/>
      <c r="H3" s="229"/>
      <c r="I3" s="229"/>
      <c r="J3" s="230"/>
      <c r="K3" s="230"/>
      <c r="L3" s="230"/>
      <c r="M3" s="230"/>
      <c r="N3" s="230"/>
    </row>
    <row r="4" spans="1:14" s="10" customFormat="1" x14ac:dyDescent="0.2">
      <c r="C4" s="229"/>
      <c r="D4" s="229"/>
      <c r="E4" s="229"/>
      <c r="F4" s="229"/>
      <c r="G4" s="229"/>
      <c r="H4" s="229"/>
      <c r="I4" s="229"/>
      <c r="J4" s="230"/>
      <c r="K4" s="230"/>
      <c r="L4" s="230"/>
      <c r="M4" s="230"/>
      <c r="N4" s="230"/>
    </row>
    <row r="5" spans="1:14" s="10" customFormat="1" x14ac:dyDescent="0.2">
      <c r="A5" s="421" t="s">
        <v>5</v>
      </c>
      <c r="B5" s="90" t="str">
        <f>Lang_Year_Ending&amp;" "&amp;INDEX(LU_TS_Mth_Names,DD_TS_Fin_Yr_End_Mth)</f>
        <v>Year Ending December</v>
      </c>
      <c r="C5" s="231"/>
      <c r="D5" s="231"/>
      <c r="E5" s="231"/>
      <c r="F5" s="231"/>
      <c r="G5" s="231"/>
      <c r="H5" s="231"/>
      <c r="I5" s="231"/>
      <c r="J5" s="106">
        <f t="shared" ref="J5:N5" si="0">J9</f>
        <v>2019</v>
      </c>
      <c r="K5" s="106">
        <f t="shared" si="0"/>
        <v>2020</v>
      </c>
      <c r="L5" s="106">
        <f t="shared" si="0"/>
        <v>2021</v>
      </c>
      <c r="M5" s="106">
        <f t="shared" si="0"/>
        <v>2022</v>
      </c>
      <c r="N5" s="106">
        <f t="shared" si="0"/>
        <v>2023</v>
      </c>
    </row>
    <row r="6" spans="1:14" s="10" customFormat="1" hidden="1" x14ac:dyDescent="0.2">
      <c r="B6" s="50" t="str">
        <f>Lang_Period_Start_Date</f>
        <v>Period Start Date</v>
      </c>
      <c r="C6" s="229"/>
      <c r="D6" s="229"/>
      <c r="E6" s="229"/>
      <c r="F6" s="229"/>
      <c r="G6" s="229"/>
      <c r="H6" s="229"/>
      <c r="I6" s="229"/>
      <c r="J6" s="217">
        <f>EDATE(TS_Start_Date,(J8-1)*TS_Mths_In_Yr)</f>
        <v>43466</v>
      </c>
      <c r="K6" s="217">
        <f>EDATE(TS_Start_Date,(K8-1)*TS_Mths_In_Yr)</f>
        <v>43831</v>
      </c>
      <c r="L6" s="217">
        <f>EDATE(TS_Start_Date,(L8-1)*TS_Mths_In_Yr)</f>
        <v>44197</v>
      </c>
      <c r="M6" s="217">
        <f>EDATE(TS_Start_Date,(M8-1)*TS_Mths_In_Yr)</f>
        <v>44562</v>
      </c>
      <c r="N6" s="217">
        <f>EDATE(TS_Start_Date,(N8-1)*TS_Mths_In_Yr)</f>
        <v>44927</v>
      </c>
    </row>
    <row r="7" spans="1:14" s="10" customFormat="1" hidden="1" x14ac:dyDescent="0.2">
      <c r="B7" s="50" t="str">
        <f>Lang_Period_End_Date</f>
        <v>Period End Date</v>
      </c>
      <c r="C7" s="229"/>
      <c r="D7" s="229"/>
      <c r="E7" s="229"/>
      <c r="F7" s="229"/>
      <c r="G7" s="229"/>
      <c r="H7" s="229"/>
      <c r="I7" s="229"/>
      <c r="J7" s="217">
        <f>EDATE(J6,TS_Mths_In_Yr)-1</f>
        <v>43830</v>
      </c>
      <c r="K7" s="217">
        <f>EDATE(K6,TS_Mths_In_Yr)-1</f>
        <v>44196</v>
      </c>
      <c r="L7" s="217">
        <f>EDATE(L6,TS_Mths_In_Yr)-1</f>
        <v>44561</v>
      </c>
      <c r="M7" s="217">
        <f>EDATE(M6,TS_Mths_In_Yr)-1</f>
        <v>44926</v>
      </c>
      <c r="N7" s="217">
        <f>EDATE(N6,TS_Mths_In_Yr)-1</f>
        <v>45291</v>
      </c>
    </row>
    <row r="8" spans="1:14" s="10" customFormat="1" hidden="1" x14ac:dyDescent="0.2">
      <c r="B8" s="50" t="str">
        <f>Lang_Counter</f>
        <v>Counter</v>
      </c>
      <c r="C8" s="229"/>
      <c r="D8" s="229"/>
      <c r="E8" s="229"/>
      <c r="F8" s="229"/>
      <c r="G8" s="229"/>
      <c r="H8" s="229"/>
      <c r="I8" s="229"/>
      <c r="J8" s="42">
        <f>COLUMNS($J8:J8)</f>
        <v>1</v>
      </c>
      <c r="K8" s="42">
        <f>COLUMNS($J8:K8)</f>
        <v>2</v>
      </c>
      <c r="L8" s="42">
        <f>COLUMNS($J8:L8)</f>
        <v>3</v>
      </c>
      <c r="M8" s="42">
        <f>COLUMNS($J8:M8)</f>
        <v>4</v>
      </c>
      <c r="N8" s="42">
        <f>COLUMNS($J8:N8)</f>
        <v>5</v>
      </c>
    </row>
    <row r="9" spans="1:14" s="10" customFormat="1" hidden="1" x14ac:dyDescent="0.2">
      <c r="B9" s="91" t="str">
        <f>Lang_Financial_Year</f>
        <v>Financial Year</v>
      </c>
      <c r="C9" s="231"/>
      <c r="D9" s="231"/>
      <c r="E9" s="231"/>
      <c r="F9" s="231"/>
      <c r="G9" s="231"/>
      <c r="H9" s="231"/>
      <c r="I9" s="231"/>
      <c r="J9" s="222">
        <f t="shared" ref="J9:N9" si="1">YEAR(J7)</f>
        <v>2019</v>
      </c>
      <c r="K9" s="222">
        <f t="shared" si="1"/>
        <v>2020</v>
      </c>
      <c r="L9" s="222">
        <f t="shared" si="1"/>
        <v>2021</v>
      </c>
      <c r="M9" s="222">
        <f t="shared" si="1"/>
        <v>2022</v>
      </c>
      <c r="N9" s="222">
        <f t="shared" si="1"/>
        <v>2023</v>
      </c>
    </row>
    <row r="10" spans="1:14" s="10" customFormat="1" x14ac:dyDescent="0.2"/>
    <row r="11" spans="1:14" s="10" customFormat="1" x14ac:dyDescent="0.2"/>
    <row r="12" spans="1:14" s="13" customFormat="1" x14ac:dyDescent="0.2">
      <c r="A12" s="10"/>
      <c r="B12" s="13" t="str">
        <f>Lang_Cold_Chain_Expansion_Outputs</f>
        <v>Cold Chain Expansion - Outputs</v>
      </c>
    </row>
    <row r="13" spans="1:14" s="10" customFormat="1" x14ac:dyDescent="0.2"/>
    <row r="14" spans="1:14" s="10" customFormat="1" x14ac:dyDescent="0.2">
      <c r="B14" s="65" t="str">
        <f>Lang_Estimated_Cost_For_Cold_Storage_Expansion</f>
        <v>Estimated Cost for Cold Storage Expansion</v>
      </c>
      <c r="E14" s="133" t="str">
        <f>Lang_Exchange_Rate_Colon</f>
        <v>Exchange Rate:</v>
      </c>
      <c r="F14" s="41">
        <f>ECONOMICS!E13</f>
        <v>1234.5</v>
      </c>
    </row>
    <row r="15" spans="1:14" s="10" customFormat="1" x14ac:dyDescent="0.2">
      <c r="E15" s="233" t="str">
        <f>Lang_Annual_Discount_Rate_Colon</f>
        <v>Annual Discount Rate:</v>
      </c>
      <c r="F15" s="234">
        <f>ECONOMICS!E15</f>
        <v>0.03</v>
      </c>
    </row>
    <row r="16" spans="1:14" s="10" customFormat="1" x14ac:dyDescent="0.2">
      <c r="B16" s="65" t="str">
        <f>COLD_Lu!$D$12</f>
        <v>USD</v>
      </c>
    </row>
    <row r="17" spans="3:14" s="10" customFormat="1" x14ac:dyDescent="0.2"/>
    <row r="18" spans="3:14" s="10" customFormat="1" x14ac:dyDescent="0.2">
      <c r="C18" s="74" t="str">
        <f>Lang_Fin_Costs</f>
        <v>FINANCIAL COSTS</v>
      </c>
      <c r="I18" s="74" t="str">
        <f>Lang_All_Years</f>
        <v>ALL YEARS</v>
      </c>
    </row>
    <row r="19" spans="3:14" s="10" customFormat="1" x14ac:dyDescent="0.2">
      <c r="D19" s="74" t="str">
        <f>Lang_Name_Of_Cold_Storage_Equipment</f>
        <v>Name of Cold Storage Equipment</v>
      </c>
      <c r="E19" s="74" t="str">
        <f>Lang_Unit_Cost</f>
        <v>Unit Cost</v>
      </c>
    </row>
    <row r="20" spans="3:14" s="10" customFormat="1" x14ac:dyDescent="0.2">
      <c r="D20" s="49" t="str">
        <f>COLD_CHAIN_EXPANS!B20</f>
        <v>Cold Storage Equipment Type 1</v>
      </c>
      <c r="E20" s="119">
        <f>IF(COLD_CHAIN_EXPANS!$D$18=1,COLD_CHAIN_EXPANS!D20,(COLD_CHAIN_EXPANS!D20/$F$14))</f>
        <v>0</v>
      </c>
      <c r="I20" s="143">
        <f t="shared" ref="I20:I29" si="2">SUM(J20:N20)</f>
        <v>0</v>
      </c>
      <c r="J20" s="119">
        <f>$E20*COLD_CHAIN_EXPANS!J20</f>
        <v>0</v>
      </c>
      <c r="K20" s="119">
        <f>$E20*COLD_CHAIN_EXPANS!K20</f>
        <v>0</v>
      </c>
      <c r="L20" s="119">
        <f>$E20*COLD_CHAIN_EXPANS!L20</f>
        <v>0</v>
      </c>
      <c r="M20" s="119">
        <f>$E20*COLD_CHAIN_EXPANS!M20</f>
        <v>0</v>
      </c>
      <c r="N20" s="119">
        <f>$E20*COLD_CHAIN_EXPANS!N20</f>
        <v>0</v>
      </c>
    </row>
    <row r="21" spans="3:14" s="10" customFormat="1" x14ac:dyDescent="0.2">
      <c r="D21" s="49" t="str">
        <f>COLD_CHAIN_EXPANS!B21</f>
        <v>Cold Storage Equipment Type 2</v>
      </c>
      <c r="E21" s="119">
        <f>IF(COLD_CHAIN_EXPANS!$D$18=1,COLD_CHAIN_EXPANS!D21,(COLD_CHAIN_EXPANS!D21/$F$14))</f>
        <v>0</v>
      </c>
      <c r="I21" s="143">
        <f t="shared" si="2"/>
        <v>0</v>
      </c>
      <c r="J21" s="119">
        <f>$E21*COLD_CHAIN_EXPANS!J21</f>
        <v>0</v>
      </c>
      <c r="K21" s="119">
        <f>$E21*COLD_CHAIN_EXPANS!K21</f>
        <v>0</v>
      </c>
      <c r="L21" s="119">
        <f>$E21*COLD_CHAIN_EXPANS!L21</f>
        <v>0</v>
      </c>
      <c r="M21" s="119">
        <f>$E21*COLD_CHAIN_EXPANS!M21</f>
        <v>0</v>
      </c>
      <c r="N21" s="119">
        <f>$E21*COLD_CHAIN_EXPANS!N21</f>
        <v>0</v>
      </c>
    </row>
    <row r="22" spans="3:14" s="10" customFormat="1" x14ac:dyDescent="0.2">
      <c r="D22" s="49" t="str">
        <f>COLD_CHAIN_EXPANS!B22</f>
        <v>Cold Storage Equipment Type 3</v>
      </c>
      <c r="E22" s="119">
        <f>IF(COLD_CHAIN_EXPANS!$D$18=1,COLD_CHAIN_EXPANS!D22,(COLD_CHAIN_EXPANS!D22/$F$14))</f>
        <v>0</v>
      </c>
      <c r="I22" s="143">
        <f t="shared" si="2"/>
        <v>0</v>
      </c>
      <c r="J22" s="119">
        <f>$E22*COLD_CHAIN_EXPANS!J22</f>
        <v>0</v>
      </c>
      <c r="K22" s="119">
        <f>$E22*COLD_CHAIN_EXPANS!K22</f>
        <v>0</v>
      </c>
      <c r="L22" s="119">
        <f>$E22*COLD_CHAIN_EXPANS!L22</f>
        <v>0</v>
      </c>
      <c r="M22" s="119">
        <f>$E22*COLD_CHAIN_EXPANS!M22</f>
        <v>0</v>
      </c>
      <c r="N22" s="119">
        <f>$E22*COLD_CHAIN_EXPANS!N22</f>
        <v>0</v>
      </c>
    </row>
    <row r="23" spans="3:14" s="10" customFormat="1" x14ac:dyDescent="0.2">
      <c r="D23" s="49" t="str">
        <f>COLD_CHAIN_EXPANS!B23</f>
        <v>Cold Storage Equipment Type 4</v>
      </c>
      <c r="E23" s="119">
        <f>IF(COLD_CHAIN_EXPANS!$D$18=1,COLD_CHAIN_EXPANS!D23,(COLD_CHAIN_EXPANS!D23/$F$14))</f>
        <v>0</v>
      </c>
      <c r="I23" s="143">
        <f t="shared" si="2"/>
        <v>0</v>
      </c>
      <c r="J23" s="119">
        <f>$E23*COLD_CHAIN_EXPANS!J23</f>
        <v>0</v>
      </c>
      <c r="K23" s="119">
        <f>$E23*COLD_CHAIN_EXPANS!K23</f>
        <v>0</v>
      </c>
      <c r="L23" s="119">
        <f>$E23*COLD_CHAIN_EXPANS!L23</f>
        <v>0</v>
      </c>
      <c r="M23" s="119">
        <f>$E23*COLD_CHAIN_EXPANS!M23</f>
        <v>0</v>
      </c>
      <c r="N23" s="119">
        <f>$E23*COLD_CHAIN_EXPANS!N23</f>
        <v>0</v>
      </c>
    </row>
    <row r="24" spans="3:14" s="10" customFormat="1" x14ac:dyDescent="0.2">
      <c r="D24" s="49" t="str">
        <f>COLD_CHAIN_EXPANS!B24</f>
        <v>Cold Storage Equipment Type 5</v>
      </c>
      <c r="E24" s="119">
        <f>IF(COLD_CHAIN_EXPANS!$D$18=1,COLD_CHAIN_EXPANS!D24,(COLD_CHAIN_EXPANS!D24/$F$14))</f>
        <v>0</v>
      </c>
      <c r="I24" s="143">
        <f t="shared" si="2"/>
        <v>0</v>
      </c>
      <c r="J24" s="119">
        <f>$E24*COLD_CHAIN_EXPANS!J24</f>
        <v>0</v>
      </c>
      <c r="K24" s="119">
        <f>$E24*COLD_CHAIN_EXPANS!K24</f>
        <v>0</v>
      </c>
      <c r="L24" s="119">
        <f>$E24*COLD_CHAIN_EXPANS!L24</f>
        <v>0</v>
      </c>
      <c r="M24" s="119">
        <f>$E24*COLD_CHAIN_EXPANS!M24</f>
        <v>0</v>
      </c>
      <c r="N24" s="119">
        <f>$E24*COLD_CHAIN_EXPANS!N24</f>
        <v>0</v>
      </c>
    </row>
    <row r="25" spans="3:14" s="10" customFormat="1" x14ac:dyDescent="0.2">
      <c r="D25" s="49" t="str">
        <f>COLD_CHAIN_EXPANS!B25</f>
        <v>Cold Storage Equipment Type 6</v>
      </c>
      <c r="E25" s="119">
        <f>IF(COLD_CHAIN_EXPANS!$D$18=1,COLD_CHAIN_EXPANS!D25,(COLD_CHAIN_EXPANS!D25/$F$14))</f>
        <v>0</v>
      </c>
      <c r="I25" s="143">
        <f t="shared" si="2"/>
        <v>0</v>
      </c>
      <c r="J25" s="119">
        <f>$E25*COLD_CHAIN_EXPANS!J25</f>
        <v>0</v>
      </c>
      <c r="K25" s="119">
        <f>$E25*COLD_CHAIN_EXPANS!K25</f>
        <v>0</v>
      </c>
      <c r="L25" s="119">
        <f>$E25*COLD_CHAIN_EXPANS!L25</f>
        <v>0</v>
      </c>
      <c r="M25" s="119">
        <f>$E25*COLD_CHAIN_EXPANS!M25</f>
        <v>0</v>
      </c>
      <c r="N25" s="119">
        <f>$E25*COLD_CHAIN_EXPANS!N25</f>
        <v>0</v>
      </c>
    </row>
    <row r="26" spans="3:14" s="10" customFormat="1" x14ac:dyDescent="0.2">
      <c r="D26" s="49" t="str">
        <f>COLD_CHAIN_EXPANS!B26</f>
        <v>Cold Storage Equipment Type 7</v>
      </c>
      <c r="E26" s="119">
        <f>IF(COLD_CHAIN_EXPANS!$D$18=1,COLD_CHAIN_EXPANS!D26,(COLD_CHAIN_EXPANS!D26/$F$14))</f>
        <v>0</v>
      </c>
      <c r="I26" s="143">
        <f t="shared" si="2"/>
        <v>0</v>
      </c>
      <c r="J26" s="119">
        <f>$E26*COLD_CHAIN_EXPANS!J26</f>
        <v>0</v>
      </c>
      <c r="K26" s="119">
        <f>$E26*COLD_CHAIN_EXPANS!K26</f>
        <v>0</v>
      </c>
      <c r="L26" s="119">
        <f>$E26*COLD_CHAIN_EXPANS!L26</f>
        <v>0</v>
      </c>
      <c r="M26" s="119">
        <f>$E26*COLD_CHAIN_EXPANS!M26</f>
        <v>0</v>
      </c>
      <c r="N26" s="119">
        <f>$E26*COLD_CHAIN_EXPANS!N26</f>
        <v>0</v>
      </c>
    </row>
    <row r="27" spans="3:14" s="10" customFormat="1" x14ac:dyDescent="0.2">
      <c r="D27" s="49" t="str">
        <f>COLD_CHAIN_EXPANS!B27</f>
        <v>Cold Storage Equipment Type 8</v>
      </c>
      <c r="E27" s="119">
        <f>IF(COLD_CHAIN_EXPANS!$D$18=1,COLD_CHAIN_EXPANS!D27,(COLD_CHAIN_EXPANS!D27/$F$14))</f>
        <v>0</v>
      </c>
      <c r="I27" s="143">
        <f t="shared" si="2"/>
        <v>0</v>
      </c>
      <c r="J27" s="119">
        <f>$E27*COLD_CHAIN_EXPANS!J27</f>
        <v>0</v>
      </c>
      <c r="K27" s="119">
        <f>$E27*COLD_CHAIN_EXPANS!K27</f>
        <v>0</v>
      </c>
      <c r="L27" s="119">
        <f>$E27*COLD_CHAIN_EXPANS!L27</f>
        <v>0</v>
      </c>
      <c r="M27" s="119">
        <f>$E27*COLD_CHAIN_EXPANS!M27</f>
        <v>0</v>
      </c>
      <c r="N27" s="119">
        <f>$E27*COLD_CHAIN_EXPANS!N27</f>
        <v>0</v>
      </c>
    </row>
    <row r="28" spans="3:14" s="10" customFormat="1" x14ac:dyDescent="0.2">
      <c r="D28" s="49" t="str">
        <f>COLD_CHAIN_EXPANS!B28</f>
        <v>Cold Storage Equipment Type 9</v>
      </c>
      <c r="E28" s="119">
        <f>IF(COLD_CHAIN_EXPANS!$D$18=1,COLD_CHAIN_EXPANS!D28,(COLD_CHAIN_EXPANS!D28/$F$14))</f>
        <v>0</v>
      </c>
      <c r="I28" s="143">
        <f t="shared" si="2"/>
        <v>0</v>
      </c>
      <c r="J28" s="119">
        <f>$E28*COLD_CHAIN_EXPANS!J28</f>
        <v>0</v>
      </c>
      <c r="K28" s="119">
        <f>$E28*COLD_CHAIN_EXPANS!K28</f>
        <v>0</v>
      </c>
      <c r="L28" s="119">
        <f>$E28*COLD_CHAIN_EXPANS!L28</f>
        <v>0</v>
      </c>
      <c r="M28" s="119">
        <f>$E28*COLD_CHAIN_EXPANS!M28</f>
        <v>0</v>
      </c>
      <c r="N28" s="119">
        <f>$E28*COLD_CHAIN_EXPANS!N28</f>
        <v>0</v>
      </c>
    </row>
    <row r="29" spans="3:14" s="10" customFormat="1" x14ac:dyDescent="0.2">
      <c r="D29" s="49" t="str">
        <f>COLD_CHAIN_EXPANS!B29</f>
        <v>Cold Storage Equipment Type 10</v>
      </c>
      <c r="E29" s="119">
        <f>IF(COLD_CHAIN_EXPANS!$D$18=1,COLD_CHAIN_EXPANS!D29,(COLD_CHAIN_EXPANS!D29/$F$14))</f>
        <v>0</v>
      </c>
      <c r="I29" s="143">
        <f t="shared" si="2"/>
        <v>0</v>
      </c>
      <c r="J29" s="119">
        <f>$E29*COLD_CHAIN_EXPANS!J29</f>
        <v>0</v>
      </c>
      <c r="K29" s="119">
        <f>$E29*COLD_CHAIN_EXPANS!K29</f>
        <v>0</v>
      </c>
      <c r="L29" s="119">
        <f>$E29*COLD_CHAIN_EXPANS!L29</f>
        <v>0</v>
      </c>
      <c r="M29" s="119">
        <f>$E29*COLD_CHAIN_EXPANS!M29</f>
        <v>0</v>
      </c>
      <c r="N29" s="119">
        <f>$E29*COLD_CHAIN_EXPANS!N29</f>
        <v>0</v>
      </c>
    </row>
    <row r="30" spans="3:14" s="10" customFormat="1" x14ac:dyDescent="0.2">
      <c r="D30" s="48" t="str">
        <f>Lang_Total_Fin_Costs</f>
        <v>TOTAL FINANCIAL COSTS</v>
      </c>
      <c r="E30" s="354"/>
      <c r="I30" s="246">
        <f>SUM(I20:I29)</f>
        <v>0</v>
      </c>
      <c r="J30" s="246">
        <f t="shared" ref="J30:N30" si="3">SUM(J20:J29)</f>
        <v>0</v>
      </c>
      <c r="K30" s="246">
        <f t="shared" si="3"/>
        <v>0</v>
      </c>
      <c r="L30" s="246">
        <f t="shared" si="3"/>
        <v>0</v>
      </c>
      <c r="M30" s="246">
        <f t="shared" si="3"/>
        <v>0</v>
      </c>
      <c r="N30" s="246">
        <f t="shared" si="3"/>
        <v>0</v>
      </c>
    </row>
    <row r="31" spans="3:14" s="10" customFormat="1" x14ac:dyDescent="0.2">
      <c r="C31" s="74" t="str">
        <f>Lang_Econ_Costs</f>
        <v>ECONOMIC COSTS</v>
      </c>
    </row>
    <row r="32" spans="3:14" s="10" customFormat="1" x14ac:dyDescent="0.2">
      <c r="D32" s="74" t="str">
        <f>Lang_Name_Of_Cold_Storage_Equipment</f>
        <v>Name of Cold Storage Equipment</v>
      </c>
      <c r="E32" s="74" t="str">
        <f>Lang_Unit_Cost</f>
        <v>Unit Cost</v>
      </c>
    </row>
    <row r="33" spans="3:14" s="10" customFormat="1" x14ac:dyDescent="0.2">
      <c r="D33" s="49" t="str">
        <f>COLD_CHAIN_EXPANS!B20</f>
        <v>Cold Storage Equipment Type 1</v>
      </c>
      <c r="E33" s="119">
        <f>IF(COLD_CHAIN_EXPANS!$D$18=1,COLD_CHAIN_EXPANS!E20,(COLD_CHAIN_EXPANS!E20/$F$14))</f>
        <v>0</v>
      </c>
      <c r="I33" s="143">
        <f t="shared" ref="I33:I42" si="4">SUM(J33:N33)</f>
        <v>0</v>
      </c>
      <c r="J33" s="119">
        <f>$E33*COLD_CHAIN_EXPANS!J20</f>
        <v>0</v>
      </c>
      <c r="K33" s="119">
        <f>$E33*COLD_CHAIN_EXPANS!K20</f>
        <v>0</v>
      </c>
      <c r="L33" s="119">
        <f>$E33*COLD_CHAIN_EXPANS!L20</f>
        <v>0</v>
      </c>
      <c r="M33" s="119">
        <f>$E33*COLD_CHAIN_EXPANS!M20</f>
        <v>0</v>
      </c>
      <c r="N33" s="119">
        <f>$E33*COLD_CHAIN_EXPANS!N20</f>
        <v>0</v>
      </c>
    </row>
    <row r="34" spans="3:14" s="10" customFormat="1" x14ac:dyDescent="0.2">
      <c r="D34" s="49" t="str">
        <f>COLD_CHAIN_EXPANS!B21</f>
        <v>Cold Storage Equipment Type 2</v>
      </c>
      <c r="E34" s="119">
        <f>IF(COLD_CHAIN_EXPANS!$D$18=1,COLD_CHAIN_EXPANS!E21,(COLD_CHAIN_EXPANS!E21/$F$14))</f>
        <v>0</v>
      </c>
      <c r="I34" s="143">
        <f t="shared" si="4"/>
        <v>0</v>
      </c>
      <c r="J34" s="119">
        <f>$E34*COLD_CHAIN_EXPANS!J21</f>
        <v>0</v>
      </c>
      <c r="K34" s="119">
        <f>$E34*COLD_CHAIN_EXPANS!K21</f>
        <v>0</v>
      </c>
      <c r="L34" s="119">
        <f>$E34*COLD_CHAIN_EXPANS!L21</f>
        <v>0</v>
      </c>
      <c r="M34" s="119">
        <f>$E34*COLD_CHAIN_EXPANS!M21</f>
        <v>0</v>
      </c>
      <c r="N34" s="119">
        <f>$E34*COLD_CHAIN_EXPANS!N21</f>
        <v>0</v>
      </c>
    </row>
    <row r="35" spans="3:14" s="10" customFormat="1" x14ac:dyDescent="0.2">
      <c r="D35" s="49" t="str">
        <f>COLD_CHAIN_EXPANS!B22</f>
        <v>Cold Storage Equipment Type 3</v>
      </c>
      <c r="E35" s="119">
        <f>IF(COLD_CHAIN_EXPANS!$D$18=1,COLD_CHAIN_EXPANS!E22,(COLD_CHAIN_EXPANS!E22/$F$14))</f>
        <v>0</v>
      </c>
      <c r="I35" s="143">
        <f t="shared" si="4"/>
        <v>0</v>
      </c>
      <c r="J35" s="119">
        <f>$E35*COLD_CHAIN_EXPANS!J22</f>
        <v>0</v>
      </c>
      <c r="K35" s="119">
        <f>$E35*COLD_CHAIN_EXPANS!K22</f>
        <v>0</v>
      </c>
      <c r="L35" s="119">
        <f>$E35*COLD_CHAIN_EXPANS!L22</f>
        <v>0</v>
      </c>
      <c r="M35" s="119">
        <f>$E35*COLD_CHAIN_EXPANS!M22</f>
        <v>0</v>
      </c>
      <c r="N35" s="119">
        <f>$E35*COLD_CHAIN_EXPANS!N22</f>
        <v>0</v>
      </c>
    </row>
    <row r="36" spans="3:14" s="10" customFormat="1" x14ac:dyDescent="0.2">
      <c r="D36" s="49" t="str">
        <f>COLD_CHAIN_EXPANS!B23</f>
        <v>Cold Storage Equipment Type 4</v>
      </c>
      <c r="E36" s="119">
        <f>IF(COLD_CHAIN_EXPANS!$D$18=1,COLD_CHAIN_EXPANS!E23,(COLD_CHAIN_EXPANS!E23/$F$14))</f>
        <v>0</v>
      </c>
      <c r="I36" s="143">
        <f t="shared" si="4"/>
        <v>0</v>
      </c>
      <c r="J36" s="119">
        <f>$E36*COLD_CHAIN_EXPANS!J23</f>
        <v>0</v>
      </c>
      <c r="K36" s="119">
        <f>$E36*COLD_CHAIN_EXPANS!K23</f>
        <v>0</v>
      </c>
      <c r="L36" s="119">
        <f>$E36*COLD_CHAIN_EXPANS!L23</f>
        <v>0</v>
      </c>
      <c r="M36" s="119">
        <f>$E36*COLD_CHAIN_EXPANS!M23</f>
        <v>0</v>
      </c>
      <c r="N36" s="119">
        <f>$E36*COLD_CHAIN_EXPANS!N23</f>
        <v>0</v>
      </c>
    </row>
    <row r="37" spans="3:14" s="10" customFormat="1" x14ac:dyDescent="0.2">
      <c r="D37" s="49" t="str">
        <f>COLD_CHAIN_EXPANS!B24</f>
        <v>Cold Storage Equipment Type 5</v>
      </c>
      <c r="E37" s="119">
        <f>IF(COLD_CHAIN_EXPANS!$D$18=1,COLD_CHAIN_EXPANS!E24,(COLD_CHAIN_EXPANS!E24/$F$14))</f>
        <v>0</v>
      </c>
      <c r="I37" s="143">
        <f t="shared" si="4"/>
        <v>0</v>
      </c>
      <c r="J37" s="119">
        <f>$E37*COLD_CHAIN_EXPANS!J24</f>
        <v>0</v>
      </c>
      <c r="K37" s="119">
        <f>$E37*COLD_CHAIN_EXPANS!K24</f>
        <v>0</v>
      </c>
      <c r="L37" s="119">
        <f>$E37*COLD_CHAIN_EXPANS!L24</f>
        <v>0</v>
      </c>
      <c r="M37" s="119">
        <f>$E37*COLD_CHAIN_EXPANS!M24</f>
        <v>0</v>
      </c>
      <c r="N37" s="119">
        <f>$E37*COLD_CHAIN_EXPANS!N24</f>
        <v>0</v>
      </c>
    </row>
    <row r="38" spans="3:14" s="10" customFormat="1" x14ac:dyDescent="0.2">
      <c r="D38" s="49" t="str">
        <f>COLD_CHAIN_EXPANS!B25</f>
        <v>Cold Storage Equipment Type 6</v>
      </c>
      <c r="E38" s="119">
        <f>IF(COLD_CHAIN_EXPANS!$D$18=1,COLD_CHAIN_EXPANS!E25,(COLD_CHAIN_EXPANS!E25/$F$14))</f>
        <v>0</v>
      </c>
      <c r="I38" s="143">
        <f t="shared" si="4"/>
        <v>0</v>
      </c>
      <c r="J38" s="119">
        <f>$E38*COLD_CHAIN_EXPANS!J25</f>
        <v>0</v>
      </c>
      <c r="K38" s="119">
        <f>$E38*COLD_CHAIN_EXPANS!K25</f>
        <v>0</v>
      </c>
      <c r="L38" s="119">
        <f>$E38*COLD_CHAIN_EXPANS!L25</f>
        <v>0</v>
      </c>
      <c r="M38" s="119">
        <f>$E38*COLD_CHAIN_EXPANS!M25</f>
        <v>0</v>
      </c>
      <c r="N38" s="119">
        <f>$E38*COLD_CHAIN_EXPANS!N25</f>
        <v>0</v>
      </c>
    </row>
    <row r="39" spans="3:14" s="10" customFormat="1" x14ac:dyDescent="0.2">
      <c r="D39" s="49" t="str">
        <f>COLD_CHAIN_EXPANS!B26</f>
        <v>Cold Storage Equipment Type 7</v>
      </c>
      <c r="E39" s="119">
        <f>IF(COLD_CHAIN_EXPANS!$D$18=1,COLD_CHAIN_EXPANS!E26,(COLD_CHAIN_EXPANS!E26/$F$14))</f>
        <v>0</v>
      </c>
      <c r="I39" s="143">
        <f t="shared" si="4"/>
        <v>0</v>
      </c>
      <c r="J39" s="119">
        <f>$E39*COLD_CHAIN_EXPANS!J26</f>
        <v>0</v>
      </c>
      <c r="K39" s="119">
        <f>$E39*COLD_CHAIN_EXPANS!K26</f>
        <v>0</v>
      </c>
      <c r="L39" s="119">
        <f>$E39*COLD_CHAIN_EXPANS!L26</f>
        <v>0</v>
      </c>
      <c r="M39" s="119">
        <f>$E39*COLD_CHAIN_EXPANS!M26</f>
        <v>0</v>
      </c>
      <c r="N39" s="119">
        <f>$E39*COLD_CHAIN_EXPANS!N26</f>
        <v>0</v>
      </c>
    </row>
    <row r="40" spans="3:14" s="10" customFormat="1" x14ac:dyDescent="0.2">
      <c r="D40" s="49" t="str">
        <f>COLD_CHAIN_EXPANS!B27</f>
        <v>Cold Storage Equipment Type 8</v>
      </c>
      <c r="E40" s="119">
        <f>IF(COLD_CHAIN_EXPANS!$D$18=1,COLD_CHAIN_EXPANS!E27,(COLD_CHAIN_EXPANS!E27/$F$14))</f>
        <v>0</v>
      </c>
      <c r="I40" s="143">
        <f t="shared" si="4"/>
        <v>0</v>
      </c>
      <c r="J40" s="119">
        <f>$E40*COLD_CHAIN_EXPANS!J27</f>
        <v>0</v>
      </c>
      <c r="K40" s="119">
        <f>$E40*COLD_CHAIN_EXPANS!K27</f>
        <v>0</v>
      </c>
      <c r="L40" s="119">
        <f>$E40*COLD_CHAIN_EXPANS!L27</f>
        <v>0</v>
      </c>
      <c r="M40" s="119">
        <f>$E40*COLD_CHAIN_EXPANS!M27</f>
        <v>0</v>
      </c>
      <c r="N40" s="119">
        <f>$E40*COLD_CHAIN_EXPANS!N27</f>
        <v>0</v>
      </c>
    </row>
    <row r="41" spans="3:14" s="10" customFormat="1" x14ac:dyDescent="0.2">
      <c r="D41" s="49" t="str">
        <f>COLD_CHAIN_EXPANS!B28</f>
        <v>Cold Storage Equipment Type 9</v>
      </c>
      <c r="E41" s="119">
        <f>IF(COLD_CHAIN_EXPANS!$D$18=1,COLD_CHAIN_EXPANS!E28,(COLD_CHAIN_EXPANS!E28/$F$14))</f>
        <v>0</v>
      </c>
      <c r="I41" s="143">
        <f t="shared" si="4"/>
        <v>0</v>
      </c>
      <c r="J41" s="119">
        <f>$E41*COLD_CHAIN_EXPANS!J28</f>
        <v>0</v>
      </c>
      <c r="K41" s="119">
        <f>$E41*COLD_CHAIN_EXPANS!K28</f>
        <v>0</v>
      </c>
      <c r="L41" s="119">
        <f>$E41*COLD_CHAIN_EXPANS!L28</f>
        <v>0</v>
      </c>
      <c r="M41" s="119">
        <f>$E41*COLD_CHAIN_EXPANS!M28</f>
        <v>0</v>
      </c>
      <c r="N41" s="119">
        <f>$E41*COLD_CHAIN_EXPANS!N28</f>
        <v>0</v>
      </c>
    </row>
    <row r="42" spans="3:14" s="10" customFormat="1" x14ac:dyDescent="0.2">
      <c r="D42" s="49" t="str">
        <f>COLD_CHAIN_EXPANS!B29</f>
        <v>Cold Storage Equipment Type 10</v>
      </c>
      <c r="E42" s="119">
        <f>IF(COLD_CHAIN_EXPANS!$D$18=1,COLD_CHAIN_EXPANS!E29,(COLD_CHAIN_EXPANS!E29/$F$14))</f>
        <v>0</v>
      </c>
      <c r="I42" s="143">
        <f t="shared" si="4"/>
        <v>0</v>
      </c>
      <c r="J42" s="119">
        <f>$E42*COLD_CHAIN_EXPANS!J29</f>
        <v>0</v>
      </c>
      <c r="K42" s="119">
        <f>$E42*COLD_CHAIN_EXPANS!K29</f>
        <v>0</v>
      </c>
      <c r="L42" s="119">
        <f>$E42*COLD_CHAIN_EXPANS!L29</f>
        <v>0</v>
      </c>
      <c r="M42" s="119">
        <f>$E42*COLD_CHAIN_EXPANS!M29</f>
        <v>0</v>
      </c>
      <c r="N42" s="119">
        <f>$E42*COLD_CHAIN_EXPANS!N29</f>
        <v>0</v>
      </c>
    </row>
    <row r="43" spans="3:14" s="10" customFormat="1" x14ac:dyDescent="0.2">
      <c r="D43" s="48" t="str">
        <f>Lang_Total_Econ_Costs</f>
        <v>TOTAL ECONOMIC COSTS</v>
      </c>
      <c r="E43" s="355"/>
      <c r="I43" s="246">
        <f>SUM(I33:I42)</f>
        <v>0</v>
      </c>
      <c r="J43" s="246">
        <f t="shared" ref="J43:N43" si="5">SUM(J33:J42)</f>
        <v>0</v>
      </c>
      <c r="K43" s="246">
        <f t="shared" si="5"/>
        <v>0</v>
      </c>
      <c r="L43" s="246">
        <f t="shared" si="5"/>
        <v>0</v>
      </c>
      <c r="M43" s="246">
        <f t="shared" si="5"/>
        <v>0</v>
      </c>
      <c r="N43" s="246">
        <f t="shared" si="5"/>
        <v>0</v>
      </c>
    </row>
    <row r="44" spans="3:14" s="10" customFormat="1" x14ac:dyDescent="0.2"/>
    <row r="45" spans="3:14" s="10" customFormat="1" x14ac:dyDescent="0.2">
      <c r="C45" s="74" t="str">
        <f>Lang_Fin_Costs_Annualized</f>
        <v>Financial Costs (ANNUALIZED)</v>
      </c>
    </row>
    <row r="46" spans="3:14" s="10" customFormat="1" x14ac:dyDescent="0.2">
      <c r="D46" s="74" t="str">
        <f>Lang_Name_Of_Cold_Storage_Equipment</f>
        <v>Name of Cold Storage Equipment</v>
      </c>
      <c r="E46" s="74" t="str">
        <f>Lang_Unit_Cost_Annualized</f>
        <v>Unit Cost (Annualized)</v>
      </c>
    </row>
    <row r="47" spans="3:14" s="10" customFormat="1" x14ac:dyDescent="0.2">
      <c r="D47" s="49" t="str">
        <f>COLD_CHAIN_EXPANS!B20</f>
        <v>Cold Storage Equipment Type 1</v>
      </c>
      <c r="E47" s="82">
        <f>IFERROR(IF(COLD_CHAIN_EXPANS!$D$18=1,COLD_CHAIN_EXPANS!D20/COLD_CHAIN_EXPANS!F20,(COLD_CHAIN_EXPANS!D20/$F$14)/COLD_CHAIN_EXPANS!F20),0)</f>
        <v>0</v>
      </c>
      <c r="I47" s="143">
        <f t="shared" ref="I47:I56" si="6">SUM(J47:N47)</f>
        <v>0</v>
      </c>
      <c r="J47" s="119">
        <f>$E47*SUM(COLD_CHAIN_EXPANS!$J20:J20)</f>
        <v>0</v>
      </c>
      <c r="K47" s="119">
        <f>$E47*SUM(COLD_CHAIN_EXPANS!$J20:K20)</f>
        <v>0</v>
      </c>
      <c r="L47" s="119">
        <f>$E47*SUM(COLD_CHAIN_EXPANS!$J20:L20)</f>
        <v>0</v>
      </c>
      <c r="M47" s="119">
        <f>$E47*SUM(COLD_CHAIN_EXPANS!$J20:M20)</f>
        <v>0</v>
      </c>
      <c r="N47" s="119">
        <f>$E47*SUM(COLD_CHAIN_EXPANS!$J20:N20)</f>
        <v>0</v>
      </c>
    </row>
    <row r="48" spans="3:14" s="10" customFormat="1" x14ac:dyDescent="0.2">
      <c r="D48" s="49" t="str">
        <f>COLD_CHAIN_EXPANS!B21</f>
        <v>Cold Storage Equipment Type 2</v>
      </c>
      <c r="E48" s="82">
        <f>IFERROR(IF(COLD_CHAIN_EXPANS!$D$18=1,COLD_CHAIN_EXPANS!D21/COLD_CHAIN_EXPANS!F21,(COLD_CHAIN_EXPANS!D21/$F$14)/COLD_CHAIN_EXPANS!F21),0)</f>
        <v>0</v>
      </c>
      <c r="I48" s="143">
        <f t="shared" si="6"/>
        <v>0</v>
      </c>
      <c r="J48" s="119">
        <f>$E48*SUM(COLD_CHAIN_EXPANS!$J21:J21)</f>
        <v>0</v>
      </c>
      <c r="K48" s="119">
        <f>$E48*SUM(COLD_CHAIN_EXPANS!$J21:K21)</f>
        <v>0</v>
      </c>
      <c r="L48" s="119">
        <f>$E48*SUM(COLD_CHAIN_EXPANS!$J21:L21)</f>
        <v>0</v>
      </c>
      <c r="M48" s="119">
        <f>$E48*SUM(COLD_CHAIN_EXPANS!$J21:M21)</f>
        <v>0</v>
      </c>
      <c r="N48" s="119">
        <f>$E48*SUM(COLD_CHAIN_EXPANS!$J21:N21)</f>
        <v>0</v>
      </c>
    </row>
    <row r="49" spans="3:14" s="10" customFormat="1" x14ac:dyDescent="0.2">
      <c r="D49" s="49" t="str">
        <f>COLD_CHAIN_EXPANS!B22</f>
        <v>Cold Storage Equipment Type 3</v>
      </c>
      <c r="E49" s="82">
        <f>IFERROR(IF(COLD_CHAIN_EXPANS!$D$18=1,COLD_CHAIN_EXPANS!D22/COLD_CHAIN_EXPANS!F22,(COLD_CHAIN_EXPANS!D22/$F$14)/COLD_CHAIN_EXPANS!F22),0)</f>
        <v>0</v>
      </c>
      <c r="I49" s="143">
        <f t="shared" si="6"/>
        <v>0</v>
      </c>
      <c r="J49" s="119">
        <f>$E49*SUM(COLD_CHAIN_EXPANS!$J22:J22)</f>
        <v>0</v>
      </c>
      <c r="K49" s="119">
        <f>$E49*SUM(COLD_CHAIN_EXPANS!$J22:K22)</f>
        <v>0</v>
      </c>
      <c r="L49" s="119">
        <f>$E49*SUM(COLD_CHAIN_EXPANS!$J22:L22)</f>
        <v>0</v>
      </c>
      <c r="M49" s="119">
        <f>$E49*SUM(COLD_CHAIN_EXPANS!$J22:M22)</f>
        <v>0</v>
      </c>
      <c r="N49" s="119">
        <f>$E49*SUM(COLD_CHAIN_EXPANS!$J22:N22)</f>
        <v>0</v>
      </c>
    </row>
    <row r="50" spans="3:14" s="10" customFormat="1" x14ac:dyDescent="0.2">
      <c r="D50" s="49" t="str">
        <f>COLD_CHAIN_EXPANS!B23</f>
        <v>Cold Storage Equipment Type 4</v>
      </c>
      <c r="E50" s="82">
        <f>IFERROR(IF(COLD_CHAIN_EXPANS!$D$18=1,COLD_CHAIN_EXPANS!D23/COLD_CHAIN_EXPANS!F23,(COLD_CHAIN_EXPANS!D23/$F$14)/COLD_CHAIN_EXPANS!F23),0)</f>
        <v>0</v>
      </c>
      <c r="I50" s="143">
        <f t="shared" si="6"/>
        <v>0</v>
      </c>
      <c r="J50" s="119">
        <f>$E50*SUM(COLD_CHAIN_EXPANS!$J23:J23)</f>
        <v>0</v>
      </c>
      <c r="K50" s="119">
        <f>$E50*SUM(COLD_CHAIN_EXPANS!$J23:K23)</f>
        <v>0</v>
      </c>
      <c r="L50" s="119">
        <f>$E50*SUM(COLD_CHAIN_EXPANS!$J23:L23)</f>
        <v>0</v>
      </c>
      <c r="M50" s="119">
        <f>$E50*SUM(COLD_CHAIN_EXPANS!$J23:M23)</f>
        <v>0</v>
      </c>
      <c r="N50" s="119">
        <f>$E50*SUM(COLD_CHAIN_EXPANS!$J23:N23)</f>
        <v>0</v>
      </c>
    </row>
    <row r="51" spans="3:14" s="10" customFormat="1" x14ac:dyDescent="0.2">
      <c r="D51" s="49" t="str">
        <f>COLD_CHAIN_EXPANS!B24</f>
        <v>Cold Storage Equipment Type 5</v>
      </c>
      <c r="E51" s="82">
        <f>IFERROR(IF(COLD_CHAIN_EXPANS!$D$18=1,COLD_CHAIN_EXPANS!D24/COLD_CHAIN_EXPANS!F24,(COLD_CHAIN_EXPANS!D24/$F$14)/COLD_CHAIN_EXPANS!F24),0)</f>
        <v>0</v>
      </c>
      <c r="I51" s="143">
        <f t="shared" si="6"/>
        <v>0</v>
      </c>
      <c r="J51" s="119">
        <f>$E51*SUM(COLD_CHAIN_EXPANS!$J24:J24)</f>
        <v>0</v>
      </c>
      <c r="K51" s="119">
        <f>$E51*SUM(COLD_CHAIN_EXPANS!$J24:K24)</f>
        <v>0</v>
      </c>
      <c r="L51" s="119">
        <f>$E51*SUM(COLD_CHAIN_EXPANS!$J24:L24)</f>
        <v>0</v>
      </c>
      <c r="M51" s="119">
        <f>$E51*SUM(COLD_CHAIN_EXPANS!$J24:M24)</f>
        <v>0</v>
      </c>
      <c r="N51" s="119">
        <f>$E51*SUM(COLD_CHAIN_EXPANS!$J24:N24)</f>
        <v>0</v>
      </c>
    </row>
    <row r="52" spans="3:14" s="10" customFormat="1" x14ac:dyDescent="0.2">
      <c r="D52" s="49" t="str">
        <f>COLD_CHAIN_EXPANS!B25</f>
        <v>Cold Storage Equipment Type 6</v>
      </c>
      <c r="E52" s="82">
        <f>IFERROR(IF(COLD_CHAIN_EXPANS!$D$18=1,COLD_CHAIN_EXPANS!D25/COLD_CHAIN_EXPANS!F25,(COLD_CHAIN_EXPANS!D25/$F$14)/COLD_CHAIN_EXPANS!F25),0)</f>
        <v>0</v>
      </c>
      <c r="I52" s="143">
        <f t="shared" si="6"/>
        <v>0</v>
      </c>
      <c r="J52" s="119">
        <f>$E52*SUM(COLD_CHAIN_EXPANS!$J25:J25)</f>
        <v>0</v>
      </c>
      <c r="K52" s="119">
        <f>$E52*SUM(COLD_CHAIN_EXPANS!$J25:K25)</f>
        <v>0</v>
      </c>
      <c r="L52" s="119">
        <f>$E52*SUM(COLD_CHAIN_EXPANS!$J25:L25)</f>
        <v>0</v>
      </c>
      <c r="M52" s="119">
        <f>$E52*SUM(COLD_CHAIN_EXPANS!$J25:M25)</f>
        <v>0</v>
      </c>
      <c r="N52" s="119">
        <f>$E52*SUM(COLD_CHAIN_EXPANS!$J25:N25)</f>
        <v>0</v>
      </c>
    </row>
    <row r="53" spans="3:14" s="10" customFormat="1" x14ac:dyDescent="0.2">
      <c r="D53" s="49" t="str">
        <f>COLD_CHAIN_EXPANS!B26</f>
        <v>Cold Storage Equipment Type 7</v>
      </c>
      <c r="E53" s="82">
        <f>IFERROR(IF(COLD_CHAIN_EXPANS!$D$18=1,COLD_CHAIN_EXPANS!D26/COLD_CHAIN_EXPANS!F26,(COLD_CHAIN_EXPANS!D26/$F$14)/COLD_CHAIN_EXPANS!F26),0)</f>
        <v>0</v>
      </c>
      <c r="I53" s="143">
        <f t="shared" si="6"/>
        <v>0</v>
      </c>
      <c r="J53" s="119">
        <f>$E53*SUM(COLD_CHAIN_EXPANS!$J26:J26)</f>
        <v>0</v>
      </c>
      <c r="K53" s="119">
        <f>$E53*SUM(COLD_CHAIN_EXPANS!$J26:K26)</f>
        <v>0</v>
      </c>
      <c r="L53" s="119">
        <f>$E53*SUM(COLD_CHAIN_EXPANS!$J26:L26)</f>
        <v>0</v>
      </c>
      <c r="M53" s="119">
        <f>$E53*SUM(COLD_CHAIN_EXPANS!$J26:M26)</f>
        <v>0</v>
      </c>
      <c r="N53" s="119">
        <f>$E53*SUM(COLD_CHAIN_EXPANS!$J26:N26)</f>
        <v>0</v>
      </c>
    </row>
    <row r="54" spans="3:14" s="10" customFormat="1" x14ac:dyDescent="0.2">
      <c r="D54" s="49" t="str">
        <f>COLD_CHAIN_EXPANS!B27</f>
        <v>Cold Storage Equipment Type 8</v>
      </c>
      <c r="E54" s="82">
        <f>IFERROR(IF(COLD_CHAIN_EXPANS!$D$18=1,COLD_CHAIN_EXPANS!D27/COLD_CHAIN_EXPANS!F27,(COLD_CHAIN_EXPANS!D27/$F$14)/COLD_CHAIN_EXPANS!F27),0)</f>
        <v>0</v>
      </c>
      <c r="I54" s="143">
        <f t="shared" si="6"/>
        <v>0</v>
      </c>
      <c r="J54" s="119">
        <f>$E54*SUM(COLD_CHAIN_EXPANS!$J27:J27)</f>
        <v>0</v>
      </c>
      <c r="K54" s="119">
        <f>$E54*SUM(COLD_CHAIN_EXPANS!$J27:K27)</f>
        <v>0</v>
      </c>
      <c r="L54" s="119">
        <f>$E54*SUM(COLD_CHAIN_EXPANS!$J27:L27)</f>
        <v>0</v>
      </c>
      <c r="M54" s="119">
        <f>$E54*SUM(COLD_CHAIN_EXPANS!$J27:M27)</f>
        <v>0</v>
      </c>
      <c r="N54" s="119">
        <f>$E54*SUM(COLD_CHAIN_EXPANS!$J27:N27)</f>
        <v>0</v>
      </c>
    </row>
    <row r="55" spans="3:14" s="10" customFormat="1" x14ac:dyDescent="0.2">
      <c r="D55" s="49" t="str">
        <f>COLD_CHAIN_EXPANS!B28</f>
        <v>Cold Storage Equipment Type 9</v>
      </c>
      <c r="E55" s="82">
        <f>IFERROR(IF(COLD_CHAIN_EXPANS!$D$18=1,COLD_CHAIN_EXPANS!D28/COLD_CHAIN_EXPANS!F28,(COLD_CHAIN_EXPANS!D28/$F$14)/COLD_CHAIN_EXPANS!F28),0)</f>
        <v>0</v>
      </c>
      <c r="I55" s="143">
        <f t="shared" si="6"/>
        <v>0</v>
      </c>
      <c r="J55" s="119">
        <f>$E55*SUM(COLD_CHAIN_EXPANS!$J28:J28)</f>
        <v>0</v>
      </c>
      <c r="K55" s="119">
        <f>$E55*SUM(COLD_CHAIN_EXPANS!$J28:K28)</f>
        <v>0</v>
      </c>
      <c r="L55" s="119">
        <f>$E55*SUM(COLD_CHAIN_EXPANS!$J28:L28)</f>
        <v>0</v>
      </c>
      <c r="M55" s="119">
        <f>$E55*SUM(COLD_CHAIN_EXPANS!$J28:M28)</f>
        <v>0</v>
      </c>
      <c r="N55" s="119">
        <f>$E55*SUM(COLD_CHAIN_EXPANS!$J28:N28)</f>
        <v>0</v>
      </c>
    </row>
    <row r="56" spans="3:14" s="10" customFormat="1" x14ac:dyDescent="0.2">
      <c r="D56" s="49" t="str">
        <f>COLD_CHAIN_EXPANS!B29</f>
        <v>Cold Storage Equipment Type 10</v>
      </c>
      <c r="E56" s="82">
        <f>IFERROR(IF(COLD_CHAIN_EXPANS!$D$18=1,COLD_CHAIN_EXPANS!D29/COLD_CHAIN_EXPANS!F29,(COLD_CHAIN_EXPANS!D29/$F$14)/COLD_CHAIN_EXPANS!F29),0)</f>
        <v>0</v>
      </c>
      <c r="I56" s="143">
        <f t="shared" si="6"/>
        <v>0</v>
      </c>
      <c r="J56" s="119">
        <f>$E56*SUM(COLD_CHAIN_EXPANS!$J29:J29)</f>
        <v>0</v>
      </c>
      <c r="K56" s="119">
        <f>$E56*SUM(COLD_CHAIN_EXPANS!$J29:K29)</f>
        <v>0</v>
      </c>
      <c r="L56" s="119">
        <f>$E56*SUM(COLD_CHAIN_EXPANS!$J29:L29)</f>
        <v>0</v>
      </c>
      <c r="M56" s="119">
        <f>$E56*SUM(COLD_CHAIN_EXPANS!$J29:M29)</f>
        <v>0</v>
      </c>
      <c r="N56" s="119">
        <f>$E56*SUM(COLD_CHAIN_EXPANS!$J29:N29)</f>
        <v>0</v>
      </c>
    </row>
    <row r="57" spans="3:14" s="10" customFormat="1" x14ac:dyDescent="0.2">
      <c r="D57" s="48" t="str">
        <f>Lang_Total_Fin_Costs_Annualized</f>
        <v>Total Financial Costs (ANNUALIZED)</v>
      </c>
      <c r="E57" s="354"/>
      <c r="I57" s="246">
        <f>SUM(I47:I56)</f>
        <v>0</v>
      </c>
      <c r="J57" s="246">
        <f t="shared" ref="J57:N57" si="7">SUM(J47:J56)</f>
        <v>0</v>
      </c>
      <c r="K57" s="246">
        <f t="shared" si="7"/>
        <v>0</v>
      </c>
      <c r="L57" s="246">
        <f t="shared" si="7"/>
        <v>0</v>
      </c>
      <c r="M57" s="246">
        <f t="shared" si="7"/>
        <v>0</v>
      </c>
      <c r="N57" s="246">
        <f t="shared" si="7"/>
        <v>0</v>
      </c>
    </row>
    <row r="58" spans="3:14" s="10" customFormat="1" x14ac:dyDescent="0.2"/>
    <row r="59" spans="3:14" s="10" customFormat="1" x14ac:dyDescent="0.2">
      <c r="C59" s="74" t="str">
        <f>Lang_Econ_Costs_Annualized</f>
        <v>Economic Costs (ANNUALIZED)</v>
      </c>
    </row>
    <row r="60" spans="3:14" s="10" customFormat="1" x14ac:dyDescent="0.2">
      <c r="D60" s="74" t="str">
        <f>Lang_Name_Of_Cold_Storage_Equipment</f>
        <v>Name of Cold Storage Equipment</v>
      </c>
      <c r="E60" s="74" t="str">
        <f>Lang_Unit_Cost_Annualized</f>
        <v>Unit Cost (Annualized)</v>
      </c>
    </row>
    <row r="61" spans="3:14" s="10" customFormat="1" x14ac:dyDescent="0.2">
      <c r="D61" s="49" t="str">
        <f>COLD_CHAIN_EXPANS!B20</f>
        <v>Cold Storage Equipment Type 1</v>
      </c>
      <c r="E61" s="235">
        <f>IFERROR(IF(COLD_CHAIN_EXPANS!$D$18=2,(COLD_CHAIN_EXPANS!E20/(((1+$F$15)^COLD_CHAIN_EXPANS!F20-1)/($F$15*(1+$F$15)^COLD_CHAIN_EXPANS!F20))/$F$14),(COLD_CHAIN_EXPANS!E20/(((1+$F$15)^COLD_CHAIN_EXPANS!F20-1)/($F$15*(1+$F$15)^COLD_CHAIN_EXPANS!F20)))),0)</f>
        <v>0</v>
      </c>
      <c r="I61" s="143">
        <f t="shared" ref="I61:I70" si="8">SUM(J61:N61)</f>
        <v>0</v>
      </c>
      <c r="J61" s="119">
        <f>$E61*SUM(COLD_CHAIN_EXPANS!$J20:J20)</f>
        <v>0</v>
      </c>
      <c r="K61" s="119">
        <f>$E61*SUM(COLD_CHAIN_EXPANS!$J20:K20)</f>
        <v>0</v>
      </c>
      <c r="L61" s="119">
        <f>$E61*SUM(COLD_CHAIN_EXPANS!$J20:L20)</f>
        <v>0</v>
      </c>
      <c r="M61" s="119">
        <f>$E61*SUM(COLD_CHAIN_EXPANS!$J20:M20)</f>
        <v>0</v>
      </c>
      <c r="N61" s="119">
        <f>$E61*SUM(COLD_CHAIN_EXPANS!$J20:N20)</f>
        <v>0</v>
      </c>
    </row>
    <row r="62" spans="3:14" s="10" customFormat="1" x14ac:dyDescent="0.2">
      <c r="D62" s="49" t="str">
        <f>COLD_CHAIN_EXPANS!B21</f>
        <v>Cold Storage Equipment Type 2</v>
      </c>
      <c r="E62" s="235">
        <f>IFERROR(IF(COLD_CHAIN_EXPANS!$D$18=2,(COLD_CHAIN_EXPANS!E21/(((1+$F$15)^COLD_CHAIN_EXPANS!F21-1)/($F$15*(1+$F$15)^COLD_CHAIN_EXPANS!F21))/$F$14),(COLD_CHAIN_EXPANS!E21/(((1+$F$15)^COLD_CHAIN_EXPANS!F21-1)/($F$15*(1+$F$15)^COLD_CHAIN_EXPANS!F21)))),0)</f>
        <v>0</v>
      </c>
      <c r="I62" s="143">
        <f t="shared" si="8"/>
        <v>0</v>
      </c>
      <c r="J62" s="119">
        <f>$E62*SUM(COLD_CHAIN_EXPANS!$J21:J21)</f>
        <v>0</v>
      </c>
      <c r="K62" s="119">
        <f>$E62*SUM(COLD_CHAIN_EXPANS!$J21:K21)</f>
        <v>0</v>
      </c>
      <c r="L62" s="119">
        <f>$E62*SUM(COLD_CHAIN_EXPANS!$J21:L21)</f>
        <v>0</v>
      </c>
      <c r="M62" s="119">
        <f>$E62*SUM(COLD_CHAIN_EXPANS!$J21:M21)</f>
        <v>0</v>
      </c>
      <c r="N62" s="119">
        <f>$E62*SUM(COLD_CHAIN_EXPANS!$J21:N21)</f>
        <v>0</v>
      </c>
    </row>
    <row r="63" spans="3:14" s="10" customFormat="1" x14ac:dyDescent="0.2">
      <c r="D63" s="49" t="str">
        <f>COLD_CHAIN_EXPANS!B22</f>
        <v>Cold Storage Equipment Type 3</v>
      </c>
      <c r="E63" s="235">
        <f>IFERROR(IF(COLD_CHAIN_EXPANS!$D$18=2,(COLD_CHAIN_EXPANS!E22/(((1+$F$15)^COLD_CHAIN_EXPANS!F22-1)/($F$15*(1+$F$15)^COLD_CHAIN_EXPANS!F22))/$F$14),(COLD_CHAIN_EXPANS!E22/(((1+$F$15)^COLD_CHAIN_EXPANS!F22-1)/($F$15*(1+$F$15)^COLD_CHAIN_EXPANS!F22)))),0)</f>
        <v>0</v>
      </c>
      <c r="I63" s="143">
        <f t="shared" si="8"/>
        <v>0</v>
      </c>
      <c r="J63" s="119">
        <f>$E63*SUM(COLD_CHAIN_EXPANS!$J22:J22)</f>
        <v>0</v>
      </c>
      <c r="K63" s="119">
        <f>$E63*SUM(COLD_CHAIN_EXPANS!$J22:K22)</f>
        <v>0</v>
      </c>
      <c r="L63" s="119">
        <f>$E63*SUM(COLD_CHAIN_EXPANS!$J22:L22)</f>
        <v>0</v>
      </c>
      <c r="M63" s="119">
        <f>$E63*SUM(COLD_CHAIN_EXPANS!$J22:M22)</f>
        <v>0</v>
      </c>
      <c r="N63" s="119">
        <f>$E63*SUM(COLD_CHAIN_EXPANS!$J22:N22)</f>
        <v>0</v>
      </c>
    </row>
    <row r="64" spans="3:14" s="10" customFormat="1" x14ac:dyDescent="0.2">
      <c r="D64" s="49" t="str">
        <f>COLD_CHAIN_EXPANS!B23</f>
        <v>Cold Storage Equipment Type 4</v>
      </c>
      <c r="E64" s="235">
        <f>IFERROR(IF(COLD_CHAIN_EXPANS!$D$18=2,(COLD_CHAIN_EXPANS!E23/(((1+$F$15)^COLD_CHAIN_EXPANS!F23-1)/($F$15*(1+$F$15)^COLD_CHAIN_EXPANS!F23))/$F$14),(COLD_CHAIN_EXPANS!E23/(((1+$F$15)^COLD_CHAIN_EXPANS!F23-1)/($F$15*(1+$F$15)^COLD_CHAIN_EXPANS!F23)))),0)</f>
        <v>0</v>
      </c>
      <c r="I64" s="143">
        <f t="shared" si="8"/>
        <v>0</v>
      </c>
      <c r="J64" s="119">
        <f>$E64*SUM(COLD_CHAIN_EXPANS!$J23:J23)</f>
        <v>0</v>
      </c>
      <c r="K64" s="119">
        <f>$E64*SUM(COLD_CHAIN_EXPANS!$J23:K23)</f>
        <v>0</v>
      </c>
      <c r="L64" s="119">
        <f>$E64*SUM(COLD_CHAIN_EXPANS!$J23:L23)</f>
        <v>0</v>
      </c>
      <c r="M64" s="119">
        <f>$E64*SUM(COLD_CHAIN_EXPANS!$J23:M23)</f>
        <v>0</v>
      </c>
      <c r="N64" s="119">
        <f>$E64*SUM(COLD_CHAIN_EXPANS!$J23:N23)</f>
        <v>0</v>
      </c>
    </row>
    <row r="65" spans="2:14" s="10" customFormat="1" x14ac:dyDescent="0.2">
      <c r="D65" s="49" t="str">
        <f>COLD_CHAIN_EXPANS!B24</f>
        <v>Cold Storage Equipment Type 5</v>
      </c>
      <c r="E65" s="235">
        <f>IFERROR(IF(COLD_CHAIN_EXPANS!$D$18=2,(COLD_CHAIN_EXPANS!E24/(((1+$F$15)^COLD_CHAIN_EXPANS!F24-1)/($F$15*(1+$F$15)^COLD_CHAIN_EXPANS!F24))/$F$14),(COLD_CHAIN_EXPANS!E24/(((1+$F$15)^COLD_CHAIN_EXPANS!F24-1)/($F$15*(1+$F$15)^COLD_CHAIN_EXPANS!F24)))),0)</f>
        <v>0</v>
      </c>
      <c r="I65" s="143">
        <f t="shared" si="8"/>
        <v>0</v>
      </c>
      <c r="J65" s="119">
        <f>$E65*SUM(COLD_CHAIN_EXPANS!$J24:J24)</f>
        <v>0</v>
      </c>
      <c r="K65" s="119">
        <f>$E65*SUM(COLD_CHAIN_EXPANS!$J24:K24)</f>
        <v>0</v>
      </c>
      <c r="L65" s="119">
        <f>$E65*SUM(COLD_CHAIN_EXPANS!$J24:L24)</f>
        <v>0</v>
      </c>
      <c r="M65" s="119">
        <f>$E65*SUM(COLD_CHAIN_EXPANS!$J24:M24)</f>
        <v>0</v>
      </c>
      <c r="N65" s="119">
        <f>$E65*SUM(COLD_CHAIN_EXPANS!$J24:N24)</f>
        <v>0</v>
      </c>
    </row>
    <row r="66" spans="2:14" s="10" customFormat="1" x14ac:dyDescent="0.2">
      <c r="D66" s="49" t="str">
        <f>COLD_CHAIN_EXPANS!B25</f>
        <v>Cold Storage Equipment Type 6</v>
      </c>
      <c r="E66" s="235">
        <f>IFERROR(IF(COLD_CHAIN_EXPANS!$D$18=2,(COLD_CHAIN_EXPANS!E25/(((1+$F$15)^COLD_CHAIN_EXPANS!F25-1)/($F$15*(1+$F$15)^COLD_CHAIN_EXPANS!F25))/$F$14),(COLD_CHAIN_EXPANS!E25/(((1+$F$15)^COLD_CHAIN_EXPANS!F25-1)/($F$15*(1+$F$15)^COLD_CHAIN_EXPANS!F25)))),0)</f>
        <v>0</v>
      </c>
      <c r="I66" s="143">
        <f t="shared" si="8"/>
        <v>0</v>
      </c>
      <c r="J66" s="119">
        <f>$E66*SUM(COLD_CHAIN_EXPANS!$J25:J25)</f>
        <v>0</v>
      </c>
      <c r="K66" s="119">
        <f>$E66*SUM(COLD_CHAIN_EXPANS!$J25:K25)</f>
        <v>0</v>
      </c>
      <c r="L66" s="119">
        <f>$E66*SUM(COLD_CHAIN_EXPANS!$J25:L25)</f>
        <v>0</v>
      </c>
      <c r="M66" s="119">
        <f>$E66*SUM(COLD_CHAIN_EXPANS!$J25:M25)</f>
        <v>0</v>
      </c>
      <c r="N66" s="119">
        <f>$E66*SUM(COLD_CHAIN_EXPANS!$J25:N25)</f>
        <v>0</v>
      </c>
    </row>
    <row r="67" spans="2:14" s="10" customFormat="1" x14ac:dyDescent="0.2">
      <c r="D67" s="49" t="str">
        <f>COLD_CHAIN_EXPANS!B26</f>
        <v>Cold Storage Equipment Type 7</v>
      </c>
      <c r="E67" s="235">
        <f>IFERROR(IF(COLD_CHAIN_EXPANS!$D$18=2,(COLD_CHAIN_EXPANS!E26/(((1+$F$15)^COLD_CHAIN_EXPANS!F26-1)/($F$15*(1+$F$15)^COLD_CHAIN_EXPANS!F26))/$F$14),(COLD_CHAIN_EXPANS!E26/(((1+$F$15)^COLD_CHAIN_EXPANS!F26-1)/($F$15*(1+$F$15)^COLD_CHAIN_EXPANS!F26)))),0)</f>
        <v>0</v>
      </c>
      <c r="I67" s="143">
        <f t="shared" si="8"/>
        <v>0</v>
      </c>
      <c r="J67" s="119">
        <f>$E67*SUM(COLD_CHAIN_EXPANS!$J26:J26)</f>
        <v>0</v>
      </c>
      <c r="K67" s="119">
        <f>$E67*SUM(COLD_CHAIN_EXPANS!$J26:K26)</f>
        <v>0</v>
      </c>
      <c r="L67" s="119">
        <f>$E67*SUM(COLD_CHAIN_EXPANS!$J26:L26)</f>
        <v>0</v>
      </c>
      <c r="M67" s="119">
        <f>$E67*SUM(COLD_CHAIN_EXPANS!$J26:M26)</f>
        <v>0</v>
      </c>
      <c r="N67" s="119">
        <f>$E67*SUM(COLD_CHAIN_EXPANS!$J26:N26)</f>
        <v>0</v>
      </c>
    </row>
    <row r="68" spans="2:14" s="10" customFormat="1" x14ac:dyDescent="0.2">
      <c r="D68" s="49" t="str">
        <f>COLD_CHAIN_EXPANS!B27</f>
        <v>Cold Storage Equipment Type 8</v>
      </c>
      <c r="E68" s="235">
        <f>IFERROR(IF(COLD_CHAIN_EXPANS!$D$18=2,(COLD_CHAIN_EXPANS!E27/(((1+$F$15)^COLD_CHAIN_EXPANS!F27-1)/($F$15*(1+$F$15)^COLD_CHAIN_EXPANS!F27))/$F$14),(COLD_CHAIN_EXPANS!E27/(((1+$F$15)^COLD_CHAIN_EXPANS!F27-1)/($F$15*(1+$F$15)^COLD_CHAIN_EXPANS!F27)))),0)</f>
        <v>0</v>
      </c>
      <c r="I68" s="143">
        <f t="shared" si="8"/>
        <v>0</v>
      </c>
      <c r="J68" s="119">
        <f>$E68*SUM(COLD_CHAIN_EXPANS!$J27:J27)</f>
        <v>0</v>
      </c>
      <c r="K68" s="119">
        <f>$E68*SUM(COLD_CHAIN_EXPANS!$J27:K27)</f>
        <v>0</v>
      </c>
      <c r="L68" s="119">
        <f>$E68*SUM(COLD_CHAIN_EXPANS!$J27:L27)</f>
        <v>0</v>
      </c>
      <c r="M68" s="119">
        <f>$E68*SUM(COLD_CHAIN_EXPANS!$J27:M27)</f>
        <v>0</v>
      </c>
      <c r="N68" s="119">
        <f>$E68*SUM(COLD_CHAIN_EXPANS!$J27:N27)</f>
        <v>0</v>
      </c>
    </row>
    <row r="69" spans="2:14" s="10" customFormat="1" x14ac:dyDescent="0.2">
      <c r="D69" s="49" t="str">
        <f>COLD_CHAIN_EXPANS!B28</f>
        <v>Cold Storage Equipment Type 9</v>
      </c>
      <c r="E69" s="235">
        <f>IFERROR(IF(COLD_CHAIN_EXPANS!$D$18=2,(COLD_CHAIN_EXPANS!E28/(((1+$F$15)^COLD_CHAIN_EXPANS!F28-1)/($F$15*(1+$F$15)^COLD_CHAIN_EXPANS!F28))/$F$14),(COLD_CHAIN_EXPANS!E28/(((1+$F$15)^COLD_CHAIN_EXPANS!F28-1)/($F$15*(1+$F$15)^COLD_CHAIN_EXPANS!F28)))),0)</f>
        <v>0</v>
      </c>
      <c r="I69" s="143">
        <f t="shared" si="8"/>
        <v>0</v>
      </c>
      <c r="J69" s="119">
        <f>$E69*SUM(COLD_CHAIN_EXPANS!$J28:J28)</f>
        <v>0</v>
      </c>
      <c r="K69" s="119">
        <f>$E69*SUM(COLD_CHAIN_EXPANS!$J28:K28)</f>
        <v>0</v>
      </c>
      <c r="L69" s="119">
        <f>$E69*SUM(COLD_CHAIN_EXPANS!$J28:L28)</f>
        <v>0</v>
      </c>
      <c r="M69" s="119">
        <f>$E69*SUM(COLD_CHAIN_EXPANS!$J28:M28)</f>
        <v>0</v>
      </c>
      <c r="N69" s="119">
        <f>$E69*SUM(COLD_CHAIN_EXPANS!$J28:N28)</f>
        <v>0</v>
      </c>
    </row>
    <row r="70" spans="2:14" s="10" customFormat="1" x14ac:dyDescent="0.2">
      <c r="D70" s="49" t="str">
        <f>COLD_CHAIN_EXPANS!B29</f>
        <v>Cold Storage Equipment Type 10</v>
      </c>
      <c r="E70" s="235">
        <f>IFERROR(IF(COLD_CHAIN_EXPANS!$D$18=2,(COLD_CHAIN_EXPANS!E29/(((1+$F$15)^COLD_CHAIN_EXPANS!F29-1)/($F$15*(1+$F$15)^COLD_CHAIN_EXPANS!F29))/$F$14),(COLD_CHAIN_EXPANS!E29/(((1+$F$15)^COLD_CHAIN_EXPANS!F29-1)/($F$15*(1+$F$15)^COLD_CHAIN_EXPANS!F29)))),0)</f>
        <v>0</v>
      </c>
      <c r="I70" s="143">
        <f t="shared" si="8"/>
        <v>0</v>
      </c>
      <c r="J70" s="119">
        <f>$E70*SUM(COLD_CHAIN_EXPANS!$J29:J29)</f>
        <v>0</v>
      </c>
      <c r="K70" s="119">
        <f>$E70*SUM(COLD_CHAIN_EXPANS!$J29:K29)</f>
        <v>0</v>
      </c>
      <c r="L70" s="119">
        <f>$E70*SUM(COLD_CHAIN_EXPANS!$J29:L29)</f>
        <v>0</v>
      </c>
      <c r="M70" s="119">
        <f>$E70*SUM(COLD_CHAIN_EXPANS!$J29:M29)</f>
        <v>0</v>
      </c>
      <c r="N70" s="119">
        <f>$E70*SUM(COLD_CHAIN_EXPANS!$J29:N29)</f>
        <v>0</v>
      </c>
    </row>
    <row r="71" spans="2:14" s="10" customFormat="1" x14ac:dyDescent="0.2">
      <c r="D71" s="48" t="str">
        <f>Lang_Total_Econ_Costs_Annualized</f>
        <v>Total Economic Costs (ANNUALIZED)</v>
      </c>
      <c r="E71" s="144"/>
      <c r="I71" s="246">
        <f>SUM(I61:I70)</f>
        <v>0</v>
      </c>
      <c r="J71" s="246">
        <f t="shared" ref="J71:N71" si="9">SUM(J61:J70)</f>
        <v>0</v>
      </c>
      <c r="K71" s="246">
        <f t="shared" si="9"/>
        <v>0</v>
      </c>
      <c r="L71" s="246">
        <f t="shared" si="9"/>
        <v>0</v>
      </c>
      <c r="M71" s="246">
        <f t="shared" si="9"/>
        <v>0</v>
      </c>
      <c r="N71" s="246">
        <f t="shared" si="9"/>
        <v>0</v>
      </c>
    </row>
    <row r="72" spans="2:14" s="10" customFormat="1" x14ac:dyDescent="0.2"/>
    <row r="73" spans="2:14" s="10" customFormat="1" x14ac:dyDescent="0.2"/>
    <row r="74" spans="2:14" s="10" customFormat="1" x14ac:dyDescent="0.2">
      <c r="B74" s="65" t="str">
        <f>COLD_Lu!$D$13</f>
        <v>LCU</v>
      </c>
    </row>
    <row r="75" spans="2:14" s="10" customFormat="1" x14ac:dyDescent="0.2"/>
    <row r="76" spans="2:14" s="10" customFormat="1" x14ac:dyDescent="0.2">
      <c r="C76" s="74" t="str">
        <f>Lang_Fin_Costs</f>
        <v>FINANCIAL COSTS</v>
      </c>
    </row>
    <row r="77" spans="2:14" s="10" customFormat="1" x14ac:dyDescent="0.2">
      <c r="D77" s="74" t="str">
        <f>Lang_Name_Of_Cold_Storage_Equipment</f>
        <v>Name of Cold Storage Equipment</v>
      </c>
      <c r="E77" s="74" t="str">
        <f>Lang_Unit_Cost</f>
        <v>Unit Cost</v>
      </c>
      <c r="I77" s="74" t="str">
        <f>Lang_All_Years</f>
        <v>ALL YEARS</v>
      </c>
    </row>
    <row r="78" spans="2:14" s="10" customFormat="1" x14ac:dyDescent="0.2">
      <c r="D78" s="49" t="str">
        <f>COLD_CHAIN_EXPANS!B20</f>
        <v>Cold Storage Equipment Type 1</v>
      </c>
      <c r="E78" s="42">
        <f t="shared" ref="E78:E87" si="10">E20*$F$14</f>
        <v>0</v>
      </c>
      <c r="I78" s="142">
        <f t="shared" ref="I78:I87" si="11">SUM(J78:N78)</f>
        <v>0</v>
      </c>
      <c r="J78" s="42">
        <f t="shared" ref="J78:N87" si="12">J20*$F$14</f>
        <v>0</v>
      </c>
      <c r="K78" s="42">
        <f t="shared" si="12"/>
        <v>0</v>
      </c>
      <c r="L78" s="42">
        <f t="shared" si="12"/>
        <v>0</v>
      </c>
      <c r="M78" s="42">
        <f t="shared" si="12"/>
        <v>0</v>
      </c>
      <c r="N78" s="42">
        <f t="shared" si="12"/>
        <v>0</v>
      </c>
    </row>
    <row r="79" spans="2:14" s="10" customFormat="1" x14ac:dyDescent="0.2">
      <c r="D79" s="49" t="str">
        <f>COLD_CHAIN_EXPANS!B21</f>
        <v>Cold Storage Equipment Type 2</v>
      </c>
      <c r="E79" s="42">
        <f t="shared" si="10"/>
        <v>0</v>
      </c>
      <c r="I79" s="142">
        <f t="shared" si="11"/>
        <v>0</v>
      </c>
      <c r="J79" s="42">
        <f t="shared" si="12"/>
        <v>0</v>
      </c>
      <c r="K79" s="42">
        <f t="shared" si="12"/>
        <v>0</v>
      </c>
      <c r="L79" s="42">
        <f t="shared" si="12"/>
        <v>0</v>
      </c>
      <c r="M79" s="42">
        <f t="shared" si="12"/>
        <v>0</v>
      </c>
      <c r="N79" s="42">
        <f t="shared" si="12"/>
        <v>0</v>
      </c>
    </row>
    <row r="80" spans="2:14" s="10" customFormat="1" x14ac:dyDescent="0.2">
      <c r="D80" s="49" t="str">
        <f>COLD_CHAIN_EXPANS!B22</f>
        <v>Cold Storage Equipment Type 3</v>
      </c>
      <c r="E80" s="42">
        <f t="shared" si="10"/>
        <v>0</v>
      </c>
      <c r="I80" s="142">
        <f t="shared" si="11"/>
        <v>0</v>
      </c>
      <c r="J80" s="42">
        <f t="shared" si="12"/>
        <v>0</v>
      </c>
      <c r="K80" s="42">
        <f t="shared" si="12"/>
        <v>0</v>
      </c>
      <c r="L80" s="42">
        <f t="shared" si="12"/>
        <v>0</v>
      </c>
      <c r="M80" s="42">
        <f t="shared" si="12"/>
        <v>0</v>
      </c>
      <c r="N80" s="42">
        <f t="shared" si="12"/>
        <v>0</v>
      </c>
    </row>
    <row r="81" spans="3:14" s="10" customFormat="1" x14ac:dyDescent="0.2">
      <c r="D81" s="49" t="str">
        <f>COLD_CHAIN_EXPANS!B23</f>
        <v>Cold Storage Equipment Type 4</v>
      </c>
      <c r="E81" s="42">
        <f t="shared" si="10"/>
        <v>0</v>
      </c>
      <c r="I81" s="142">
        <f t="shared" si="11"/>
        <v>0</v>
      </c>
      <c r="J81" s="42">
        <f t="shared" si="12"/>
        <v>0</v>
      </c>
      <c r="K81" s="42">
        <f t="shared" si="12"/>
        <v>0</v>
      </c>
      <c r="L81" s="42">
        <f t="shared" si="12"/>
        <v>0</v>
      </c>
      <c r="M81" s="42">
        <f t="shared" si="12"/>
        <v>0</v>
      </c>
      <c r="N81" s="42">
        <f t="shared" si="12"/>
        <v>0</v>
      </c>
    </row>
    <row r="82" spans="3:14" s="10" customFormat="1" x14ac:dyDescent="0.2">
      <c r="D82" s="49" t="str">
        <f>COLD_CHAIN_EXPANS!B24</f>
        <v>Cold Storage Equipment Type 5</v>
      </c>
      <c r="E82" s="42">
        <f t="shared" si="10"/>
        <v>0</v>
      </c>
      <c r="I82" s="142">
        <f t="shared" si="11"/>
        <v>0</v>
      </c>
      <c r="J82" s="42">
        <f t="shared" si="12"/>
        <v>0</v>
      </c>
      <c r="K82" s="42">
        <f t="shared" si="12"/>
        <v>0</v>
      </c>
      <c r="L82" s="42">
        <f t="shared" si="12"/>
        <v>0</v>
      </c>
      <c r="M82" s="42">
        <f t="shared" si="12"/>
        <v>0</v>
      </c>
      <c r="N82" s="42">
        <f t="shared" si="12"/>
        <v>0</v>
      </c>
    </row>
    <row r="83" spans="3:14" s="10" customFormat="1" x14ac:dyDescent="0.2">
      <c r="D83" s="49" t="str">
        <f>COLD_CHAIN_EXPANS!B25</f>
        <v>Cold Storage Equipment Type 6</v>
      </c>
      <c r="E83" s="42">
        <f t="shared" si="10"/>
        <v>0</v>
      </c>
      <c r="I83" s="142">
        <f t="shared" si="11"/>
        <v>0</v>
      </c>
      <c r="J83" s="42">
        <f t="shared" si="12"/>
        <v>0</v>
      </c>
      <c r="K83" s="42">
        <f t="shared" si="12"/>
        <v>0</v>
      </c>
      <c r="L83" s="42">
        <f t="shared" si="12"/>
        <v>0</v>
      </c>
      <c r="M83" s="42">
        <f t="shared" si="12"/>
        <v>0</v>
      </c>
      <c r="N83" s="42">
        <f t="shared" si="12"/>
        <v>0</v>
      </c>
    </row>
    <row r="84" spans="3:14" s="10" customFormat="1" x14ac:dyDescent="0.2">
      <c r="D84" s="49" t="str">
        <f>COLD_CHAIN_EXPANS!B26</f>
        <v>Cold Storage Equipment Type 7</v>
      </c>
      <c r="E84" s="42">
        <f t="shared" si="10"/>
        <v>0</v>
      </c>
      <c r="I84" s="142">
        <f t="shared" si="11"/>
        <v>0</v>
      </c>
      <c r="J84" s="42">
        <f t="shared" si="12"/>
        <v>0</v>
      </c>
      <c r="K84" s="42">
        <f t="shared" si="12"/>
        <v>0</v>
      </c>
      <c r="L84" s="42">
        <f t="shared" si="12"/>
        <v>0</v>
      </c>
      <c r="M84" s="42">
        <f t="shared" si="12"/>
        <v>0</v>
      </c>
      <c r="N84" s="42">
        <f t="shared" si="12"/>
        <v>0</v>
      </c>
    </row>
    <row r="85" spans="3:14" s="10" customFormat="1" x14ac:dyDescent="0.2">
      <c r="D85" s="49" t="str">
        <f>COLD_CHAIN_EXPANS!B27</f>
        <v>Cold Storage Equipment Type 8</v>
      </c>
      <c r="E85" s="42">
        <f t="shared" si="10"/>
        <v>0</v>
      </c>
      <c r="I85" s="142">
        <f t="shared" si="11"/>
        <v>0</v>
      </c>
      <c r="J85" s="42">
        <f t="shared" si="12"/>
        <v>0</v>
      </c>
      <c r="K85" s="42">
        <f t="shared" si="12"/>
        <v>0</v>
      </c>
      <c r="L85" s="42">
        <f t="shared" si="12"/>
        <v>0</v>
      </c>
      <c r="M85" s="42">
        <f t="shared" si="12"/>
        <v>0</v>
      </c>
      <c r="N85" s="42">
        <f t="shared" si="12"/>
        <v>0</v>
      </c>
    </row>
    <row r="86" spans="3:14" s="10" customFormat="1" x14ac:dyDescent="0.2">
      <c r="D86" s="49" t="str">
        <f>COLD_CHAIN_EXPANS!B28</f>
        <v>Cold Storage Equipment Type 9</v>
      </c>
      <c r="E86" s="42">
        <f t="shared" si="10"/>
        <v>0</v>
      </c>
      <c r="I86" s="142">
        <f t="shared" si="11"/>
        <v>0</v>
      </c>
      <c r="J86" s="42">
        <f t="shared" si="12"/>
        <v>0</v>
      </c>
      <c r="K86" s="42">
        <f t="shared" si="12"/>
        <v>0</v>
      </c>
      <c r="L86" s="42">
        <f t="shared" si="12"/>
        <v>0</v>
      </c>
      <c r="M86" s="42">
        <f t="shared" si="12"/>
        <v>0</v>
      </c>
      <c r="N86" s="42">
        <f t="shared" si="12"/>
        <v>0</v>
      </c>
    </row>
    <row r="87" spans="3:14" s="10" customFormat="1" x14ac:dyDescent="0.2">
      <c r="D87" s="49" t="str">
        <f>COLD_CHAIN_EXPANS!B29</f>
        <v>Cold Storage Equipment Type 10</v>
      </c>
      <c r="E87" s="42">
        <f t="shared" si="10"/>
        <v>0</v>
      </c>
      <c r="I87" s="142">
        <f t="shared" si="11"/>
        <v>0</v>
      </c>
      <c r="J87" s="42">
        <f t="shared" si="12"/>
        <v>0</v>
      </c>
      <c r="K87" s="42">
        <f t="shared" si="12"/>
        <v>0</v>
      </c>
      <c r="L87" s="42">
        <f t="shared" si="12"/>
        <v>0</v>
      </c>
      <c r="M87" s="42">
        <f t="shared" si="12"/>
        <v>0</v>
      </c>
      <c r="N87" s="42">
        <f t="shared" si="12"/>
        <v>0</v>
      </c>
    </row>
    <row r="88" spans="3:14" s="10" customFormat="1" x14ac:dyDescent="0.2">
      <c r="D88" s="48" t="str">
        <f>Lang_Total_Fin_Costs</f>
        <v>TOTAL FINANCIAL COSTS</v>
      </c>
      <c r="E88" s="354"/>
      <c r="I88" s="247">
        <f>SUM(I78:I87)</f>
        <v>0</v>
      </c>
      <c r="J88" s="247">
        <f t="shared" ref="J88:N88" si="13">SUM(J78:J87)</f>
        <v>0</v>
      </c>
      <c r="K88" s="247">
        <f t="shared" si="13"/>
        <v>0</v>
      </c>
      <c r="L88" s="247">
        <f t="shared" si="13"/>
        <v>0</v>
      </c>
      <c r="M88" s="247">
        <f t="shared" si="13"/>
        <v>0</v>
      </c>
      <c r="N88" s="247">
        <f t="shared" si="13"/>
        <v>0</v>
      </c>
    </row>
    <row r="89" spans="3:14" s="10" customFormat="1" x14ac:dyDescent="0.2">
      <c r="C89" s="74" t="str">
        <f>Lang_Econ_Costs</f>
        <v>ECONOMIC COSTS</v>
      </c>
    </row>
    <row r="90" spans="3:14" s="10" customFormat="1" x14ac:dyDescent="0.2">
      <c r="D90" s="74" t="str">
        <f>Lang_Name_Of_Cold_Storage_Equipment</f>
        <v>Name of Cold Storage Equipment</v>
      </c>
      <c r="E90" s="74" t="str">
        <f>Lang_Unit_Cost</f>
        <v>Unit Cost</v>
      </c>
    </row>
    <row r="91" spans="3:14" s="10" customFormat="1" x14ac:dyDescent="0.2">
      <c r="D91" s="49" t="str">
        <f>COLD_CHAIN_EXPANS!B20</f>
        <v>Cold Storage Equipment Type 1</v>
      </c>
      <c r="E91" s="42">
        <f t="shared" ref="E91:E100" si="14">E33*$F$14</f>
        <v>0</v>
      </c>
      <c r="I91" s="142">
        <f t="shared" ref="I91:I100" si="15">SUM(J91:N91)</f>
        <v>0</v>
      </c>
      <c r="J91" s="42">
        <f t="shared" ref="J91:N100" si="16">J33*$F$14</f>
        <v>0</v>
      </c>
      <c r="K91" s="42">
        <f t="shared" si="16"/>
        <v>0</v>
      </c>
      <c r="L91" s="42">
        <f t="shared" si="16"/>
        <v>0</v>
      </c>
      <c r="M91" s="42">
        <f t="shared" si="16"/>
        <v>0</v>
      </c>
      <c r="N91" s="42">
        <f t="shared" si="16"/>
        <v>0</v>
      </c>
    </row>
    <row r="92" spans="3:14" s="10" customFormat="1" x14ac:dyDescent="0.2">
      <c r="D92" s="49" t="str">
        <f>COLD_CHAIN_EXPANS!B21</f>
        <v>Cold Storage Equipment Type 2</v>
      </c>
      <c r="E92" s="42">
        <f t="shared" si="14"/>
        <v>0</v>
      </c>
      <c r="I92" s="142">
        <f t="shared" si="15"/>
        <v>0</v>
      </c>
      <c r="J92" s="42">
        <f t="shared" si="16"/>
        <v>0</v>
      </c>
      <c r="K92" s="42">
        <f t="shared" si="16"/>
        <v>0</v>
      </c>
      <c r="L92" s="42">
        <f t="shared" si="16"/>
        <v>0</v>
      </c>
      <c r="M92" s="42">
        <f t="shared" si="16"/>
        <v>0</v>
      </c>
      <c r="N92" s="42">
        <f t="shared" si="16"/>
        <v>0</v>
      </c>
    </row>
    <row r="93" spans="3:14" s="10" customFormat="1" x14ac:dyDescent="0.2">
      <c r="D93" s="49" t="str">
        <f>COLD_CHAIN_EXPANS!B22</f>
        <v>Cold Storage Equipment Type 3</v>
      </c>
      <c r="E93" s="42">
        <f t="shared" si="14"/>
        <v>0</v>
      </c>
      <c r="I93" s="142">
        <f t="shared" si="15"/>
        <v>0</v>
      </c>
      <c r="J93" s="42">
        <f t="shared" si="16"/>
        <v>0</v>
      </c>
      <c r="K93" s="42">
        <f t="shared" si="16"/>
        <v>0</v>
      </c>
      <c r="L93" s="42">
        <f t="shared" si="16"/>
        <v>0</v>
      </c>
      <c r="M93" s="42">
        <f t="shared" si="16"/>
        <v>0</v>
      </c>
      <c r="N93" s="42">
        <f t="shared" si="16"/>
        <v>0</v>
      </c>
    </row>
    <row r="94" spans="3:14" s="10" customFormat="1" x14ac:dyDescent="0.2">
      <c r="D94" s="49" t="str">
        <f>COLD_CHAIN_EXPANS!B23</f>
        <v>Cold Storage Equipment Type 4</v>
      </c>
      <c r="E94" s="42">
        <f t="shared" si="14"/>
        <v>0</v>
      </c>
      <c r="I94" s="142">
        <f t="shared" si="15"/>
        <v>0</v>
      </c>
      <c r="J94" s="42">
        <f t="shared" si="16"/>
        <v>0</v>
      </c>
      <c r="K94" s="42">
        <f t="shared" si="16"/>
        <v>0</v>
      </c>
      <c r="L94" s="42">
        <f t="shared" si="16"/>
        <v>0</v>
      </c>
      <c r="M94" s="42">
        <f t="shared" si="16"/>
        <v>0</v>
      </c>
      <c r="N94" s="42">
        <f t="shared" si="16"/>
        <v>0</v>
      </c>
    </row>
    <row r="95" spans="3:14" s="10" customFormat="1" x14ac:dyDescent="0.2">
      <c r="D95" s="49" t="str">
        <f>COLD_CHAIN_EXPANS!B24</f>
        <v>Cold Storage Equipment Type 5</v>
      </c>
      <c r="E95" s="42">
        <f t="shared" si="14"/>
        <v>0</v>
      </c>
      <c r="I95" s="142">
        <f t="shared" si="15"/>
        <v>0</v>
      </c>
      <c r="J95" s="42">
        <f t="shared" si="16"/>
        <v>0</v>
      </c>
      <c r="K95" s="42">
        <f t="shared" si="16"/>
        <v>0</v>
      </c>
      <c r="L95" s="42">
        <f t="shared" si="16"/>
        <v>0</v>
      </c>
      <c r="M95" s="42">
        <f t="shared" si="16"/>
        <v>0</v>
      </c>
      <c r="N95" s="42">
        <f t="shared" si="16"/>
        <v>0</v>
      </c>
    </row>
    <row r="96" spans="3:14" s="10" customFormat="1" x14ac:dyDescent="0.2">
      <c r="D96" s="49" t="str">
        <f>COLD_CHAIN_EXPANS!B25</f>
        <v>Cold Storage Equipment Type 6</v>
      </c>
      <c r="E96" s="42">
        <f t="shared" si="14"/>
        <v>0</v>
      </c>
      <c r="I96" s="142">
        <f t="shared" si="15"/>
        <v>0</v>
      </c>
      <c r="J96" s="42">
        <f t="shared" si="16"/>
        <v>0</v>
      </c>
      <c r="K96" s="42">
        <f t="shared" si="16"/>
        <v>0</v>
      </c>
      <c r="L96" s="42">
        <f t="shared" si="16"/>
        <v>0</v>
      </c>
      <c r="M96" s="42">
        <f t="shared" si="16"/>
        <v>0</v>
      </c>
      <c r="N96" s="42">
        <f t="shared" si="16"/>
        <v>0</v>
      </c>
    </row>
    <row r="97" spans="3:14" s="10" customFormat="1" x14ac:dyDescent="0.2">
      <c r="D97" s="49" t="str">
        <f>COLD_CHAIN_EXPANS!B26</f>
        <v>Cold Storage Equipment Type 7</v>
      </c>
      <c r="E97" s="42">
        <f t="shared" si="14"/>
        <v>0</v>
      </c>
      <c r="I97" s="142">
        <f t="shared" si="15"/>
        <v>0</v>
      </c>
      <c r="J97" s="42">
        <f t="shared" si="16"/>
        <v>0</v>
      </c>
      <c r="K97" s="42">
        <f t="shared" si="16"/>
        <v>0</v>
      </c>
      <c r="L97" s="42">
        <f t="shared" si="16"/>
        <v>0</v>
      </c>
      <c r="M97" s="42">
        <f t="shared" si="16"/>
        <v>0</v>
      </c>
      <c r="N97" s="42">
        <f t="shared" si="16"/>
        <v>0</v>
      </c>
    </row>
    <row r="98" spans="3:14" s="10" customFormat="1" x14ac:dyDescent="0.2">
      <c r="D98" s="49" t="str">
        <f>COLD_CHAIN_EXPANS!B27</f>
        <v>Cold Storage Equipment Type 8</v>
      </c>
      <c r="E98" s="42">
        <f t="shared" si="14"/>
        <v>0</v>
      </c>
      <c r="I98" s="142">
        <f t="shared" si="15"/>
        <v>0</v>
      </c>
      <c r="J98" s="42">
        <f t="shared" si="16"/>
        <v>0</v>
      </c>
      <c r="K98" s="42">
        <f t="shared" si="16"/>
        <v>0</v>
      </c>
      <c r="L98" s="42">
        <f t="shared" si="16"/>
        <v>0</v>
      </c>
      <c r="M98" s="42">
        <f t="shared" si="16"/>
        <v>0</v>
      </c>
      <c r="N98" s="42">
        <f t="shared" si="16"/>
        <v>0</v>
      </c>
    </row>
    <row r="99" spans="3:14" s="10" customFormat="1" x14ac:dyDescent="0.2">
      <c r="D99" s="49" t="str">
        <f>COLD_CHAIN_EXPANS!B28</f>
        <v>Cold Storage Equipment Type 9</v>
      </c>
      <c r="E99" s="42">
        <f t="shared" si="14"/>
        <v>0</v>
      </c>
      <c r="I99" s="142">
        <f t="shared" si="15"/>
        <v>0</v>
      </c>
      <c r="J99" s="42">
        <f t="shared" si="16"/>
        <v>0</v>
      </c>
      <c r="K99" s="42">
        <f t="shared" si="16"/>
        <v>0</v>
      </c>
      <c r="L99" s="42">
        <f t="shared" si="16"/>
        <v>0</v>
      </c>
      <c r="M99" s="42">
        <f t="shared" si="16"/>
        <v>0</v>
      </c>
      <c r="N99" s="42">
        <f t="shared" si="16"/>
        <v>0</v>
      </c>
    </row>
    <row r="100" spans="3:14" s="10" customFormat="1" x14ac:dyDescent="0.2">
      <c r="D100" s="49" t="str">
        <f>COLD_CHAIN_EXPANS!B29</f>
        <v>Cold Storage Equipment Type 10</v>
      </c>
      <c r="E100" s="42">
        <f t="shared" si="14"/>
        <v>0</v>
      </c>
      <c r="I100" s="142">
        <f t="shared" si="15"/>
        <v>0</v>
      </c>
      <c r="J100" s="42">
        <f t="shared" si="16"/>
        <v>0</v>
      </c>
      <c r="K100" s="42">
        <f t="shared" si="16"/>
        <v>0</v>
      </c>
      <c r="L100" s="42">
        <f t="shared" si="16"/>
        <v>0</v>
      </c>
      <c r="M100" s="42">
        <f t="shared" si="16"/>
        <v>0</v>
      </c>
      <c r="N100" s="42">
        <f t="shared" si="16"/>
        <v>0</v>
      </c>
    </row>
    <row r="101" spans="3:14" s="10" customFormat="1" x14ac:dyDescent="0.2">
      <c r="D101" s="48" t="str">
        <f>Lang_Total_Econ_Costs</f>
        <v>TOTAL ECONOMIC COSTS</v>
      </c>
      <c r="E101" s="354"/>
      <c r="I101" s="247">
        <f>SUM(I91:I100)</f>
        <v>0</v>
      </c>
      <c r="J101" s="247">
        <f t="shared" ref="J101:N101" si="17">SUM(J91:J100)</f>
        <v>0</v>
      </c>
      <c r="K101" s="247">
        <f t="shared" si="17"/>
        <v>0</v>
      </c>
      <c r="L101" s="247">
        <f t="shared" si="17"/>
        <v>0</v>
      </c>
      <c r="M101" s="247">
        <f t="shared" si="17"/>
        <v>0</v>
      </c>
      <c r="N101" s="247">
        <f t="shared" si="17"/>
        <v>0</v>
      </c>
    </row>
    <row r="102" spans="3:14" s="10" customFormat="1" x14ac:dyDescent="0.2"/>
    <row r="103" spans="3:14" s="10" customFormat="1" x14ac:dyDescent="0.2">
      <c r="C103" s="74" t="str">
        <f>Lang_Fin_Costs_Annualized</f>
        <v>Financial Costs (ANNUALIZED)</v>
      </c>
    </row>
    <row r="104" spans="3:14" s="10" customFormat="1" x14ac:dyDescent="0.2">
      <c r="D104" s="74" t="str">
        <f>Lang_Name_Of_Cold_Storage_Equipment</f>
        <v>Name of Cold Storage Equipment</v>
      </c>
      <c r="E104" s="74" t="str">
        <f>Lang_Unit_Cost_Annualized</f>
        <v>Unit Cost (Annualized)</v>
      </c>
    </row>
    <row r="105" spans="3:14" s="10" customFormat="1" x14ac:dyDescent="0.2">
      <c r="D105" s="49" t="str">
        <f>COLD_CHAIN_EXPANS!B20</f>
        <v>Cold Storage Equipment Type 1</v>
      </c>
      <c r="E105" s="42">
        <f t="shared" ref="E105:E114" si="18">E47*$F$14</f>
        <v>0</v>
      </c>
      <c r="I105" s="142">
        <f t="shared" ref="I105:I114" si="19">SUM(J105:N105)</f>
        <v>0</v>
      </c>
      <c r="J105" s="42">
        <f t="shared" ref="J105:N114" si="20">J47*$F$14</f>
        <v>0</v>
      </c>
      <c r="K105" s="42">
        <f t="shared" si="20"/>
        <v>0</v>
      </c>
      <c r="L105" s="42">
        <f t="shared" si="20"/>
        <v>0</v>
      </c>
      <c r="M105" s="42">
        <f t="shared" si="20"/>
        <v>0</v>
      </c>
      <c r="N105" s="42">
        <f t="shared" si="20"/>
        <v>0</v>
      </c>
    </row>
    <row r="106" spans="3:14" s="10" customFormat="1" x14ac:dyDescent="0.2">
      <c r="D106" s="49" t="str">
        <f>COLD_CHAIN_EXPANS!B21</f>
        <v>Cold Storage Equipment Type 2</v>
      </c>
      <c r="E106" s="42">
        <f t="shared" si="18"/>
        <v>0</v>
      </c>
      <c r="I106" s="142">
        <f t="shared" si="19"/>
        <v>0</v>
      </c>
      <c r="J106" s="42">
        <f t="shared" si="20"/>
        <v>0</v>
      </c>
      <c r="K106" s="42">
        <f t="shared" si="20"/>
        <v>0</v>
      </c>
      <c r="L106" s="42">
        <f t="shared" si="20"/>
        <v>0</v>
      </c>
      <c r="M106" s="42">
        <f t="shared" si="20"/>
        <v>0</v>
      </c>
      <c r="N106" s="42">
        <f t="shared" si="20"/>
        <v>0</v>
      </c>
    </row>
    <row r="107" spans="3:14" s="10" customFormat="1" x14ac:dyDescent="0.2">
      <c r="D107" s="49" t="str">
        <f>COLD_CHAIN_EXPANS!B22</f>
        <v>Cold Storage Equipment Type 3</v>
      </c>
      <c r="E107" s="42">
        <f t="shared" si="18"/>
        <v>0</v>
      </c>
      <c r="I107" s="142">
        <f t="shared" si="19"/>
        <v>0</v>
      </c>
      <c r="J107" s="42">
        <f t="shared" si="20"/>
        <v>0</v>
      </c>
      <c r="K107" s="42">
        <f t="shared" si="20"/>
        <v>0</v>
      </c>
      <c r="L107" s="42">
        <f t="shared" si="20"/>
        <v>0</v>
      </c>
      <c r="M107" s="42">
        <f t="shared" si="20"/>
        <v>0</v>
      </c>
      <c r="N107" s="42">
        <f t="shared" si="20"/>
        <v>0</v>
      </c>
    </row>
    <row r="108" spans="3:14" s="10" customFormat="1" x14ac:dyDescent="0.2">
      <c r="D108" s="49" t="str">
        <f>COLD_CHAIN_EXPANS!B23</f>
        <v>Cold Storage Equipment Type 4</v>
      </c>
      <c r="E108" s="42">
        <f t="shared" si="18"/>
        <v>0</v>
      </c>
      <c r="I108" s="142">
        <f t="shared" si="19"/>
        <v>0</v>
      </c>
      <c r="J108" s="42">
        <f t="shared" si="20"/>
        <v>0</v>
      </c>
      <c r="K108" s="42">
        <f t="shared" si="20"/>
        <v>0</v>
      </c>
      <c r="L108" s="42">
        <f t="shared" si="20"/>
        <v>0</v>
      </c>
      <c r="M108" s="42">
        <f t="shared" si="20"/>
        <v>0</v>
      </c>
      <c r="N108" s="42">
        <f t="shared" si="20"/>
        <v>0</v>
      </c>
    </row>
    <row r="109" spans="3:14" s="10" customFormat="1" x14ac:dyDescent="0.2">
      <c r="D109" s="49" t="str">
        <f>COLD_CHAIN_EXPANS!B24</f>
        <v>Cold Storage Equipment Type 5</v>
      </c>
      <c r="E109" s="42">
        <f t="shared" si="18"/>
        <v>0</v>
      </c>
      <c r="I109" s="142">
        <f t="shared" si="19"/>
        <v>0</v>
      </c>
      <c r="J109" s="42">
        <f t="shared" si="20"/>
        <v>0</v>
      </c>
      <c r="K109" s="42">
        <f t="shared" si="20"/>
        <v>0</v>
      </c>
      <c r="L109" s="42">
        <f t="shared" si="20"/>
        <v>0</v>
      </c>
      <c r="M109" s="42">
        <f t="shared" si="20"/>
        <v>0</v>
      </c>
      <c r="N109" s="42">
        <f t="shared" si="20"/>
        <v>0</v>
      </c>
    </row>
    <row r="110" spans="3:14" s="10" customFormat="1" x14ac:dyDescent="0.2">
      <c r="D110" s="49" t="str">
        <f>COLD_CHAIN_EXPANS!B25</f>
        <v>Cold Storage Equipment Type 6</v>
      </c>
      <c r="E110" s="42">
        <f t="shared" si="18"/>
        <v>0</v>
      </c>
      <c r="I110" s="142">
        <f t="shared" si="19"/>
        <v>0</v>
      </c>
      <c r="J110" s="42">
        <f t="shared" si="20"/>
        <v>0</v>
      </c>
      <c r="K110" s="42">
        <f t="shared" si="20"/>
        <v>0</v>
      </c>
      <c r="L110" s="42">
        <f t="shared" si="20"/>
        <v>0</v>
      </c>
      <c r="M110" s="42">
        <f t="shared" si="20"/>
        <v>0</v>
      </c>
      <c r="N110" s="42">
        <f t="shared" si="20"/>
        <v>0</v>
      </c>
    </row>
    <row r="111" spans="3:14" s="10" customFormat="1" x14ac:dyDescent="0.2">
      <c r="D111" s="49" t="str">
        <f>COLD_CHAIN_EXPANS!B26</f>
        <v>Cold Storage Equipment Type 7</v>
      </c>
      <c r="E111" s="42">
        <f t="shared" si="18"/>
        <v>0</v>
      </c>
      <c r="I111" s="142">
        <f t="shared" si="19"/>
        <v>0</v>
      </c>
      <c r="J111" s="42">
        <f t="shared" si="20"/>
        <v>0</v>
      </c>
      <c r="K111" s="42">
        <f t="shared" si="20"/>
        <v>0</v>
      </c>
      <c r="L111" s="42">
        <f t="shared" si="20"/>
        <v>0</v>
      </c>
      <c r="M111" s="42">
        <f t="shared" si="20"/>
        <v>0</v>
      </c>
      <c r="N111" s="42">
        <f t="shared" si="20"/>
        <v>0</v>
      </c>
    </row>
    <row r="112" spans="3:14" s="10" customFormat="1" x14ac:dyDescent="0.2">
      <c r="D112" s="49" t="str">
        <f>COLD_CHAIN_EXPANS!B27</f>
        <v>Cold Storage Equipment Type 8</v>
      </c>
      <c r="E112" s="42">
        <f t="shared" si="18"/>
        <v>0</v>
      </c>
      <c r="I112" s="142">
        <f t="shared" si="19"/>
        <v>0</v>
      </c>
      <c r="J112" s="42">
        <f t="shared" si="20"/>
        <v>0</v>
      </c>
      <c r="K112" s="42">
        <f t="shared" si="20"/>
        <v>0</v>
      </c>
      <c r="L112" s="42">
        <f t="shared" si="20"/>
        <v>0</v>
      </c>
      <c r="M112" s="42">
        <f t="shared" si="20"/>
        <v>0</v>
      </c>
      <c r="N112" s="42">
        <f t="shared" si="20"/>
        <v>0</v>
      </c>
    </row>
    <row r="113" spans="3:14" s="10" customFormat="1" x14ac:dyDescent="0.2">
      <c r="D113" s="49" t="str">
        <f>COLD_CHAIN_EXPANS!B28</f>
        <v>Cold Storage Equipment Type 9</v>
      </c>
      <c r="E113" s="42">
        <f t="shared" si="18"/>
        <v>0</v>
      </c>
      <c r="I113" s="142">
        <f t="shared" si="19"/>
        <v>0</v>
      </c>
      <c r="J113" s="42">
        <f t="shared" si="20"/>
        <v>0</v>
      </c>
      <c r="K113" s="42">
        <f t="shared" si="20"/>
        <v>0</v>
      </c>
      <c r="L113" s="42">
        <f t="shared" si="20"/>
        <v>0</v>
      </c>
      <c r="M113" s="42">
        <f t="shared" si="20"/>
        <v>0</v>
      </c>
      <c r="N113" s="42">
        <f t="shared" si="20"/>
        <v>0</v>
      </c>
    </row>
    <row r="114" spans="3:14" s="10" customFormat="1" x14ac:dyDescent="0.2">
      <c r="D114" s="49" t="str">
        <f>COLD_CHAIN_EXPANS!B29</f>
        <v>Cold Storage Equipment Type 10</v>
      </c>
      <c r="E114" s="42">
        <f t="shared" si="18"/>
        <v>0</v>
      </c>
      <c r="I114" s="142">
        <f t="shared" si="19"/>
        <v>0</v>
      </c>
      <c r="J114" s="42">
        <f t="shared" si="20"/>
        <v>0</v>
      </c>
      <c r="K114" s="42">
        <f t="shared" si="20"/>
        <v>0</v>
      </c>
      <c r="L114" s="42">
        <f t="shared" si="20"/>
        <v>0</v>
      </c>
      <c r="M114" s="42">
        <f t="shared" si="20"/>
        <v>0</v>
      </c>
      <c r="N114" s="42">
        <f t="shared" si="20"/>
        <v>0</v>
      </c>
    </row>
    <row r="115" spans="3:14" s="10" customFormat="1" x14ac:dyDescent="0.2">
      <c r="D115" s="48" t="str">
        <f>Lang_Total_Fin_Costs_Annualized</f>
        <v>Total Financial Costs (ANNUALIZED)</v>
      </c>
      <c r="E115" s="354"/>
      <c r="I115" s="247">
        <f>SUM(I105:I114)</f>
        <v>0</v>
      </c>
      <c r="J115" s="247">
        <f t="shared" ref="J115:N115" si="21">SUM(J105:J114)</f>
        <v>0</v>
      </c>
      <c r="K115" s="247">
        <f t="shared" si="21"/>
        <v>0</v>
      </c>
      <c r="L115" s="247">
        <f t="shared" si="21"/>
        <v>0</v>
      </c>
      <c r="M115" s="247">
        <f t="shared" si="21"/>
        <v>0</v>
      </c>
      <c r="N115" s="247">
        <f t="shared" si="21"/>
        <v>0</v>
      </c>
    </row>
    <row r="116" spans="3:14" s="10" customFormat="1" x14ac:dyDescent="0.2"/>
    <row r="117" spans="3:14" s="10" customFormat="1" x14ac:dyDescent="0.2"/>
    <row r="118" spans="3:14" s="10" customFormat="1" x14ac:dyDescent="0.2">
      <c r="C118" s="74" t="str">
        <f>Lang_Econ_Costs_Annualized</f>
        <v>Economic Costs (ANNUALIZED)</v>
      </c>
    </row>
    <row r="119" spans="3:14" s="10" customFormat="1" x14ac:dyDescent="0.2">
      <c r="D119" s="74" t="str">
        <f>Lang_Name_Of_Cold_Storage_Equipment</f>
        <v>Name of Cold Storage Equipment</v>
      </c>
      <c r="E119" s="74" t="str">
        <f>Lang_Unit_Cost_Annualized</f>
        <v>Unit Cost (Annualized)</v>
      </c>
    </row>
    <row r="120" spans="3:14" s="10" customFormat="1" x14ac:dyDescent="0.2">
      <c r="D120" s="49" t="str">
        <f>COLD_CHAIN_EXPANS!B20</f>
        <v>Cold Storage Equipment Type 1</v>
      </c>
      <c r="E120" s="42">
        <f t="shared" ref="E120:E129" si="22">E61*$F$14</f>
        <v>0</v>
      </c>
      <c r="I120" s="142">
        <f t="shared" ref="I120:I129" si="23">SUM(J120:N120)</f>
        <v>0</v>
      </c>
      <c r="J120" s="42">
        <f t="shared" ref="J120:N129" si="24">J61*$F$14</f>
        <v>0</v>
      </c>
      <c r="K120" s="42">
        <f t="shared" si="24"/>
        <v>0</v>
      </c>
      <c r="L120" s="42">
        <f t="shared" si="24"/>
        <v>0</v>
      </c>
      <c r="M120" s="42">
        <f t="shared" si="24"/>
        <v>0</v>
      </c>
      <c r="N120" s="42">
        <f t="shared" si="24"/>
        <v>0</v>
      </c>
    </row>
    <row r="121" spans="3:14" s="10" customFormat="1" x14ac:dyDescent="0.2">
      <c r="D121" s="49" t="str">
        <f>COLD_CHAIN_EXPANS!B21</f>
        <v>Cold Storage Equipment Type 2</v>
      </c>
      <c r="E121" s="42">
        <f t="shared" si="22"/>
        <v>0</v>
      </c>
      <c r="I121" s="142">
        <f t="shared" si="23"/>
        <v>0</v>
      </c>
      <c r="J121" s="42">
        <f t="shared" si="24"/>
        <v>0</v>
      </c>
      <c r="K121" s="42">
        <f t="shared" si="24"/>
        <v>0</v>
      </c>
      <c r="L121" s="42">
        <f t="shared" si="24"/>
        <v>0</v>
      </c>
      <c r="M121" s="42">
        <f t="shared" si="24"/>
        <v>0</v>
      </c>
      <c r="N121" s="42">
        <f t="shared" si="24"/>
        <v>0</v>
      </c>
    </row>
    <row r="122" spans="3:14" s="10" customFormat="1" x14ac:dyDescent="0.2">
      <c r="D122" s="49" t="str">
        <f>COLD_CHAIN_EXPANS!B22</f>
        <v>Cold Storage Equipment Type 3</v>
      </c>
      <c r="E122" s="42">
        <f t="shared" si="22"/>
        <v>0</v>
      </c>
      <c r="I122" s="142">
        <f t="shared" si="23"/>
        <v>0</v>
      </c>
      <c r="J122" s="42">
        <f t="shared" si="24"/>
        <v>0</v>
      </c>
      <c r="K122" s="42">
        <f t="shared" si="24"/>
        <v>0</v>
      </c>
      <c r="L122" s="42">
        <f t="shared" si="24"/>
        <v>0</v>
      </c>
      <c r="M122" s="42">
        <f t="shared" si="24"/>
        <v>0</v>
      </c>
      <c r="N122" s="42">
        <f t="shared" si="24"/>
        <v>0</v>
      </c>
    </row>
    <row r="123" spans="3:14" s="10" customFormat="1" x14ac:dyDescent="0.2">
      <c r="D123" s="49" t="str">
        <f>COLD_CHAIN_EXPANS!B23</f>
        <v>Cold Storage Equipment Type 4</v>
      </c>
      <c r="E123" s="42">
        <f t="shared" si="22"/>
        <v>0</v>
      </c>
      <c r="I123" s="142">
        <f t="shared" si="23"/>
        <v>0</v>
      </c>
      <c r="J123" s="42">
        <f t="shared" si="24"/>
        <v>0</v>
      </c>
      <c r="K123" s="42">
        <f t="shared" si="24"/>
        <v>0</v>
      </c>
      <c r="L123" s="42">
        <f t="shared" si="24"/>
        <v>0</v>
      </c>
      <c r="M123" s="42">
        <f t="shared" si="24"/>
        <v>0</v>
      </c>
      <c r="N123" s="42">
        <f t="shared" si="24"/>
        <v>0</v>
      </c>
    </row>
    <row r="124" spans="3:14" s="10" customFormat="1" x14ac:dyDescent="0.2">
      <c r="D124" s="49" t="str">
        <f>COLD_CHAIN_EXPANS!B24</f>
        <v>Cold Storage Equipment Type 5</v>
      </c>
      <c r="E124" s="42">
        <f t="shared" si="22"/>
        <v>0</v>
      </c>
      <c r="I124" s="142">
        <f t="shared" si="23"/>
        <v>0</v>
      </c>
      <c r="J124" s="42">
        <f t="shared" si="24"/>
        <v>0</v>
      </c>
      <c r="K124" s="42">
        <f t="shared" si="24"/>
        <v>0</v>
      </c>
      <c r="L124" s="42">
        <f t="shared" si="24"/>
        <v>0</v>
      </c>
      <c r="M124" s="42">
        <f t="shared" si="24"/>
        <v>0</v>
      </c>
      <c r="N124" s="42">
        <f t="shared" si="24"/>
        <v>0</v>
      </c>
    </row>
    <row r="125" spans="3:14" s="10" customFormat="1" x14ac:dyDescent="0.2">
      <c r="D125" s="49" t="str">
        <f>COLD_CHAIN_EXPANS!B25</f>
        <v>Cold Storage Equipment Type 6</v>
      </c>
      <c r="E125" s="42">
        <f t="shared" si="22"/>
        <v>0</v>
      </c>
      <c r="I125" s="142">
        <f t="shared" si="23"/>
        <v>0</v>
      </c>
      <c r="J125" s="42">
        <f t="shared" si="24"/>
        <v>0</v>
      </c>
      <c r="K125" s="42">
        <f t="shared" si="24"/>
        <v>0</v>
      </c>
      <c r="L125" s="42">
        <f t="shared" si="24"/>
        <v>0</v>
      </c>
      <c r="M125" s="42">
        <f t="shared" si="24"/>
        <v>0</v>
      </c>
      <c r="N125" s="42">
        <f t="shared" si="24"/>
        <v>0</v>
      </c>
    </row>
    <row r="126" spans="3:14" s="10" customFormat="1" x14ac:dyDescent="0.2">
      <c r="D126" s="49" t="str">
        <f>COLD_CHAIN_EXPANS!B26</f>
        <v>Cold Storage Equipment Type 7</v>
      </c>
      <c r="E126" s="42">
        <f t="shared" si="22"/>
        <v>0</v>
      </c>
      <c r="I126" s="142">
        <f t="shared" si="23"/>
        <v>0</v>
      </c>
      <c r="J126" s="42">
        <f t="shared" si="24"/>
        <v>0</v>
      </c>
      <c r="K126" s="42">
        <f t="shared" si="24"/>
        <v>0</v>
      </c>
      <c r="L126" s="42">
        <f t="shared" si="24"/>
        <v>0</v>
      </c>
      <c r="M126" s="42">
        <f t="shared" si="24"/>
        <v>0</v>
      </c>
      <c r="N126" s="42">
        <f t="shared" si="24"/>
        <v>0</v>
      </c>
    </row>
    <row r="127" spans="3:14" s="10" customFormat="1" x14ac:dyDescent="0.2">
      <c r="D127" s="49" t="str">
        <f>COLD_CHAIN_EXPANS!B27</f>
        <v>Cold Storage Equipment Type 8</v>
      </c>
      <c r="E127" s="42">
        <f t="shared" si="22"/>
        <v>0</v>
      </c>
      <c r="I127" s="142">
        <f t="shared" si="23"/>
        <v>0</v>
      </c>
      <c r="J127" s="42">
        <f t="shared" si="24"/>
        <v>0</v>
      </c>
      <c r="K127" s="42">
        <f t="shared" si="24"/>
        <v>0</v>
      </c>
      <c r="L127" s="42">
        <f t="shared" si="24"/>
        <v>0</v>
      </c>
      <c r="M127" s="42">
        <f t="shared" si="24"/>
        <v>0</v>
      </c>
      <c r="N127" s="42">
        <f t="shared" si="24"/>
        <v>0</v>
      </c>
    </row>
    <row r="128" spans="3:14" s="10" customFormat="1" x14ac:dyDescent="0.2">
      <c r="D128" s="49" t="str">
        <f>COLD_CHAIN_EXPANS!B28</f>
        <v>Cold Storage Equipment Type 9</v>
      </c>
      <c r="E128" s="42">
        <f t="shared" si="22"/>
        <v>0</v>
      </c>
      <c r="I128" s="142">
        <f t="shared" si="23"/>
        <v>0</v>
      </c>
      <c r="J128" s="42">
        <f t="shared" si="24"/>
        <v>0</v>
      </c>
      <c r="K128" s="42">
        <f t="shared" si="24"/>
        <v>0</v>
      </c>
      <c r="L128" s="42">
        <f t="shared" si="24"/>
        <v>0</v>
      </c>
      <c r="M128" s="42">
        <f t="shared" si="24"/>
        <v>0</v>
      </c>
      <c r="N128" s="42">
        <f t="shared" si="24"/>
        <v>0</v>
      </c>
    </row>
    <row r="129" spans="3:14" s="10" customFormat="1" x14ac:dyDescent="0.2">
      <c r="D129" s="49" t="str">
        <f>COLD_CHAIN_EXPANS!B29</f>
        <v>Cold Storage Equipment Type 10</v>
      </c>
      <c r="E129" s="42">
        <f t="shared" si="22"/>
        <v>0</v>
      </c>
      <c r="I129" s="142">
        <f t="shared" si="23"/>
        <v>0</v>
      </c>
      <c r="J129" s="42">
        <f t="shared" si="24"/>
        <v>0</v>
      </c>
      <c r="K129" s="42">
        <f t="shared" si="24"/>
        <v>0</v>
      </c>
      <c r="L129" s="42">
        <f t="shared" si="24"/>
        <v>0</v>
      </c>
      <c r="M129" s="42">
        <f t="shared" si="24"/>
        <v>0</v>
      </c>
      <c r="N129" s="42">
        <f t="shared" si="24"/>
        <v>0</v>
      </c>
    </row>
    <row r="130" spans="3:14" s="10" customFormat="1" x14ac:dyDescent="0.2">
      <c r="D130" s="48" t="str">
        <f>Lang_Total_Econ_Costs_Annualized</f>
        <v>Total Economic Costs (ANNUALIZED)</v>
      </c>
      <c r="E130" s="354"/>
      <c r="I130" s="247">
        <f>SUM(I120:I129)</f>
        <v>0</v>
      </c>
      <c r="J130" s="247">
        <f t="shared" ref="J130:N130" si="25">SUM(J120:J129)</f>
        <v>0</v>
      </c>
      <c r="K130" s="247">
        <f t="shared" si="25"/>
        <v>0</v>
      </c>
      <c r="L130" s="247">
        <f t="shared" si="25"/>
        <v>0</v>
      </c>
      <c r="M130" s="247">
        <f t="shared" si="25"/>
        <v>0</v>
      </c>
      <c r="N130" s="247">
        <f t="shared" si="25"/>
        <v>0</v>
      </c>
    </row>
    <row r="131" spans="3:14" s="10" customFormat="1" x14ac:dyDescent="0.2"/>
    <row r="132" spans="3:14" s="10" customFormat="1" x14ac:dyDescent="0.2"/>
    <row r="133" spans="3:14" s="10" customFormat="1" x14ac:dyDescent="0.2"/>
    <row r="134" spans="3:14" s="10" customFormat="1" x14ac:dyDescent="0.2">
      <c r="C134" s="491" t="str">
        <f>Lang_GoTo&amp;" "&amp;HL_COLD_Ass_A</f>
        <v>Go to Cold Chain Expansion - Assumptions (Annual)</v>
      </c>
      <c r="D134" s="491"/>
      <c r="E134" s="491"/>
      <c r="F134" s="491"/>
      <c r="G134" s="491"/>
      <c r="H134" s="491"/>
      <c r="I134" s="491"/>
    </row>
  </sheetData>
  <mergeCells count="1">
    <mergeCell ref="C134:I134"/>
  </mergeCells>
  <hyperlinks>
    <hyperlink ref="C134:I134" location="HL_COLD_Ass_A" tooltip="Click to follow hyperlink." display="HL_COLD_Ass_A" xr:uid="{00000000-0004-0000-1B00-000001000000}"/>
    <hyperlink ref="A5" location="$B$10" tooltip="Go to Top of Sheet" display="$B$10" xr:uid="{C3F04684-5C4B-485A-95AE-7C8188EB0ECB}"/>
    <hyperlink ref="A1" location="Contents!A1" tooltip="Go to Table of Contents" display="±" xr:uid="{DF56CDF6-ED1C-48EC-BEDB-70AF27B6DA1B}"/>
  </hyperlinks>
  <pageMargins left="0.4" right="0.4" top="0.6" bottom="1" header="0" footer="0.3"/>
  <pageSetup orientation="landscape" horizontalDpi="0" verticalDpi="0" r:id="rId1"/>
  <headerFooter>
    <oddFooter>&amp;L&amp;F
&amp;A
Printed: &amp;T on &amp;D&amp;CPage &amp;P of &amp;N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0C0"/>
    <pageSetUpPr autoPageBreaks="0"/>
  </sheetPr>
  <dimension ref="A1:N136"/>
  <sheetViews>
    <sheetView showGridLines="0" zoomScale="90" zoomScaleNormal="90" workbookViewId="0">
      <pane xSplit="1" ySplit="11" topLeftCell="B12" activePane="bottomRight" state="frozen"/>
      <selection activeCell="I511" sqref="I511"/>
      <selection pane="topRight" activeCell="I511" sqref="I511"/>
      <selection pane="bottomLeft" activeCell="I511" sqref="I511"/>
      <selection pane="bottomRight"/>
    </sheetView>
  </sheetViews>
  <sheetFormatPr defaultColWidth="11.7109375" defaultRowHeight="12" x14ac:dyDescent="0.2"/>
  <cols>
    <col min="1" max="1" width="3.7109375" customWidth="1"/>
    <col min="2" max="2" width="30.7109375" customWidth="1"/>
    <col min="3" max="3" width="10.7109375" customWidth="1"/>
    <col min="4" max="4" width="35.7109375" customWidth="1"/>
    <col min="5" max="5" width="14.7109375" customWidth="1"/>
    <col min="6" max="6" width="20.7109375" customWidth="1"/>
    <col min="7" max="7" width="10.7109375" customWidth="1"/>
    <col min="8" max="8" width="12.7109375" customWidth="1"/>
    <col min="9" max="9" width="20.7109375" customWidth="1"/>
    <col min="10" max="14" width="15.7109375" customWidth="1"/>
  </cols>
  <sheetData>
    <row r="1" spans="1:14" ht="15" x14ac:dyDescent="0.2">
      <c r="A1" s="35" t="s">
        <v>128</v>
      </c>
      <c r="B1" s="31" t="str">
        <f>Lang_Other_Capital_Investments</f>
        <v>Other Capital Investments</v>
      </c>
    </row>
    <row r="2" spans="1:14" ht="12.75" x14ac:dyDescent="0.2">
      <c r="B2" s="45" t="str">
        <f ca="1">Model_Name</f>
        <v>Cervical Cancer Prevention and Control Costing (C4P) Tool (Cost Projection)</v>
      </c>
    </row>
    <row r="3" spans="1:14" ht="12.75" x14ac:dyDescent="0.2">
      <c r="B3" s="9" t="str">
        <f>Lang_Goto_TOC</f>
        <v>Go to Table of Contents</v>
      </c>
      <c r="C3" s="47"/>
      <c r="D3" s="47"/>
      <c r="E3" s="47"/>
      <c r="F3" s="47"/>
    </row>
    <row r="4" spans="1:14" x14ac:dyDescent="0.2">
      <c r="A4" s="2" t="s">
        <v>5</v>
      </c>
      <c r="B4" s="38" t="s">
        <v>7</v>
      </c>
      <c r="C4" s="39" t="s">
        <v>8</v>
      </c>
      <c r="D4" s="57"/>
      <c r="F4" s="58"/>
    </row>
    <row r="5" spans="1:14" x14ac:dyDescent="0.2">
      <c r="C5" s="215"/>
      <c r="D5" s="215"/>
      <c r="E5" s="215"/>
      <c r="F5" s="215"/>
      <c r="G5" s="215"/>
      <c r="H5" s="215"/>
      <c r="I5" s="215"/>
      <c r="J5" s="216"/>
      <c r="K5" s="216"/>
      <c r="L5" s="216"/>
      <c r="M5" s="216"/>
      <c r="N5" s="216"/>
    </row>
    <row r="6" spans="1:14" x14ac:dyDescent="0.2">
      <c r="C6" s="215"/>
      <c r="D6" s="215"/>
      <c r="E6" s="215"/>
      <c r="F6" s="215"/>
      <c r="G6" s="215"/>
      <c r="H6" s="215"/>
      <c r="I6" s="215"/>
      <c r="J6" s="216"/>
      <c r="K6" s="216"/>
      <c r="L6" s="216"/>
      <c r="M6" s="216"/>
      <c r="N6" s="216"/>
    </row>
    <row r="7" spans="1:14" x14ac:dyDescent="0.2">
      <c r="B7" s="218" t="str">
        <f>Lang_Year_Ending&amp;" "&amp;INDEX(LU_TS_Mth_Names,DD_TS_Fin_Yr_End_Mth)</f>
        <v>Year Ending December</v>
      </c>
      <c r="C7" s="219"/>
      <c r="D7" s="219"/>
      <c r="E7" s="219"/>
      <c r="F7" s="219"/>
      <c r="G7" s="219"/>
      <c r="H7" s="219"/>
      <c r="I7" s="219"/>
      <c r="J7" s="220">
        <f t="shared" ref="J7:N7" si="0">J11</f>
        <v>2019</v>
      </c>
      <c r="K7" s="220">
        <f t="shared" si="0"/>
        <v>2020</v>
      </c>
      <c r="L7" s="220">
        <f t="shared" si="0"/>
        <v>2021</v>
      </c>
      <c r="M7" s="220">
        <f t="shared" si="0"/>
        <v>2022</v>
      </c>
      <c r="N7" s="220">
        <f t="shared" si="0"/>
        <v>2023</v>
      </c>
    </row>
    <row r="8" spans="1:14" hidden="1" x14ac:dyDescent="0.2">
      <c r="B8" s="15" t="str">
        <f>Lang_Period_Start_Date</f>
        <v>Period Start Date</v>
      </c>
      <c r="C8" s="215"/>
      <c r="D8" s="215"/>
      <c r="E8" s="215"/>
      <c r="F8" s="215"/>
      <c r="G8" s="215"/>
      <c r="H8" s="215"/>
      <c r="I8" s="215"/>
      <c r="J8" s="217">
        <f>EDATE(TS_Start_Date,(J10-1)*TS_Mths_In_Yr)</f>
        <v>43466</v>
      </c>
      <c r="K8" s="217">
        <f>EDATE(TS_Start_Date,(K10-1)*TS_Mths_In_Yr)</f>
        <v>43831</v>
      </c>
      <c r="L8" s="217">
        <f>EDATE(TS_Start_Date,(L10-1)*TS_Mths_In_Yr)</f>
        <v>44197</v>
      </c>
      <c r="M8" s="217">
        <f>EDATE(TS_Start_Date,(M10-1)*TS_Mths_In_Yr)</f>
        <v>44562</v>
      </c>
      <c r="N8" s="217">
        <f>EDATE(TS_Start_Date,(N10-1)*TS_Mths_In_Yr)</f>
        <v>44927</v>
      </c>
    </row>
    <row r="9" spans="1:14" hidden="1" x14ac:dyDescent="0.2">
      <c r="B9" s="15" t="str">
        <f>Lang_Period_End_Date</f>
        <v>Period End Date</v>
      </c>
      <c r="C9" s="215"/>
      <c r="D9" s="215"/>
      <c r="E9" s="215"/>
      <c r="F9" s="215"/>
      <c r="G9" s="215"/>
      <c r="H9" s="215"/>
      <c r="I9" s="215"/>
      <c r="J9" s="217">
        <f>EDATE(J8,TS_Mths_In_Yr)-1</f>
        <v>43830</v>
      </c>
      <c r="K9" s="217">
        <f>EDATE(K8,TS_Mths_In_Yr)-1</f>
        <v>44196</v>
      </c>
      <c r="L9" s="217">
        <f>EDATE(L8,TS_Mths_In_Yr)-1</f>
        <v>44561</v>
      </c>
      <c r="M9" s="217">
        <f>EDATE(M8,TS_Mths_In_Yr)-1</f>
        <v>44926</v>
      </c>
      <c r="N9" s="217">
        <f>EDATE(N8,TS_Mths_In_Yr)-1</f>
        <v>45291</v>
      </c>
    </row>
    <row r="10" spans="1:14" hidden="1" x14ac:dyDescent="0.2">
      <c r="B10" s="15" t="str">
        <f>Lang_Counter</f>
        <v>Counter</v>
      </c>
      <c r="C10" s="215"/>
      <c r="D10" s="215"/>
      <c r="E10" s="215"/>
      <c r="F10" s="215"/>
      <c r="G10" s="215"/>
      <c r="H10" s="215"/>
      <c r="I10" s="215"/>
      <c r="J10" s="42">
        <f>COLUMNS($J10:J10)</f>
        <v>1</v>
      </c>
      <c r="K10" s="42">
        <f>COLUMNS($J10:K10)</f>
        <v>2</v>
      </c>
      <c r="L10" s="42">
        <f>COLUMNS($J10:L10)</f>
        <v>3</v>
      </c>
      <c r="M10" s="42">
        <f>COLUMNS($J10:M10)</f>
        <v>4</v>
      </c>
      <c r="N10" s="42">
        <f>COLUMNS($J10:N10)</f>
        <v>5</v>
      </c>
    </row>
    <row r="11" spans="1:14" hidden="1" x14ac:dyDescent="0.2">
      <c r="B11" s="221" t="str">
        <f>Lang_Financial_Year</f>
        <v>Financial Year</v>
      </c>
      <c r="C11" s="219"/>
      <c r="D11" s="219"/>
      <c r="E11" s="219"/>
      <c r="F11" s="219"/>
      <c r="G11" s="219"/>
      <c r="H11" s="219"/>
      <c r="I11" s="219"/>
      <c r="J11" s="222">
        <f t="shared" ref="J11:N11" si="1">YEAR(J9)</f>
        <v>2019</v>
      </c>
      <c r="K11" s="222">
        <f t="shared" si="1"/>
        <v>2020</v>
      </c>
      <c r="L11" s="222">
        <f t="shared" si="1"/>
        <v>2021</v>
      </c>
      <c r="M11" s="222">
        <f t="shared" si="1"/>
        <v>2022</v>
      </c>
      <c r="N11" s="222">
        <f t="shared" si="1"/>
        <v>2023</v>
      </c>
    </row>
    <row r="14" spans="1:14" s="13" customFormat="1" x14ac:dyDescent="0.2">
      <c r="A14"/>
      <c r="B14" s="13" t="str">
        <f>Lang_Other_Capital_Investments_Outputs</f>
        <v>Other Capital Investments - Outputs</v>
      </c>
    </row>
    <row r="16" spans="1:14" x14ac:dyDescent="0.2">
      <c r="B16" s="65" t="str">
        <f>Lang_Estimated_Cost_For_Other_Capital_Investments</f>
        <v>Estimated Cost for Other Capital Investments</v>
      </c>
      <c r="E16" s="133" t="str">
        <f>Lang_Exchange_Rate_Colon</f>
        <v>Exchange Rate:</v>
      </c>
      <c r="F16" s="41">
        <f>ECONOMICS!E13</f>
        <v>1234.5</v>
      </c>
    </row>
    <row r="17" spans="2:14" x14ac:dyDescent="0.2">
      <c r="E17" s="233" t="str">
        <f>Lang_Annual_Discount_Rate_Colon</f>
        <v>Annual Discount Rate:</v>
      </c>
      <c r="F17" s="234">
        <f>ECONOMICS!E15</f>
        <v>0.03</v>
      </c>
    </row>
    <row r="18" spans="2:14" x14ac:dyDescent="0.2">
      <c r="B18" s="65" t="str">
        <f>CAP_OTH_Lu!$D$14</f>
        <v>USD</v>
      </c>
    </row>
    <row r="19" spans="2:14" s="10" customFormat="1" x14ac:dyDescent="0.2"/>
    <row r="20" spans="2:14" s="10" customFormat="1" x14ac:dyDescent="0.2">
      <c r="C20" s="74" t="str">
        <f>Lang_Fin_Costs</f>
        <v>FINANCIAL COSTS</v>
      </c>
      <c r="I20" s="74" t="str">
        <f>Lang_All_Years</f>
        <v>ALL YEARS</v>
      </c>
    </row>
    <row r="21" spans="2:14" s="10" customFormat="1" x14ac:dyDescent="0.2">
      <c r="D21" s="74" t="str">
        <f>Lang_Name_Of_Capital_Investment</f>
        <v>Name of Capital Investment</v>
      </c>
      <c r="E21" s="74" t="str">
        <f>Lang_Unit_Cost</f>
        <v>Unit Cost</v>
      </c>
    </row>
    <row r="22" spans="2:14" s="10" customFormat="1" x14ac:dyDescent="0.2">
      <c r="D22" s="49" t="str">
        <f>CAPITAL_INVESTS_OTH!B21</f>
        <v>Other Capital Investment 1</v>
      </c>
      <c r="E22" s="119">
        <f>IF(CAPITAL_INVESTS_OTH!$D$19=1,CAPITAL_INVESTS_OTH!D21,(CAPITAL_INVESTS_OTH!D21/$F$16))</f>
        <v>0</v>
      </c>
      <c r="I22" s="143">
        <f t="shared" ref="I22:I31" si="2">SUM(J22:N22)</f>
        <v>0</v>
      </c>
      <c r="J22" s="119">
        <f>$E22*CAPITAL_INVESTS_OTH!J21</f>
        <v>0</v>
      </c>
      <c r="K22" s="119">
        <f>$E22*CAPITAL_INVESTS_OTH!K21</f>
        <v>0</v>
      </c>
      <c r="L22" s="119">
        <f>$E22*CAPITAL_INVESTS_OTH!L21</f>
        <v>0</v>
      </c>
      <c r="M22" s="119">
        <f>$E22*CAPITAL_INVESTS_OTH!M21</f>
        <v>0</v>
      </c>
      <c r="N22" s="119">
        <f>$E22*CAPITAL_INVESTS_OTH!N21</f>
        <v>0</v>
      </c>
    </row>
    <row r="23" spans="2:14" s="10" customFormat="1" x14ac:dyDescent="0.2">
      <c r="D23" s="49" t="str">
        <f>CAPITAL_INVESTS_OTH!B22</f>
        <v>Other Capital Investment 2</v>
      </c>
      <c r="E23" s="119">
        <f>IF(CAPITAL_INVESTS_OTH!$D$19=1,CAPITAL_INVESTS_OTH!D22,(CAPITAL_INVESTS_OTH!D22/$F$16))</f>
        <v>0</v>
      </c>
      <c r="I23" s="143">
        <f t="shared" si="2"/>
        <v>0</v>
      </c>
      <c r="J23" s="119">
        <f>$E23*CAPITAL_INVESTS_OTH!J22</f>
        <v>0</v>
      </c>
      <c r="K23" s="119">
        <f>$E23*CAPITAL_INVESTS_OTH!K22</f>
        <v>0</v>
      </c>
      <c r="L23" s="119">
        <f>$E23*CAPITAL_INVESTS_OTH!L22</f>
        <v>0</v>
      </c>
      <c r="M23" s="119">
        <f>$E23*CAPITAL_INVESTS_OTH!M22</f>
        <v>0</v>
      </c>
      <c r="N23" s="119">
        <f>$E23*CAPITAL_INVESTS_OTH!N22</f>
        <v>0</v>
      </c>
    </row>
    <row r="24" spans="2:14" s="10" customFormat="1" x14ac:dyDescent="0.2">
      <c r="D24" s="49" t="str">
        <f>CAPITAL_INVESTS_OTH!B23</f>
        <v>Other Capital Investment 3</v>
      </c>
      <c r="E24" s="119">
        <f>IF(CAPITAL_INVESTS_OTH!$D$19=1,CAPITAL_INVESTS_OTH!D23,(CAPITAL_INVESTS_OTH!D23/$F$16))</f>
        <v>0</v>
      </c>
      <c r="I24" s="143">
        <f t="shared" si="2"/>
        <v>0</v>
      </c>
      <c r="J24" s="119">
        <f>$E24*CAPITAL_INVESTS_OTH!J23</f>
        <v>0</v>
      </c>
      <c r="K24" s="119">
        <f>$E24*CAPITAL_INVESTS_OTH!K23</f>
        <v>0</v>
      </c>
      <c r="L24" s="119">
        <f>$E24*CAPITAL_INVESTS_OTH!L23</f>
        <v>0</v>
      </c>
      <c r="M24" s="119">
        <f>$E24*CAPITAL_INVESTS_OTH!M23</f>
        <v>0</v>
      </c>
      <c r="N24" s="119">
        <f>$E24*CAPITAL_INVESTS_OTH!N23</f>
        <v>0</v>
      </c>
    </row>
    <row r="25" spans="2:14" s="10" customFormat="1" x14ac:dyDescent="0.2">
      <c r="D25" s="49" t="str">
        <f>CAPITAL_INVESTS_OTH!B24</f>
        <v>Other Capital Investment 4</v>
      </c>
      <c r="E25" s="119">
        <f>IF(CAPITAL_INVESTS_OTH!$D$19=1,CAPITAL_INVESTS_OTH!D24,(CAPITAL_INVESTS_OTH!D24/$F$16))</f>
        <v>0</v>
      </c>
      <c r="I25" s="143">
        <f t="shared" si="2"/>
        <v>0</v>
      </c>
      <c r="J25" s="119">
        <f>$E25*CAPITAL_INVESTS_OTH!J24</f>
        <v>0</v>
      </c>
      <c r="K25" s="119">
        <f>$E25*CAPITAL_INVESTS_OTH!K24</f>
        <v>0</v>
      </c>
      <c r="L25" s="119">
        <f>$E25*CAPITAL_INVESTS_OTH!L24</f>
        <v>0</v>
      </c>
      <c r="M25" s="119">
        <f>$E25*CAPITAL_INVESTS_OTH!M24</f>
        <v>0</v>
      </c>
      <c r="N25" s="119">
        <f>$E25*CAPITAL_INVESTS_OTH!N24</f>
        <v>0</v>
      </c>
    </row>
    <row r="26" spans="2:14" s="10" customFormat="1" x14ac:dyDescent="0.2">
      <c r="D26" s="49" t="str">
        <f>CAPITAL_INVESTS_OTH!B25</f>
        <v>Other Capital Investment 5</v>
      </c>
      <c r="E26" s="119">
        <f>IF(CAPITAL_INVESTS_OTH!$D$19=1,CAPITAL_INVESTS_OTH!D25,(CAPITAL_INVESTS_OTH!D25/$F$16))</f>
        <v>0</v>
      </c>
      <c r="I26" s="143">
        <f t="shared" si="2"/>
        <v>0</v>
      </c>
      <c r="J26" s="119">
        <f>$E26*CAPITAL_INVESTS_OTH!J25</f>
        <v>0</v>
      </c>
      <c r="K26" s="119">
        <f>$E26*CAPITAL_INVESTS_OTH!K25</f>
        <v>0</v>
      </c>
      <c r="L26" s="119">
        <f>$E26*CAPITAL_INVESTS_OTH!L25</f>
        <v>0</v>
      </c>
      <c r="M26" s="119">
        <f>$E26*CAPITAL_INVESTS_OTH!M25</f>
        <v>0</v>
      </c>
      <c r="N26" s="119">
        <f>$E26*CAPITAL_INVESTS_OTH!N25</f>
        <v>0</v>
      </c>
    </row>
    <row r="27" spans="2:14" s="10" customFormat="1" x14ac:dyDescent="0.2">
      <c r="D27" s="49" t="str">
        <f>CAPITAL_INVESTS_OTH!B26</f>
        <v>Other Capital Investment 6</v>
      </c>
      <c r="E27" s="119">
        <f>IF(CAPITAL_INVESTS_OTH!$D$19=1,CAPITAL_INVESTS_OTH!D26,(CAPITAL_INVESTS_OTH!D26/$F$16))</f>
        <v>0</v>
      </c>
      <c r="I27" s="143">
        <f t="shared" si="2"/>
        <v>0</v>
      </c>
      <c r="J27" s="119">
        <f>$E27*CAPITAL_INVESTS_OTH!J26</f>
        <v>0</v>
      </c>
      <c r="K27" s="119">
        <f>$E27*CAPITAL_INVESTS_OTH!K26</f>
        <v>0</v>
      </c>
      <c r="L27" s="119">
        <f>$E27*CAPITAL_INVESTS_OTH!L26</f>
        <v>0</v>
      </c>
      <c r="M27" s="119">
        <f>$E27*CAPITAL_INVESTS_OTH!M26</f>
        <v>0</v>
      </c>
      <c r="N27" s="119">
        <f>$E27*CAPITAL_INVESTS_OTH!N26</f>
        <v>0</v>
      </c>
    </row>
    <row r="28" spans="2:14" s="10" customFormat="1" x14ac:dyDescent="0.2">
      <c r="D28" s="49" t="str">
        <f>CAPITAL_INVESTS_OTH!B27</f>
        <v>Other Capital Investment 7</v>
      </c>
      <c r="E28" s="119">
        <f>IF(CAPITAL_INVESTS_OTH!$D$19=1,CAPITAL_INVESTS_OTH!D27,(CAPITAL_INVESTS_OTH!D27/$F$16))</f>
        <v>0</v>
      </c>
      <c r="I28" s="143">
        <f t="shared" si="2"/>
        <v>0</v>
      </c>
      <c r="J28" s="119">
        <f>$E28*CAPITAL_INVESTS_OTH!J27</f>
        <v>0</v>
      </c>
      <c r="K28" s="119">
        <f>$E28*CAPITAL_INVESTS_OTH!K27</f>
        <v>0</v>
      </c>
      <c r="L28" s="119">
        <f>$E28*CAPITAL_INVESTS_OTH!L27</f>
        <v>0</v>
      </c>
      <c r="M28" s="119">
        <f>$E28*CAPITAL_INVESTS_OTH!M27</f>
        <v>0</v>
      </c>
      <c r="N28" s="119">
        <f>$E28*CAPITAL_INVESTS_OTH!N27</f>
        <v>0</v>
      </c>
    </row>
    <row r="29" spans="2:14" s="10" customFormat="1" x14ac:dyDescent="0.2">
      <c r="D29" s="49" t="str">
        <f>CAPITAL_INVESTS_OTH!B28</f>
        <v>Other Capital Investment 8</v>
      </c>
      <c r="E29" s="119">
        <f>IF(CAPITAL_INVESTS_OTH!$D$19=1,CAPITAL_INVESTS_OTH!D28,(CAPITAL_INVESTS_OTH!D28/$F$16))</f>
        <v>0</v>
      </c>
      <c r="I29" s="143">
        <f t="shared" si="2"/>
        <v>0</v>
      </c>
      <c r="J29" s="119">
        <f>$E29*CAPITAL_INVESTS_OTH!J28</f>
        <v>0</v>
      </c>
      <c r="K29" s="119">
        <f>$E29*CAPITAL_INVESTS_OTH!K28</f>
        <v>0</v>
      </c>
      <c r="L29" s="119">
        <f>$E29*CAPITAL_INVESTS_OTH!L28</f>
        <v>0</v>
      </c>
      <c r="M29" s="119">
        <f>$E29*CAPITAL_INVESTS_OTH!M28</f>
        <v>0</v>
      </c>
      <c r="N29" s="119">
        <f>$E29*CAPITAL_INVESTS_OTH!N28</f>
        <v>0</v>
      </c>
    </row>
    <row r="30" spans="2:14" s="10" customFormat="1" x14ac:dyDescent="0.2">
      <c r="D30" s="49" t="str">
        <f>CAPITAL_INVESTS_OTH!B29</f>
        <v>Other Capital Investment 9</v>
      </c>
      <c r="E30" s="119">
        <f>IF(CAPITAL_INVESTS_OTH!$D$19=1,CAPITAL_INVESTS_OTH!D29,(CAPITAL_INVESTS_OTH!D29/$F$16))</f>
        <v>0</v>
      </c>
      <c r="I30" s="143">
        <f t="shared" si="2"/>
        <v>0</v>
      </c>
      <c r="J30" s="119">
        <f>$E30*CAPITAL_INVESTS_OTH!J29</f>
        <v>0</v>
      </c>
      <c r="K30" s="119">
        <f>$E30*CAPITAL_INVESTS_OTH!K29</f>
        <v>0</v>
      </c>
      <c r="L30" s="119">
        <f>$E30*CAPITAL_INVESTS_OTH!L29</f>
        <v>0</v>
      </c>
      <c r="M30" s="119">
        <f>$E30*CAPITAL_INVESTS_OTH!M29</f>
        <v>0</v>
      </c>
      <c r="N30" s="119">
        <f>$E30*CAPITAL_INVESTS_OTH!N29</f>
        <v>0</v>
      </c>
    </row>
    <row r="31" spans="2:14" s="10" customFormat="1" x14ac:dyDescent="0.2">
      <c r="D31" s="49" t="str">
        <f>CAPITAL_INVESTS_OTH!B30</f>
        <v>Other Capital Investment 10</v>
      </c>
      <c r="E31" s="119">
        <f>IF(CAPITAL_INVESTS_OTH!$D$19=1,CAPITAL_INVESTS_OTH!D30,(CAPITAL_INVESTS_OTH!D30/$F$16))</f>
        <v>0</v>
      </c>
      <c r="I31" s="143">
        <f t="shared" si="2"/>
        <v>0</v>
      </c>
      <c r="J31" s="119">
        <f>$E31*CAPITAL_INVESTS_OTH!J30</f>
        <v>0</v>
      </c>
      <c r="K31" s="119">
        <f>$E31*CAPITAL_INVESTS_OTH!K30</f>
        <v>0</v>
      </c>
      <c r="L31" s="119">
        <f>$E31*CAPITAL_INVESTS_OTH!L30</f>
        <v>0</v>
      </c>
      <c r="M31" s="119">
        <f>$E31*CAPITAL_INVESTS_OTH!M30</f>
        <v>0</v>
      </c>
      <c r="N31" s="119">
        <f>$E31*CAPITAL_INVESTS_OTH!N30</f>
        <v>0</v>
      </c>
    </row>
    <row r="32" spans="2:14" s="10" customFormat="1" x14ac:dyDescent="0.2">
      <c r="D32" s="48" t="str">
        <f>Lang_Total_Fin_Costs</f>
        <v>TOTAL FINANCIAL COSTS</v>
      </c>
      <c r="E32" s="354"/>
      <c r="I32" s="246">
        <f>SUM(I22:I31)</f>
        <v>0</v>
      </c>
      <c r="J32" s="246">
        <f t="shared" ref="J32:N32" si="3">SUM(J22:J31)</f>
        <v>0</v>
      </c>
      <c r="K32" s="246">
        <f t="shared" si="3"/>
        <v>0</v>
      </c>
      <c r="L32" s="246">
        <f t="shared" si="3"/>
        <v>0</v>
      </c>
      <c r="M32" s="246">
        <f t="shared" si="3"/>
        <v>0</v>
      </c>
      <c r="N32" s="246">
        <f t="shared" si="3"/>
        <v>0</v>
      </c>
    </row>
    <row r="33" spans="3:14" s="10" customFormat="1" x14ac:dyDescent="0.2">
      <c r="C33" s="74" t="str">
        <f>Lang_Econ_Costs</f>
        <v>ECONOMIC COSTS</v>
      </c>
    </row>
    <row r="34" spans="3:14" s="10" customFormat="1" x14ac:dyDescent="0.2">
      <c r="D34" s="74" t="str">
        <f>Lang_Name_Of_Capital_Investment</f>
        <v>Name of Capital Investment</v>
      </c>
      <c r="E34" s="74" t="str">
        <f>Lang_Unit_Cost</f>
        <v>Unit Cost</v>
      </c>
    </row>
    <row r="35" spans="3:14" s="10" customFormat="1" x14ac:dyDescent="0.2">
      <c r="D35" s="49" t="str">
        <f>CAPITAL_INVESTS_OTH!B21</f>
        <v>Other Capital Investment 1</v>
      </c>
      <c r="E35" s="119">
        <f>IF(CAPITAL_INVESTS_OTH!$D$19=1,CAPITAL_INVESTS_OTH!E21,(CAPITAL_INVESTS_OTH!E21/$F$16))</f>
        <v>0</v>
      </c>
      <c r="I35" s="143">
        <f t="shared" ref="I35:I44" si="4">SUM(J35:N35)</f>
        <v>0</v>
      </c>
      <c r="J35" s="119">
        <f>$E35*CAPITAL_INVESTS_OTH!J21</f>
        <v>0</v>
      </c>
      <c r="K35" s="119">
        <f>$E35*CAPITAL_INVESTS_OTH!K21</f>
        <v>0</v>
      </c>
      <c r="L35" s="119">
        <f>$E35*CAPITAL_INVESTS_OTH!L21</f>
        <v>0</v>
      </c>
      <c r="M35" s="119">
        <f>$E35*CAPITAL_INVESTS_OTH!M21</f>
        <v>0</v>
      </c>
      <c r="N35" s="119">
        <f>$E35*CAPITAL_INVESTS_OTH!N21</f>
        <v>0</v>
      </c>
    </row>
    <row r="36" spans="3:14" s="10" customFormat="1" x14ac:dyDescent="0.2">
      <c r="D36" s="49" t="str">
        <f>CAPITAL_INVESTS_OTH!B22</f>
        <v>Other Capital Investment 2</v>
      </c>
      <c r="E36" s="119">
        <f>IF(CAPITAL_INVESTS_OTH!$D$19=1,CAPITAL_INVESTS_OTH!E22,(CAPITAL_INVESTS_OTH!E22/$F$16))</f>
        <v>0</v>
      </c>
      <c r="I36" s="143">
        <f t="shared" si="4"/>
        <v>0</v>
      </c>
      <c r="J36" s="119">
        <f>$E36*CAPITAL_INVESTS_OTH!J22</f>
        <v>0</v>
      </c>
      <c r="K36" s="119">
        <f>$E36*CAPITAL_INVESTS_OTH!K22</f>
        <v>0</v>
      </c>
      <c r="L36" s="119">
        <f>$E36*CAPITAL_INVESTS_OTH!L22</f>
        <v>0</v>
      </c>
      <c r="M36" s="119">
        <f>$E36*CAPITAL_INVESTS_OTH!M22</f>
        <v>0</v>
      </c>
      <c r="N36" s="119">
        <f>$E36*CAPITAL_INVESTS_OTH!N22</f>
        <v>0</v>
      </c>
    </row>
    <row r="37" spans="3:14" s="10" customFormat="1" x14ac:dyDescent="0.2">
      <c r="D37" s="49" t="str">
        <f>CAPITAL_INVESTS_OTH!B23</f>
        <v>Other Capital Investment 3</v>
      </c>
      <c r="E37" s="119">
        <f>IF(CAPITAL_INVESTS_OTH!$D$19=1,CAPITAL_INVESTS_OTH!E23,(CAPITAL_INVESTS_OTH!E23/$F$16))</f>
        <v>0</v>
      </c>
      <c r="I37" s="143">
        <f t="shared" si="4"/>
        <v>0</v>
      </c>
      <c r="J37" s="119">
        <f>$E37*CAPITAL_INVESTS_OTH!J23</f>
        <v>0</v>
      </c>
      <c r="K37" s="119">
        <f>$E37*CAPITAL_INVESTS_OTH!K23</f>
        <v>0</v>
      </c>
      <c r="L37" s="119">
        <f>$E37*CAPITAL_INVESTS_OTH!L23</f>
        <v>0</v>
      </c>
      <c r="M37" s="119">
        <f>$E37*CAPITAL_INVESTS_OTH!M23</f>
        <v>0</v>
      </c>
      <c r="N37" s="119">
        <f>$E37*CAPITAL_INVESTS_OTH!N23</f>
        <v>0</v>
      </c>
    </row>
    <row r="38" spans="3:14" s="10" customFormat="1" x14ac:dyDescent="0.2">
      <c r="D38" s="49" t="str">
        <f>CAPITAL_INVESTS_OTH!B24</f>
        <v>Other Capital Investment 4</v>
      </c>
      <c r="E38" s="119">
        <f>IF(CAPITAL_INVESTS_OTH!$D$19=1,CAPITAL_INVESTS_OTH!E24,(CAPITAL_INVESTS_OTH!E24/$F$16))</f>
        <v>0</v>
      </c>
      <c r="I38" s="143">
        <f t="shared" si="4"/>
        <v>0</v>
      </c>
      <c r="J38" s="119">
        <f>$E38*CAPITAL_INVESTS_OTH!J24</f>
        <v>0</v>
      </c>
      <c r="K38" s="119">
        <f>$E38*CAPITAL_INVESTS_OTH!K24</f>
        <v>0</v>
      </c>
      <c r="L38" s="119">
        <f>$E38*CAPITAL_INVESTS_OTH!L24</f>
        <v>0</v>
      </c>
      <c r="M38" s="119">
        <f>$E38*CAPITAL_INVESTS_OTH!M24</f>
        <v>0</v>
      </c>
      <c r="N38" s="119">
        <f>$E38*CAPITAL_INVESTS_OTH!N24</f>
        <v>0</v>
      </c>
    </row>
    <row r="39" spans="3:14" s="10" customFormat="1" x14ac:dyDescent="0.2">
      <c r="D39" s="49" t="str">
        <f>CAPITAL_INVESTS_OTH!B25</f>
        <v>Other Capital Investment 5</v>
      </c>
      <c r="E39" s="119">
        <f>IF(CAPITAL_INVESTS_OTH!$D$19=1,CAPITAL_INVESTS_OTH!E25,(CAPITAL_INVESTS_OTH!E25/$F$16))</f>
        <v>0</v>
      </c>
      <c r="I39" s="143">
        <f t="shared" si="4"/>
        <v>0</v>
      </c>
      <c r="J39" s="119">
        <f>$E39*CAPITAL_INVESTS_OTH!J25</f>
        <v>0</v>
      </c>
      <c r="K39" s="119">
        <f>$E39*CAPITAL_INVESTS_OTH!K25</f>
        <v>0</v>
      </c>
      <c r="L39" s="119">
        <f>$E39*CAPITAL_INVESTS_OTH!L25</f>
        <v>0</v>
      </c>
      <c r="M39" s="119">
        <f>$E39*CAPITAL_INVESTS_OTH!M25</f>
        <v>0</v>
      </c>
      <c r="N39" s="119">
        <f>$E39*CAPITAL_INVESTS_OTH!N25</f>
        <v>0</v>
      </c>
    </row>
    <row r="40" spans="3:14" s="10" customFormat="1" x14ac:dyDescent="0.2">
      <c r="D40" s="49" t="str">
        <f>CAPITAL_INVESTS_OTH!B26</f>
        <v>Other Capital Investment 6</v>
      </c>
      <c r="E40" s="119">
        <f>IF(CAPITAL_INVESTS_OTH!$D$19=1,CAPITAL_INVESTS_OTH!E26,(CAPITAL_INVESTS_OTH!E26/$F$16))</f>
        <v>0</v>
      </c>
      <c r="I40" s="143">
        <f t="shared" si="4"/>
        <v>0</v>
      </c>
      <c r="J40" s="119">
        <f>$E40*CAPITAL_INVESTS_OTH!J26</f>
        <v>0</v>
      </c>
      <c r="K40" s="119">
        <f>$E40*CAPITAL_INVESTS_OTH!K26</f>
        <v>0</v>
      </c>
      <c r="L40" s="119">
        <f>$E40*CAPITAL_INVESTS_OTH!L26</f>
        <v>0</v>
      </c>
      <c r="M40" s="119">
        <f>$E40*CAPITAL_INVESTS_OTH!M26</f>
        <v>0</v>
      </c>
      <c r="N40" s="119">
        <f>$E40*CAPITAL_INVESTS_OTH!N26</f>
        <v>0</v>
      </c>
    </row>
    <row r="41" spans="3:14" s="10" customFormat="1" x14ac:dyDescent="0.2">
      <c r="D41" s="49" t="str">
        <f>CAPITAL_INVESTS_OTH!B27</f>
        <v>Other Capital Investment 7</v>
      </c>
      <c r="E41" s="119">
        <f>IF(CAPITAL_INVESTS_OTH!$D$19=1,CAPITAL_INVESTS_OTH!E27,(CAPITAL_INVESTS_OTH!E27/$F$16))</f>
        <v>0</v>
      </c>
      <c r="I41" s="143">
        <f t="shared" si="4"/>
        <v>0</v>
      </c>
      <c r="J41" s="119">
        <f>$E41*CAPITAL_INVESTS_OTH!J27</f>
        <v>0</v>
      </c>
      <c r="K41" s="119">
        <f>$E41*CAPITAL_INVESTS_OTH!K27</f>
        <v>0</v>
      </c>
      <c r="L41" s="119">
        <f>$E41*CAPITAL_INVESTS_OTH!L27</f>
        <v>0</v>
      </c>
      <c r="M41" s="119">
        <f>$E41*CAPITAL_INVESTS_OTH!M27</f>
        <v>0</v>
      </c>
      <c r="N41" s="119">
        <f>$E41*CAPITAL_INVESTS_OTH!N27</f>
        <v>0</v>
      </c>
    </row>
    <row r="42" spans="3:14" s="10" customFormat="1" x14ac:dyDescent="0.2">
      <c r="D42" s="49" t="str">
        <f>CAPITAL_INVESTS_OTH!B28</f>
        <v>Other Capital Investment 8</v>
      </c>
      <c r="E42" s="119">
        <f>IF(CAPITAL_INVESTS_OTH!$D$19=1,CAPITAL_INVESTS_OTH!E28,(CAPITAL_INVESTS_OTH!E28/$F$16))</f>
        <v>0</v>
      </c>
      <c r="I42" s="143">
        <f t="shared" si="4"/>
        <v>0</v>
      </c>
      <c r="J42" s="119">
        <f>$E42*CAPITAL_INVESTS_OTH!J28</f>
        <v>0</v>
      </c>
      <c r="K42" s="119">
        <f>$E42*CAPITAL_INVESTS_OTH!K28</f>
        <v>0</v>
      </c>
      <c r="L42" s="119">
        <f>$E42*CAPITAL_INVESTS_OTH!L28</f>
        <v>0</v>
      </c>
      <c r="M42" s="119">
        <f>$E42*CAPITAL_INVESTS_OTH!M28</f>
        <v>0</v>
      </c>
      <c r="N42" s="119">
        <f>$E42*CAPITAL_INVESTS_OTH!N28</f>
        <v>0</v>
      </c>
    </row>
    <row r="43" spans="3:14" s="10" customFormat="1" x14ac:dyDescent="0.2">
      <c r="D43" s="49" t="str">
        <f>CAPITAL_INVESTS_OTH!B29</f>
        <v>Other Capital Investment 9</v>
      </c>
      <c r="E43" s="119">
        <f>IF(CAPITAL_INVESTS_OTH!$D$19=1,CAPITAL_INVESTS_OTH!E29,(CAPITAL_INVESTS_OTH!E29/$F$16))</f>
        <v>0</v>
      </c>
      <c r="I43" s="143">
        <f t="shared" si="4"/>
        <v>0</v>
      </c>
      <c r="J43" s="119">
        <f>$E43*CAPITAL_INVESTS_OTH!J29</f>
        <v>0</v>
      </c>
      <c r="K43" s="119">
        <f>$E43*CAPITAL_INVESTS_OTH!K29</f>
        <v>0</v>
      </c>
      <c r="L43" s="119">
        <f>$E43*CAPITAL_INVESTS_OTH!L29</f>
        <v>0</v>
      </c>
      <c r="M43" s="119">
        <f>$E43*CAPITAL_INVESTS_OTH!M29</f>
        <v>0</v>
      </c>
      <c r="N43" s="119">
        <f>$E43*CAPITAL_INVESTS_OTH!N29</f>
        <v>0</v>
      </c>
    </row>
    <row r="44" spans="3:14" s="10" customFormat="1" x14ac:dyDescent="0.2">
      <c r="D44" s="49" t="str">
        <f>CAPITAL_INVESTS_OTH!B30</f>
        <v>Other Capital Investment 10</v>
      </c>
      <c r="E44" s="119">
        <f>IF(CAPITAL_INVESTS_OTH!$D$19=1,CAPITAL_INVESTS_OTH!E30,(CAPITAL_INVESTS_OTH!E30/$F$16))</f>
        <v>0</v>
      </c>
      <c r="I44" s="143">
        <f t="shared" si="4"/>
        <v>0</v>
      </c>
      <c r="J44" s="119">
        <f>$E44*CAPITAL_INVESTS_OTH!J30</f>
        <v>0</v>
      </c>
      <c r="K44" s="119">
        <f>$E44*CAPITAL_INVESTS_OTH!K30</f>
        <v>0</v>
      </c>
      <c r="L44" s="119">
        <f>$E44*CAPITAL_INVESTS_OTH!L30</f>
        <v>0</v>
      </c>
      <c r="M44" s="119">
        <f>$E44*CAPITAL_INVESTS_OTH!M30</f>
        <v>0</v>
      </c>
      <c r="N44" s="119">
        <f>$E44*CAPITAL_INVESTS_OTH!N30</f>
        <v>0</v>
      </c>
    </row>
    <row r="45" spans="3:14" s="10" customFormat="1" x14ac:dyDescent="0.2">
      <c r="D45" s="48" t="str">
        <f>Lang_Total_Econ_Costs</f>
        <v>TOTAL ECONOMIC COSTS</v>
      </c>
      <c r="E45" s="355"/>
      <c r="I45" s="246">
        <f>SUM(I35:I44)</f>
        <v>0</v>
      </c>
      <c r="J45" s="246">
        <f t="shared" ref="J45:N45" si="5">SUM(J35:J44)</f>
        <v>0</v>
      </c>
      <c r="K45" s="246">
        <f t="shared" si="5"/>
        <v>0</v>
      </c>
      <c r="L45" s="246">
        <f t="shared" si="5"/>
        <v>0</v>
      </c>
      <c r="M45" s="246">
        <f t="shared" si="5"/>
        <v>0</v>
      </c>
      <c r="N45" s="246">
        <f t="shared" si="5"/>
        <v>0</v>
      </c>
    </row>
    <row r="46" spans="3:14" s="10" customFormat="1" x14ac:dyDescent="0.2"/>
    <row r="47" spans="3:14" s="10" customFormat="1" x14ac:dyDescent="0.2">
      <c r="C47" s="74" t="str">
        <f>Lang_Fin_Costs_Annualized</f>
        <v>Financial Costs (ANNUALIZED)</v>
      </c>
    </row>
    <row r="48" spans="3:14" s="10" customFormat="1" x14ac:dyDescent="0.2">
      <c r="D48" s="74" t="str">
        <f>Lang_Name_Of_Capital_Investment</f>
        <v>Name of Capital Investment</v>
      </c>
      <c r="E48" s="74" t="str">
        <f>Lang_Unit_Cost_Annualized</f>
        <v>Unit Cost (Annualized)</v>
      </c>
    </row>
    <row r="49" spans="3:14" s="10" customFormat="1" x14ac:dyDescent="0.2">
      <c r="D49" s="49" t="str">
        <f>CAPITAL_INVESTS_OTH!B21</f>
        <v>Other Capital Investment 1</v>
      </c>
      <c r="E49" s="119">
        <f>IFERROR(IF(CAPITAL_INVESTS_OTH!$D$19=1,CAPITAL_INVESTS_OTH!D21,(CAPITAL_INVESTS_OTH!D21/$F$16))/CAPITAL_INVESTS_OTH!F21,0)</f>
        <v>0</v>
      </c>
      <c r="I49" s="143">
        <f t="shared" ref="I49:I58" si="6">SUM(J49:N49)</f>
        <v>0</v>
      </c>
      <c r="J49" s="119">
        <f>$E49*SUM(CAPITAL_INVESTS_OTH!$J21:J21)</f>
        <v>0</v>
      </c>
      <c r="K49" s="119">
        <f>$E49*SUM(CAPITAL_INVESTS_OTH!$J21:K21)</f>
        <v>0</v>
      </c>
      <c r="L49" s="119">
        <f>$E49*SUM(CAPITAL_INVESTS_OTH!$J21:L21)</f>
        <v>0</v>
      </c>
      <c r="M49" s="119">
        <f>$E49*SUM(CAPITAL_INVESTS_OTH!$J21:M21)</f>
        <v>0</v>
      </c>
      <c r="N49" s="119">
        <f>$E49*SUM(CAPITAL_INVESTS_OTH!$J21:N21)</f>
        <v>0</v>
      </c>
    </row>
    <row r="50" spans="3:14" s="10" customFormat="1" x14ac:dyDescent="0.2">
      <c r="D50" s="49" t="str">
        <f>CAPITAL_INVESTS_OTH!B22</f>
        <v>Other Capital Investment 2</v>
      </c>
      <c r="E50" s="119">
        <f>IFERROR(IF(CAPITAL_INVESTS_OTH!$D$19=1,CAPITAL_INVESTS_OTH!D22,(CAPITAL_INVESTS_OTH!D22/$F$16))/CAPITAL_INVESTS_OTH!F22,0)</f>
        <v>0</v>
      </c>
      <c r="I50" s="143">
        <f t="shared" si="6"/>
        <v>0</v>
      </c>
      <c r="J50" s="119">
        <f>$E50*SUM(CAPITAL_INVESTS_OTH!$J22:J22)</f>
        <v>0</v>
      </c>
      <c r="K50" s="119">
        <f>$E50*SUM(CAPITAL_INVESTS_OTH!$J22:K22)</f>
        <v>0</v>
      </c>
      <c r="L50" s="119">
        <f>$E50*SUM(CAPITAL_INVESTS_OTH!$J22:L22)</f>
        <v>0</v>
      </c>
      <c r="M50" s="119">
        <f>$E50*SUM(CAPITAL_INVESTS_OTH!$J22:M22)</f>
        <v>0</v>
      </c>
      <c r="N50" s="119">
        <f>$E50*SUM(CAPITAL_INVESTS_OTH!$J22:N22)</f>
        <v>0</v>
      </c>
    </row>
    <row r="51" spans="3:14" s="10" customFormat="1" x14ac:dyDescent="0.2">
      <c r="D51" s="49" t="str">
        <f>CAPITAL_INVESTS_OTH!B23</f>
        <v>Other Capital Investment 3</v>
      </c>
      <c r="E51" s="119">
        <f>IFERROR(IF(CAPITAL_INVESTS_OTH!$D$19=1,CAPITAL_INVESTS_OTH!D23,(CAPITAL_INVESTS_OTH!D23/$F$16))/CAPITAL_INVESTS_OTH!F23,0)</f>
        <v>0</v>
      </c>
      <c r="I51" s="143">
        <f t="shared" si="6"/>
        <v>0</v>
      </c>
      <c r="J51" s="119">
        <f>$E51*SUM(CAPITAL_INVESTS_OTH!$J23:J23)</f>
        <v>0</v>
      </c>
      <c r="K51" s="119">
        <f>$E51*SUM(CAPITAL_INVESTS_OTH!$J23:K23)</f>
        <v>0</v>
      </c>
      <c r="L51" s="119">
        <f>$E51*SUM(CAPITAL_INVESTS_OTH!$J23:L23)</f>
        <v>0</v>
      </c>
      <c r="M51" s="119">
        <f>$E51*SUM(CAPITAL_INVESTS_OTH!$J23:M23)</f>
        <v>0</v>
      </c>
      <c r="N51" s="119">
        <f>$E51*SUM(CAPITAL_INVESTS_OTH!$J23:N23)</f>
        <v>0</v>
      </c>
    </row>
    <row r="52" spans="3:14" s="10" customFormat="1" x14ac:dyDescent="0.2">
      <c r="D52" s="49" t="str">
        <f>CAPITAL_INVESTS_OTH!B24</f>
        <v>Other Capital Investment 4</v>
      </c>
      <c r="E52" s="119">
        <f>IFERROR(IF(CAPITAL_INVESTS_OTH!$D$19=1,CAPITAL_INVESTS_OTH!D24,(CAPITAL_INVESTS_OTH!D24/$F$16))/CAPITAL_INVESTS_OTH!F24,0)</f>
        <v>0</v>
      </c>
      <c r="I52" s="143">
        <f t="shared" si="6"/>
        <v>0</v>
      </c>
      <c r="J52" s="119">
        <f>$E52*SUM(CAPITAL_INVESTS_OTH!$J24:J24)</f>
        <v>0</v>
      </c>
      <c r="K52" s="119">
        <f>$E52*SUM(CAPITAL_INVESTS_OTH!$J24:K24)</f>
        <v>0</v>
      </c>
      <c r="L52" s="119">
        <f>$E52*SUM(CAPITAL_INVESTS_OTH!$J24:L24)</f>
        <v>0</v>
      </c>
      <c r="M52" s="119">
        <f>$E52*SUM(CAPITAL_INVESTS_OTH!$J24:M24)</f>
        <v>0</v>
      </c>
      <c r="N52" s="119">
        <f>$E52*SUM(CAPITAL_INVESTS_OTH!$J24:N24)</f>
        <v>0</v>
      </c>
    </row>
    <row r="53" spans="3:14" s="10" customFormat="1" x14ac:dyDescent="0.2">
      <c r="D53" s="49" t="str">
        <f>CAPITAL_INVESTS_OTH!B25</f>
        <v>Other Capital Investment 5</v>
      </c>
      <c r="E53" s="119">
        <f>IFERROR(IF(CAPITAL_INVESTS_OTH!$D$19=1,CAPITAL_INVESTS_OTH!D25,(CAPITAL_INVESTS_OTH!D25/$F$16))/CAPITAL_INVESTS_OTH!F25,0)</f>
        <v>0</v>
      </c>
      <c r="I53" s="143">
        <f t="shared" si="6"/>
        <v>0</v>
      </c>
      <c r="J53" s="119">
        <f>$E53*SUM(CAPITAL_INVESTS_OTH!$J25:J25)</f>
        <v>0</v>
      </c>
      <c r="K53" s="119">
        <f>$E53*SUM(CAPITAL_INVESTS_OTH!$J25:K25)</f>
        <v>0</v>
      </c>
      <c r="L53" s="119">
        <f>$E53*SUM(CAPITAL_INVESTS_OTH!$J25:L25)</f>
        <v>0</v>
      </c>
      <c r="M53" s="119">
        <f>$E53*SUM(CAPITAL_INVESTS_OTH!$J25:M25)</f>
        <v>0</v>
      </c>
      <c r="N53" s="119">
        <f>$E53*SUM(CAPITAL_INVESTS_OTH!$J25:N25)</f>
        <v>0</v>
      </c>
    </row>
    <row r="54" spans="3:14" s="10" customFormat="1" x14ac:dyDescent="0.2">
      <c r="D54" s="49" t="str">
        <f>CAPITAL_INVESTS_OTH!B26</f>
        <v>Other Capital Investment 6</v>
      </c>
      <c r="E54" s="119">
        <f>IFERROR(IF(CAPITAL_INVESTS_OTH!$D$19=1,CAPITAL_INVESTS_OTH!D26,(CAPITAL_INVESTS_OTH!D26/$F$16))/CAPITAL_INVESTS_OTH!F26,0)</f>
        <v>0</v>
      </c>
      <c r="I54" s="143">
        <f t="shared" si="6"/>
        <v>0</v>
      </c>
      <c r="J54" s="119">
        <f>$E54*SUM(CAPITAL_INVESTS_OTH!$J26:J26)</f>
        <v>0</v>
      </c>
      <c r="K54" s="119">
        <f>$E54*SUM(CAPITAL_INVESTS_OTH!$J26:K26)</f>
        <v>0</v>
      </c>
      <c r="L54" s="119">
        <f>$E54*SUM(CAPITAL_INVESTS_OTH!$J26:L26)</f>
        <v>0</v>
      </c>
      <c r="M54" s="119">
        <f>$E54*SUM(CAPITAL_INVESTS_OTH!$J26:M26)</f>
        <v>0</v>
      </c>
      <c r="N54" s="119">
        <f>$E54*SUM(CAPITAL_INVESTS_OTH!$J26:N26)</f>
        <v>0</v>
      </c>
    </row>
    <row r="55" spans="3:14" s="10" customFormat="1" x14ac:dyDescent="0.2">
      <c r="D55" s="49" t="str">
        <f>CAPITAL_INVESTS_OTH!B27</f>
        <v>Other Capital Investment 7</v>
      </c>
      <c r="E55" s="119">
        <f>IFERROR(IF(CAPITAL_INVESTS_OTH!$D$19=1,CAPITAL_INVESTS_OTH!D27,(CAPITAL_INVESTS_OTH!D27/$F$16))/CAPITAL_INVESTS_OTH!F27,0)</f>
        <v>0</v>
      </c>
      <c r="I55" s="143">
        <f t="shared" si="6"/>
        <v>0</v>
      </c>
      <c r="J55" s="119">
        <f>$E55*SUM(CAPITAL_INVESTS_OTH!$J27:J27)</f>
        <v>0</v>
      </c>
      <c r="K55" s="119">
        <f>$E55*SUM(CAPITAL_INVESTS_OTH!$J27:K27)</f>
        <v>0</v>
      </c>
      <c r="L55" s="119">
        <f>$E55*SUM(CAPITAL_INVESTS_OTH!$J27:L27)</f>
        <v>0</v>
      </c>
      <c r="M55" s="119">
        <f>$E55*SUM(CAPITAL_INVESTS_OTH!$J27:M27)</f>
        <v>0</v>
      </c>
      <c r="N55" s="119">
        <f>$E55*SUM(CAPITAL_INVESTS_OTH!$J27:N27)</f>
        <v>0</v>
      </c>
    </row>
    <row r="56" spans="3:14" s="10" customFormat="1" x14ac:dyDescent="0.2">
      <c r="D56" s="49" t="str">
        <f>CAPITAL_INVESTS_OTH!B28</f>
        <v>Other Capital Investment 8</v>
      </c>
      <c r="E56" s="119">
        <f>IFERROR(IF(CAPITAL_INVESTS_OTH!$D$19=1,CAPITAL_INVESTS_OTH!D28,(CAPITAL_INVESTS_OTH!D28/$F$16))/CAPITAL_INVESTS_OTH!F28,0)</f>
        <v>0</v>
      </c>
      <c r="I56" s="143">
        <f t="shared" si="6"/>
        <v>0</v>
      </c>
      <c r="J56" s="119">
        <f>$E56*SUM(CAPITAL_INVESTS_OTH!$J28:J28)</f>
        <v>0</v>
      </c>
      <c r="K56" s="119">
        <f>$E56*SUM(CAPITAL_INVESTS_OTH!$J28:K28)</f>
        <v>0</v>
      </c>
      <c r="L56" s="119">
        <f>$E56*SUM(CAPITAL_INVESTS_OTH!$J28:L28)</f>
        <v>0</v>
      </c>
      <c r="M56" s="119">
        <f>$E56*SUM(CAPITAL_INVESTS_OTH!$J28:M28)</f>
        <v>0</v>
      </c>
      <c r="N56" s="119">
        <f>$E56*SUM(CAPITAL_INVESTS_OTH!$J28:N28)</f>
        <v>0</v>
      </c>
    </row>
    <row r="57" spans="3:14" s="10" customFormat="1" x14ac:dyDescent="0.2">
      <c r="D57" s="49" t="str">
        <f>CAPITAL_INVESTS_OTH!B29</f>
        <v>Other Capital Investment 9</v>
      </c>
      <c r="E57" s="119">
        <f>IFERROR(IF(CAPITAL_INVESTS_OTH!$D$19=1,CAPITAL_INVESTS_OTH!D29,(CAPITAL_INVESTS_OTH!D29/$F$16))/CAPITAL_INVESTS_OTH!F29,0)</f>
        <v>0</v>
      </c>
      <c r="I57" s="143">
        <f t="shared" si="6"/>
        <v>0</v>
      </c>
      <c r="J57" s="119">
        <f>$E57*SUM(CAPITAL_INVESTS_OTH!$J29:J29)</f>
        <v>0</v>
      </c>
      <c r="K57" s="119">
        <f>$E57*SUM(CAPITAL_INVESTS_OTH!$J29:K29)</f>
        <v>0</v>
      </c>
      <c r="L57" s="119">
        <f>$E57*SUM(CAPITAL_INVESTS_OTH!$J29:L29)</f>
        <v>0</v>
      </c>
      <c r="M57" s="119">
        <f>$E57*SUM(CAPITAL_INVESTS_OTH!$J29:M29)</f>
        <v>0</v>
      </c>
      <c r="N57" s="119">
        <f>$E57*SUM(CAPITAL_INVESTS_OTH!$J29:N29)</f>
        <v>0</v>
      </c>
    </row>
    <row r="58" spans="3:14" s="10" customFormat="1" x14ac:dyDescent="0.2">
      <c r="D58" s="49" t="str">
        <f>CAPITAL_INVESTS_OTH!B30</f>
        <v>Other Capital Investment 10</v>
      </c>
      <c r="E58" s="119">
        <f>IFERROR(IF(CAPITAL_INVESTS_OTH!$D$19=1,CAPITAL_INVESTS_OTH!D30,(CAPITAL_INVESTS_OTH!D30/$F$16))/CAPITAL_INVESTS_OTH!F30,0)</f>
        <v>0</v>
      </c>
      <c r="I58" s="143">
        <f t="shared" si="6"/>
        <v>0</v>
      </c>
      <c r="J58" s="119">
        <f>$E58*SUM(CAPITAL_INVESTS_OTH!$J30:J30)</f>
        <v>0</v>
      </c>
      <c r="K58" s="119">
        <f>$E58*SUM(CAPITAL_INVESTS_OTH!$J30:K30)</f>
        <v>0</v>
      </c>
      <c r="L58" s="119">
        <f>$E58*SUM(CAPITAL_INVESTS_OTH!$J30:L30)</f>
        <v>0</v>
      </c>
      <c r="M58" s="119">
        <f>$E58*SUM(CAPITAL_INVESTS_OTH!$J30:M30)</f>
        <v>0</v>
      </c>
      <c r="N58" s="119">
        <f>$E58*SUM(CAPITAL_INVESTS_OTH!$J30:N30)</f>
        <v>0</v>
      </c>
    </row>
    <row r="59" spans="3:14" s="10" customFormat="1" x14ac:dyDescent="0.2">
      <c r="D59" s="48" t="str">
        <f>Lang_Total_Fin_Costs_Annualized</f>
        <v>Total Financial Costs (ANNUALIZED)</v>
      </c>
      <c r="E59" s="354"/>
      <c r="I59" s="246">
        <f>SUM(I49:I58)</f>
        <v>0</v>
      </c>
      <c r="J59" s="246">
        <f t="shared" ref="J59:N59" si="7">SUM(J49:J58)</f>
        <v>0</v>
      </c>
      <c r="K59" s="246">
        <f t="shared" si="7"/>
        <v>0</v>
      </c>
      <c r="L59" s="246">
        <f t="shared" si="7"/>
        <v>0</v>
      </c>
      <c r="M59" s="246">
        <f t="shared" si="7"/>
        <v>0</v>
      </c>
      <c r="N59" s="246">
        <f t="shared" si="7"/>
        <v>0</v>
      </c>
    </row>
    <row r="60" spans="3:14" s="10" customFormat="1" x14ac:dyDescent="0.2"/>
    <row r="61" spans="3:14" s="10" customFormat="1" x14ac:dyDescent="0.2">
      <c r="C61" s="74" t="str">
        <f>Lang_Econ_Costs_Annualized</f>
        <v>Economic Costs (ANNUALIZED)</v>
      </c>
    </row>
    <row r="62" spans="3:14" s="10" customFormat="1" x14ac:dyDescent="0.2">
      <c r="D62" s="74" t="str">
        <f>Lang_Name_Of_Capital_Investment</f>
        <v>Name of Capital Investment</v>
      </c>
      <c r="E62" s="74" t="str">
        <f>Lang_Unit_Cost_Annualized</f>
        <v>Unit Cost (Annualized)</v>
      </c>
    </row>
    <row r="63" spans="3:14" s="10" customFormat="1" x14ac:dyDescent="0.2">
      <c r="D63" s="49" t="str">
        <f>CAPITAL_INVESTS_OTH!B21</f>
        <v>Other Capital Investment 1</v>
      </c>
      <c r="E63" s="235">
        <f>IFERROR(IF(CAPITAL_INVESTS_OTH!$D$19=2,(CAPITAL_INVESTS_OTH!E21/(((1+$F$17)^CAPITAL_INVESTS_OTH!F21-1)/($F$17*(1+$F$17)^CAPITAL_INVESTS_OTH!F21))/$F$16),(CAPITAL_INVESTS_OTH!E21/(((1+$F$17)^CAPITAL_INVESTS_OTH!F21-1)/($F$17*(1+$F$17)^CAPITAL_INVESTS_OTH!F21)))),0)</f>
        <v>0</v>
      </c>
      <c r="I63" s="143">
        <f t="shared" ref="I63:I72" si="8">SUM(J63:N63)</f>
        <v>0</v>
      </c>
      <c r="J63" s="119">
        <f>$E63*SUM(CAPITAL_INVESTS_OTH!$J21:J21)</f>
        <v>0</v>
      </c>
      <c r="K63" s="119">
        <f>$E63*SUM(CAPITAL_INVESTS_OTH!$J21:K21)</f>
        <v>0</v>
      </c>
      <c r="L63" s="119">
        <f>$E63*SUM(CAPITAL_INVESTS_OTH!$J21:L21)</f>
        <v>0</v>
      </c>
      <c r="M63" s="119">
        <f>$E63*SUM(CAPITAL_INVESTS_OTH!$J21:M21)</f>
        <v>0</v>
      </c>
      <c r="N63" s="119">
        <f>$E63*SUM(CAPITAL_INVESTS_OTH!$J21:N21)</f>
        <v>0</v>
      </c>
    </row>
    <row r="64" spans="3:14" s="10" customFormat="1" x14ac:dyDescent="0.2">
      <c r="D64" s="49" t="str">
        <f>CAPITAL_INVESTS_OTH!B22</f>
        <v>Other Capital Investment 2</v>
      </c>
      <c r="E64" s="235">
        <f>IFERROR(IF(CAPITAL_INVESTS_OTH!$D$19=2,(CAPITAL_INVESTS_OTH!E22/(((1+$F$17)^CAPITAL_INVESTS_OTH!F22-1)/($F$17*(1+$F$17)^CAPITAL_INVESTS_OTH!F22))/$F$16),(CAPITAL_INVESTS_OTH!E22/(((1+$F$17)^CAPITAL_INVESTS_OTH!F22-1)/($F$17*(1+$F$17)^CAPITAL_INVESTS_OTH!F22)))),0)</f>
        <v>0</v>
      </c>
      <c r="I64" s="143">
        <f t="shared" si="8"/>
        <v>0</v>
      </c>
      <c r="J64" s="119">
        <f>$E64*SUM(CAPITAL_INVESTS_OTH!$J22:J22)</f>
        <v>0</v>
      </c>
      <c r="K64" s="119">
        <f>$E64*SUM(CAPITAL_INVESTS_OTH!$J22:K22)</f>
        <v>0</v>
      </c>
      <c r="L64" s="119">
        <f>$E64*SUM(CAPITAL_INVESTS_OTH!$J22:L22)</f>
        <v>0</v>
      </c>
      <c r="M64" s="119">
        <f>$E64*SUM(CAPITAL_INVESTS_OTH!$J22:M22)</f>
        <v>0</v>
      </c>
      <c r="N64" s="119">
        <f>$E64*SUM(CAPITAL_INVESTS_OTH!$J22:N22)</f>
        <v>0</v>
      </c>
    </row>
    <row r="65" spans="2:14" s="10" customFormat="1" x14ac:dyDescent="0.2">
      <c r="D65" s="49" t="str">
        <f>CAPITAL_INVESTS_OTH!B23</f>
        <v>Other Capital Investment 3</v>
      </c>
      <c r="E65" s="235">
        <f>IFERROR(IF(CAPITAL_INVESTS_OTH!$D$19=2,(CAPITAL_INVESTS_OTH!E23/(((1+$F$17)^CAPITAL_INVESTS_OTH!F23-1)/($F$17*(1+$F$17)^CAPITAL_INVESTS_OTH!F23))/$F$16),(CAPITAL_INVESTS_OTH!E23/(((1+$F$17)^CAPITAL_INVESTS_OTH!F23-1)/($F$17*(1+$F$17)^CAPITAL_INVESTS_OTH!F23)))),0)</f>
        <v>0</v>
      </c>
      <c r="I65" s="143">
        <f t="shared" si="8"/>
        <v>0</v>
      </c>
      <c r="J65" s="119">
        <f>$E65*SUM(CAPITAL_INVESTS_OTH!$J23:J23)</f>
        <v>0</v>
      </c>
      <c r="K65" s="119">
        <f>$E65*SUM(CAPITAL_INVESTS_OTH!$J23:K23)</f>
        <v>0</v>
      </c>
      <c r="L65" s="119">
        <f>$E65*SUM(CAPITAL_INVESTS_OTH!$J23:L23)</f>
        <v>0</v>
      </c>
      <c r="M65" s="119">
        <f>$E65*SUM(CAPITAL_INVESTS_OTH!$J23:M23)</f>
        <v>0</v>
      </c>
      <c r="N65" s="119">
        <f>$E65*SUM(CAPITAL_INVESTS_OTH!$J23:N23)</f>
        <v>0</v>
      </c>
    </row>
    <row r="66" spans="2:14" s="10" customFormat="1" x14ac:dyDescent="0.2">
      <c r="D66" s="49" t="str">
        <f>CAPITAL_INVESTS_OTH!B24</f>
        <v>Other Capital Investment 4</v>
      </c>
      <c r="E66" s="235">
        <f>IFERROR(IF(CAPITAL_INVESTS_OTH!$D$19=2,(CAPITAL_INVESTS_OTH!E24/(((1+$F$17)^CAPITAL_INVESTS_OTH!F24-1)/($F$17*(1+$F$17)^CAPITAL_INVESTS_OTH!F24))/$F$16),(CAPITAL_INVESTS_OTH!E24/(((1+$F$17)^CAPITAL_INVESTS_OTH!F24-1)/($F$17*(1+$F$17)^CAPITAL_INVESTS_OTH!F24)))),0)</f>
        <v>0</v>
      </c>
      <c r="I66" s="143">
        <f t="shared" si="8"/>
        <v>0</v>
      </c>
      <c r="J66" s="119">
        <f>$E66*SUM(CAPITAL_INVESTS_OTH!$J24:J24)</f>
        <v>0</v>
      </c>
      <c r="K66" s="119">
        <f>$E66*SUM(CAPITAL_INVESTS_OTH!$J24:K24)</f>
        <v>0</v>
      </c>
      <c r="L66" s="119">
        <f>$E66*SUM(CAPITAL_INVESTS_OTH!$J24:L24)</f>
        <v>0</v>
      </c>
      <c r="M66" s="119">
        <f>$E66*SUM(CAPITAL_INVESTS_OTH!$J24:M24)</f>
        <v>0</v>
      </c>
      <c r="N66" s="119">
        <f>$E66*SUM(CAPITAL_INVESTS_OTH!$J24:N24)</f>
        <v>0</v>
      </c>
    </row>
    <row r="67" spans="2:14" s="10" customFormat="1" x14ac:dyDescent="0.2">
      <c r="D67" s="49" t="str">
        <f>CAPITAL_INVESTS_OTH!B25</f>
        <v>Other Capital Investment 5</v>
      </c>
      <c r="E67" s="235">
        <f>IFERROR(IF(CAPITAL_INVESTS_OTH!$D$19=2,(CAPITAL_INVESTS_OTH!E25/(((1+$F$17)^CAPITAL_INVESTS_OTH!F25-1)/($F$17*(1+$F$17)^CAPITAL_INVESTS_OTH!F25))/$F$16),(CAPITAL_INVESTS_OTH!E25/(((1+$F$17)^CAPITAL_INVESTS_OTH!F25-1)/($F$17*(1+$F$17)^CAPITAL_INVESTS_OTH!F25)))),0)</f>
        <v>0</v>
      </c>
      <c r="I67" s="143">
        <f t="shared" si="8"/>
        <v>0</v>
      </c>
      <c r="J67" s="119">
        <f>$E67*SUM(CAPITAL_INVESTS_OTH!$J25:J25)</f>
        <v>0</v>
      </c>
      <c r="K67" s="119">
        <f>$E67*SUM(CAPITAL_INVESTS_OTH!$J25:K25)</f>
        <v>0</v>
      </c>
      <c r="L67" s="119">
        <f>$E67*SUM(CAPITAL_INVESTS_OTH!$J25:L25)</f>
        <v>0</v>
      </c>
      <c r="M67" s="119">
        <f>$E67*SUM(CAPITAL_INVESTS_OTH!$J25:M25)</f>
        <v>0</v>
      </c>
      <c r="N67" s="119">
        <f>$E67*SUM(CAPITAL_INVESTS_OTH!$J25:N25)</f>
        <v>0</v>
      </c>
    </row>
    <row r="68" spans="2:14" s="10" customFormat="1" x14ac:dyDescent="0.2">
      <c r="D68" s="49" t="str">
        <f>CAPITAL_INVESTS_OTH!B26</f>
        <v>Other Capital Investment 6</v>
      </c>
      <c r="E68" s="235">
        <f>IFERROR(IF(CAPITAL_INVESTS_OTH!$D$19=2,(CAPITAL_INVESTS_OTH!E26/(((1+$F$17)^CAPITAL_INVESTS_OTH!F26-1)/($F$17*(1+$F$17)^CAPITAL_INVESTS_OTH!F26))/$F$16),(CAPITAL_INVESTS_OTH!E26/(((1+$F$17)^CAPITAL_INVESTS_OTH!F26-1)/($F$17*(1+$F$17)^CAPITAL_INVESTS_OTH!F26)))),0)</f>
        <v>0</v>
      </c>
      <c r="I68" s="143">
        <f t="shared" si="8"/>
        <v>0</v>
      </c>
      <c r="J68" s="119">
        <f>$E68*SUM(CAPITAL_INVESTS_OTH!$J26:J26)</f>
        <v>0</v>
      </c>
      <c r="K68" s="119">
        <f>$E68*SUM(CAPITAL_INVESTS_OTH!$J26:K26)</f>
        <v>0</v>
      </c>
      <c r="L68" s="119">
        <f>$E68*SUM(CAPITAL_INVESTS_OTH!$J26:L26)</f>
        <v>0</v>
      </c>
      <c r="M68" s="119">
        <f>$E68*SUM(CAPITAL_INVESTS_OTH!$J26:M26)</f>
        <v>0</v>
      </c>
      <c r="N68" s="119">
        <f>$E68*SUM(CAPITAL_INVESTS_OTH!$J26:N26)</f>
        <v>0</v>
      </c>
    </row>
    <row r="69" spans="2:14" s="10" customFormat="1" x14ac:dyDescent="0.2">
      <c r="D69" s="49" t="str">
        <f>CAPITAL_INVESTS_OTH!B27</f>
        <v>Other Capital Investment 7</v>
      </c>
      <c r="E69" s="235">
        <f>IFERROR(IF(CAPITAL_INVESTS_OTH!$D$19=2,(CAPITAL_INVESTS_OTH!E27/(((1+$F$17)^CAPITAL_INVESTS_OTH!F27-1)/($F$17*(1+$F$17)^CAPITAL_INVESTS_OTH!F27))/$F$16),(CAPITAL_INVESTS_OTH!E27/(((1+$F$17)^CAPITAL_INVESTS_OTH!F27-1)/($F$17*(1+$F$17)^CAPITAL_INVESTS_OTH!F27)))),0)</f>
        <v>0</v>
      </c>
      <c r="I69" s="143">
        <f t="shared" si="8"/>
        <v>0</v>
      </c>
      <c r="J69" s="119">
        <f>$E69*SUM(CAPITAL_INVESTS_OTH!$J27:J27)</f>
        <v>0</v>
      </c>
      <c r="K69" s="119">
        <f>$E69*SUM(CAPITAL_INVESTS_OTH!$J27:K27)</f>
        <v>0</v>
      </c>
      <c r="L69" s="119">
        <f>$E69*SUM(CAPITAL_INVESTS_OTH!$J27:L27)</f>
        <v>0</v>
      </c>
      <c r="M69" s="119">
        <f>$E69*SUM(CAPITAL_INVESTS_OTH!$J27:M27)</f>
        <v>0</v>
      </c>
      <c r="N69" s="119">
        <f>$E69*SUM(CAPITAL_INVESTS_OTH!$J27:N27)</f>
        <v>0</v>
      </c>
    </row>
    <row r="70" spans="2:14" s="10" customFormat="1" x14ac:dyDescent="0.2">
      <c r="D70" s="49" t="str">
        <f>CAPITAL_INVESTS_OTH!B28</f>
        <v>Other Capital Investment 8</v>
      </c>
      <c r="E70" s="235">
        <f>IFERROR(IF(CAPITAL_INVESTS_OTH!$D$19=2,(CAPITAL_INVESTS_OTH!E28/(((1+$F$17)^CAPITAL_INVESTS_OTH!F28-1)/($F$17*(1+$F$17)^CAPITAL_INVESTS_OTH!F28))/$F$16),(CAPITAL_INVESTS_OTH!E28/(((1+$F$17)^CAPITAL_INVESTS_OTH!F28-1)/($F$17*(1+$F$17)^CAPITAL_INVESTS_OTH!F28)))),0)</f>
        <v>0</v>
      </c>
      <c r="I70" s="143">
        <f t="shared" si="8"/>
        <v>0</v>
      </c>
      <c r="J70" s="119">
        <f>$E70*SUM(CAPITAL_INVESTS_OTH!$J28:J28)</f>
        <v>0</v>
      </c>
      <c r="K70" s="119">
        <f>$E70*SUM(CAPITAL_INVESTS_OTH!$J28:K28)</f>
        <v>0</v>
      </c>
      <c r="L70" s="119">
        <f>$E70*SUM(CAPITAL_INVESTS_OTH!$J28:L28)</f>
        <v>0</v>
      </c>
      <c r="M70" s="119">
        <f>$E70*SUM(CAPITAL_INVESTS_OTH!$J28:M28)</f>
        <v>0</v>
      </c>
      <c r="N70" s="119">
        <f>$E70*SUM(CAPITAL_INVESTS_OTH!$J28:N28)</f>
        <v>0</v>
      </c>
    </row>
    <row r="71" spans="2:14" s="10" customFormat="1" x14ac:dyDescent="0.2">
      <c r="D71" s="49" t="str">
        <f>CAPITAL_INVESTS_OTH!B29</f>
        <v>Other Capital Investment 9</v>
      </c>
      <c r="E71" s="235">
        <f>IFERROR(IF(CAPITAL_INVESTS_OTH!$D$19=2,(CAPITAL_INVESTS_OTH!E29/(((1+$F$17)^CAPITAL_INVESTS_OTH!F29-1)/($F$17*(1+$F$17)^CAPITAL_INVESTS_OTH!F29))/$F$16),(CAPITAL_INVESTS_OTH!E29/(((1+$F$17)^CAPITAL_INVESTS_OTH!F29-1)/($F$17*(1+$F$17)^CAPITAL_INVESTS_OTH!F29)))),0)</f>
        <v>0</v>
      </c>
      <c r="I71" s="143">
        <f t="shared" si="8"/>
        <v>0</v>
      </c>
      <c r="J71" s="119">
        <f>$E71*SUM(CAPITAL_INVESTS_OTH!$J29:J29)</f>
        <v>0</v>
      </c>
      <c r="K71" s="119">
        <f>$E71*SUM(CAPITAL_INVESTS_OTH!$J29:K29)</f>
        <v>0</v>
      </c>
      <c r="L71" s="119">
        <f>$E71*SUM(CAPITAL_INVESTS_OTH!$J29:L29)</f>
        <v>0</v>
      </c>
      <c r="M71" s="119">
        <f>$E71*SUM(CAPITAL_INVESTS_OTH!$J29:M29)</f>
        <v>0</v>
      </c>
      <c r="N71" s="119">
        <f>$E71*SUM(CAPITAL_INVESTS_OTH!$J29:N29)</f>
        <v>0</v>
      </c>
    </row>
    <row r="72" spans="2:14" s="10" customFormat="1" x14ac:dyDescent="0.2">
      <c r="D72" s="49" t="str">
        <f>CAPITAL_INVESTS_OTH!B30</f>
        <v>Other Capital Investment 10</v>
      </c>
      <c r="E72" s="235">
        <f>IFERROR(IF(CAPITAL_INVESTS_OTH!$D$19=2,(CAPITAL_INVESTS_OTH!E30/(((1+$F$17)^CAPITAL_INVESTS_OTH!F30-1)/($F$17*(1+$F$17)^CAPITAL_INVESTS_OTH!F30))/$F$16),(CAPITAL_INVESTS_OTH!E30/(((1+$F$17)^CAPITAL_INVESTS_OTH!F30-1)/($F$17*(1+$F$17)^CAPITAL_INVESTS_OTH!F30)))),0)</f>
        <v>0</v>
      </c>
      <c r="I72" s="143">
        <f t="shared" si="8"/>
        <v>0</v>
      </c>
      <c r="J72" s="119">
        <f>$E72*SUM(CAPITAL_INVESTS_OTH!$J30:J30)</f>
        <v>0</v>
      </c>
      <c r="K72" s="119">
        <f>$E72*SUM(CAPITAL_INVESTS_OTH!$J30:K30)</f>
        <v>0</v>
      </c>
      <c r="L72" s="119">
        <f>$E72*SUM(CAPITAL_INVESTS_OTH!$J30:L30)</f>
        <v>0</v>
      </c>
      <c r="M72" s="119">
        <f>$E72*SUM(CAPITAL_INVESTS_OTH!$J30:M30)</f>
        <v>0</v>
      </c>
      <c r="N72" s="119">
        <f>$E72*SUM(CAPITAL_INVESTS_OTH!$J30:N30)</f>
        <v>0</v>
      </c>
    </row>
    <row r="73" spans="2:14" s="10" customFormat="1" x14ac:dyDescent="0.2">
      <c r="D73" s="48" t="str">
        <f>Lang_Total_Econ_Costs_Annualized</f>
        <v>Total Economic Costs (ANNUALIZED)</v>
      </c>
      <c r="E73" s="144"/>
      <c r="I73" s="246">
        <f>SUM(I63:I72)</f>
        <v>0</v>
      </c>
      <c r="J73" s="246">
        <f t="shared" ref="J73:N73" si="9">SUM(J63:J72)</f>
        <v>0</v>
      </c>
      <c r="K73" s="246">
        <f t="shared" si="9"/>
        <v>0</v>
      </c>
      <c r="L73" s="246">
        <f t="shared" si="9"/>
        <v>0</v>
      </c>
      <c r="M73" s="246">
        <f t="shared" si="9"/>
        <v>0</v>
      </c>
      <c r="N73" s="246">
        <f t="shared" si="9"/>
        <v>0</v>
      </c>
    </row>
    <row r="74" spans="2:14" s="10" customFormat="1" x14ac:dyDescent="0.2"/>
    <row r="75" spans="2:14" s="10" customFormat="1" x14ac:dyDescent="0.2"/>
    <row r="76" spans="2:14" s="10" customFormat="1" x14ac:dyDescent="0.2">
      <c r="B76" s="65" t="str">
        <f>CAP_OTH_Lu!$D$15</f>
        <v>LCU</v>
      </c>
    </row>
    <row r="77" spans="2:14" s="10" customFormat="1" x14ac:dyDescent="0.2"/>
    <row r="78" spans="2:14" s="10" customFormat="1" x14ac:dyDescent="0.2">
      <c r="C78" s="74" t="str">
        <f>Lang_Fin_Costs</f>
        <v>FINANCIAL COSTS</v>
      </c>
    </row>
    <row r="79" spans="2:14" s="10" customFormat="1" x14ac:dyDescent="0.2">
      <c r="D79" s="74" t="str">
        <f>Lang_Name_Of_Capital_Investment</f>
        <v>Name of Capital Investment</v>
      </c>
      <c r="E79" s="74" t="str">
        <f>Lang_Unit_Cost</f>
        <v>Unit Cost</v>
      </c>
      <c r="I79" s="74" t="str">
        <f>Lang_All_Years</f>
        <v>ALL YEARS</v>
      </c>
    </row>
    <row r="80" spans="2:14" s="10" customFormat="1" x14ac:dyDescent="0.2">
      <c r="D80" s="49" t="str">
        <f>CAPITAL_INVESTS_OTH!B21</f>
        <v>Other Capital Investment 1</v>
      </c>
      <c r="E80" s="42">
        <f t="shared" ref="E80:E89" si="10">E22*$F$16</f>
        <v>0</v>
      </c>
      <c r="I80" s="142">
        <f t="shared" ref="I80:I89" si="11">SUM(J80:N80)</f>
        <v>0</v>
      </c>
      <c r="J80" s="42">
        <f t="shared" ref="J80:N89" si="12">J22*$F$16</f>
        <v>0</v>
      </c>
      <c r="K80" s="42">
        <f t="shared" si="12"/>
        <v>0</v>
      </c>
      <c r="L80" s="42">
        <f t="shared" si="12"/>
        <v>0</v>
      </c>
      <c r="M80" s="42">
        <f t="shared" si="12"/>
        <v>0</v>
      </c>
      <c r="N80" s="42">
        <f t="shared" si="12"/>
        <v>0</v>
      </c>
    </row>
    <row r="81" spans="3:14" s="10" customFormat="1" x14ac:dyDescent="0.2">
      <c r="D81" s="49" t="str">
        <f>CAPITAL_INVESTS_OTH!B22</f>
        <v>Other Capital Investment 2</v>
      </c>
      <c r="E81" s="42">
        <f t="shared" si="10"/>
        <v>0</v>
      </c>
      <c r="I81" s="142">
        <f t="shared" si="11"/>
        <v>0</v>
      </c>
      <c r="J81" s="42">
        <f t="shared" si="12"/>
        <v>0</v>
      </c>
      <c r="K81" s="42">
        <f t="shared" si="12"/>
        <v>0</v>
      </c>
      <c r="L81" s="42">
        <f t="shared" si="12"/>
        <v>0</v>
      </c>
      <c r="M81" s="42">
        <f t="shared" si="12"/>
        <v>0</v>
      </c>
      <c r="N81" s="42">
        <f t="shared" si="12"/>
        <v>0</v>
      </c>
    </row>
    <row r="82" spans="3:14" s="10" customFormat="1" x14ac:dyDescent="0.2">
      <c r="D82" s="49" t="str">
        <f>CAPITAL_INVESTS_OTH!B23</f>
        <v>Other Capital Investment 3</v>
      </c>
      <c r="E82" s="42">
        <f t="shared" si="10"/>
        <v>0</v>
      </c>
      <c r="I82" s="142">
        <f t="shared" si="11"/>
        <v>0</v>
      </c>
      <c r="J82" s="42">
        <f t="shared" si="12"/>
        <v>0</v>
      </c>
      <c r="K82" s="42">
        <f t="shared" si="12"/>
        <v>0</v>
      </c>
      <c r="L82" s="42">
        <f t="shared" si="12"/>
        <v>0</v>
      </c>
      <c r="M82" s="42">
        <f t="shared" si="12"/>
        <v>0</v>
      </c>
      <c r="N82" s="42">
        <f t="shared" si="12"/>
        <v>0</v>
      </c>
    </row>
    <row r="83" spans="3:14" s="10" customFormat="1" x14ac:dyDescent="0.2">
      <c r="D83" s="49" t="str">
        <f>CAPITAL_INVESTS_OTH!B24</f>
        <v>Other Capital Investment 4</v>
      </c>
      <c r="E83" s="42">
        <f t="shared" si="10"/>
        <v>0</v>
      </c>
      <c r="I83" s="142">
        <f t="shared" si="11"/>
        <v>0</v>
      </c>
      <c r="J83" s="42">
        <f t="shared" si="12"/>
        <v>0</v>
      </c>
      <c r="K83" s="42">
        <f t="shared" si="12"/>
        <v>0</v>
      </c>
      <c r="L83" s="42">
        <f t="shared" si="12"/>
        <v>0</v>
      </c>
      <c r="M83" s="42">
        <f t="shared" si="12"/>
        <v>0</v>
      </c>
      <c r="N83" s="42">
        <f t="shared" si="12"/>
        <v>0</v>
      </c>
    </row>
    <row r="84" spans="3:14" s="10" customFormat="1" x14ac:dyDescent="0.2">
      <c r="D84" s="49" t="str">
        <f>CAPITAL_INVESTS_OTH!B25</f>
        <v>Other Capital Investment 5</v>
      </c>
      <c r="E84" s="42">
        <f t="shared" si="10"/>
        <v>0</v>
      </c>
      <c r="I84" s="142">
        <f t="shared" si="11"/>
        <v>0</v>
      </c>
      <c r="J84" s="42">
        <f t="shared" si="12"/>
        <v>0</v>
      </c>
      <c r="K84" s="42">
        <f t="shared" si="12"/>
        <v>0</v>
      </c>
      <c r="L84" s="42">
        <f t="shared" si="12"/>
        <v>0</v>
      </c>
      <c r="M84" s="42">
        <f t="shared" si="12"/>
        <v>0</v>
      </c>
      <c r="N84" s="42">
        <f t="shared" si="12"/>
        <v>0</v>
      </c>
    </row>
    <row r="85" spans="3:14" s="10" customFormat="1" x14ac:dyDescent="0.2">
      <c r="D85" s="49" t="str">
        <f>CAPITAL_INVESTS_OTH!B26</f>
        <v>Other Capital Investment 6</v>
      </c>
      <c r="E85" s="42">
        <f t="shared" si="10"/>
        <v>0</v>
      </c>
      <c r="I85" s="142">
        <f t="shared" si="11"/>
        <v>0</v>
      </c>
      <c r="J85" s="42">
        <f t="shared" si="12"/>
        <v>0</v>
      </c>
      <c r="K85" s="42">
        <f t="shared" si="12"/>
        <v>0</v>
      </c>
      <c r="L85" s="42">
        <f t="shared" si="12"/>
        <v>0</v>
      </c>
      <c r="M85" s="42">
        <f t="shared" si="12"/>
        <v>0</v>
      </c>
      <c r="N85" s="42">
        <f t="shared" si="12"/>
        <v>0</v>
      </c>
    </row>
    <row r="86" spans="3:14" s="10" customFormat="1" x14ac:dyDescent="0.2">
      <c r="D86" s="49" t="str">
        <f>CAPITAL_INVESTS_OTH!B27</f>
        <v>Other Capital Investment 7</v>
      </c>
      <c r="E86" s="42">
        <f t="shared" si="10"/>
        <v>0</v>
      </c>
      <c r="I86" s="142">
        <f t="shared" si="11"/>
        <v>0</v>
      </c>
      <c r="J86" s="42">
        <f t="shared" si="12"/>
        <v>0</v>
      </c>
      <c r="K86" s="42">
        <f t="shared" si="12"/>
        <v>0</v>
      </c>
      <c r="L86" s="42">
        <f t="shared" si="12"/>
        <v>0</v>
      </c>
      <c r="M86" s="42">
        <f t="shared" si="12"/>
        <v>0</v>
      </c>
      <c r="N86" s="42">
        <f t="shared" si="12"/>
        <v>0</v>
      </c>
    </row>
    <row r="87" spans="3:14" s="10" customFormat="1" x14ac:dyDescent="0.2">
      <c r="D87" s="49" t="str">
        <f>CAPITAL_INVESTS_OTH!B28</f>
        <v>Other Capital Investment 8</v>
      </c>
      <c r="E87" s="42">
        <f t="shared" si="10"/>
        <v>0</v>
      </c>
      <c r="I87" s="142">
        <f t="shared" si="11"/>
        <v>0</v>
      </c>
      <c r="J87" s="42">
        <f t="shared" si="12"/>
        <v>0</v>
      </c>
      <c r="K87" s="42">
        <f t="shared" si="12"/>
        <v>0</v>
      </c>
      <c r="L87" s="42">
        <f t="shared" si="12"/>
        <v>0</v>
      </c>
      <c r="M87" s="42">
        <f t="shared" si="12"/>
        <v>0</v>
      </c>
      <c r="N87" s="42">
        <f t="shared" si="12"/>
        <v>0</v>
      </c>
    </row>
    <row r="88" spans="3:14" s="10" customFormat="1" x14ac:dyDescent="0.2">
      <c r="D88" s="49" t="str">
        <f>CAPITAL_INVESTS_OTH!B29</f>
        <v>Other Capital Investment 9</v>
      </c>
      <c r="E88" s="42">
        <f t="shared" si="10"/>
        <v>0</v>
      </c>
      <c r="I88" s="142">
        <f t="shared" si="11"/>
        <v>0</v>
      </c>
      <c r="J88" s="42">
        <f t="shared" si="12"/>
        <v>0</v>
      </c>
      <c r="K88" s="42">
        <f t="shared" si="12"/>
        <v>0</v>
      </c>
      <c r="L88" s="42">
        <f t="shared" si="12"/>
        <v>0</v>
      </c>
      <c r="M88" s="42">
        <f t="shared" si="12"/>
        <v>0</v>
      </c>
      <c r="N88" s="42">
        <f t="shared" si="12"/>
        <v>0</v>
      </c>
    </row>
    <row r="89" spans="3:14" s="10" customFormat="1" x14ac:dyDescent="0.2">
      <c r="D89" s="49" t="str">
        <f>CAPITAL_INVESTS_OTH!B30</f>
        <v>Other Capital Investment 10</v>
      </c>
      <c r="E89" s="42">
        <f t="shared" si="10"/>
        <v>0</v>
      </c>
      <c r="I89" s="142">
        <f t="shared" si="11"/>
        <v>0</v>
      </c>
      <c r="J89" s="42">
        <f t="shared" si="12"/>
        <v>0</v>
      </c>
      <c r="K89" s="42">
        <f t="shared" si="12"/>
        <v>0</v>
      </c>
      <c r="L89" s="42">
        <f t="shared" si="12"/>
        <v>0</v>
      </c>
      <c r="M89" s="42">
        <f t="shared" si="12"/>
        <v>0</v>
      </c>
      <c r="N89" s="42">
        <f t="shared" si="12"/>
        <v>0</v>
      </c>
    </row>
    <row r="90" spans="3:14" s="10" customFormat="1" x14ac:dyDescent="0.2">
      <c r="D90" s="48" t="str">
        <f>Lang_Total_Fin_Costs</f>
        <v>TOTAL FINANCIAL COSTS</v>
      </c>
      <c r="E90" s="354"/>
      <c r="I90" s="247">
        <f>SUM(I80:I89)</f>
        <v>0</v>
      </c>
      <c r="J90" s="247">
        <f t="shared" ref="J90:N90" si="13">SUM(J80:J89)</f>
        <v>0</v>
      </c>
      <c r="K90" s="247">
        <f t="shared" si="13"/>
        <v>0</v>
      </c>
      <c r="L90" s="247">
        <f t="shared" si="13"/>
        <v>0</v>
      </c>
      <c r="M90" s="247">
        <f t="shared" si="13"/>
        <v>0</v>
      </c>
      <c r="N90" s="247">
        <f t="shared" si="13"/>
        <v>0</v>
      </c>
    </row>
    <row r="91" spans="3:14" s="10" customFormat="1" x14ac:dyDescent="0.2">
      <c r="C91" s="74" t="str">
        <f>Lang_Econ_Costs</f>
        <v>ECONOMIC COSTS</v>
      </c>
    </row>
    <row r="92" spans="3:14" s="10" customFormat="1" x14ac:dyDescent="0.2">
      <c r="D92" s="74" t="str">
        <f>Lang_Name_Of_Capital_Investment</f>
        <v>Name of Capital Investment</v>
      </c>
      <c r="E92" s="74" t="str">
        <f>Lang_Unit_Cost</f>
        <v>Unit Cost</v>
      </c>
    </row>
    <row r="93" spans="3:14" s="10" customFormat="1" x14ac:dyDescent="0.2">
      <c r="D93" s="49" t="str">
        <f>CAPITAL_INVESTS_OTH!B21</f>
        <v>Other Capital Investment 1</v>
      </c>
      <c r="E93" s="42">
        <f t="shared" ref="E93:E102" si="14">E35*$F$16</f>
        <v>0</v>
      </c>
      <c r="I93" s="142">
        <f t="shared" ref="I93:I102" si="15">SUM(J93:N93)</f>
        <v>0</v>
      </c>
      <c r="J93" s="42">
        <f t="shared" ref="J93:N102" si="16">J35*$F$16</f>
        <v>0</v>
      </c>
      <c r="K93" s="42">
        <f t="shared" si="16"/>
        <v>0</v>
      </c>
      <c r="L93" s="42">
        <f t="shared" si="16"/>
        <v>0</v>
      </c>
      <c r="M93" s="42">
        <f t="shared" si="16"/>
        <v>0</v>
      </c>
      <c r="N93" s="42">
        <f t="shared" si="16"/>
        <v>0</v>
      </c>
    </row>
    <row r="94" spans="3:14" s="10" customFormat="1" x14ac:dyDescent="0.2">
      <c r="D94" s="49" t="str">
        <f>CAPITAL_INVESTS_OTH!B22</f>
        <v>Other Capital Investment 2</v>
      </c>
      <c r="E94" s="42">
        <f t="shared" si="14"/>
        <v>0</v>
      </c>
      <c r="I94" s="142">
        <f t="shared" si="15"/>
        <v>0</v>
      </c>
      <c r="J94" s="42">
        <f t="shared" si="16"/>
        <v>0</v>
      </c>
      <c r="K94" s="42">
        <f t="shared" si="16"/>
        <v>0</v>
      </c>
      <c r="L94" s="42">
        <f t="shared" si="16"/>
        <v>0</v>
      </c>
      <c r="M94" s="42">
        <f t="shared" si="16"/>
        <v>0</v>
      </c>
      <c r="N94" s="42">
        <f t="shared" si="16"/>
        <v>0</v>
      </c>
    </row>
    <row r="95" spans="3:14" s="10" customFormat="1" x14ac:dyDescent="0.2">
      <c r="D95" s="49" t="str">
        <f>CAPITAL_INVESTS_OTH!B23</f>
        <v>Other Capital Investment 3</v>
      </c>
      <c r="E95" s="42">
        <f t="shared" si="14"/>
        <v>0</v>
      </c>
      <c r="I95" s="142">
        <f t="shared" si="15"/>
        <v>0</v>
      </c>
      <c r="J95" s="42">
        <f t="shared" si="16"/>
        <v>0</v>
      </c>
      <c r="K95" s="42">
        <f t="shared" si="16"/>
        <v>0</v>
      </c>
      <c r="L95" s="42">
        <f t="shared" si="16"/>
        <v>0</v>
      </c>
      <c r="M95" s="42">
        <f t="shared" si="16"/>
        <v>0</v>
      </c>
      <c r="N95" s="42">
        <f t="shared" si="16"/>
        <v>0</v>
      </c>
    </row>
    <row r="96" spans="3:14" s="10" customFormat="1" x14ac:dyDescent="0.2">
      <c r="D96" s="49" t="str">
        <f>CAPITAL_INVESTS_OTH!B24</f>
        <v>Other Capital Investment 4</v>
      </c>
      <c r="E96" s="42">
        <f t="shared" si="14"/>
        <v>0</v>
      </c>
      <c r="I96" s="142">
        <f t="shared" si="15"/>
        <v>0</v>
      </c>
      <c r="J96" s="42">
        <f t="shared" si="16"/>
        <v>0</v>
      </c>
      <c r="K96" s="42">
        <f t="shared" si="16"/>
        <v>0</v>
      </c>
      <c r="L96" s="42">
        <f t="shared" si="16"/>
        <v>0</v>
      </c>
      <c r="M96" s="42">
        <f t="shared" si="16"/>
        <v>0</v>
      </c>
      <c r="N96" s="42">
        <f t="shared" si="16"/>
        <v>0</v>
      </c>
    </row>
    <row r="97" spans="3:14" s="10" customFormat="1" x14ac:dyDescent="0.2">
      <c r="D97" s="49" t="str">
        <f>CAPITAL_INVESTS_OTH!B25</f>
        <v>Other Capital Investment 5</v>
      </c>
      <c r="E97" s="42">
        <f t="shared" si="14"/>
        <v>0</v>
      </c>
      <c r="I97" s="142">
        <f t="shared" si="15"/>
        <v>0</v>
      </c>
      <c r="J97" s="42">
        <f t="shared" si="16"/>
        <v>0</v>
      </c>
      <c r="K97" s="42">
        <f t="shared" si="16"/>
        <v>0</v>
      </c>
      <c r="L97" s="42">
        <f t="shared" si="16"/>
        <v>0</v>
      </c>
      <c r="M97" s="42">
        <f t="shared" si="16"/>
        <v>0</v>
      </c>
      <c r="N97" s="42">
        <f t="shared" si="16"/>
        <v>0</v>
      </c>
    </row>
    <row r="98" spans="3:14" s="10" customFormat="1" x14ac:dyDescent="0.2">
      <c r="D98" s="49" t="str">
        <f>CAPITAL_INVESTS_OTH!B26</f>
        <v>Other Capital Investment 6</v>
      </c>
      <c r="E98" s="42">
        <f t="shared" si="14"/>
        <v>0</v>
      </c>
      <c r="I98" s="142">
        <f t="shared" si="15"/>
        <v>0</v>
      </c>
      <c r="J98" s="42">
        <f t="shared" si="16"/>
        <v>0</v>
      </c>
      <c r="K98" s="42">
        <f t="shared" si="16"/>
        <v>0</v>
      </c>
      <c r="L98" s="42">
        <f t="shared" si="16"/>
        <v>0</v>
      </c>
      <c r="M98" s="42">
        <f t="shared" si="16"/>
        <v>0</v>
      </c>
      <c r="N98" s="42">
        <f t="shared" si="16"/>
        <v>0</v>
      </c>
    </row>
    <row r="99" spans="3:14" s="10" customFormat="1" x14ac:dyDescent="0.2">
      <c r="D99" s="49" t="str">
        <f>CAPITAL_INVESTS_OTH!B27</f>
        <v>Other Capital Investment 7</v>
      </c>
      <c r="E99" s="42">
        <f t="shared" si="14"/>
        <v>0</v>
      </c>
      <c r="I99" s="142">
        <f t="shared" si="15"/>
        <v>0</v>
      </c>
      <c r="J99" s="42">
        <f t="shared" si="16"/>
        <v>0</v>
      </c>
      <c r="K99" s="42">
        <f t="shared" si="16"/>
        <v>0</v>
      </c>
      <c r="L99" s="42">
        <f t="shared" si="16"/>
        <v>0</v>
      </c>
      <c r="M99" s="42">
        <f t="shared" si="16"/>
        <v>0</v>
      </c>
      <c r="N99" s="42">
        <f t="shared" si="16"/>
        <v>0</v>
      </c>
    </row>
    <row r="100" spans="3:14" s="10" customFormat="1" x14ac:dyDescent="0.2">
      <c r="D100" s="49" t="str">
        <f>CAPITAL_INVESTS_OTH!B28</f>
        <v>Other Capital Investment 8</v>
      </c>
      <c r="E100" s="42">
        <f t="shared" si="14"/>
        <v>0</v>
      </c>
      <c r="I100" s="142">
        <f t="shared" si="15"/>
        <v>0</v>
      </c>
      <c r="J100" s="42">
        <f t="shared" si="16"/>
        <v>0</v>
      </c>
      <c r="K100" s="42">
        <f t="shared" si="16"/>
        <v>0</v>
      </c>
      <c r="L100" s="42">
        <f t="shared" si="16"/>
        <v>0</v>
      </c>
      <c r="M100" s="42">
        <f t="shared" si="16"/>
        <v>0</v>
      </c>
      <c r="N100" s="42">
        <f t="shared" si="16"/>
        <v>0</v>
      </c>
    </row>
    <row r="101" spans="3:14" s="10" customFormat="1" x14ac:dyDescent="0.2">
      <c r="D101" s="49" t="str">
        <f>CAPITAL_INVESTS_OTH!B29</f>
        <v>Other Capital Investment 9</v>
      </c>
      <c r="E101" s="42">
        <f t="shared" si="14"/>
        <v>0</v>
      </c>
      <c r="I101" s="142">
        <f t="shared" si="15"/>
        <v>0</v>
      </c>
      <c r="J101" s="42">
        <f t="shared" si="16"/>
        <v>0</v>
      </c>
      <c r="K101" s="42">
        <f t="shared" si="16"/>
        <v>0</v>
      </c>
      <c r="L101" s="42">
        <f t="shared" si="16"/>
        <v>0</v>
      </c>
      <c r="M101" s="42">
        <f t="shared" si="16"/>
        <v>0</v>
      </c>
      <c r="N101" s="42">
        <f t="shared" si="16"/>
        <v>0</v>
      </c>
    </row>
    <row r="102" spans="3:14" s="10" customFormat="1" x14ac:dyDescent="0.2">
      <c r="D102" s="49" t="str">
        <f>CAPITAL_INVESTS_OTH!B30</f>
        <v>Other Capital Investment 10</v>
      </c>
      <c r="E102" s="42">
        <f t="shared" si="14"/>
        <v>0</v>
      </c>
      <c r="I102" s="142">
        <f t="shared" si="15"/>
        <v>0</v>
      </c>
      <c r="J102" s="42">
        <f t="shared" si="16"/>
        <v>0</v>
      </c>
      <c r="K102" s="42">
        <f t="shared" si="16"/>
        <v>0</v>
      </c>
      <c r="L102" s="42">
        <f t="shared" si="16"/>
        <v>0</v>
      </c>
      <c r="M102" s="42">
        <f t="shared" si="16"/>
        <v>0</v>
      </c>
      <c r="N102" s="42">
        <f t="shared" si="16"/>
        <v>0</v>
      </c>
    </row>
    <row r="103" spans="3:14" s="10" customFormat="1" x14ac:dyDescent="0.2">
      <c r="D103" s="48" t="str">
        <f>Lang_Total_Econ_Costs</f>
        <v>TOTAL ECONOMIC COSTS</v>
      </c>
      <c r="E103" s="354"/>
      <c r="I103" s="247">
        <f>SUM(I93:I102)</f>
        <v>0</v>
      </c>
      <c r="J103" s="247">
        <f t="shared" ref="J103:N103" si="17">SUM(J93:J102)</f>
        <v>0</v>
      </c>
      <c r="K103" s="247">
        <f t="shared" si="17"/>
        <v>0</v>
      </c>
      <c r="L103" s="247">
        <f t="shared" si="17"/>
        <v>0</v>
      </c>
      <c r="M103" s="247">
        <f t="shared" si="17"/>
        <v>0</v>
      </c>
      <c r="N103" s="247">
        <f t="shared" si="17"/>
        <v>0</v>
      </c>
    </row>
    <row r="104" spans="3:14" s="10" customFormat="1" x14ac:dyDescent="0.2"/>
    <row r="105" spans="3:14" s="10" customFormat="1" x14ac:dyDescent="0.2">
      <c r="C105" s="74" t="str">
        <f>Lang_Fin_Costs_Annualized</f>
        <v>Financial Costs (ANNUALIZED)</v>
      </c>
    </row>
    <row r="106" spans="3:14" s="10" customFormat="1" x14ac:dyDescent="0.2">
      <c r="D106" s="74" t="str">
        <f>Lang_Name_Of_Capital_Investment</f>
        <v>Name of Capital Investment</v>
      </c>
      <c r="E106" s="74" t="str">
        <f>Lang_Unit_Cost_Annualized</f>
        <v>Unit Cost (Annualized)</v>
      </c>
    </row>
    <row r="107" spans="3:14" s="10" customFormat="1" x14ac:dyDescent="0.2">
      <c r="D107" s="49" t="str">
        <f>CAPITAL_INVESTS_OTH!B21</f>
        <v>Other Capital Investment 1</v>
      </c>
      <c r="E107" s="42">
        <f t="shared" ref="E107:E116" si="18">E49*$F$16</f>
        <v>0</v>
      </c>
      <c r="I107" s="142">
        <f t="shared" ref="I107:I116" si="19">SUM(J107:N107)</f>
        <v>0</v>
      </c>
      <c r="J107" s="42">
        <f t="shared" ref="J107:N116" si="20">J49*$F$16</f>
        <v>0</v>
      </c>
      <c r="K107" s="42">
        <f t="shared" si="20"/>
        <v>0</v>
      </c>
      <c r="L107" s="42">
        <f t="shared" si="20"/>
        <v>0</v>
      </c>
      <c r="M107" s="42">
        <f t="shared" si="20"/>
        <v>0</v>
      </c>
      <c r="N107" s="42">
        <f t="shared" si="20"/>
        <v>0</v>
      </c>
    </row>
    <row r="108" spans="3:14" s="10" customFormat="1" x14ac:dyDescent="0.2">
      <c r="D108" s="49" t="str">
        <f>CAPITAL_INVESTS_OTH!B22</f>
        <v>Other Capital Investment 2</v>
      </c>
      <c r="E108" s="42">
        <f t="shared" si="18"/>
        <v>0</v>
      </c>
      <c r="I108" s="142">
        <f t="shared" si="19"/>
        <v>0</v>
      </c>
      <c r="J108" s="42">
        <f t="shared" si="20"/>
        <v>0</v>
      </c>
      <c r="K108" s="42">
        <f t="shared" si="20"/>
        <v>0</v>
      </c>
      <c r="L108" s="42">
        <f t="shared" si="20"/>
        <v>0</v>
      </c>
      <c r="M108" s="42">
        <f t="shared" si="20"/>
        <v>0</v>
      </c>
      <c r="N108" s="42">
        <f t="shared" si="20"/>
        <v>0</v>
      </c>
    </row>
    <row r="109" spans="3:14" s="10" customFormat="1" x14ac:dyDescent="0.2">
      <c r="D109" s="49" t="str">
        <f>CAPITAL_INVESTS_OTH!B23</f>
        <v>Other Capital Investment 3</v>
      </c>
      <c r="E109" s="42">
        <f t="shared" si="18"/>
        <v>0</v>
      </c>
      <c r="I109" s="142">
        <f t="shared" si="19"/>
        <v>0</v>
      </c>
      <c r="J109" s="42">
        <f t="shared" si="20"/>
        <v>0</v>
      </c>
      <c r="K109" s="42">
        <f t="shared" si="20"/>
        <v>0</v>
      </c>
      <c r="L109" s="42">
        <f t="shared" si="20"/>
        <v>0</v>
      </c>
      <c r="M109" s="42">
        <f t="shared" si="20"/>
        <v>0</v>
      </c>
      <c r="N109" s="42">
        <f t="shared" si="20"/>
        <v>0</v>
      </c>
    </row>
    <row r="110" spans="3:14" s="10" customFormat="1" x14ac:dyDescent="0.2">
      <c r="D110" s="49" t="str">
        <f>CAPITAL_INVESTS_OTH!B24</f>
        <v>Other Capital Investment 4</v>
      </c>
      <c r="E110" s="42">
        <f t="shared" si="18"/>
        <v>0</v>
      </c>
      <c r="I110" s="142">
        <f t="shared" si="19"/>
        <v>0</v>
      </c>
      <c r="J110" s="42">
        <f t="shared" si="20"/>
        <v>0</v>
      </c>
      <c r="K110" s="42">
        <f t="shared" si="20"/>
        <v>0</v>
      </c>
      <c r="L110" s="42">
        <f t="shared" si="20"/>
        <v>0</v>
      </c>
      <c r="M110" s="42">
        <f t="shared" si="20"/>
        <v>0</v>
      </c>
      <c r="N110" s="42">
        <f t="shared" si="20"/>
        <v>0</v>
      </c>
    </row>
    <row r="111" spans="3:14" s="10" customFormat="1" x14ac:dyDescent="0.2">
      <c r="D111" s="49" t="str">
        <f>CAPITAL_INVESTS_OTH!B25</f>
        <v>Other Capital Investment 5</v>
      </c>
      <c r="E111" s="42">
        <f t="shared" si="18"/>
        <v>0</v>
      </c>
      <c r="I111" s="142">
        <f t="shared" si="19"/>
        <v>0</v>
      </c>
      <c r="J111" s="42">
        <f t="shared" si="20"/>
        <v>0</v>
      </c>
      <c r="K111" s="42">
        <f t="shared" si="20"/>
        <v>0</v>
      </c>
      <c r="L111" s="42">
        <f t="shared" si="20"/>
        <v>0</v>
      </c>
      <c r="M111" s="42">
        <f t="shared" si="20"/>
        <v>0</v>
      </c>
      <c r="N111" s="42">
        <f t="shared" si="20"/>
        <v>0</v>
      </c>
    </row>
    <row r="112" spans="3:14" s="10" customFormat="1" x14ac:dyDescent="0.2">
      <c r="D112" s="49" t="str">
        <f>CAPITAL_INVESTS_OTH!B26</f>
        <v>Other Capital Investment 6</v>
      </c>
      <c r="E112" s="42">
        <f t="shared" si="18"/>
        <v>0</v>
      </c>
      <c r="I112" s="142">
        <f t="shared" si="19"/>
        <v>0</v>
      </c>
      <c r="J112" s="42">
        <f t="shared" si="20"/>
        <v>0</v>
      </c>
      <c r="K112" s="42">
        <f t="shared" si="20"/>
        <v>0</v>
      </c>
      <c r="L112" s="42">
        <f t="shared" si="20"/>
        <v>0</v>
      </c>
      <c r="M112" s="42">
        <f t="shared" si="20"/>
        <v>0</v>
      </c>
      <c r="N112" s="42">
        <f t="shared" si="20"/>
        <v>0</v>
      </c>
    </row>
    <row r="113" spans="3:14" s="10" customFormat="1" x14ac:dyDescent="0.2">
      <c r="D113" s="49" t="str">
        <f>CAPITAL_INVESTS_OTH!B27</f>
        <v>Other Capital Investment 7</v>
      </c>
      <c r="E113" s="42">
        <f t="shared" si="18"/>
        <v>0</v>
      </c>
      <c r="I113" s="142">
        <f t="shared" si="19"/>
        <v>0</v>
      </c>
      <c r="J113" s="42">
        <f t="shared" si="20"/>
        <v>0</v>
      </c>
      <c r="K113" s="42">
        <f t="shared" si="20"/>
        <v>0</v>
      </c>
      <c r="L113" s="42">
        <f t="shared" si="20"/>
        <v>0</v>
      </c>
      <c r="M113" s="42">
        <f t="shared" si="20"/>
        <v>0</v>
      </c>
      <c r="N113" s="42">
        <f t="shared" si="20"/>
        <v>0</v>
      </c>
    </row>
    <row r="114" spans="3:14" s="10" customFormat="1" x14ac:dyDescent="0.2">
      <c r="D114" s="49" t="str">
        <f>CAPITAL_INVESTS_OTH!B28</f>
        <v>Other Capital Investment 8</v>
      </c>
      <c r="E114" s="42">
        <f t="shared" si="18"/>
        <v>0</v>
      </c>
      <c r="I114" s="142">
        <f t="shared" si="19"/>
        <v>0</v>
      </c>
      <c r="J114" s="42">
        <f t="shared" si="20"/>
        <v>0</v>
      </c>
      <c r="K114" s="42">
        <f t="shared" si="20"/>
        <v>0</v>
      </c>
      <c r="L114" s="42">
        <f t="shared" si="20"/>
        <v>0</v>
      </c>
      <c r="M114" s="42">
        <f t="shared" si="20"/>
        <v>0</v>
      </c>
      <c r="N114" s="42">
        <f t="shared" si="20"/>
        <v>0</v>
      </c>
    </row>
    <row r="115" spans="3:14" s="10" customFormat="1" x14ac:dyDescent="0.2">
      <c r="D115" s="49" t="str">
        <f>CAPITAL_INVESTS_OTH!B29</f>
        <v>Other Capital Investment 9</v>
      </c>
      <c r="E115" s="42">
        <f t="shared" si="18"/>
        <v>0</v>
      </c>
      <c r="I115" s="142">
        <f t="shared" si="19"/>
        <v>0</v>
      </c>
      <c r="J115" s="42">
        <f t="shared" si="20"/>
        <v>0</v>
      </c>
      <c r="K115" s="42">
        <f t="shared" si="20"/>
        <v>0</v>
      </c>
      <c r="L115" s="42">
        <f t="shared" si="20"/>
        <v>0</v>
      </c>
      <c r="M115" s="42">
        <f t="shared" si="20"/>
        <v>0</v>
      </c>
      <c r="N115" s="42">
        <f t="shared" si="20"/>
        <v>0</v>
      </c>
    </row>
    <row r="116" spans="3:14" s="10" customFormat="1" x14ac:dyDescent="0.2">
      <c r="D116" s="49" t="str">
        <f>CAPITAL_INVESTS_OTH!B30</f>
        <v>Other Capital Investment 10</v>
      </c>
      <c r="E116" s="42">
        <f t="shared" si="18"/>
        <v>0</v>
      </c>
      <c r="I116" s="142">
        <f t="shared" si="19"/>
        <v>0</v>
      </c>
      <c r="J116" s="42">
        <f t="shared" si="20"/>
        <v>0</v>
      </c>
      <c r="K116" s="42">
        <f t="shared" si="20"/>
        <v>0</v>
      </c>
      <c r="L116" s="42">
        <f t="shared" si="20"/>
        <v>0</v>
      </c>
      <c r="M116" s="42">
        <f t="shared" si="20"/>
        <v>0</v>
      </c>
      <c r="N116" s="42">
        <f t="shared" si="20"/>
        <v>0</v>
      </c>
    </row>
    <row r="117" spans="3:14" s="10" customFormat="1" x14ac:dyDescent="0.2">
      <c r="D117" s="48" t="str">
        <f>Lang_Total_Fin_Costs_Annualized</f>
        <v>Total Financial Costs (ANNUALIZED)</v>
      </c>
      <c r="E117" s="354"/>
      <c r="I117" s="247">
        <f>SUM(I107:I116)</f>
        <v>0</v>
      </c>
      <c r="J117" s="247">
        <f t="shared" ref="J117:N117" si="21">SUM(J107:J116)</f>
        <v>0</v>
      </c>
      <c r="K117" s="247">
        <f t="shared" si="21"/>
        <v>0</v>
      </c>
      <c r="L117" s="247">
        <f t="shared" si="21"/>
        <v>0</v>
      </c>
      <c r="M117" s="247">
        <f t="shared" si="21"/>
        <v>0</v>
      </c>
      <c r="N117" s="247">
        <f t="shared" si="21"/>
        <v>0</v>
      </c>
    </row>
    <row r="118" spans="3:14" s="10" customFormat="1" x14ac:dyDescent="0.2"/>
    <row r="119" spans="3:14" s="10" customFormat="1" x14ac:dyDescent="0.2"/>
    <row r="120" spans="3:14" s="10" customFormat="1" x14ac:dyDescent="0.2">
      <c r="C120" s="74" t="str">
        <f>Lang_Econ_Costs_Annualized</f>
        <v>Economic Costs (ANNUALIZED)</v>
      </c>
    </row>
    <row r="121" spans="3:14" s="10" customFormat="1" x14ac:dyDescent="0.2">
      <c r="D121" s="74" t="str">
        <f>Lang_Name_Of_Capital_Investment</f>
        <v>Name of Capital Investment</v>
      </c>
      <c r="E121" s="74" t="str">
        <f>Lang_Unit_Cost_Annualized</f>
        <v>Unit Cost (Annualized)</v>
      </c>
    </row>
    <row r="122" spans="3:14" s="10" customFormat="1" x14ac:dyDescent="0.2">
      <c r="D122" s="49" t="str">
        <f>CAPITAL_INVESTS_OTH!B21</f>
        <v>Other Capital Investment 1</v>
      </c>
      <c r="E122" s="42">
        <f t="shared" ref="E122:E131" si="22">E63*$F$16</f>
        <v>0</v>
      </c>
      <c r="I122" s="142">
        <f t="shared" ref="I122:I131" si="23">SUM(J122:N122)</f>
        <v>0</v>
      </c>
      <c r="J122" s="42">
        <f t="shared" ref="J122:N131" si="24">J63*$F$16</f>
        <v>0</v>
      </c>
      <c r="K122" s="42">
        <f t="shared" si="24"/>
        <v>0</v>
      </c>
      <c r="L122" s="42">
        <f t="shared" si="24"/>
        <v>0</v>
      </c>
      <c r="M122" s="42">
        <f t="shared" si="24"/>
        <v>0</v>
      </c>
      <c r="N122" s="42">
        <f t="shared" si="24"/>
        <v>0</v>
      </c>
    </row>
    <row r="123" spans="3:14" s="10" customFormat="1" x14ac:dyDescent="0.2">
      <c r="D123" s="49" t="str">
        <f>CAPITAL_INVESTS_OTH!B22</f>
        <v>Other Capital Investment 2</v>
      </c>
      <c r="E123" s="42">
        <f t="shared" si="22"/>
        <v>0</v>
      </c>
      <c r="I123" s="142">
        <f t="shared" si="23"/>
        <v>0</v>
      </c>
      <c r="J123" s="42">
        <f t="shared" si="24"/>
        <v>0</v>
      </c>
      <c r="K123" s="42">
        <f t="shared" si="24"/>
        <v>0</v>
      </c>
      <c r="L123" s="42">
        <f t="shared" si="24"/>
        <v>0</v>
      </c>
      <c r="M123" s="42">
        <f t="shared" si="24"/>
        <v>0</v>
      </c>
      <c r="N123" s="42">
        <f t="shared" si="24"/>
        <v>0</v>
      </c>
    </row>
    <row r="124" spans="3:14" s="10" customFormat="1" x14ac:dyDescent="0.2">
      <c r="D124" s="49" t="str">
        <f>CAPITAL_INVESTS_OTH!B23</f>
        <v>Other Capital Investment 3</v>
      </c>
      <c r="E124" s="42">
        <f t="shared" si="22"/>
        <v>0</v>
      </c>
      <c r="I124" s="142">
        <f t="shared" si="23"/>
        <v>0</v>
      </c>
      <c r="J124" s="42">
        <f t="shared" si="24"/>
        <v>0</v>
      </c>
      <c r="K124" s="42">
        <f t="shared" si="24"/>
        <v>0</v>
      </c>
      <c r="L124" s="42">
        <f t="shared" si="24"/>
        <v>0</v>
      </c>
      <c r="M124" s="42">
        <f t="shared" si="24"/>
        <v>0</v>
      </c>
      <c r="N124" s="42">
        <f t="shared" si="24"/>
        <v>0</v>
      </c>
    </row>
    <row r="125" spans="3:14" s="10" customFormat="1" x14ac:dyDescent="0.2">
      <c r="D125" s="49" t="str">
        <f>CAPITAL_INVESTS_OTH!B24</f>
        <v>Other Capital Investment 4</v>
      </c>
      <c r="E125" s="42">
        <f t="shared" si="22"/>
        <v>0</v>
      </c>
      <c r="I125" s="142">
        <f t="shared" si="23"/>
        <v>0</v>
      </c>
      <c r="J125" s="42">
        <f t="shared" si="24"/>
        <v>0</v>
      </c>
      <c r="K125" s="42">
        <f t="shared" si="24"/>
        <v>0</v>
      </c>
      <c r="L125" s="42">
        <f t="shared" si="24"/>
        <v>0</v>
      </c>
      <c r="M125" s="42">
        <f t="shared" si="24"/>
        <v>0</v>
      </c>
      <c r="N125" s="42">
        <f t="shared" si="24"/>
        <v>0</v>
      </c>
    </row>
    <row r="126" spans="3:14" s="10" customFormat="1" x14ac:dyDescent="0.2">
      <c r="D126" s="49" t="str">
        <f>CAPITAL_INVESTS_OTH!B25</f>
        <v>Other Capital Investment 5</v>
      </c>
      <c r="E126" s="42">
        <f t="shared" si="22"/>
        <v>0</v>
      </c>
      <c r="I126" s="142">
        <f t="shared" si="23"/>
        <v>0</v>
      </c>
      <c r="J126" s="42">
        <f t="shared" si="24"/>
        <v>0</v>
      </c>
      <c r="K126" s="42">
        <f t="shared" si="24"/>
        <v>0</v>
      </c>
      <c r="L126" s="42">
        <f t="shared" si="24"/>
        <v>0</v>
      </c>
      <c r="M126" s="42">
        <f t="shared" si="24"/>
        <v>0</v>
      </c>
      <c r="N126" s="42">
        <f t="shared" si="24"/>
        <v>0</v>
      </c>
    </row>
    <row r="127" spans="3:14" s="10" customFormat="1" x14ac:dyDescent="0.2">
      <c r="D127" s="49" t="str">
        <f>CAPITAL_INVESTS_OTH!B26</f>
        <v>Other Capital Investment 6</v>
      </c>
      <c r="E127" s="42">
        <f t="shared" si="22"/>
        <v>0</v>
      </c>
      <c r="I127" s="142">
        <f t="shared" si="23"/>
        <v>0</v>
      </c>
      <c r="J127" s="42">
        <f t="shared" si="24"/>
        <v>0</v>
      </c>
      <c r="K127" s="42">
        <f t="shared" si="24"/>
        <v>0</v>
      </c>
      <c r="L127" s="42">
        <f t="shared" si="24"/>
        <v>0</v>
      </c>
      <c r="M127" s="42">
        <f t="shared" si="24"/>
        <v>0</v>
      </c>
      <c r="N127" s="42">
        <f t="shared" si="24"/>
        <v>0</v>
      </c>
    </row>
    <row r="128" spans="3:14" s="10" customFormat="1" x14ac:dyDescent="0.2">
      <c r="D128" s="49" t="str">
        <f>CAPITAL_INVESTS_OTH!B27</f>
        <v>Other Capital Investment 7</v>
      </c>
      <c r="E128" s="42">
        <f t="shared" si="22"/>
        <v>0</v>
      </c>
      <c r="I128" s="142">
        <f t="shared" si="23"/>
        <v>0</v>
      </c>
      <c r="J128" s="42">
        <f t="shared" si="24"/>
        <v>0</v>
      </c>
      <c r="K128" s="42">
        <f t="shared" si="24"/>
        <v>0</v>
      </c>
      <c r="L128" s="42">
        <f t="shared" si="24"/>
        <v>0</v>
      </c>
      <c r="M128" s="42">
        <f t="shared" si="24"/>
        <v>0</v>
      </c>
      <c r="N128" s="42">
        <f t="shared" si="24"/>
        <v>0</v>
      </c>
    </row>
    <row r="129" spans="3:14" s="10" customFormat="1" x14ac:dyDescent="0.2">
      <c r="D129" s="49" t="str">
        <f>CAPITAL_INVESTS_OTH!B28</f>
        <v>Other Capital Investment 8</v>
      </c>
      <c r="E129" s="42">
        <f t="shared" si="22"/>
        <v>0</v>
      </c>
      <c r="I129" s="142">
        <f t="shared" si="23"/>
        <v>0</v>
      </c>
      <c r="J129" s="42">
        <f t="shared" si="24"/>
        <v>0</v>
      </c>
      <c r="K129" s="42">
        <f t="shared" si="24"/>
        <v>0</v>
      </c>
      <c r="L129" s="42">
        <f t="shared" si="24"/>
        <v>0</v>
      </c>
      <c r="M129" s="42">
        <f t="shared" si="24"/>
        <v>0</v>
      </c>
      <c r="N129" s="42">
        <f t="shared" si="24"/>
        <v>0</v>
      </c>
    </row>
    <row r="130" spans="3:14" s="10" customFormat="1" x14ac:dyDescent="0.2">
      <c r="D130" s="49" t="str">
        <f>CAPITAL_INVESTS_OTH!B29</f>
        <v>Other Capital Investment 9</v>
      </c>
      <c r="E130" s="42">
        <f t="shared" si="22"/>
        <v>0</v>
      </c>
      <c r="I130" s="142">
        <f t="shared" si="23"/>
        <v>0</v>
      </c>
      <c r="J130" s="42">
        <f t="shared" si="24"/>
        <v>0</v>
      </c>
      <c r="K130" s="42">
        <f t="shared" si="24"/>
        <v>0</v>
      </c>
      <c r="L130" s="42">
        <f t="shared" si="24"/>
        <v>0</v>
      </c>
      <c r="M130" s="42">
        <f t="shared" si="24"/>
        <v>0</v>
      </c>
      <c r="N130" s="42">
        <f t="shared" si="24"/>
        <v>0</v>
      </c>
    </row>
    <row r="131" spans="3:14" s="10" customFormat="1" x14ac:dyDescent="0.2">
      <c r="D131" s="49" t="str">
        <f>CAPITAL_INVESTS_OTH!B30</f>
        <v>Other Capital Investment 10</v>
      </c>
      <c r="E131" s="42">
        <f t="shared" si="22"/>
        <v>0</v>
      </c>
      <c r="I131" s="142">
        <f t="shared" si="23"/>
        <v>0</v>
      </c>
      <c r="J131" s="42">
        <f t="shared" si="24"/>
        <v>0</v>
      </c>
      <c r="K131" s="42">
        <f t="shared" si="24"/>
        <v>0</v>
      </c>
      <c r="L131" s="42">
        <f t="shared" si="24"/>
        <v>0</v>
      </c>
      <c r="M131" s="42">
        <f t="shared" si="24"/>
        <v>0</v>
      </c>
      <c r="N131" s="42">
        <f t="shared" si="24"/>
        <v>0</v>
      </c>
    </row>
    <row r="132" spans="3:14" s="10" customFormat="1" x14ac:dyDescent="0.2">
      <c r="D132" s="48" t="str">
        <f>Lang_Total_Econ_Costs_Annualized</f>
        <v>Total Economic Costs (ANNUALIZED)</v>
      </c>
      <c r="E132" s="354"/>
      <c r="I132" s="247">
        <f>SUM(I122:I131)</f>
        <v>0</v>
      </c>
      <c r="J132" s="247">
        <f t="shared" ref="J132:N132" si="25">SUM(J122:J131)</f>
        <v>0</v>
      </c>
      <c r="K132" s="247">
        <f t="shared" si="25"/>
        <v>0</v>
      </c>
      <c r="L132" s="247">
        <f t="shared" si="25"/>
        <v>0</v>
      </c>
      <c r="M132" s="247">
        <f t="shared" si="25"/>
        <v>0</v>
      </c>
      <c r="N132" s="247">
        <f t="shared" si="25"/>
        <v>0</v>
      </c>
    </row>
    <row r="133" spans="3:14" s="10" customFormat="1" x14ac:dyDescent="0.2"/>
    <row r="134" spans="3:14" s="10" customFormat="1" x14ac:dyDescent="0.2"/>
    <row r="135" spans="3:14" s="10" customFormat="1" x14ac:dyDescent="0.2"/>
    <row r="136" spans="3:14" s="10" customFormat="1" x14ac:dyDescent="0.2">
      <c r="C136" s="491" t="str">
        <f>Lang_GoTo&amp;" "&amp;HL_CAP_OTH_Ass_A</f>
        <v>Go to Other Capital Investments - Assumptions (Annual)</v>
      </c>
      <c r="D136" s="491"/>
      <c r="E136" s="491"/>
      <c r="F136" s="491"/>
      <c r="G136" s="491"/>
      <c r="H136" s="491"/>
      <c r="I136" s="491"/>
    </row>
  </sheetData>
  <mergeCells count="1">
    <mergeCell ref="C136:I136"/>
  </mergeCells>
  <hyperlinks>
    <hyperlink ref="B4" location="HL_Sheet_Main_24" tooltip="Go to Previous Sheet" display="HL_Sheet_Main_24" xr:uid="{00000000-0004-0000-1C00-000000000000}"/>
    <hyperlink ref="C136:I136" location="HL_CAP_OTH_Ass_A" tooltip="Click to follow hyperlink." display="HL_CAP_OTH_Ass_A" xr:uid="{00000000-0004-0000-1C00-000001000000}"/>
    <hyperlink ref="A4" location="$B$12" tooltip="Go to Top of Sheet" display="$B$12" xr:uid="{00000000-0004-0000-1C00-000002000000}"/>
    <hyperlink ref="C4" location="HL_Sheet_Main_5" tooltip="Go to Next Sheet" display="HL_Sheet_Main_5" xr:uid="{00000000-0004-0000-1C00-000003000000}"/>
    <hyperlink ref="B3" location="Contents!A1" tooltip="Go to Table of Contents" display="Contents!A1" xr:uid="{00000000-0004-0000-1C00-000004000000}"/>
    <hyperlink ref="A1" location="Contents!A1" tooltip="Go to Table of Contents" display="±" xr:uid="{BBC8B878-A55C-4CE3-860A-152E25296415}"/>
  </hyperlinks>
  <pageMargins left="0.4" right="0.4" top="0.6" bottom="1" header="0" footer="0.3"/>
  <pageSetup orientation="landscape" horizontalDpi="0" verticalDpi="0" r:id="rId1"/>
  <headerFooter>
    <oddFooter>&amp;L&amp;F
&amp;A
Printed: &amp;T on &amp;D&amp;CPage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7030A0"/>
    <pageSetUpPr autoPageBreaks="0" fitToPage="1"/>
  </sheetPr>
  <dimension ref="A1:W34"/>
  <sheetViews>
    <sheetView showGridLines="0" showRowColHeaders="0" tabSelected="1" zoomScaleNormal="100" workbookViewId="0">
      <selection activeCell="O29" sqref="O29"/>
    </sheetView>
  </sheetViews>
  <sheetFormatPr defaultColWidth="0" defaultRowHeight="12" zeroHeight="1" x14ac:dyDescent="0.2"/>
  <cols>
    <col min="1" max="2" width="11.7109375" customWidth="1"/>
    <col min="3" max="6" width="3.7109375" customWidth="1"/>
    <col min="7" max="23" width="11.7109375" customWidth="1"/>
    <col min="24" max="16384" width="11.7109375" hidden="1"/>
  </cols>
  <sheetData>
    <row r="1" spans="3:21" x14ac:dyDescent="0.2"/>
    <row r="2" spans="3:21" x14ac:dyDescent="0.2"/>
    <row r="3" spans="3:21" x14ac:dyDescent="0.2">
      <c r="M3" s="428"/>
      <c r="N3" s="428"/>
      <c r="O3" s="428"/>
      <c r="P3" s="428"/>
    </row>
    <row r="4" spans="3:21" x14ac:dyDescent="0.2">
      <c r="M4" s="48" t="str">
        <f>Lang_Current_Language&amp;":"</f>
        <v>Current Language:</v>
      </c>
      <c r="N4" s="48"/>
      <c r="O4" s="22">
        <v>1</v>
      </c>
      <c r="P4" s="48"/>
    </row>
    <row r="5" spans="3:21" ht="15" x14ac:dyDescent="0.2">
      <c r="M5" s="7"/>
      <c r="N5" s="7"/>
      <c r="P5" s="7"/>
    </row>
    <row r="6" spans="3:21" x14ac:dyDescent="0.2"/>
    <row r="7" spans="3:21" x14ac:dyDescent="0.2"/>
    <row r="8" spans="3:21" x14ac:dyDescent="0.2"/>
    <row r="9" spans="3:21" ht="20.25" x14ac:dyDescent="0.2">
      <c r="C9" s="398" t="str">
        <f>LABELS!$E$8</f>
        <v>Test  Country AA</v>
      </c>
    </row>
    <row r="10" spans="3:21" ht="30" customHeight="1" x14ac:dyDescent="0.2">
      <c r="C10" s="442" t="str">
        <f ca="1">Lang_C4P&amp;" ("&amp;OFFSET(Time_Lu!$D$7,TIME_SERIES!$H$6,0)&amp;")"&amp;Err_Chks_Msg&amp;Alt_Chks_Msg</f>
        <v>Cervical Cancer Prevention and Control Costing (C4P) Tool (Cost Projection)</v>
      </c>
      <c r="D10" s="442"/>
      <c r="E10" s="442"/>
      <c r="F10" s="442"/>
      <c r="G10" s="442"/>
      <c r="H10" s="442"/>
      <c r="I10" s="442"/>
      <c r="J10" s="442"/>
      <c r="K10" s="442"/>
      <c r="L10" s="442"/>
      <c r="N10" s="146" t="str">
        <f>Lang_Current_Calc_Total_Per_FIP</f>
        <v>CURRENT CALCULATED TOTAL COST PER FULLY IMMUNISED PERSON (FIP)</v>
      </c>
    </row>
    <row r="11" spans="3:21" ht="19.149999999999999" customHeight="1" thickBot="1" x14ac:dyDescent="0.25">
      <c r="C11" s="426" t="str">
        <f>Lang_Goto_TOC</f>
        <v>Go to Table of Contents</v>
      </c>
      <c r="D11" s="426"/>
      <c r="E11" s="426"/>
      <c r="F11" s="426"/>
      <c r="G11" s="426"/>
    </row>
    <row r="12" spans="3:21" ht="12.75" thickBot="1" x14ac:dyDescent="0.25">
      <c r="R12" s="429" t="str">
        <f>Lang_Fin_Costs&amp;" ("&amp;Analy_Lu!$D$13&amp;")"</f>
        <v>FINANCIAL COSTS (LCU)</v>
      </c>
      <c r="S12" s="430"/>
      <c r="T12" s="429" t="str">
        <f>Lang_Econ_Costs&amp;" ("&amp;Analy_Lu!$D$13&amp;")"</f>
        <v>ECONOMIC COSTS (LCU)</v>
      </c>
      <c r="U12" s="430"/>
    </row>
    <row r="13" spans="3:21" x14ac:dyDescent="0.2">
      <c r="O13" s="431" t="str">
        <f>Lang_with&amp;" "&amp;Dashboard!$C$61</f>
        <v>with Vaccine and Injection Supply Costs</v>
      </c>
      <c r="P13" s="432"/>
      <c r="Q13" s="433"/>
      <c r="R13" s="434">
        <f>Dashboard!$E$76</f>
        <v>0</v>
      </c>
      <c r="S13" s="435"/>
      <c r="T13" s="435">
        <f>Dashboard!$F$76</f>
        <v>0</v>
      </c>
      <c r="U13" s="436"/>
    </row>
    <row r="14" spans="3:21" ht="12.75" thickBot="1" x14ac:dyDescent="0.25">
      <c r="O14" s="437" t="str">
        <f>Lang_without&amp;" "&amp;Dashboard!$C$61</f>
        <v>without Vaccine and Injection Supply Costs</v>
      </c>
      <c r="P14" s="438"/>
      <c r="Q14" s="438"/>
      <c r="R14" s="439">
        <f>Dashboard!$E$77</f>
        <v>0</v>
      </c>
      <c r="S14" s="440"/>
      <c r="T14" s="440">
        <f>Dashboard!$F$77</f>
        <v>0</v>
      </c>
      <c r="U14" s="441"/>
    </row>
    <row r="15" spans="3:21" x14ac:dyDescent="0.2"/>
    <row r="16" spans="3:21" x14ac:dyDescent="0.2">
      <c r="M16" s="427"/>
      <c r="N16" s="427"/>
      <c r="O16" s="427"/>
      <c r="P16" s="427"/>
      <c r="T16" s="56"/>
    </row>
    <row r="17" spans="3:21" ht="12.75" thickBot="1" x14ac:dyDescent="0.25"/>
    <row r="18" spans="3:21" ht="12.75" thickBot="1" x14ac:dyDescent="0.25">
      <c r="R18" s="446" t="str">
        <f>Lang_Fin_Costs&amp;" ("&amp;Analy_Lu!$D$12&amp;")"</f>
        <v>FINANCIAL COSTS (USD)</v>
      </c>
      <c r="S18" s="447"/>
      <c r="T18" s="447" t="str">
        <f>Lang_Econ_Costs&amp;" ("&amp;Analy_Lu!$D$12&amp;")"</f>
        <v>ECONOMIC COSTS (USD)</v>
      </c>
      <c r="U18" s="448"/>
    </row>
    <row r="19" spans="3:21" x14ac:dyDescent="0.2">
      <c r="C19" s="48" t="str">
        <f>Lang_Primary_Developer</f>
        <v>Primary Developer:</v>
      </c>
      <c r="H19" s="391" t="s">
        <v>1832</v>
      </c>
      <c r="J19" t="s">
        <v>1833</v>
      </c>
      <c r="O19" s="431" t="str">
        <f>Lang_with&amp;" "&amp;Dashboard!$C$61</f>
        <v>with Vaccine and Injection Supply Costs</v>
      </c>
      <c r="P19" s="432"/>
      <c r="Q19" s="433"/>
      <c r="R19" s="449">
        <f>Dashboard!$G$76</f>
        <v>0</v>
      </c>
      <c r="S19" s="450"/>
      <c r="T19" s="449">
        <f>Dashboard!$H$76</f>
        <v>0</v>
      </c>
      <c r="U19" s="451"/>
    </row>
    <row r="20" spans="3:21" ht="12.75" thickBot="1" x14ac:dyDescent="0.25">
      <c r="O20" s="437" t="str">
        <f>Lang_without&amp;" "&amp;Dashboard!$C$61</f>
        <v>without Vaccine and Injection Supply Costs</v>
      </c>
      <c r="P20" s="438"/>
      <c r="Q20" s="438"/>
      <c r="R20" s="443">
        <f>Dashboard!$G$77</f>
        <v>0</v>
      </c>
      <c r="S20" s="444"/>
      <c r="T20" s="443">
        <f>Dashboard!$H$77</f>
        <v>0</v>
      </c>
      <c r="U20" s="445"/>
    </row>
    <row r="21" spans="3:21" x14ac:dyDescent="0.2">
      <c r="C21" s="48" t="str">
        <f>Lang_Cover_Notes</f>
        <v>Cover Notes:</v>
      </c>
    </row>
    <row r="22" spans="3:21" x14ac:dyDescent="0.2">
      <c r="C22" s="15" t="str">
        <f>Lang_This_is_version&amp;" 4.4 (November, 2023)"</f>
        <v>This is version 4.4 (November, 2023)</v>
      </c>
    </row>
    <row r="23" spans="3:21" x14ac:dyDescent="0.2">
      <c r="C23" s="15" t="str">
        <f>Lang_Vaccination_Module</f>
        <v>HPV Vaccination Module</v>
      </c>
    </row>
    <row r="24" spans="3:21" x14ac:dyDescent="0.2">
      <c r="C24" s="15" t="str">
        <f>Lang_use_TOC</f>
        <v>Please use Table of Contents for navigation.</v>
      </c>
    </row>
    <row r="25" spans="3:21" x14ac:dyDescent="0.2">
      <c r="C25" s="15" t="str">
        <f>Lang_Save_Often</f>
        <v>Please save often to avoid accidental loss of data.</v>
      </c>
    </row>
    <row r="26" spans="3:21" x14ac:dyDescent="0.2">
      <c r="C26" t="s">
        <v>4031</v>
      </c>
    </row>
    <row r="27" spans="3:21" x14ac:dyDescent="0.2"/>
    <row r="28" spans="3:21" x14ac:dyDescent="0.2">
      <c r="C28" s="339" t="str">
        <f ca="1">IF(ISERROR(LEFT(CELL("filename",$C$2),FIND("[",CELL("filename",$C$2)) - 1)&amp;MID(CELL("filename",$C$2),FIND("[",CELL("filename",$C$2))+1,FIND("]",CELL("filename",$C$2))-FIND("[",CELL("filename",$C$2))-1)),"This workbook never saved",LEFT(CELL("filename",$C$2),FIND("[",CELL("filename",$C$2)) - 1)&amp;MID(CELL("filename",$C$2),FIND("[",CELL("filename",$C$2))+1,FIND("]",CELL("filename",$C$2))-FIND("[",CELL("filename",$C$2))-1))</f>
        <v>G:\My Drive\~C4P-HPV Tool 2023\C4P_In_Process\Requested Fixes to Version 4.3\C4P-HPV_4.4.xlsx</v>
      </c>
    </row>
    <row r="29" spans="3:21" x14ac:dyDescent="0.2"/>
    <row r="30" spans="3:21" x14ac:dyDescent="0.2"/>
    <row r="31" spans="3:21" x14ac:dyDescent="0.2"/>
    <row r="32" spans="3:21" x14ac:dyDescent="0.2"/>
    <row r="33" x14ac:dyDescent="0.2"/>
    <row r="34" x14ac:dyDescent="0.2"/>
  </sheetData>
  <mergeCells count="20">
    <mergeCell ref="O20:Q20"/>
    <mergeCell ref="R20:S20"/>
    <mergeCell ref="T20:U20"/>
    <mergeCell ref="R18:S18"/>
    <mergeCell ref="T18:U18"/>
    <mergeCell ref="O19:Q19"/>
    <mergeCell ref="R19:S19"/>
    <mergeCell ref="T19:U19"/>
    <mergeCell ref="C11:G11"/>
    <mergeCell ref="M16:P16"/>
    <mergeCell ref="M3:P3"/>
    <mergeCell ref="R12:S12"/>
    <mergeCell ref="T12:U12"/>
    <mergeCell ref="O13:Q13"/>
    <mergeCell ref="R13:S13"/>
    <mergeCell ref="T13:U13"/>
    <mergeCell ref="O14:Q14"/>
    <mergeCell ref="R14:S14"/>
    <mergeCell ref="T14:U14"/>
    <mergeCell ref="C10:L10"/>
  </mergeCells>
  <dataValidations count="1">
    <dataValidation type="whole" showDropDown="1" showErrorMessage="1" errorTitle="Drop Down Box Cell Link" error="The value in a drop down box cell link must be a whole number within the control's lookup range rows." sqref="O4" xr:uid="{00000000-0002-0000-0200-000000000000}">
      <formula1>1</formula1>
      <formula2>ROWS($E$2:$E$3)</formula2>
    </dataValidation>
  </dataValidations>
  <hyperlinks>
    <hyperlink ref="C11" location="HL_Home" tooltip="Go to Table of Contents" display="HL_Home" xr:uid="{00000000-0004-0000-0200-000000000000}"/>
    <hyperlink ref="C11:G11" location="Contents!A1" tooltip="Go to Table of Contents" display="Contents!A1" xr:uid="{00000000-0004-0000-0200-000001000000}"/>
  </hyperlinks>
  <pageMargins left="0.7" right="0.7" top="0.75" bottom="0.75" header="0.3" footer="0.3"/>
  <pageSetup scale="60" fitToHeight="0" orientation="landscape" r:id="rId1"/>
  <headerFooter>
    <oddFooter>&amp;L&amp;B Confidential&amp;B&amp;C&amp;D&amp;RPage &amp;P</oddFooter>
  </headerFooter>
  <customProperties>
    <customPr name="LastActive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9" r:id="rId5" name="DropDown">
              <controlPr defaultSize="0" autoFill="0" autoPict="0">
                <anchor moveWithCells="1" sizeWithCells="1">
                  <from>
                    <xdr:col>13</xdr:col>
                    <xdr:colOff>447675</xdr:colOff>
                    <xdr:row>2</xdr:row>
                    <xdr:rowOff>142875</xdr:rowOff>
                  </from>
                  <to>
                    <xdr:col>15</xdr:col>
                    <xdr:colOff>666750</xdr:colOff>
                    <xdr:row>4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7">
    <tabColor rgb="FF0070C0"/>
    <pageSetUpPr autoPageBreaks="0"/>
  </sheetPr>
  <dimension ref="A1:H593"/>
  <sheetViews>
    <sheetView showGridLines="0" zoomScaleNormal="100" workbookViewId="0">
      <pane ySplit="3" topLeftCell="A4" activePane="bottomLeft" state="frozen"/>
      <selection pane="bottomLeft"/>
    </sheetView>
  </sheetViews>
  <sheetFormatPr defaultColWidth="11.7109375" defaultRowHeight="12" x14ac:dyDescent="0.2"/>
  <cols>
    <col min="1" max="3" width="3.7109375" customWidth="1"/>
    <col min="4" max="4" width="30.7109375" customWidth="1"/>
    <col min="5" max="6" width="15.7109375" customWidth="1"/>
  </cols>
  <sheetData>
    <row r="1" spans="1:8" ht="15" x14ac:dyDescent="0.2">
      <c r="A1" s="35" t="s">
        <v>128</v>
      </c>
      <c r="B1" s="31" t="str">
        <f>Lang_Detailed_Cost_Worksheet_Optional_Outputs_Summaries</f>
        <v>Detailed Cost Worksheet (OPTIONAL) Outputs - Summaries</v>
      </c>
    </row>
    <row r="2" spans="1:8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3" spans="1:8" ht="12.75" x14ac:dyDescent="0.2">
      <c r="A3" s="2" t="s">
        <v>5</v>
      </c>
      <c r="B3" s="45"/>
    </row>
    <row r="4" spans="1:8" s="10" customFormat="1" x14ac:dyDescent="0.2"/>
    <row r="5" spans="1:8" s="13" customFormat="1" x14ac:dyDescent="0.2">
      <c r="A5" s="12" t="s">
        <v>125</v>
      </c>
      <c r="B5" s="13" t="str">
        <f>HL_TOP_ACTV_Name&amp;" "&amp;Lang_Detailed_Cost_Summary</f>
        <v>Microplanning Activity #1 (Not in Use) Detailed Cost Summary</v>
      </c>
    </row>
    <row r="6" spans="1:8" s="10" customFormat="1" x14ac:dyDescent="0.2"/>
    <row r="7" spans="1:8" s="10" customFormat="1" x14ac:dyDescent="0.2">
      <c r="C7" s="105" t="str">
        <f>HL_TOP_ACTV_Name&amp;" "&amp;Lang_Detailed_Cost_Summary</f>
        <v>Microplanning Activity #1 (Not in Use) Detailed Cost Summary</v>
      </c>
    </row>
    <row r="8" spans="1:8" s="10" customFormat="1" ht="24" x14ac:dyDescent="0.2">
      <c r="D8" s="93" t="str">
        <f>Lang_Cost_Category</f>
        <v>Cost Category</v>
      </c>
      <c r="E8" s="94" t="str">
        <f>MICRO_Lu!$D$30&amp;" "&amp;Lang_Cost&amp;" ("&amp;MICRO_Lu!$D$11&amp;")"</f>
        <v>Financial Cost (LCU)</v>
      </c>
      <c r="F8" s="94" t="str">
        <f>MICRO_Lu!$D$31&amp;" "&amp;Lang_Cost&amp;" ("&amp;MICRO_Lu!$D$11&amp;")"</f>
        <v>Economic Cost (LCU)</v>
      </c>
      <c r="G8" s="94" t="str">
        <f>MICRO_Lu!$D$30&amp;" "&amp;Lang_Cost&amp;" ("&amp;MICRO_Lu!$D$10&amp;")"</f>
        <v>Financial Cost (USD)</v>
      </c>
      <c r="H8" s="94" t="str">
        <f>MICRO_Lu!$D$31&amp;" "&amp;Lang_Cost&amp;" ("&amp;MICRO_Lu!$D$10&amp;")"</f>
        <v>Economic Cost (USD)</v>
      </c>
    </row>
    <row r="9" spans="1:8" s="10" customFormat="1" x14ac:dyDescent="0.2">
      <c r="D9" s="49" t="str">
        <f>CALCS_DETAILED!D18</f>
        <v>Personnel</v>
      </c>
      <c r="E9" s="117">
        <f>CALCS_DETAILED!E18</f>
        <v>0</v>
      </c>
      <c r="F9" s="117">
        <f>CALCS_DETAILED!F18</f>
        <v>0</v>
      </c>
      <c r="G9" s="118">
        <f>CALCS_DETAILED!G18</f>
        <v>0</v>
      </c>
      <c r="H9" s="118">
        <f>CALCS_DETAILED!H18</f>
        <v>0</v>
      </c>
    </row>
    <row r="10" spans="1:8" s="10" customFormat="1" x14ac:dyDescent="0.2">
      <c r="D10" s="49" t="str">
        <f>CALCS_DETAILED!D38</f>
        <v>Allowances</v>
      </c>
      <c r="E10" s="117">
        <f>CALCS_DETAILED!E38</f>
        <v>0</v>
      </c>
      <c r="F10" s="117">
        <f>CALCS_DETAILED!F38</f>
        <v>0</v>
      </c>
      <c r="G10" s="118">
        <f>CALCS_DETAILED!G38</f>
        <v>0</v>
      </c>
      <c r="H10" s="118">
        <f>CALCS_DETAILED!H38</f>
        <v>0</v>
      </c>
    </row>
    <row r="11" spans="1:8" s="10" customFormat="1" x14ac:dyDescent="0.2">
      <c r="D11" s="49" t="str">
        <f>CALCS_DETAILED!D58</f>
        <v>Supplies and Materials</v>
      </c>
      <c r="E11" s="117">
        <f>CALCS_DETAILED!E58</f>
        <v>0</v>
      </c>
      <c r="F11" s="117">
        <f>CALCS_DETAILED!F58</f>
        <v>0</v>
      </c>
      <c r="G11" s="118">
        <f>CALCS_DETAILED!G58</f>
        <v>0</v>
      </c>
      <c r="H11" s="118">
        <f>CALCS_DETAILED!H58</f>
        <v>0</v>
      </c>
    </row>
    <row r="12" spans="1:8" s="10" customFormat="1" x14ac:dyDescent="0.2">
      <c r="D12" s="49" t="str">
        <f>CALCS_DETAILED!D78</f>
        <v>Other Direct Costs</v>
      </c>
      <c r="E12" s="117">
        <f>CALCS_DETAILED!E78</f>
        <v>0</v>
      </c>
      <c r="F12" s="117">
        <f>CALCS_DETAILED!F78</f>
        <v>0</v>
      </c>
      <c r="G12" s="118">
        <f>CALCS_DETAILED!G78</f>
        <v>0</v>
      </c>
      <c r="H12" s="118">
        <f>CALCS_DETAILED!H78</f>
        <v>0</v>
      </c>
    </row>
    <row r="13" spans="1:8" s="10" customFormat="1" ht="12.75" thickBot="1" x14ac:dyDescent="0.25">
      <c r="D13" s="95" t="str">
        <f>Lang_Total_Single_Activity_Cost</f>
        <v>Total Single Activity Cost</v>
      </c>
      <c r="E13" s="123">
        <f>SUM(E9:E12)</f>
        <v>0</v>
      </c>
      <c r="F13" s="123">
        <f>SUM(F9:F12)</f>
        <v>0</v>
      </c>
      <c r="G13" s="124">
        <f>SUM(G9:G12)</f>
        <v>0</v>
      </c>
      <c r="H13" s="124">
        <f>SUM(H9:H12)</f>
        <v>0</v>
      </c>
    </row>
    <row r="14" spans="1:8" s="10" customFormat="1" x14ac:dyDescent="0.2"/>
    <row r="15" spans="1:8" s="10" customFormat="1" x14ac:dyDescent="0.2">
      <c r="D15" s="76" t="str">
        <f>Lang_GoTo&amp;" "&amp;HL_TOP_ACTV_Personnel_Outputs</f>
        <v>Go to Microplanning Activity #1 (Not in Use) Personnel - Outputs</v>
      </c>
    </row>
    <row r="16" spans="1:8" s="10" customFormat="1" x14ac:dyDescent="0.2">
      <c r="D16" s="76" t="str">
        <f>Lang_GoTo&amp;" "&amp;HL_TOP_ACTV_Out_A</f>
        <v>Go to Microplanning Activity #1 (Not in Use) Allowances - Outputs</v>
      </c>
    </row>
    <row r="17" spans="1:8" s="10" customFormat="1" x14ac:dyDescent="0.2">
      <c r="D17" s="76" t="str">
        <f>Lang_GoTo&amp;" "&amp;HL_TOP_ACTV_Supplies_and_Materials_Outputs</f>
        <v>Go to Microplanning Activity #1 (Not in Use) Supplies and Materials - Outputs</v>
      </c>
    </row>
    <row r="18" spans="1:8" s="10" customFormat="1" x14ac:dyDescent="0.2">
      <c r="D18" s="76" t="str">
        <f>Lang_GoTo&amp;" "&amp;HL_TOP_ACTV_Other_Direct_Costs_Outputs</f>
        <v>Go to Microplanning Activity #1 (Not in Use) Other Direct Costs - Outputs</v>
      </c>
    </row>
    <row r="19" spans="1:8" s="10" customFormat="1" x14ac:dyDescent="0.2"/>
    <row r="20" spans="1:8" s="13" customFormat="1" x14ac:dyDescent="0.2">
      <c r="A20" s="12" t="s">
        <v>125</v>
      </c>
      <c r="B20" s="13" t="str">
        <f>HL_TOP_ACTV_7_Name&amp;" "&amp;Lang_Detailed_Cost_Summary</f>
        <v>Microplanning Activity #2 (Not in Use) Detailed Cost Summary</v>
      </c>
    </row>
    <row r="21" spans="1:8" s="10" customFormat="1" x14ac:dyDescent="0.2"/>
    <row r="22" spans="1:8" s="10" customFormat="1" x14ac:dyDescent="0.2">
      <c r="C22" s="105" t="str">
        <f>HL_TOP_ACTV_7_Name&amp;" "&amp;Lang_Detailed_Cost_Summary</f>
        <v>Microplanning Activity #2 (Not in Use) Detailed Cost Summary</v>
      </c>
    </row>
    <row r="23" spans="1:8" s="10" customFormat="1" ht="24" x14ac:dyDescent="0.2">
      <c r="D23" s="93" t="str">
        <f>Lang_Cost_Category</f>
        <v>Cost Category</v>
      </c>
      <c r="E23" s="94" t="str">
        <f>MICRO_Lu!$D$65&amp;" "&amp;Lang_Cost&amp;" ("&amp;MICRO_Lu!$D$46&amp;")"</f>
        <v>Financial Cost (LCU)</v>
      </c>
      <c r="F23" s="94" t="str">
        <f>MICRO_Lu!$D$66&amp;" "&amp;Lang_Cost&amp;" ("&amp;MICRO_Lu!$D$46&amp;")"</f>
        <v>Economic Cost (LCU)</v>
      </c>
      <c r="G23" s="94" t="str">
        <f>MICRO_Lu!$D$65&amp;" "&amp;Lang_Cost&amp;" ("&amp;MICRO_Lu!$D$45&amp;")"</f>
        <v>Financial Cost (USD)</v>
      </c>
      <c r="H23" s="94" t="str">
        <f>MICRO_Lu!$D$66&amp;" "&amp;Lang_Cost&amp;" ("&amp;MICRO_Lu!$D$45&amp;")"</f>
        <v>Economic Cost (USD)</v>
      </c>
    </row>
    <row r="24" spans="1:8" s="10" customFormat="1" x14ac:dyDescent="0.2">
      <c r="D24" s="49" t="str">
        <f>CALCS_DETAILED!D102</f>
        <v>Personnel</v>
      </c>
      <c r="E24" s="117">
        <f>CALCS_DETAILED!E102</f>
        <v>0</v>
      </c>
      <c r="F24" s="117">
        <f>CALCS_DETAILED!F102</f>
        <v>0</v>
      </c>
      <c r="G24" s="118">
        <f>CALCS_DETAILED!G102</f>
        <v>0</v>
      </c>
      <c r="H24" s="118">
        <f>CALCS_DETAILED!H102</f>
        <v>0</v>
      </c>
    </row>
    <row r="25" spans="1:8" s="10" customFormat="1" x14ac:dyDescent="0.2">
      <c r="D25" s="49" t="str">
        <f>CALCS_DETAILED!D122</f>
        <v>Allowances</v>
      </c>
      <c r="E25" s="117">
        <f>CALCS_DETAILED!E122</f>
        <v>0</v>
      </c>
      <c r="F25" s="117">
        <f>CALCS_DETAILED!F122</f>
        <v>0</v>
      </c>
      <c r="G25" s="118">
        <f>CALCS_DETAILED!G122</f>
        <v>0</v>
      </c>
      <c r="H25" s="118">
        <f>CALCS_DETAILED!H122</f>
        <v>0</v>
      </c>
    </row>
    <row r="26" spans="1:8" s="10" customFormat="1" x14ac:dyDescent="0.2">
      <c r="D26" s="49" t="str">
        <f>CALCS_DETAILED!D142</f>
        <v>Supplies and Materials</v>
      </c>
      <c r="E26" s="117">
        <f>CALCS_DETAILED!E142</f>
        <v>0</v>
      </c>
      <c r="F26" s="117">
        <f>CALCS_DETAILED!F142</f>
        <v>0</v>
      </c>
      <c r="G26" s="118">
        <f>CALCS_DETAILED!G142</f>
        <v>0</v>
      </c>
      <c r="H26" s="118">
        <f>CALCS_DETAILED!H142</f>
        <v>0</v>
      </c>
    </row>
    <row r="27" spans="1:8" s="10" customFormat="1" x14ac:dyDescent="0.2">
      <c r="D27" s="49" t="str">
        <f>CALCS_DETAILED!D162</f>
        <v>Other Direct Costs</v>
      </c>
      <c r="E27" s="117">
        <f>CALCS_DETAILED!E162</f>
        <v>0</v>
      </c>
      <c r="F27" s="117">
        <f>CALCS_DETAILED!F162</f>
        <v>0</v>
      </c>
      <c r="G27" s="118">
        <f>CALCS_DETAILED!G162</f>
        <v>0</v>
      </c>
      <c r="H27" s="118">
        <f>CALCS_DETAILED!H162</f>
        <v>0</v>
      </c>
    </row>
    <row r="28" spans="1:8" s="10" customFormat="1" ht="12.75" thickBot="1" x14ac:dyDescent="0.25">
      <c r="D28" s="95" t="str">
        <f>Lang_Total_Single_Activity_Cost</f>
        <v>Total Single Activity Cost</v>
      </c>
      <c r="E28" s="123">
        <f>SUM(E24:E27)</f>
        <v>0</v>
      </c>
      <c r="F28" s="123">
        <f>SUM(F24:F27)</f>
        <v>0</v>
      </c>
      <c r="G28" s="124">
        <f>SUM(G24:G27)</f>
        <v>0</v>
      </c>
      <c r="H28" s="124">
        <f>SUM(H24:H27)</f>
        <v>0</v>
      </c>
    </row>
    <row r="29" spans="1:8" s="10" customFormat="1" x14ac:dyDescent="0.2"/>
    <row r="30" spans="1:8" s="10" customFormat="1" x14ac:dyDescent="0.2">
      <c r="D30" s="76" t="str">
        <f>Lang_GoTo&amp;" "&amp;HL_TOP_ACTV_7_Personnel_Outputs</f>
        <v>Go to Microplanning Activity #2 (Not in Use) Personnel - Outputs</v>
      </c>
    </row>
    <row r="31" spans="1:8" s="10" customFormat="1" x14ac:dyDescent="0.2">
      <c r="D31" s="76" t="str">
        <f>Lang_GoTo&amp;" "&amp;HL_TOP_ACTV_7_Out_A</f>
        <v>Go to Microplanning Activity #2 (Not in Use) Allowances - Outputs</v>
      </c>
    </row>
    <row r="32" spans="1:8" s="10" customFormat="1" x14ac:dyDescent="0.2">
      <c r="D32" s="76" t="str">
        <f>Lang_GoTo&amp;" "&amp;HL_TOP_ACTV_7_Supplies_and_Materials_Outputs</f>
        <v>Go to Microplanning Activity #2 (Not in Use) Supplies and Materials - Outputs</v>
      </c>
    </row>
    <row r="33" spans="1:8" s="10" customFormat="1" x14ac:dyDescent="0.2">
      <c r="D33" s="76" t="str">
        <f>Lang_GoTo&amp;" "&amp;HL_TOP_ACTV_7_Other_Direct_Costs_Outputs</f>
        <v>Go to Microplanning Activity #2 (Not in Use) Other Direct Costs - Outputs</v>
      </c>
    </row>
    <row r="34" spans="1:8" s="10" customFormat="1" x14ac:dyDescent="0.2"/>
    <row r="35" spans="1:8" s="13" customFormat="1" x14ac:dyDescent="0.2">
      <c r="A35" s="12" t="s">
        <v>125</v>
      </c>
      <c r="B35" s="13" t="str">
        <f>HL_LVL2_ACTV_Name&amp;" "&amp;Lang_Detailed_Cost_Summary</f>
        <v>Microplanning Activity #3 (Not in Use) Detailed Cost Summary</v>
      </c>
    </row>
    <row r="36" spans="1:8" s="10" customFormat="1" x14ac:dyDescent="0.2"/>
    <row r="37" spans="1:8" s="10" customFormat="1" x14ac:dyDescent="0.2">
      <c r="C37" s="65" t="str">
        <f>HL_LVL2_ACTV_Name&amp;" "&amp;Lang_Detailed_Cost_Summary</f>
        <v>Microplanning Activity #3 (Not in Use) Detailed Cost Summary</v>
      </c>
    </row>
    <row r="38" spans="1:8" s="10" customFormat="1" x14ac:dyDescent="0.2"/>
    <row r="39" spans="1:8" s="10" customFormat="1" ht="24" x14ac:dyDescent="0.2">
      <c r="D39" s="93" t="str">
        <f>Lang_Cost_Category</f>
        <v>Cost Category</v>
      </c>
      <c r="E39" s="94" t="str">
        <f>MICRO_Lu!$D$100&amp;" "&amp;Lang_Cost&amp;" ("&amp;MICRO_Lu!$D$81&amp;")"</f>
        <v>Financial Cost (LCU)</v>
      </c>
      <c r="F39" s="94" t="str">
        <f>MICRO_Lu!$D$101&amp;" "&amp;Lang_Cost&amp;" ("&amp;MICRO_Lu!$D$81&amp;")"</f>
        <v>Economic Cost (LCU)</v>
      </c>
      <c r="G39" s="94" t="str">
        <f>MICRO_Lu!$D$100&amp;" "&amp;Lang_Cost&amp;" ("&amp;MICRO_Lu!$D$80&amp;")"</f>
        <v>Financial Cost (USD)</v>
      </c>
      <c r="H39" s="94" t="str">
        <f>MICRO_Lu!$D$101&amp;" "&amp;Lang_Cost&amp;" ("&amp;MICRO_Lu!$D$80&amp;")"</f>
        <v>Economic Cost (USD)</v>
      </c>
    </row>
    <row r="40" spans="1:8" s="10" customFormat="1" x14ac:dyDescent="0.2">
      <c r="D40" s="49" t="str">
        <f>CALCS_DETAILED!D186</f>
        <v>Personnel</v>
      </c>
      <c r="E40" s="117">
        <f>CALCS_DETAILED!E186</f>
        <v>0</v>
      </c>
      <c r="F40" s="117">
        <f>CALCS_DETAILED!F186</f>
        <v>0</v>
      </c>
      <c r="G40" s="118">
        <f>CALCS_DETAILED!G186</f>
        <v>0</v>
      </c>
      <c r="H40" s="118">
        <f>CALCS_DETAILED!H186</f>
        <v>0</v>
      </c>
    </row>
    <row r="41" spans="1:8" s="10" customFormat="1" x14ac:dyDescent="0.2">
      <c r="D41" s="49" t="str">
        <f>CALCS_DETAILED!D206</f>
        <v>Allowances</v>
      </c>
      <c r="E41" s="117">
        <f>CALCS_DETAILED!E206</f>
        <v>0</v>
      </c>
      <c r="F41" s="117">
        <f>CALCS_DETAILED!F206</f>
        <v>0</v>
      </c>
      <c r="G41" s="118">
        <f>CALCS_DETAILED!G206</f>
        <v>0</v>
      </c>
      <c r="H41" s="118">
        <f>CALCS_DETAILED!H206</f>
        <v>0</v>
      </c>
    </row>
    <row r="42" spans="1:8" s="10" customFormat="1" x14ac:dyDescent="0.2">
      <c r="D42" s="49" t="str">
        <f>CALCS_DETAILED!D226</f>
        <v>Supplies and Materials</v>
      </c>
      <c r="E42" s="117">
        <f>CALCS_DETAILED!E226</f>
        <v>0</v>
      </c>
      <c r="F42" s="117">
        <f>CALCS_DETAILED!F226</f>
        <v>0</v>
      </c>
      <c r="G42" s="118">
        <f>CALCS_DETAILED!G226</f>
        <v>0</v>
      </c>
      <c r="H42" s="118">
        <f>CALCS_DETAILED!H226</f>
        <v>0</v>
      </c>
    </row>
    <row r="43" spans="1:8" s="10" customFormat="1" x14ac:dyDescent="0.2">
      <c r="D43" s="49" t="str">
        <f>CALCS_DETAILED!D246</f>
        <v>Other Direct Costs</v>
      </c>
      <c r="E43" s="117">
        <f>CALCS_DETAILED!E246</f>
        <v>0</v>
      </c>
      <c r="F43" s="117">
        <f>CALCS_DETAILED!F246</f>
        <v>0</v>
      </c>
      <c r="G43" s="118">
        <f>CALCS_DETAILED!G246</f>
        <v>0</v>
      </c>
      <c r="H43" s="118">
        <f>CALCS_DETAILED!H246</f>
        <v>0</v>
      </c>
    </row>
    <row r="44" spans="1:8" s="10" customFormat="1" ht="12.75" thickBot="1" x14ac:dyDescent="0.25">
      <c r="D44" s="95" t="str">
        <f>Lang_Total_Single_Activity_Cost</f>
        <v>Total Single Activity Cost</v>
      </c>
      <c r="E44" s="123">
        <f>SUM(E40:E43)</f>
        <v>0</v>
      </c>
      <c r="F44" s="123">
        <f>SUM(F40:F43)</f>
        <v>0</v>
      </c>
      <c r="G44" s="124">
        <f>SUM(G40:G43)</f>
        <v>0</v>
      </c>
      <c r="H44" s="124">
        <f>SUM(H40:H43)</f>
        <v>0</v>
      </c>
    </row>
    <row r="45" spans="1:8" s="10" customFormat="1" x14ac:dyDescent="0.2"/>
    <row r="46" spans="1:8" s="10" customFormat="1" x14ac:dyDescent="0.2">
      <c r="D46" s="76" t="str">
        <f>Lang_GoTo&amp;" "&amp;HL_LVL2_ACTV_Personnel_Outputs</f>
        <v>Go to Microplanning Activity #3 (Not in Use) Personnel - Outputs</v>
      </c>
    </row>
    <row r="47" spans="1:8" s="10" customFormat="1" x14ac:dyDescent="0.2">
      <c r="D47" s="76" t="str">
        <f>Lang_GoTo&amp;" "&amp;HL_LVL2_ACTV_Out_A</f>
        <v>Go to Microplanning Activity #3 (Not in Use) Allowances - Outputs</v>
      </c>
    </row>
    <row r="48" spans="1:8" s="10" customFormat="1" x14ac:dyDescent="0.2">
      <c r="D48" s="76" t="str">
        <f>Lang_GoTo&amp;" "&amp;HL_LVL2_ACTV_Supplies_and_Materials_Outputs</f>
        <v>Go to Microplanning Activity #3 (Not in Use) Supplies and Materials - Outputs</v>
      </c>
    </row>
    <row r="49" spans="1:8" s="10" customFormat="1" x14ac:dyDescent="0.2">
      <c r="D49" s="76" t="str">
        <f>Lang_GoTo&amp;" "&amp;HL_LVL2_ACTV_Other_Direct_Costs_Outputs</f>
        <v>Go to Microplanning Activity #3 (Not in Use) Other Direct Costs - Outputs</v>
      </c>
    </row>
    <row r="50" spans="1:8" s="10" customFormat="1" x14ac:dyDescent="0.2"/>
    <row r="51" spans="1:8" s="13" customFormat="1" x14ac:dyDescent="0.2">
      <c r="A51" s="12" t="s">
        <v>125</v>
      </c>
      <c r="B51" s="13" t="str">
        <f>HL_LVL2_ACTV_20_Name&amp;" "&amp;Lang_Detailed_Cost_Summary</f>
        <v>Microplanning Activity #4 (Not in Use) Detailed Cost Summary</v>
      </c>
    </row>
    <row r="52" spans="1:8" s="10" customFormat="1" x14ac:dyDescent="0.2"/>
    <row r="53" spans="1:8" s="10" customFormat="1" x14ac:dyDescent="0.2">
      <c r="C53" s="65" t="str">
        <f>HL_LVL2_ACTV_20_Name&amp;" "&amp;Lang_Detailed_Cost_Summary</f>
        <v>Microplanning Activity #4 (Not in Use) Detailed Cost Summary</v>
      </c>
    </row>
    <row r="54" spans="1:8" s="10" customFormat="1" x14ac:dyDescent="0.2"/>
    <row r="55" spans="1:8" s="10" customFormat="1" ht="24" x14ac:dyDescent="0.2">
      <c r="D55" s="93" t="str">
        <f>Lang_Cost_Category</f>
        <v>Cost Category</v>
      </c>
      <c r="E55" s="94" t="str">
        <f>MICRO_Lu!$D$135&amp;" "&amp;Lang_Cost&amp;" ("&amp;MICRO_Lu!$D$116&amp;")"</f>
        <v>Financial Cost (LCU)</v>
      </c>
      <c r="F55" s="94" t="str">
        <f>MICRO_Lu!$D$136&amp;" "&amp;Lang_Cost&amp;" ("&amp;MICRO_Lu!$D$116&amp;")"</f>
        <v>Economic Cost (LCU)</v>
      </c>
      <c r="G55" s="94" t="str">
        <f>MICRO_Lu!$D$135&amp;" "&amp;Lang_Cost&amp;" ("&amp;MICRO_Lu!$D$115&amp;")"</f>
        <v>Financial Cost (USD)</v>
      </c>
      <c r="H55" s="94" t="str">
        <f>MICRO_Lu!$D$136&amp;" "&amp;Lang_Cost&amp;" ("&amp;MICRO_Lu!$D$115&amp;")"</f>
        <v>Economic Cost (USD)</v>
      </c>
    </row>
    <row r="56" spans="1:8" s="10" customFormat="1" x14ac:dyDescent="0.2">
      <c r="D56" s="49" t="str">
        <f>CALCS_DETAILED!D270</f>
        <v>Personnel</v>
      </c>
      <c r="E56" s="117">
        <f>CALCS_DETAILED!E270</f>
        <v>0</v>
      </c>
      <c r="F56" s="117">
        <f>CALCS_DETAILED!F270</f>
        <v>0</v>
      </c>
      <c r="G56" s="118">
        <f>CALCS_DETAILED!G270</f>
        <v>0</v>
      </c>
      <c r="H56" s="118">
        <f>CALCS_DETAILED!H270</f>
        <v>0</v>
      </c>
    </row>
    <row r="57" spans="1:8" s="10" customFormat="1" x14ac:dyDescent="0.2">
      <c r="D57" s="49" t="str">
        <f>CALCS_DETAILED!D290</f>
        <v>Allowances</v>
      </c>
      <c r="E57" s="117">
        <f>CALCS_DETAILED!E290</f>
        <v>0</v>
      </c>
      <c r="F57" s="117">
        <f>CALCS_DETAILED!F290</f>
        <v>0</v>
      </c>
      <c r="G57" s="118">
        <f>CALCS_DETAILED!G290</f>
        <v>0</v>
      </c>
      <c r="H57" s="118">
        <f>CALCS_DETAILED!H290</f>
        <v>0</v>
      </c>
    </row>
    <row r="58" spans="1:8" s="10" customFormat="1" x14ac:dyDescent="0.2">
      <c r="D58" s="49" t="str">
        <f>CALCS_DETAILED!D310</f>
        <v>Supplies and Materials</v>
      </c>
      <c r="E58" s="117">
        <f>CALCS_DETAILED!E310</f>
        <v>0</v>
      </c>
      <c r="F58" s="117">
        <f>CALCS_DETAILED!F310</f>
        <v>0</v>
      </c>
      <c r="G58" s="118">
        <f>CALCS_DETAILED!G310</f>
        <v>0</v>
      </c>
      <c r="H58" s="118">
        <f>CALCS_DETAILED!H310</f>
        <v>0</v>
      </c>
    </row>
    <row r="59" spans="1:8" s="10" customFormat="1" x14ac:dyDescent="0.2">
      <c r="D59" s="49" t="str">
        <f>CALCS_DETAILED!D330</f>
        <v>Other Direct Costs</v>
      </c>
      <c r="E59" s="117">
        <f>CALCS_DETAILED!E330</f>
        <v>0</v>
      </c>
      <c r="F59" s="117">
        <f>CALCS_DETAILED!F330</f>
        <v>0</v>
      </c>
      <c r="G59" s="118">
        <f>CALCS_DETAILED!G330</f>
        <v>0</v>
      </c>
      <c r="H59" s="118">
        <f>CALCS_DETAILED!H330</f>
        <v>0</v>
      </c>
    </row>
    <row r="60" spans="1:8" s="10" customFormat="1" ht="12.75" thickBot="1" x14ac:dyDescent="0.25">
      <c r="D60" s="95" t="str">
        <f>Lang_Total_Single_Activity_Cost</f>
        <v>Total Single Activity Cost</v>
      </c>
      <c r="E60" s="123">
        <f>SUM(E56:E59)</f>
        <v>0</v>
      </c>
      <c r="F60" s="123">
        <f>SUM(F56:F59)</f>
        <v>0</v>
      </c>
      <c r="G60" s="124">
        <f>SUM(G56:G59)</f>
        <v>0</v>
      </c>
      <c r="H60" s="124">
        <f>SUM(H56:H59)</f>
        <v>0</v>
      </c>
    </row>
    <row r="61" spans="1:8" s="10" customFormat="1" x14ac:dyDescent="0.2"/>
    <row r="62" spans="1:8" s="10" customFormat="1" x14ac:dyDescent="0.2">
      <c r="D62" s="76" t="str">
        <f>Lang_GoTo&amp;" "&amp;HL_LVL2_ACTV_20_Personnel_Outputs</f>
        <v>Go to Microplanning Activity #4 (Not in Use) Personnel - Outputs</v>
      </c>
    </row>
    <row r="63" spans="1:8" s="10" customFormat="1" x14ac:dyDescent="0.2">
      <c r="D63" s="76" t="str">
        <f>Lang_GoTo&amp;" "&amp;HL_LVL2_ACTV_20_Out_A</f>
        <v>Go to Microplanning Activity #4 (Not in Use) Allowances - Outputs</v>
      </c>
    </row>
    <row r="64" spans="1:8" s="10" customFormat="1" x14ac:dyDescent="0.2">
      <c r="D64" s="76" t="str">
        <f>Lang_GoTo&amp;" "&amp;HL_LVL2_ACTV_20_Supplies_and_Materials_Outputs</f>
        <v>Go to Microplanning Activity #4 (Not in Use) Supplies and Materials - Outputs</v>
      </c>
    </row>
    <row r="65" spans="1:8" s="10" customFormat="1" x14ac:dyDescent="0.2">
      <c r="D65" s="76" t="str">
        <f>Lang_GoTo&amp;" "&amp;HL_LVL2_ACTV_20_Other_Direct_Costs_Outputs</f>
        <v>Go to Microplanning Activity #4 (Not in Use) Other Direct Costs - Outputs</v>
      </c>
    </row>
    <row r="66" spans="1:8" s="10" customFormat="1" x14ac:dyDescent="0.2"/>
    <row r="67" spans="1:8" s="13" customFormat="1" x14ac:dyDescent="0.2">
      <c r="A67" s="12" t="s">
        <v>125</v>
      </c>
      <c r="B67" s="13" t="str">
        <f>HL_TOP_ACTV_2_Name&amp;" "&amp;Lang_Detailed_Cost_Summary</f>
        <v>Training Activity #1 (Not in Use) Detailed Cost Summary</v>
      </c>
    </row>
    <row r="68" spans="1:8" s="10" customFormat="1" x14ac:dyDescent="0.2"/>
    <row r="69" spans="1:8" s="10" customFormat="1" x14ac:dyDescent="0.2">
      <c r="C69" s="105" t="str">
        <f>HL_TOP_ACTV_2_Name&amp;" "&amp;Lang_Detailed_Cost_Summary</f>
        <v>Training Activity #1 (Not in Use) Detailed Cost Summary</v>
      </c>
    </row>
    <row r="70" spans="1:8" s="10" customFormat="1" ht="24" x14ac:dyDescent="0.2">
      <c r="D70" s="93" t="str">
        <f>Lang_Cost_Category</f>
        <v>Cost Category</v>
      </c>
      <c r="E70" s="94" t="str">
        <f>TRAIN_Lu!$D$30&amp;" "&amp;Lang_Cost&amp;" ("&amp;TRAIN_Lu!$D$11&amp;")"</f>
        <v>Financial Cost (LCU)</v>
      </c>
      <c r="F70" s="94" t="str">
        <f>TRAIN_Lu!$D$31&amp;" "&amp;Lang_Cost&amp;" ("&amp;TRAIN_Lu!$D$11&amp;")"</f>
        <v>Economic Cost (LCU)</v>
      </c>
      <c r="G70" s="94" t="str">
        <f>TRAIN_Lu!$D$30&amp;" "&amp;Lang_Cost&amp;" ("&amp;TRAIN_Lu!$D$10&amp;")"</f>
        <v>Financial Cost (USD)</v>
      </c>
      <c r="H70" s="94" t="str">
        <f>TRAIN_Lu!$D$31&amp;" "&amp;Lang_Cost&amp;" ("&amp;TRAIN_Lu!$D$10&amp;")"</f>
        <v>Economic Cost (USD)</v>
      </c>
    </row>
    <row r="71" spans="1:8" s="10" customFormat="1" x14ac:dyDescent="0.2">
      <c r="D71" s="49" t="str">
        <f>CALCS_DETAILED!D354</f>
        <v>Personnel</v>
      </c>
      <c r="E71" s="117">
        <f>CALCS_DETAILED!E354</f>
        <v>0</v>
      </c>
      <c r="F71" s="117">
        <f>CALCS_DETAILED!F354</f>
        <v>0</v>
      </c>
      <c r="G71" s="118">
        <f>CALCS_DETAILED!G354</f>
        <v>0</v>
      </c>
      <c r="H71" s="118">
        <f>CALCS_DETAILED!H354</f>
        <v>0</v>
      </c>
    </row>
    <row r="72" spans="1:8" s="10" customFormat="1" x14ac:dyDescent="0.2">
      <c r="D72" s="49" t="str">
        <f>CALCS_DETAILED!D374</f>
        <v>Allowances</v>
      </c>
      <c r="E72" s="117">
        <f>CALCS_DETAILED!E374</f>
        <v>0</v>
      </c>
      <c r="F72" s="117">
        <f>CALCS_DETAILED!F374</f>
        <v>0</v>
      </c>
      <c r="G72" s="118">
        <f>CALCS_DETAILED!G374</f>
        <v>0</v>
      </c>
      <c r="H72" s="118">
        <f>CALCS_DETAILED!H374</f>
        <v>0</v>
      </c>
    </row>
    <row r="73" spans="1:8" s="10" customFormat="1" x14ac:dyDescent="0.2">
      <c r="D73" s="49" t="str">
        <f>CALCS_DETAILED!D394</f>
        <v>Supplies and Materials</v>
      </c>
      <c r="E73" s="117">
        <f>CALCS_DETAILED!E394</f>
        <v>0</v>
      </c>
      <c r="F73" s="117">
        <f>CALCS_DETAILED!F394</f>
        <v>0</v>
      </c>
      <c r="G73" s="118">
        <f>CALCS_DETAILED!G394</f>
        <v>0</v>
      </c>
      <c r="H73" s="118">
        <f>CALCS_DETAILED!H394</f>
        <v>0</v>
      </c>
    </row>
    <row r="74" spans="1:8" s="10" customFormat="1" x14ac:dyDescent="0.2">
      <c r="D74" s="49" t="str">
        <f>CALCS_DETAILED!D414</f>
        <v>Other Direct Costs</v>
      </c>
      <c r="E74" s="117">
        <f>CALCS_DETAILED!E414</f>
        <v>0</v>
      </c>
      <c r="F74" s="117">
        <f>CALCS_DETAILED!F414</f>
        <v>0</v>
      </c>
      <c r="G74" s="118">
        <f>CALCS_DETAILED!G414</f>
        <v>0</v>
      </c>
      <c r="H74" s="118">
        <f>CALCS_DETAILED!H414</f>
        <v>0</v>
      </c>
    </row>
    <row r="75" spans="1:8" s="10" customFormat="1" ht="12.75" thickBot="1" x14ac:dyDescent="0.25">
      <c r="D75" s="95" t="str">
        <f>Lang_Total_Single_Activity_Cost</f>
        <v>Total Single Activity Cost</v>
      </c>
      <c r="E75" s="123">
        <f>SUM(E71:E74)</f>
        <v>0</v>
      </c>
      <c r="F75" s="123">
        <f>SUM(F71:F74)</f>
        <v>0</v>
      </c>
      <c r="G75" s="124">
        <f>SUM(G71:G74)</f>
        <v>0</v>
      </c>
      <c r="H75" s="124">
        <f>SUM(H71:H74)</f>
        <v>0</v>
      </c>
    </row>
    <row r="76" spans="1:8" s="10" customFormat="1" x14ac:dyDescent="0.2"/>
    <row r="77" spans="1:8" s="10" customFormat="1" x14ac:dyDescent="0.2">
      <c r="D77" s="76" t="str">
        <f>Lang_GoTo&amp;" "&amp;HL_TOP_ACTV_2_Personnel_Outputs</f>
        <v>Go to Training Activity #1 (Not in Use) Personnel - Outputs</v>
      </c>
    </row>
    <row r="78" spans="1:8" s="10" customFormat="1" x14ac:dyDescent="0.2">
      <c r="D78" s="76" t="str">
        <f>Lang_GoTo&amp;" "&amp;HL_TOP_ACTV_2_Out_A</f>
        <v>Go to Training Activity #1 (Not in Use) Allowances - Outputs</v>
      </c>
    </row>
    <row r="79" spans="1:8" s="10" customFormat="1" x14ac:dyDescent="0.2">
      <c r="D79" s="76" t="str">
        <f>Lang_GoTo&amp;" "&amp;HL_TOP_ACTV_2_Supplies_and_Materials_Outputs</f>
        <v>Go to Training Activity #1 (Not in Use) Supplies and Materials - Outputs</v>
      </c>
    </row>
    <row r="80" spans="1:8" s="10" customFormat="1" x14ac:dyDescent="0.2">
      <c r="D80" s="76" t="str">
        <f>Lang_GoTo&amp;" "&amp;HL_TOP_ACTV_2_Other_Direct_Costs_Outputs</f>
        <v>Go to Training Activity #1 (Not in Use) Other Direct Costs - Outputs</v>
      </c>
    </row>
    <row r="81" spans="1:8" s="10" customFormat="1" x14ac:dyDescent="0.2"/>
    <row r="82" spans="1:8" s="13" customFormat="1" x14ac:dyDescent="0.2">
      <c r="A82" s="12" t="s">
        <v>125</v>
      </c>
      <c r="B82" s="13" t="str">
        <f>HL_TOP_ACTV_13_Name&amp;" "&amp;Lang_Detailed_Cost_Summary</f>
        <v>Training Activity #2 (Not in Use) Detailed Cost Summary</v>
      </c>
    </row>
    <row r="83" spans="1:8" s="10" customFormat="1" x14ac:dyDescent="0.2"/>
    <row r="84" spans="1:8" s="10" customFormat="1" x14ac:dyDescent="0.2">
      <c r="C84" s="105" t="str">
        <f>HL_TOP_ACTV_13_Name&amp;" "&amp;Lang_Detailed_Cost_Summary</f>
        <v>Training Activity #2 (Not in Use) Detailed Cost Summary</v>
      </c>
    </row>
    <row r="85" spans="1:8" s="10" customFormat="1" ht="24" x14ac:dyDescent="0.2">
      <c r="D85" s="93" t="str">
        <f>Lang_Cost_Category</f>
        <v>Cost Category</v>
      </c>
      <c r="E85" s="94" t="str">
        <f>TRAIN_Lu!$D$65&amp;" "&amp;Lang_Cost&amp;" ("&amp;TRAIN_Lu!$D$46&amp;")"</f>
        <v>Financial Cost (LCU)</v>
      </c>
      <c r="F85" s="94" t="str">
        <f>TRAIN_Lu!$D$66&amp;" "&amp;Lang_Cost&amp;" ("&amp;TRAIN_Lu!$D$46&amp;")"</f>
        <v>Economic Cost (LCU)</v>
      </c>
      <c r="G85" s="94" t="str">
        <f>TRAIN_Lu!$D$65&amp;" "&amp;Lang_Cost&amp;" ("&amp;TRAIN_Lu!$D$45&amp;")"</f>
        <v>Financial Cost (USD)</v>
      </c>
      <c r="H85" s="94" t="str">
        <f>TRAIN_Lu!$D$66&amp;" "&amp;Lang_Cost&amp;" ("&amp;TRAIN_Lu!$D$45&amp;")"</f>
        <v>Economic Cost (USD)</v>
      </c>
    </row>
    <row r="86" spans="1:8" s="10" customFormat="1" x14ac:dyDescent="0.2">
      <c r="D86" s="49" t="str">
        <f>CALCS_DETAILED!D438</f>
        <v>Personnel</v>
      </c>
      <c r="E86" s="117">
        <f>CALCS_DETAILED!E438</f>
        <v>0</v>
      </c>
      <c r="F86" s="117">
        <f>CALCS_DETAILED!F438</f>
        <v>0</v>
      </c>
      <c r="G86" s="118">
        <f>CALCS_DETAILED!G438</f>
        <v>0</v>
      </c>
      <c r="H86" s="118">
        <f>CALCS_DETAILED!H438</f>
        <v>0</v>
      </c>
    </row>
    <row r="87" spans="1:8" s="10" customFormat="1" x14ac:dyDescent="0.2">
      <c r="D87" s="49" t="str">
        <f>CALCS_DETAILED!D458</f>
        <v>Allowances</v>
      </c>
      <c r="E87" s="117">
        <f>CALCS_DETAILED!E458</f>
        <v>0</v>
      </c>
      <c r="F87" s="117">
        <f>CALCS_DETAILED!F458</f>
        <v>0</v>
      </c>
      <c r="G87" s="118">
        <f>CALCS_DETAILED!G458</f>
        <v>0</v>
      </c>
      <c r="H87" s="118">
        <f>CALCS_DETAILED!H458</f>
        <v>0</v>
      </c>
    </row>
    <row r="88" spans="1:8" s="10" customFormat="1" x14ac:dyDescent="0.2">
      <c r="D88" s="49" t="str">
        <f>CALCS_DETAILED!D478</f>
        <v>Supplies and Materials</v>
      </c>
      <c r="E88" s="117">
        <f>CALCS_DETAILED!E478</f>
        <v>0</v>
      </c>
      <c r="F88" s="117">
        <f>CALCS_DETAILED!F478</f>
        <v>0</v>
      </c>
      <c r="G88" s="118">
        <f>CALCS_DETAILED!G478</f>
        <v>0</v>
      </c>
      <c r="H88" s="118">
        <f>CALCS_DETAILED!H478</f>
        <v>0</v>
      </c>
    </row>
    <row r="89" spans="1:8" s="10" customFormat="1" x14ac:dyDescent="0.2">
      <c r="D89" s="49" t="str">
        <f>CALCS_DETAILED!D498</f>
        <v>Other Direct Costs</v>
      </c>
      <c r="E89" s="117">
        <f>CALCS_DETAILED!E498</f>
        <v>0</v>
      </c>
      <c r="F89" s="117">
        <f>CALCS_DETAILED!F498</f>
        <v>0</v>
      </c>
      <c r="G89" s="118">
        <f>CALCS_DETAILED!G498</f>
        <v>0</v>
      </c>
      <c r="H89" s="118">
        <f>CALCS_DETAILED!H498</f>
        <v>0</v>
      </c>
    </row>
    <row r="90" spans="1:8" s="10" customFormat="1" ht="12.75" thickBot="1" x14ac:dyDescent="0.25">
      <c r="D90" s="95" t="str">
        <f>Lang_Total_Single_Activity_Cost</f>
        <v>Total Single Activity Cost</v>
      </c>
      <c r="E90" s="123">
        <f>SUM(E86:E89)</f>
        <v>0</v>
      </c>
      <c r="F90" s="123">
        <f>SUM(F86:F89)</f>
        <v>0</v>
      </c>
      <c r="G90" s="124">
        <f>SUM(G86:G89)</f>
        <v>0</v>
      </c>
      <c r="H90" s="124">
        <f>SUM(H86:H89)</f>
        <v>0</v>
      </c>
    </row>
    <row r="91" spans="1:8" s="10" customFormat="1" x14ac:dyDescent="0.2"/>
    <row r="92" spans="1:8" s="10" customFormat="1" x14ac:dyDescent="0.2">
      <c r="D92" s="76" t="str">
        <f>Lang_GoTo&amp;" "&amp;HL_TOP_ACTV_13_Personnel_Outputs</f>
        <v>Go to Training Activity #2 (Not in Use) Personnel - Outputs</v>
      </c>
    </row>
    <row r="93" spans="1:8" s="10" customFormat="1" x14ac:dyDescent="0.2">
      <c r="D93" s="76" t="str">
        <f>Lang_GoTo&amp;" "&amp;HL_TOP_ACTV_13_Out_A</f>
        <v>Go to Training Activity #2 (Not in Use) Allowances - Outputs</v>
      </c>
    </row>
    <row r="94" spans="1:8" s="10" customFormat="1" x14ac:dyDescent="0.2">
      <c r="D94" s="76" t="str">
        <f>Lang_GoTo&amp;" "&amp;HL_TOP_ACTV_13_Supplies_and_Materials_Outputs</f>
        <v>Go to Training Activity #2 (Not in Use) Supplies and Materials - Outputs</v>
      </c>
    </row>
    <row r="95" spans="1:8" s="10" customFormat="1" x14ac:dyDescent="0.2">
      <c r="D95" s="76" t="str">
        <f>Lang_GoTo&amp;" "&amp;HL_TOP_ACTV_13_Other_Direct_Costs_Outputs</f>
        <v>Go to Training Activity #2 (Not in Use) Other Direct Costs - Outputs</v>
      </c>
    </row>
    <row r="96" spans="1:8" s="10" customFormat="1" x14ac:dyDescent="0.2"/>
    <row r="97" spans="1:8" s="13" customFormat="1" x14ac:dyDescent="0.2">
      <c r="A97" s="12" t="s">
        <v>125</v>
      </c>
      <c r="B97" s="13" t="str">
        <f>HL_TOP_ACTV_14_Name&amp;" "&amp;Lang_Detailed_Cost_Summary</f>
        <v>Training Activity #3 (Not in Use) Detailed Cost Summary</v>
      </c>
    </row>
    <row r="98" spans="1:8" s="10" customFormat="1" x14ac:dyDescent="0.2"/>
    <row r="99" spans="1:8" s="10" customFormat="1" x14ac:dyDescent="0.2">
      <c r="C99" s="105" t="str">
        <f>HL_TOP_ACTV_14_Name&amp;" "&amp;Lang_Detailed_Cost_Summary</f>
        <v>Training Activity #3 (Not in Use) Detailed Cost Summary</v>
      </c>
    </row>
    <row r="100" spans="1:8" s="10" customFormat="1" ht="24" x14ac:dyDescent="0.2">
      <c r="D100" s="93" t="str">
        <f>Lang_Cost_Category</f>
        <v>Cost Category</v>
      </c>
      <c r="E100" s="94" t="str">
        <f>TRAIN_Lu!$D$100&amp;" "&amp;Lang_Cost&amp;" ("&amp;TRAIN_Lu!$D$81&amp;")"</f>
        <v>Financial Cost (LCU)</v>
      </c>
      <c r="F100" s="94" t="str">
        <f>TRAIN_Lu!$D$101&amp;" "&amp;Lang_Cost&amp;" ("&amp;TRAIN_Lu!$D$81&amp;")"</f>
        <v>Economic Cost (LCU)</v>
      </c>
      <c r="G100" s="94" t="str">
        <f>TRAIN_Lu!$D$100&amp;" "&amp;Lang_Cost&amp;" ("&amp;TRAIN_Lu!$D$80&amp;")"</f>
        <v>Financial Cost (USD)</v>
      </c>
      <c r="H100" s="94" t="str">
        <f>TRAIN_Lu!$D$101&amp;" "&amp;Lang_Cost&amp;" ("&amp;TRAIN_Lu!$D$80&amp;")"</f>
        <v>Economic Cost (USD)</v>
      </c>
    </row>
    <row r="101" spans="1:8" s="10" customFormat="1" x14ac:dyDescent="0.2">
      <c r="D101" s="49" t="str">
        <f>CALCS_DETAILED!D522</f>
        <v>Personnel</v>
      </c>
      <c r="E101" s="117">
        <f>CALCS_DETAILED!E522</f>
        <v>0</v>
      </c>
      <c r="F101" s="117">
        <f>CALCS_DETAILED!F522</f>
        <v>0</v>
      </c>
      <c r="G101" s="118">
        <f>CALCS_DETAILED!G522</f>
        <v>0</v>
      </c>
      <c r="H101" s="118">
        <f>CALCS_DETAILED!H522</f>
        <v>0</v>
      </c>
    </row>
    <row r="102" spans="1:8" s="10" customFormat="1" x14ac:dyDescent="0.2">
      <c r="D102" s="49" t="str">
        <f>CALCS_DETAILED!D542</f>
        <v>Allowances</v>
      </c>
      <c r="E102" s="117">
        <f>CALCS_DETAILED!E542</f>
        <v>0</v>
      </c>
      <c r="F102" s="117">
        <f>CALCS_DETAILED!F542</f>
        <v>0</v>
      </c>
      <c r="G102" s="118">
        <f>CALCS_DETAILED!G542</f>
        <v>0</v>
      </c>
      <c r="H102" s="118">
        <f>CALCS_DETAILED!H542</f>
        <v>0</v>
      </c>
    </row>
    <row r="103" spans="1:8" s="10" customFormat="1" x14ac:dyDescent="0.2">
      <c r="D103" s="49" t="str">
        <f>CALCS_DETAILED!D562</f>
        <v>Supplies and Materials</v>
      </c>
      <c r="E103" s="117">
        <f>CALCS_DETAILED!E562</f>
        <v>0</v>
      </c>
      <c r="F103" s="117">
        <f>CALCS_DETAILED!F562</f>
        <v>0</v>
      </c>
      <c r="G103" s="118">
        <f>CALCS_DETAILED!G562</f>
        <v>0</v>
      </c>
      <c r="H103" s="118">
        <f>CALCS_DETAILED!H562</f>
        <v>0</v>
      </c>
    </row>
    <row r="104" spans="1:8" s="10" customFormat="1" x14ac:dyDescent="0.2">
      <c r="D104" s="49" t="str">
        <f>CALCS_DETAILED!D582</f>
        <v>Other Direct Costs</v>
      </c>
      <c r="E104" s="117">
        <f>CALCS_DETAILED!E582</f>
        <v>0</v>
      </c>
      <c r="F104" s="117">
        <f>CALCS_DETAILED!F582</f>
        <v>0</v>
      </c>
      <c r="G104" s="118">
        <f>CALCS_DETAILED!G582</f>
        <v>0</v>
      </c>
      <c r="H104" s="118">
        <f>CALCS_DETAILED!H582</f>
        <v>0</v>
      </c>
    </row>
    <row r="105" spans="1:8" s="10" customFormat="1" ht="12.75" thickBot="1" x14ac:dyDescent="0.25">
      <c r="D105" s="95" t="str">
        <f>Lang_Total_Single_Activity_Cost</f>
        <v>Total Single Activity Cost</v>
      </c>
      <c r="E105" s="123">
        <f>SUM(E101:E104)</f>
        <v>0</v>
      </c>
      <c r="F105" s="123">
        <f>SUM(F101:F104)</f>
        <v>0</v>
      </c>
      <c r="G105" s="124">
        <f>SUM(G101:G104)</f>
        <v>0</v>
      </c>
      <c r="H105" s="124">
        <f>SUM(H101:H104)</f>
        <v>0</v>
      </c>
    </row>
    <row r="106" spans="1:8" s="10" customFormat="1" x14ac:dyDescent="0.2"/>
    <row r="107" spans="1:8" s="10" customFormat="1" x14ac:dyDescent="0.2">
      <c r="D107" s="76" t="str">
        <f>Lang_GoTo&amp;" "&amp;HL_TOP_ACTV_14_Personnel_Outputs</f>
        <v>Go to Training Activity #3 (Not in Use) Personnel - Outputs</v>
      </c>
    </row>
    <row r="108" spans="1:8" s="10" customFormat="1" x14ac:dyDescent="0.2">
      <c r="D108" s="76" t="str">
        <f>Lang_GoTo&amp;" "&amp;HL_TOP_ACTV_14_Out_A</f>
        <v>Go to Training Activity #3 (Not in Use) Allowances - Outputs</v>
      </c>
    </row>
    <row r="109" spans="1:8" s="10" customFormat="1" x14ac:dyDescent="0.2">
      <c r="D109" s="76" t="str">
        <f>Lang_GoTo&amp;" "&amp;HL_TOP_ACTV_14_Supplies_and_Materials_Outputs</f>
        <v>Go to Training Activity #3 (Not in Use) Supplies and Materials - Outputs</v>
      </c>
    </row>
    <row r="110" spans="1:8" s="10" customFormat="1" x14ac:dyDescent="0.2">
      <c r="D110" s="76" t="str">
        <f>Lang_GoTo&amp;" "&amp;HL_TOP_ACTV_14_Other_Direct_Costs_Outputs</f>
        <v>Go to Training Activity #3 (Not in Use) Other Direct Costs - Outputs</v>
      </c>
    </row>
    <row r="111" spans="1:8" s="10" customFormat="1" x14ac:dyDescent="0.2"/>
    <row r="112" spans="1:8" s="13" customFormat="1" x14ac:dyDescent="0.2">
      <c r="A112" s="12" t="s">
        <v>125</v>
      </c>
      <c r="B112" s="13" t="str">
        <f>HL_LVL2_ACTV_2_Name&amp;" "&amp;Lang_Detailed_Cost_Summary</f>
        <v>Training Activity #4 (Not in Use) Detailed Cost Summary</v>
      </c>
    </row>
    <row r="113" spans="1:8" s="10" customFormat="1" x14ac:dyDescent="0.2"/>
    <row r="114" spans="1:8" s="10" customFormat="1" x14ac:dyDescent="0.2">
      <c r="C114" s="65" t="str">
        <f>HL_LVL2_ACTV_2_Name&amp;" "&amp;Lang_Detailed_Cost_Summary</f>
        <v>Training Activity #4 (Not in Use) Detailed Cost Summary</v>
      </c>
    </row>
    <row r="115" spans="1:8" s="10" customFormat="1" x14ac:dyDescent="0.2"/>
    <row r="116" spans="1:8" s="10" customFormat="1" ht="24" x14ac:dyDescent="0.2">
      <c r="D116" s="93" t="str">
        <f>Lang_Cost_Category</f>
        <v>Cost Category</v>
      </c>
      <c r="E116" s="94" t="str">
        <f>TRAIN_Lu!$D$135&amp;" "&amp;Lang_Cost&amp;" ("&amp;TRAIN_Lu!$D$116&amp;")"</f>
        <v>Financial Cost (LCU)</v>
      </c>
      <c r="F116" s="94" t="str">
        <f>TRAIN_Lu!$D$136&amp;" "&amp;Lang_Cost&amp;" ("&amp;TRAIN_Lu!$D$116&amp;")"</f>
        <v>Economic Cost (LCU)</v>
      </c>
      <c r="G116" s="94" t="str">
        <f>TRAIN_Lu!$D$135&amp;" "&amp;Lang_Cost&amp;" ("&amp;TRAIN_Lu!$D$115&amp;")"</f>
        <v>Financial Cost (USD)</v>
      </c>
      <c r="H116" s="94" t="str">
        <f>TRAIN_Lu!$D$136&amp;" "&amp;Lang_Cost&amp;" ("&amp;TRAIN_Lu!$D$115&amp;")"</f>
        <v>Economic Cost (USD)</v>
      </c>
    </row>
    <row r="117" spans="1:8" s="10" customFormat="1" x14ac:dyDescent="0.2">
      <c r="D117" s="49" t="str">
        <f>CALCS_DETAILED!D606</f>
        <v>Personnel</v>
      </c>
      <c r="E117" s="117">
        <f>CALCS_DETAILED!E606</f>
        <v>0</v>
      </c>
      <c r="F117" s="117">
        <f>CALCS_DETAILED!F606</f>
        <v>0</v>
      </c>
      <c r="G117" s="118">
        <f>CALCS_DETAILED!G606</f>
        <v>0</v>
      </c>
      <c r="H117" s="118">
        <f>CALCS_DETAILED!H606</f>
        <v>0</v>
      </c>
    </row>
    <row r="118" spans="1:8" s="10" customFormat="1" x14ac:dyDescent="0.2">
      <c r="D118" s="49" t="str">
        <f>CALCS_DETAILED!D626</f>
        <v>Allowances</v>
      </c>
      <c r="E118" s="117">
        <f>CALCS_DETAILED!E626</f>
        <v>0</v>
      </c>
      <c r="F118" s="117">
        <f>CALCS_DETAILED!F626</f>
        <v>0</v>
      </c>
      <c r="G118" s="118">
        <f>CALCS_DETAILED!G626</f>
        <v>0</v>
      </c>
      <c r="H118" s="118">
        <f>CALCS_DETAILED!H626</f>
        <v>0</v>
      </c>
    </row>
    <row r="119" spans="1:8" s="10" customFormat="1" x14ac:dyDescent="0.2">
      <c r="D119" s="49" t="str">
        <f>CALCS_DETAILED!D646</f>
        <v>Supplies and Materials</v>
      </c>
      <c r="E119" s="117">
        <f>CALCS_DETAILED!E646</f>
        <v>0</v>
      </c>
      <c r="F119" s="117">
        <f>CALCS_DETAILED!F646</f>
        <v>0</v>
      </c>
      <c r="G119" s="118">
        <f>CALCS_DETAILED!G646</f>
        <v>0</v>
      </c>
      <c r="H119" s="118">
        <f>CALCS_DETAILED!H646</f>
        <v>0</v>
      </c>
    </row>
    <row r="120" spans="1:8" s="10" customFormat="1" ht="12.75" thickBot="1" x14ac:dyDescent="0.25">
      <c r="D120" s="95" t="str">
        <f>Lang_Total_Single_Activity_Cost</f>
        <v>Total Single Activity Cost</v>
      </c>
      <c r="E120" s="117">
        <f>CALCS_DETAILED!E666</f>
        <v>0</v>
      </c>
      <c r="F120" s="117">
        <f>CALCS_DETAILED!F666</f>
        <v>0</v>
      </c>
      <c r="G120" s="118">
        <f>CALCS_DETAILED!G666</f>
        <v>0</v>
      </c>
      <c r="H120" s="118">
        <f>CALCS_DETAILED!H666</f>
        <v>0</v>
      </c>
    </row>
    <row r="121" spans="1:8" s="10" customFormat="1" ht="12.75" thickBot="1" x14ac:dyDescent="0.25">
      <c r="D121" s="95" t="str">
        <f>Lang_Total_Single_Activity_Cost</f>
        <v>Total Single Activity Cost</v>
      </c>
      <c r="E121" s="123">
        <f>SUM(E117:E120)</f>
        <v>0</v>
      </c>
      <c r="F121" s="123">
        <f>SUM(F117:F120)</f>
        <v>0</v>
      </c>
      <c r="G121" s="124">
        <f>SUM(G117:G120)</f>
        <v>0</v>
      </c>
      <c r="H121" s="124">
        <f>SUM(H117:H120)</f>
        <v>0</v>
      </c>
    </row>
    <row r="122" spans="1:8" s="10" customFormat="1" x14ac:dyDescent="0.2"/>
    <row r="123" spans="1:8" s="10" customFormat="1" x14ac:dyDescent="0.2">
      <c r="D123" s="76" t="str">
        <f>Lang_GoTo&amp;" "&amp;HL_LVL2_ACTV_2_Personnel_Outputs</f>
        <v>Go to Training Activity #4 (Not in Use) Personnel - Outputs</v>
      </c>
    </row>
    <row r="124" spans="1:8" s="10" customFormat="1" x14ac:dyDescent="0.2">
      <c r="D124" s="76" t="str">
        <f>Lang_GoTo&amp;" "&amp;HL_LVL2_ACTV_2_Out_A</f>
        <v>Go to Training Activity #4 (Not in Use) Allowances - Outputs</v>
      </c>
    </row>
    <row r="125" spans="1:8" s="10" customFormat="1" x14ac:dyDescent="0.2">
      <c r="D125" s="76" t="str">
        <f>Lang_GoTo&amp;" "&amp;HL_LVL2_ACTV_2_Supplies_and_Materials_Outputs</f>
        <v>Go to Training Activity #4 (Not in Use) Supplies and Materials - Outputs</v>
      </c>
    </row>
    <row r="126" spans="1:8" s="10" customFormat="1" x14ac:dyDescent="0.2">
      <c r="D126" s="76" t="str">
        <f>Lang_GoTo&amp;" "&amp;HL_LVL2_ACTV_2_Other_Direct_Costs_Outputs</f>
        <v>Go to Training Activity #4 (Not in Use) Other Direct Costs - Outputs</v>
      </c>
    </row>
    <row r="127" spans="1:8" s="10" customFormat="1" x14ac:dyDescent="0.2"/>
    <row r="128" spans="1:8" s="13" customFormat="1" x14ac:dyDescent="0.2">
      <c r="A128" s="12" t="s">
        <v>125</v>
      </c>
      <c r="B128" s="13" t="str">
        <f>HL_TOP_ACTV_3_Name&amp;" "&amp;Lang_Detailed_Cost_Summary</f>
        <v xml:space="preserve"> Sensitisation Activity # 1 (Not in Use) Detailed Cost Summary</v>
      </c>
    </row>
    <row r="129" spans="1:8" s="10" customFormat="1" x14ac:dyDescent="0.2"/>
    <row r="130" spans="1:8" s="10" customFormat="1" x14ac:dyDescent="0.2">
      <c r="C130" s="105" t="str">
        <f>HL_TOP_ACTV_3_Name&amp;" "&amp;Lang_Detailed_Cost_Summary</f>
        <v xml:space="preserve"> Sensitisation Activity # 1 (Not in Use) Detailed Cost Summary</v>
      </c>
    </row>
    <row r="131" spans="1:8" s="10" customFormat="1" ht="24" x14ac:dyDescent="0.2">
      <c r="D131" s="93" t="str">
        <f>Lang_Cost_Category</f>
        <v>Cost Category</v>
      </c>
      <c r="E131" s="94" t="str">
        <f>SENS_Lu!$D$32&amp;" "&amp;Lang_Cost&amp;" ("&amp;SENS_Lu!$D$13&amp;")"</f>
        <v>Financial Cost (LCU)</v>
      </c>
      <c r="F131" s="94" t="str">
        <f>SENS_Lu!$D$33&amp;" "&amp;Lang_Cost&amp;" ("&amp;SENS_Lu!$D$13&amp;")"</f>
        <v>Economic Cost (LCU)</v>
      </c>
      <c r="G131" s="94" t="str">
        <f>SENS_Lu!$D$32&amp;" "&amp;Lang_Cost&amp;" ("&amp;SENS_Lu!$D$12&amp;")"</f>
        <v>Financial Cost (USD)</v>
      </c>
      <c r="H131" s="94" t="str">
        <f>SENS_Lu!$D$33&amp;" "&amp;Lang_Cost&amp;" ("&amp;SENS_Lu!$D$12&amp;")"</f>
        <v>Economic Cost (USD)</v>
      </c>
    </row>
    <row r="132" spans="1:8" s="10" customFormat="1" x14ac:dyDescent="0.2">
      <c r="D132" s="49" t="str">
        <f>CALCS_DETAILED!D690</f>
        <v>Personnel</v>
      </c>
      <c r="E132" s="117">
        <f>CALCS_DETAILED!E690</f>
        <v>0</v>
      </c>
      <c r="F132" s="117">
        <f>CALCS_DETAILED!F690</f>
        <v>0</v>
      </c>
      <c r="G132" s="118">
        <f>CALCS_DETAILED!G690</f>
        <v>0</v>
      </c>
      <c r="H132" s="118">
        <f>CALCS_DETAILED!H690</f>
        <v>0</v>
      </c>
    </row>
    <row r="133" spans="1:8" s="10" customFormat="1" x14ac:dyDescent="0.2">
      <c r="D133" s="49" t="str">
        <f>CALCS_DETAILED!D710</f>
        <v>Allowances</v>
      </c>
      <c r="E133" s="117">
        <f>CALCS_DETAILED!E710</f>
        <v>0</v>
      </c>
      <c r="F133" s="117">
        <f>CALCS_DETAILED!F710</f>
        <v>0</v>
      </c>
      <c r="G133" s="118">
        <f>CALCS_DETAILED!G710</f>
        <v>0</v>
      </c>
      <c r="H133" s="118">
        <f>CALCS_DETAILED!H710</f>
        <v>0</v>
      </c>
    </row>
    <row r="134" spans="1:8" s="10" customFormat="1" x14ac:dyDescent="0.2">
      <c r="D134" s="49" t="str">
        <f>CALCS_DETAILED!D730</f>
        <v>Supplies and Materials</v>
      </c>
      <c r="E134" s="117">
        <f>CALCS_DETAILED!E730</f>
        <v>0</v>
      </c>
      <c r="F134" s="117">
        <f>CALCS_DETAILED!F730</f>
        <v>0</v>
      </c>
      <c r="G134" s="118">
        <f>CALCS_DETAILED!G730</f>
        <v>0</v>
      </c>
      <c r="H134" s="118">
        <f>CALCS_DETAILED!H730</f>
        <v>0</v>
      </c>
    </row>
    <row r="135" spans="1:8" s="10" customFormat="1" x14ac:dyDescent="0.2">
      <c r="D135" s="49" t="str">
        <f>CALCS_DETAILED!D750</f>
        <v>Other Direct Costs</v>
      </c>
      <c r="E135" s="117">
        <f>CALCS_DETAILED!E750</f>
        <v>0</v>
      </c>
      <c r="F135" s="117">
        <f>CALCS_DETAILED!F750</f>
        <v>0</v>
      </c>
      <c r="G135" s="118">
        <f>CALCS_DETAILED!G750</f>
        <v>0</v>
      </c>
      <c r="H135" s="118">
        <f>CALCS_DETAILED!H750</f>
        <v>0</v>
      </c>
    </row>
    <row r="136" spans="1:8" s="10" customFormat="1" ht="12.75" thickBot="1" x14ac:dyDescent="0.25">
      <c r="D136" s="95" t="str">
        <f>Lang_Total_Single_Activity_Cost</f>
        <v>Total Single Activity Cost</v>
      </c>
      <c r="E136" s="123">
        <f>SUM(E132:E135)</f>
        <v>0</v>
      </c>
      <c r="F136" s="123">
        <f>SUM(F132:F135)</f>
        <v>0</v>
      </c>
      <c r="G136" s="124">
        <f>SUM(G132:G135)</f>
        <v>0</v>
      </c>
      <c r="H136" s="124">
        <f>SUM(H132:H135)</f>
        <v>0</v>
      </c>
    </row>
    <row r="137" spans="1:8" s="10" customFormat="1" x14ac:dyDescent="0.2"/>
    <row r="138" spans="1:8" s="10" customFormat="1" x14ac:dyDescent="0.2">
      <c r="D138" s="76" t="str">
        <f>Lang_GoTo&amp;" "&amp;HL_TOP_ACTV_3_Personnel_Outputs</f>
        <v>Go to  Sensitisation Activity # 1 (Not in Use) Personnel - Outputs</v>
      </c>
    </row>
    <row r="139" spans="1:8" s="10" customFormat="1" x14ac:dyDescent="0.2">
      <c r="D139" s="76" t="str">
        <f>Lang_GoTo&amp;" "&amp;HL_TOP_ACTV_3_Out_A</f>
        <v>Go to  Sensitisation Activity # 1 (Not in Use) Allowances - Outputs</v>
      </c>
    </row>
    <row r="140" spans="1:8" s="10" customFormat="1" x14ac:dyDescent="0.2">
      <c r="D140" s="76" t="str">
        <f>Lang_GoTo&amp;" "&amp;HL_TOP_ACTV_3_Supplies_and_Materials_Outputs</f>
        <v>Go to  Sensitisation Activity # 1 (Not in Use) Supplies and Materials - Outputs</v>
      </c>
    </row>
    <row r="141" spans="1:8" s="10" customFormat="1" x14ac:dyDescent="0.2">
      <c r="D141" s="76" t="str">
        <f>Lang_GoTo&amp;" "&amp;HL_TOP_ACTV_3_Other_Direct_Costs_Outputs</f>
        <v>Go to  Sensitisation Activity # 1 (Not in Use) Other Direct Costs - Outputs</v>
      </c>
    </row>
    <row r="142" spans="1:8" s="10" customFormat="1" x14ac:dyDescent="0.2"/>
    <row r="143" spans="1:8" s="13" customFormat="1" x14ac:dyDescent="0.2">
      <c r="A143" s="12" t="s">
        <v>125</v>
      </c>
      <c r="B143" s="13" t="str">
        <f>HL_TOP_ACTV_10_Name&amp;" "&amp;Lang_Detailed_Cost_Summary</f>
        <v xml:space="preserve"> Sensitisation Activity # 2 (Not in Use) Detailed Cost Summary</v>
      </c>
    </row>
    <row r="144" spans="1:8" s="10" customFormat="1" x14ac:dyDescent="0.2"/>
    <row r="145" spans="1:8" s="10" customFormat="1" x14ac:dyDescent="0.2">
      <c r="C145" s="105" t="str">
        <f>HL_TOP_ACTV_10_Name&amp;" "&amp;Lang_Detailed_Cost_Summary</f>
        <v xml:space="preserve"> Sensitisation Activity # 2 (Not in Use) Detailed Cost Summary</v>
      </c>
    </row>
    <row r="146" spans="1:8" s="10" customFormat="1" ht="24" x14ac:dyDescent="0.2">
      <c r="D146" s="93" t="str">
        <f>Lang_Cost_Category</f>
        <v>Cost Category</v>
      </c>
      <c r="E146" s="94" t="str">
        <f>SENS_Lu!$D$67&amp;" "&amp;Lang_Cost&amp;" ("&amp;SENS_Lu!$D$48&amp;")"</f>
        <v>Financial Cost (LCU)</v>
      </c>
      <c r="F146" s="94" t="str">
        <f>SENS_Lu!$D$68&amp;" "&amp;Lang_Cost&amp;" ("&amp;SENS_Lu!$D$48&amp;")"</f>
        <v>Economic Cost (LCU)</v>
      </c>
      <c r="G146" s="94" t="str">
        <f>SENS_Lu!$D$67&amp;" "&amp;Lang_Cost&amp;" ("&amp;SENS_Lu!$D$47&amp;")"</f>
        <v>Financial Cost (USD)</v>
      </c>
      <c r="H146" s="94" t="str">
        <f>SENS_Lu!$D$68&amp;" "&amp;Lang_Cost&amp;" ("&amp;SENS_Lu!$D$47&amp;")"</f>
        <v>Economic Cost (USD)</v>
      </c>
    </row>
    <row r="147" spans="1:8" s="10" customFormat="1" x14ac:dyDescent="0.2">
      <c r="D147" s="49" t="str">
        <f>CALCS_DETAILED!D774</f>
        <v>Personnel</v>
      </c>
      <c r="E147" s="117">
        <f>CALCS_DETAILED!E774</f>
        <v>0</v>
      </c>
      <c r="F147" s="117">
        <f>CALCS_DETAILED!F774</f>
        <v>0</v>
      </c>
      <c r="G147" s="118">
        <f>CALCS_DETAILED!G774</f>
        <v>0</v>
      </c>
      <c r="H147" s="118">
        <f>CALCS_DETAILED!H774</f>
        <v>0</v>
      </c>
    </row>
    <row r="148" spans="1:8" s="10" customFormat="1" x14ac:dyDescent="0.2">
      <c r="D148" s="49" t="str">
        <f>CALCS_DETAILED!D794</f>
        <v>Allowances</v>
      </c>
      <c r="E148" s="117">
        <f>CALCS_DETAILED!E794</f>
        <v>0</v>
      </c>
      <c r="F148" s="117">
        <f>CALCS_DETAILED!F794</f>
        <v>0</v>
      </c>
      <c r="G148" s="118">
        <f>CALCS_DETAILED!G794</f>
        <v>0</v>
      </c>
      <c r="H148" s="118">
        <f>CALCS_DETAILED!H794</f>
        <v>0</v>
      </c>
    </row>
    <row r="149" spans="1:8" s="10" customFormat="1" x14ac:dyDescent="0.2">
      <c r="D149" s="49" t="str">
        <f>CALCS_DETAILED!D814</f>
        <v>Supplies and Materials</v>
      </c>
      <c r="E149" s="117">
        <f>CALCS_DETAILED!E814</f>
        <v>0</v>
      </c>
      <c r="F149" s="117">
        <f>CALCS_DETAILED!F814</f>
        <v>0</v>
      </c>
      <c r="G149" s="118">
        <f>CALCS_DETAILED!G814</f>
        <v>0</v>
      </c>
      <c r="H149" s="118">
        <f>CALCS_DETAILED!H814</f>
        <v>0</v>
      </c>
    </row>
    <row r="150" spans="1:8" s="10" customFormat="1" x14ac:dyDescent="0.2">
      <c r="D150" s="49" t="str">
        <f>CALCS_DETAILED!D834</f>
        <v>Other Direct Costs</v>
      </c>
      <c r="E150" s="117">
        <f>CALCS_DETAILED!E834</f>
        <v>0</v>
      </c>
      <c r="F150" s="117">
        <f>CALCS_DETAILED!F834</f>
        <v>0</v>
      </c>
      <c r="G150" s="118">
        <f>CALCS_DETAILED!G834</f>
        <v>0</v>
      </c>
      <c r="H150" s="118">
        <f>CALCS_DETAILED!H834</f>
        <v>0</v>
      </c>
    </row>
    <row r="151" spans="1:8" s="10" customFormat="1" ht="12.75" thickBot="1" x14ac:dyDescent="0.25">
      <c r="D151" s="95" t="str">
        <f>Lang_Total_Single_Activity_Cost</f>
        <v>Total Single Activity Cost</v>
      </c>
      <c r="E151" s="123">
        <f>SUM(E147:E150)</f>
        <v>0</v>
      </c>
      <c r="F151" s="123">
        <f>SUM(F147:F150)</f>
        <v>0</v>
      </c>
      <c r="G151" s="124">
        <f>SUM(G147:G150)</f>
        <v>0</v>
      </c>
      <c r="H151" s="124">
        <f>SUM(H147:H150)</f>
        <v>0</v>
      </c>
    </row>
    <row r="152" spans="1:8" s="10" customFormat="1" x14ac:dyDescent="0.2"/>
    <row r="153" spans="1:8" s="10" customFormat="1" x14ac:dyDescent="0.2">
      <c r="D153" s="76" t="str">
        <f>Lang_GoTo&amp;" "&amp;HL_TOP_ACTV_10_Personnel_Outputs</f>
        <v>Go to  Sensitisation Activity # 2 (Not in Use) Personnel - Outputs</v>
      </c>
    </row>
    <row r="154" spans="1:8" s="10" customFormat="1" x14ac:dyDescent="0.2">
      <c r="D154" s="76" t="str">
        <f>Lang_GoTo&amp;" "&amp;HL_TOP_ACTV_10_Out_A</f>
        <v>Go to  Sensitisation Activity # 2 (Not in Use) Allowances - Outputs</v>
      </c>
    </row>
    <row r="155" spans="1:8" s="10" customFormat="1" x14ac:dyDescent="0.2">
      <c r="D155" s="76" t="str">
        <f>Lang_GoTo&amp;" "&amp;HL_TOP_ACTV_10_Supplies_and_Materials_Outputs</f>
        <v>Go to  Sensitisation Activity # 2 (Not in Use) Supplies and Materials - Outputs</v>
      </c>
    </row>
    <row r="156" spans="1:8" s="10" customFormat="1" x14ac:dyDescent="0.2">
      <c r="D156" s="76" t="str">
        <f>Lang_GoTo&amp;" "&amp;HL_TOP_ACTV_10_Other_Direct_Costs_Outputs</f>
        <v>Go to  Sensitisation Activity # 2 (Not in Use) Other Direct Costs - Outputs</v>
      </c>
    </row>
    <row r="157" spans="1:8" s="10" customFormat="1" x14ac:dyDescent="0.2"/>
    <row r="158" spans="1:8" s="13" customFormat="1" x14ac:dyDescent="0.2">
      <c r="A158" s="12" t="s">
        <v>125</v>
      </c>
      <c r="B158" s="13" t="str">
        <f>HL_TOP_ACTV_11_Name&amp;" "&amp;Lang_Detailed_Cost_Summary</f>
        <v xml:space="preserve"> Sensitisation Activity # 3 (Not in Use) Detailed Cost Summary</v>
      </c>
    </row>
    <row r="159" spans="1:8" s="10" customFormat="1" x14ac:dyDescent="0.2"/>
    <row r="160" spans="1:8" s="10" customFormat="1" x14ac:dyDescent="0.2">
      <c r="C160" s="105" t="str">
        <f>HL_TOP_ACTV_11_Name&amp;" "&amp;Lang_Detailed_Cost_Summary</f>
        <v xml:space="preserve"> Sensitisation Activity # 3 (Not in Use) Detailed Cost Summary</v>
      </c>
    </row>
    <row r="161" spans="1:8" s="10" customFormat="1" ht="24" x14ac:dyDescent="0.2">
      <c r="D161" s="93" t="str">
        <f>Lang_Cost_Category</f>
        <v>Cost Category</v>
      </c>
      <c r="E161" s="94" t="str">
        <f>SENS_Lu!$D$102&amp;" "&amp;Lang_Cost&amp;" ("&amp;SENS_Lu!$D$83&amp;")"</f>
        <v>Financial Cost (LCU)</v>
      </c>
      <c r="F161" s="94" t="str">
        <f>SENS_Lu!$D$103&amp;" "&amp;Lang_Cost&amp;" ("&amp;SENS_Lu!$D$83&amp;")"</f>
        <v>Economic Cost (LCU)</v>
      </c>
      <c r="G161" s="94" t="str">
        <f>SENS_Lu!$D$102&amp;" "&amp;Lang_Cost&amp;" ("&amp;SENS_Lu!$D$82&amp;")"</f>
        <v>Financial Cost (USD)</v>
      </c>
      <c r="H161" s="94" t="str">
        <f>SENS_Lu!$D$103&amp;" "&amp;Lang_Cost&amp;" ("&amp;SENS_Lu!$D$82&amp;")"</f>
        <v>Economic Cost (USD)</v>
      </c>
    </row>
    <row r="162" spans="1:8" s="10" customFormat="1" x14ac:dyDescent="0.2">
      <c r="D162" s="49" t="str">
        <f>CALCS_DETAILED!D858</f>
        <v>Personnel</v>
      </c>
      <c r="E162" s="117">
        <f>CALCS_DETAILED!E858</f>
        <v>0</v>
      </c>
      <c r="F162" s="117">
        <f>CALCS_DETAILED!F858</f>
        <v>0</v>
      </c>
      <c r="G162" s="118">
        <f>CALCS_DETAILED!G858</f>
        <v>0</v>
      </c>
      <c r="H162" s="118">
        <f>CALCS_DETAILED!H858</f>
        <v>0</v>
      </c>
    </row>
    <row r="163" spans="1:8" s="10" customFormat="1" x14ac:dyDescent="0.2">
      <c r="D163" s="49" t="str">
        <f>CALCS_DETAILED!D878</f>
        <v>Allowances</v>
      </c>
      <c r="E163" s="117">
        <f>CALCS_DETAILED!E878</f>
        <v>0</v>
      </c>
      <c r="F163" s="117">
        <f>CALCS_DETAILED!F878</f>
        <v>0</v>
      </c>
      <c r="G163" s="118">
        <f>CALCS_DETAILED!G878</f>
        <v>0</v>
      </c>
      <c r="H163" s="118">
        <f>CALCS_DETAILED!H878</f>
        <v>0</v>
      </c>
    </row>
    <row r="164" spans="1:8" s="10" customFormat="1" x14ac:dyDescent="0.2">
      <c r="D164" s="49" t="str">
        <f>CALCS_DETAILED!D898</f>
        <v>Supplies and Materials</v>
      </c>
      <c r="E164" s="117">
        <f>CALCS_DETAILED!E898</f>
        <v>0</v>
      </c>
      <c r="F164" s="117">
        <f>CALCS_DETAILED!F898</f>
        <v>0</v>
      </c>
      <c r="G164" s="118">
        <f>CALCS_DETAILED!G898</f>
        <v>0</v>
      </c>
      <c r="H164" s="118">
        <f>CALCS_DETAILED!H898</f>
        <v>0</v>
      </c>
    </row>
    <row r="165" spans="1:8" s="10" customFormat="1" x14ac:dyDescent="0.2">
      <c r="D165" s="49" t="str">
        <f>CALCS_DETAILED!D918</f>
        <v>Other Direct Costs</v>
      </c>
      <c r="E165" s="117">
        <f>CALCS_DETAILED!E918</f>
        <v>0</v>
      </c>
      <c r="F165" s="117">
        <f>CALCS_DETAILED!F918</f>
        <v>0</v>
      </c>
      <c r="G165" s="118">
        <f>CALCS_DETAILED!G918</f>
        <v>0</v>
      </c>
      <c r="H165" s="118">
        <f>CALCS_DETAILED!H918</f>
        <v>0</v>
      </c>
    </row>
    <row r="166" spans="1:8" s="10" customFormat="1" ht="12.75" thickBot="1" x14ac:dyDescent="0.25">
      <c r="D166" s="95" t="str">
        <f>Lang_Total_Single_Activity_Cost</f>
        <v>Total Single Activity Cost</v>
      </c>
      <c r="E166" s="123">
        <f>SUM(E162:E165)</f>
        <v>0</v>
      </c>
      <c r="F166" s="123">
        <f>SUM(F162:F165)</f>
        <v>0</v>
      </c>
      <c r="G166" s="124">
        <f>SUM(G162:G165)</f>
        <v>0</v>
      </c>
      <c r="H166" s="124">
        <f>SUM(H162:H165)</f>
        <v>0</v>
      </c>
    </row>
    <row r="167" spans="1:8" s="10" customFormat="1" x14ac:dyDescent="0.2"/>
    <row r="168" spans="1:8" s="10" customFormat="1" x14ac:dyDescent="0.2">
      <c r="D168" s="76" t="str">
        <f>Lang_GoTo&amp;" "&amp;HL_TOP_ACTV_11_Personnel_Outputs</f>
        <v>Go to  Sensitisation Activity # 3 (Not in Use) Personnel - Outputs</v>
      </c>
    </row>
    <row r="169" spans="1:8" s="10" customFormat="1" x14ac:dyDescent="0.2">
      <c r="D169" s="76" t="str">
        <f>Lang_GoTo&amp;" "&amp;HL_TOP_ACTV_11_Out_A</f>
        <v>Go to  Sensitisation Activity # 3 (Not in Use) Allowances - Outputs</v>
      </c>
    </row>
    <row r="170" spans="1:8" s="10" customFormat="1" x14ac:dyDescent="0.2">
      <c r="D170" s="76" t="str">
        <f>Lang_GoTo&amp;" "&amp;HL_TOP_ACTV_11_Supplies_and_Materials_Outputs</f>
        <v>Go to  Sensitisation Activity # 3 (Not in Use) Supplies and Materials - Outputs</v>
      </c>
    </row>
    <row r="171" spans="1:8" s="10" customFormat="1" x14ac:dyDescent="0.2">
      <c r="D171" s="76" t="str">
        <f>Lang_GoTo&amp;" "&amp;HL_TOP_ACTV_11_Other_Direct_Costs_Outputs</f>
        <v>Go to  Sensitisation Activity # 3 (Not in Use) Other Direct Costs - Outputs</v>
      </c>
    </row>
    <row r="172" spans="1:8" s="10" customFormat="1" x14ac:dyDescent="0.2"/>
    <row r="173" spans="1:8" s="13" customFormat="1" x14ac:dyDescent="0.2">
      <c r="A173" s="12" t="s">
        <v>125</v>
      </c>
      <c r="B173" s="13" t="str">
        <f>HL_LVL2_ACTV_3_Name&amp;" "&amp;Lang_Detailed_Cost_Summary</f>
        <v xml:space="preserve"> Sensitisation Activity # 4 (Not in Use) Detailed Cost Summary</v>
      </c>
    </row>
    <row r="174" spans="1:8" s="10" customFormat="1" x14ac:dyDescent="0.2"/>
    <row r="175" spans="1:8" s="10" customFormat="1" x14ac:dyDescent="0.2">
      <c r="C175" s="65" t="str">
        <f>HL_LVL2_ACTV_3_Name&amp;" "&amp;Lang_Detailed_Cost_Summary</f>
        <v xml:space="preserve"> Sensitisation Activity # 4 (Not in Use) Detailed Cost Summary</v>
      </c>
    </row>
    <row r="176" spans="1:8" s="10" customFormat="1" x14ac:dyDescent="0.2"/>
    <row r="177" spans="1:8" s="10" customFormat="1" ht="24" x14ac:dyDescent="0.2">
      <c r="D177" s="93" t="str">
        <f>Lang_Cost_Category</f>
        <v>Cost Category</v>
      </c>
      <c r="E177" s="94" t="str">
        <f>SENS_Lu!$D$137&amp;" "&amp;Lang_Cost&amp;" ("&amp;SENS_Lu!$D$118&amp;")"</f>
        <v>Financial Cost (LCU)</v>
      </c>
      <c r="F177" s="94" t="str">
        <f>SENS_Lu!$D$138&amp;" "&amp;Lang_Cost&amp;" ("&amp;SENS_Lu!$D$118&amp;")"</f>
        <v>Economic Cost (LCU)</v>
      </c>
      <c r="G177" s="94" t="str">
        <f>SENS_Lu!$D$137&amp;" "&amp;Lang_Cost&amp;" ("&amp;SENS_Lu!$D$117&amp;")"</f>
        <v>Financial Cost (USD)</v>
      </c>
      <c r="H177" s="94" t="str">
        <f>SENS_Lu!$D$138&amp;" "&amp;Lang_Cost&amp;" ("&amp;SENS_Lu!$D$117&amp;")"</f>
        <v>Economic Cost (USD)</v>
      </c>
    </row>
    <row r="178" spans="1:8" s="10" customFormat="1" x14ac:dyDescent="0.2">
      <c r="D178" s="49" t="str">
        <f>CALCS_DETAILED!D942</f>
        <v>Personnel</v>
      </c>
      <c r="E178" s="117">
        <f>CALCS_DETAILED!E942</f>
        <v>0</v>
      </c>
      <c r="F178" s="117">
        <f>CALCS_DETAILED!F942</f>
        <v>0</v>
      </c>
      <c r="G178" s="118">
        <f>CALCS_DETAILED!G942</f>
        <v>0</v>
      </c>
      <c r="H178" s="118">
        <f>CALCS_DETAILED!H942</f>
        <v>0</v>
      </c>
    </row>
    <row r="179" spans="1:8" s="10" customFormat="1" x14ac:dyDescent="0.2">
      <c r="D179" s="49" t="str">
        <f>CALCS_DETAILED!D962</f>
        <v>Allowances</v>
      </c>
      <c r="E179" s="117">
        <f>CALCS_DETAILED!E962</f>
        <v>0</v>
      </c>
      <c r="F179" s="117">
        <f>CALCS_DETAILED!F962</f>
        <v>0</v>
      </c>
      <c r="G179" s="118">
        <f>CALCS_DETAILED!G962</f>
        <v>0</v>
      </c>
      <c r="H179" s="118">
        <f>CALCS_DETAILED!H962</f>
        <v>0</v>
      </c>
    </row>
    <row r="180" spans="1:8" s="10" customFormat="1" x14ac:dyDescent="0.2">
      <c r="D180" s="49" t="str">
        <f>CALCS_DETAILED!D982</f>
        <v>Supplies and Materials</v>
      </c>
      <c r="E180" s="117">
        <f>CALCS_DETAILED!E982</f>
        <v>0</v>
      </c>
      <c r="F180" s="117">
        <f>CALCS_DETAILED!F982</f>
        <v>0</v>
      </c>
      <c r="G180" s="118">
        <f>CALCS_DETAILED!G982</f>
        <v>0</v>
      </c>
      <c r="H180" s="118">
        <f>CALCS_DETAILED!H982</f>
        <v>0</v>
      </c>
    </row>
    <row r="181" spans="1:8" s="10" customFormat="1" x14ac:dyDescent="0.2">
      <c r="D181" s="49" t="str">
        <f>CALCS_DETAILED!D1002</f>
        <v>Other Direct Costs</v>
      </c>
      <c r="E181" s="117">
        <f>CALCS_DETAILED!E1002</f>
        <v>0</v>
      </c>
      <c r="F181" s="117">
        <f>CALCS_DETAILED!F1002</f>
        <v>0</v>
      </c>
      <c r="G181" s="118">
        <f>CALCS_DETAILED!G1002</f>
        <v>0</v>
      </c>
      <c r="H181" s="118">
        <f>CALCS_DETAILED!H1002</f>
        <v>0</v>
      </c>
    </row>
    <row r="182" spans="1:8" s="10" customFormat="1" ht="12.75" thickBot="1" x14ac:dyDescent="0.25">
      <c r="D182" s="95" t="str">
        <f>Lang_Total_Single_Activity_Cost</f>
        <v>Total Single Activity Cost</v>
      </c>
      <c r="E182" s="123">
        <f>SUM(E178:E181)</f>
        <v>0</v>
      </c>
      <c r="F182" s="123">
        <f>SUM(F178:F181)</f>
        <v>0</v>
      </c>
      <c r="G182" s="124">
        <f>SUM(G178:G181)</f>
        <v>0</v>
      </c>
      <c r="H182" s="124">
        <f>SUM(H178:H181)</f>
        <v>0</v>
      </c>
    </row>
    <row r="183" spans="1:8" s="10" customFormat="1" x14ac:dyDescent="0.2"/>
    <row r="184" spans="1:8" s="10" customFormat="1" x14ac:dyDescent="0.2">
      <c r="D184" s="76" t="str">
        <f>Lang_GoTo&amp;" "&amp;HL_LVL2_ACTV_3_Personnel_Outputs</f>
        <v>Go to  Sensitisation Activity # 4 (Not in Use) Personnel - Outputs</v>
      </c>
    </row>
    <row r="185" spans="1:8" s="10" customFormat="1" x14ac:dyDescent="0.2">
      <c r="D185" s="76" t="str">
        <f>Lang_GoTo&amp;" "&amp;HL_LVL2_ACTV_3_Out_A</f>
        <v>Go to  Sensitisation Activity # 4 (Not in Use) Allowances - Outputs</v>
      </c>
    </row>
    <row r="186" spans="1:8" s="10" customFormat="1" x14ac:dyDescent="0.2">
      <c r="D186" s="76" t="str">
        <f>Lang_GoTo&amp;" "&amp;HL_LVL2_ACTV_3_Supplies_and_Materials_Outputs</f>
        <v>Go to  Sensitisation Activity # 4 (Not in Use) Supplies and Materials - Outputs</v>
      </c>
    </row>
    <row r="187" spans="1:8" s="10" customFormat="1" x14ac:dyDescent="0.2">
      <c r="D187" s="76" t="str">
        <f>Lang_GoTo&amp;" "&amp;HL_LVL2_ACTV_3_Other_Direct_Costs_Outputs</f>
        <v>Go to  Sensitisation Activity # 4 (Not in Use) Other Direct Costs - Outputs</v>
      </c>
    </row>
    <row r="188" spans="1:8" s="10" customFormat="1" x14ac:dyDescent="0.2"/>
    <row r="189" spans="1:8" s="13" customFormat="1" x14ac:dyDescent="0.2">
      <c r="A189" s="12" t="s">
        <v>125</v>
      </c>
      <c r="B189" s="13" t="str">
        <f>HL_LVL2_ACTV_18_Name&amp;" "&amp;Lang_Detailed_Cost_Summary</f>
        <v xml:space="preserve"> Sensitisation Activity # 5 (Not in Use) Detailed Cost Summary</v>
      </c>
    </row>
    <row r="190" spans="1:8" s="10" customFormat="1" x14ac:dyDescent="0.2"/>
    <row r="191" spans="1:8" s="10" customFormat="1" x14ac:dyDescent="0.2">
      <c r="C191" s="65" t="str">
        <f>HL_LVL2_ACTV_18_Name&amp;" "&amp;Lang_Detailed_Cost_Summary</f>
        <v xml:space="preserve"> Sensitisation Activity # 5 (Not in Use) Detailed Cost Summary</v>
      </c>
    </row>
    <row r="192" spans="1:8" s="10" customFormat="1" x14ac:dyDescent="0.2"/>
    <row r="193" spans="1:8" s="10" customFormat="1" ht="24" x14ac:dyDescent="0.2">
      <c r="D193" s="93" t="str">
        <f>Lang_Cost_Category</f>
        <v>Cost Category</v>
      </c>
      <c r="E193" s="94" t="str">
        <f>SENS_Lu!$D$172&amp;" "&amp;Lang_Cost&amp;" ("&amp;SENS_Lu!$D$153&amp;")"</f>
        <v>Financial Cost (LCU)</v>
      </c>
      <c r="F193" s="94" t="str">
        <f>SENS_Lu!$D$173&amp;" "&amp;Lang_Cost&amp;" ("&amp;SENS_Lu!$D$153&amp;")"</f>
        <v>Economic Cost (LCU)</v>
      </c>
      <c r="G193" s="94" t="str">
        <f>SENS_Lu!$D$172&amp;" "&amp;Lang_Cost&amp;" ("&amp;SENS_Lu!$D$152&amp;")"</f>
        <v>Financial Cost (USD)</v>
      </c>
      <c r="H193" s="94" t="str">
        <f>SENS_Lu!$D$173&amp;" "&amp;Lang_Cost&amp;" ("&amp;SENS_Lu!$D$152&amp;")"</f>
        <v>Economic Cost (USD)</v>
      </c>
    </row>
    <row r="194" spans="1:8" s="10" customFormat="1" x14ac:dyDescent="0.2">
      <c r="D194" s="49" t="str">
        <f>CALCS_DETAILED!D1026</f>
        <v>Personnel</v>
      </c>
      <c r="E194" s="117">
        <f>CALCS_DETAILED!E1026</f>
        <v>0</v>
      </c>
      <c r="F194" s="117">
        <f>CALCS_DETAILED!F1026</f>
        <v>0</v>
      </c>
      <c r="G194" s="118">
        <f>CALCS_DETAILED!G1026</f>
        <v>0</v>
      </c>
      <c r="H194" s="118">
        <f>CALCS_DETAILED!H1026</f>
        <v>0</v>
      </c>
    </row>
    <row r="195" spans="1:8" s="10" customFormat="1" x14ac:dyDescent="0.2">
      <c r="D195" s="49" t="str">
        <f>CALCS_DETAILED!D1046</f>
        <v>Allowances</v>
      </c>
      <c r="E195" s="117">
        <f>CALCS_DETAILED!E1046</f>
        <v>0</v>
      </c>
      <c r="F195" s="117">
        <f>CALCS_DETAILED!F1046</f>
        <v>0</v>
      </c>
      <c r="G195" s="118">
        <f>CALCS_DETAILED!G1046</f>
        <v>0</v>
      </c>
      <c r="H195" s="118">
        <f>CALCS_DETAILED!H1046</f>
        <v>0</v>
      </c>
    </row>
    <row r="196" spans="1:8" s="10" customFormat="1" x14ac:dyDescent="0.2">
      <c r="D196" s="49" t="str">
        <f>CALCS_DETAILED!D1066</f>
        <v>Supplies and Materials</v>
      </c>
      <c r="E196" s="117">
        <f>CALCS_DETAILED!E1066</f>
        <v>0</v>
      </c>
      <c r="F196" s="117">
        <f>CALCS_DETAILED!F1066</f>
        <v>0</v>
      </c>
      <c r="G196" s="118">
        <f>CALCS_DETAILED!G1066</f>
        <v>0</v>
      </c>
      <c r="H196" s="118">
        <f>CALCS_DETAILED!H1066</f>
        <v>0</v>
      </c>
    </row>
    <row r="197" spans="1:8" s="10" customFormat="1" x14ac:dyDescent="0.2">
      <c r="D197" s="49" t="str">
        <f>CALCS_DETAILED!D1086</f>
        <v>Other Direct Costs</v>
      </c>
      <c r="E197" s="117">
        <f>CALCS_DETAILED!E1086</f>
        <v>0</v>
      </c>
      <c r="F197" s="117">
        <f>CALCS_DETAILED!F1086</f>
        <v>0</v>
      </c>
      <c r="G197" s="118">
        <f>CALCS_DETAILED!G1086</f>
        <v>0</v>
      </c>
      <c r="H197" s="118">
        <f>CALCS_DETAILED!H1086</f>
        <v>0</v>
      </c>
    </row>
    <row r="198" spans="1:8" s="10" customFormat="1" ht="12.75" thickBot="1" x14ac:dyDescent="0.25">
      <c r="D198" s="95" t="str">
        <f>Lang_Total_Single_Activity_Cost</f>
        <v>Total Single Activity Cost</v>
      </c>
      <c r="E198" s="123">
        <f>SUM(E194:E197)</f>
        <v>0</v>
      </c>
      <c r="F198" s="123">
        <f>SUM(F194:F197)</f>
        <v>0</v>
      </c>
      <c r="G198" s="124">
        <f>SUM(G194:G197)</f>
        <v>0</v>
      </c>
      <c r="H198" s="124">
        <f>SUM(H194:H197)</f>
        <v>0</v>
      </c>
    </row>
    <row r="199" spans="1:8" s="10" customFormat="1" x14ac:dyDescent="0.2"/>
    <row r="200" spans="1:8" s="10" customFormat="1" x14ac:dyDescent="0.2">
      <c r="D200" s="76" t="str">
        <f>Lang_GoTo&amp;" "&amp;HL_LVL2_ACTV_18_Personnel_Outputs</f>
        <v>Go to  Sensitisation Activity # 5 (Not in Use) Personnel - Outputs</v>
      </c>
    </row>
    <row r="201" spans="1:8" s="10" customFormat="1" x14ac:dyDescent="0.2">
      <c r="D201" s="76" t="str">
        <f>Lang_GoTo&amp;" "&amp;HL_LVL2_ACTV_18_Out_A</f>
        <v>Go to  Sensitisation Activity # 5 (Not in Use) Allowances - Outputs</v>
      </c>
    </row>
    <row r="202" spans="1:8" s="10" customFormat="1" x14ac:dyDescent="0.2">
      <c r="D202" s="76" t="str">
        <f>Lang_GoTo&amp;" "&amp;HL_LVL2_ACTV_18_Supplies_and_Materials_Outputs</f>
        <v>Go to  Sensitisation Activity # 5 (Not in Use) Supplies and Materials - Outputs</v>
      </c>
    </row>
    <row r="203" spans="1:8" s="10" customFormat="1" x14ac:dyDescent="0.2">
      <c r="D203" s="76" t="str">
        <f>Lang_GoTo&amp;" "&amp;HL_LVL2_ACTV_18_Other_Direct_Costs_Outputs</f>
        <v>Go to  Sensitisation Activity # 5 (Not in Use) Other Direct Costs - Outputs</v>
      </c>
    </row>
    <row r="204" spans="1:8" s="10" customFormat="1" x14ac:dyDescent="0.2"/>
    <row r="205" spans="1:8" s="13" customFormat="1" x14ac:dyDescent="0.2">
      <c r="A205" s="12" t="s">
        <v>125</v>
      </c>
      <c r="B205" s="13" t="str">
        <f>HL_LVL2_ACTV_19_Name&amp;" "&amp;Lang_Detailed_Cost_Summary</f>
        <v xml:space="preserve"> Sensitisation Activity # 6 (Not in Use) Detailed Cost Summary</v>
      </c>
    </row>
    <row r="206" spans="1:8" s="10" customFormat="1" x14ac:dyDescent="0.2"/>
    <row r="207" spans="1:8" s="10" customFormat="1" x14ac:dyDescent="0.2">
      <c r="C207" s="65" t="str">
        <f>HL_LVL2_ACTV_19_Name&amp;" "&amp;Lang_Detailed_Cost_Summary</f>
        <v xml:space="preserve"> Sensitisation Activity # 6 (Not in Use) Detailed Cost Summary</v>
      </c>
    </row>
    <row r="208" spans="1:8" s="10" customFormat="1" x14ac:dyDescent="0.2"/>
    <row r="209" spans="1:8" s="10" customFormat="1" ht="24" x14ac:dyDescent="0.2">
      <c r="D209" s="93" t="str">
        <f>Lang_Cost_Category</f>
        <v>Cost Category</v>
      </c>
      <c r="E209" s="94" t="str">
        <f>SENS_Lu!$D$207&amp;" "&amp;Lang_Cost&amp;" ("&amp;SENS_Lu!$D$188&amp;")"</f>
        <v>Financial Cost (LCU)</v>
      </c>
      <c r="F209" s="94" t="str">
        <f>SENS_Lu!$D$208&amp;" "&amp;Lang_Cost&amp;" ("&amp;SENS_Lu!$D$188&amp;")"</f>
        <v>Economic Cost (LCU)</v>
      </c>
      <c r="G209" s="94" t="str">
        <f>SENS_Lu!$D$207&amp;" "&amp;Lang_Cost&amp;" ("&amp;SENS_Lu!$D$187&amp;")"</f>
        <v>Financial Cost (USD)</v>
      </c>
      <c r="H209" s="94" t="str">
        <f>SENS_Lu!$D$208&amp;" "&amp;Lang_Cost&amp;" ("&amp;SENS_Lu!$D$187&amp;")"</f>
        <v>Economic Cost (USD)</v>
      </c>
    </row>
    <row r="210" spans="1:8" s="10" customFormat="1" x14ac:dyDescent="0.2">
      <c r="D210" s="49" t="str">
        <f>CALCS_DETAILED!D1110</f>
        <v>Personnel</v>
      </c>
      <c r="E210" s="117">
        <f>CALCS_DETAILED!E1110</f>
        <v>0</v>
      </c>
      <c r="F210" s="117">
        <f>CALCS_DETAILED!F1110</f>
        <v>0</v>
      </c>
      <c r="G210" s="118">
        <f>CALCS_DETAILED!G1110</f>
        <v>0</v>
      </c>
      <c r="H210" s="118">
        <f>CALCS_DETAILED!H1110</f>
        <v>0</v>
      </c>
    </row>
    <row r="211" spans="1:8" s="10" customFormat="1" x14ac:dyDescent="0.2">
      <c r="D211" s="49" t="str">
        <f>CALCS_DETAILED!D1130</f>
        <v>Allowances</v>
      </c>
      <c r="E211" s="117">
        <f>CALCS_DETAILED!E1130</f>
        <v>0</v>
      </c>
      <c r="F211" s="117">
        <f>CALCS_DETAILED!F1130</f>
        <v>0</v>
      </c>
      <c r="G211" s="118">
        <f>CALCS_DETAILED!G1130</f>
        <v>0</v>
      </c>
      <c r="H211" s="118">
        <f>CALCS_DETAILED!H1130</f>
        <v>0</v>
      </c>
    </row>
    <row r="212" spans="1:8" s="10" customFormat="1" x14ac:dyDescent="0.2">
      <c r="D212" s="49" t="str">
        <f>CALCS_DETAILED!D1150</f>
        <v>Supplies and Materials</v>
      </c>
      <c r="E212" s="117">
        <f>CALCS_DETAILED!E1150</f>
        <v>0</v>
      </c>
      <c r="F212" s="117">
        <f>CALCS_DETAILED!F1150</f>
        <v>0</v>
      </c>
      <c r="G212" s="118">
        <f>CALCS_DETAILED!G1150</f>
        <v>0</v>
      </c>
      <c r="H212" s="118">
        <f>CALCS_DETAILED!H1150</f>
        <v>0</v>
      </c>
    </row>
    <row r="213" spans="1:8" s="10" customFormat="1" x14ac:dyDescent="0.2">
      <c r="D213" s="49" t="str">
        <f>CALCS_DETAILED!D1170</f>
        <v>Other Direct Costs</v>
      </c>
      <c r="E213" s="117">
        <f>CALCS_DETAILED!E1170</f>
        <v>0</v>
      </c>
      <c r="F213" s="117">
        <f>CALCS_DETAILED!F1170</f>
        <v>0</v>
      </c>
      <c r="G213" s="118">
        <f>CALCS_DETAILED!G1170</f>
        <v>0</v>
      </c>
      <c r="H213" s="118">
        <f>CALCS_DETAILED!H1170</f>
        <v>0</v>
      </c>
    </row>
    <row r="214" spans="1:8" s="10" customFormat="1" ht="12.75" thickBot="1" x14ac:dyDescent="0.25">
      <c r="D214" s="95" t="str">
        <f>Lang_Total_Single_Activity_Cost</f>
        <v>Total Single Activity Cost</v>
      </c>
      <c r="E214" s="123">
        <f>SUM(E210:E213)</f>
        <v>0</v>
      </c>
      <c r="F214" s="123">
        <f>SUM(F210:F213)</f>
        <v>0</v>
      </c>
      <c r="G214" s="124">
        <f>SUM(G210:G213)</f>
        <v>0</v>
      </c>
      <c r="H214" s="124">
        <f>SUM(H210:H213)</f>
        <v>0</v>
      </c>
    </row>
    <row r="215" spans="1:8" s="10" customFormat="1" x14ac:dyDescent="0.2"/>
    <row r="216" spans="1:8" s="10" customFormat="1" x14ac:dyDescent="0.2">
      <c r="D216" s="76" t="str">
        <f>Lang_GoTo&amp;" "&amp;HL_LVL2_ACTV_19_Personnel_Outputs</f>
        <v>Go to  Sensitisation Activity # 6 (Not in Use) Personnel - Outputs</v>
      </c>
    </row>
    <row r="217" spans="1:8" s="10" customFormat="1" x14ac:dyDescent="0.2">
      <c r="D217" s="76" t="str">
        <f>Lang_GoTo&amp;" "&amp;HL_LVL2_ACTV_19_Out_A</f>
        <v>Go to  Sensitisation Activity # 6 (Not in Use) Allowances - Outputs</v>
      </c>
    </row>
    <row r="218" spans="1:8" s="10" customFormat="1" x14ac:dyDescent="0.2">
      <c r="D218" s="76" t="str">
        <f>Lang_GoTo&amp;" "&amp;HL_LVL2_ACTV_19_Supplies_and_Materials_Outputs</f>
        <v>Go to  Sensitisation Activity # 6 (Not in Use) Supplies and Materials - Outputs</v>
      </c>
    </row>
    <row r="219" spans="1:8" s="10" customFormat="1" x14ac:dyDescent="0.2">
      <c r="D219" s="76" t="str">
        <f>Lang_GoTo&amp;" "&amp;HL_LVL2_ACTV_19_Other_Direct_Costs_Outputs</f>
        <v>Go to  Sensitisation Activity # 6 (Not in Use) Other Direct Costs - Outputs</v>
      </c>
    </row>
    <row r="220" spans="1:8" s="10" customFormat="1" x14ac:dyDescent="0.2"/>
    <row r="221" spans="1:8" s="13" customFormat="1" x14ac:dyDescent="0.2">
      <c r="A221" s="12" t="s">
        <v>125</v>
      </c>
      <c r="B221" s="13" t="str">
        <f>HL_TOP_ACTV_4_Name&amp;" "&amp;Lang_Detailed_Cost_Summary</f>
        <v>IEC Soc Mob  Activity # 1 (Not in Use) Detailed Cost Summary</v>
      </c>
    </row>
    <row r="222" spans="1:8" s="10" customFormat="1" x14ac:dyDescent="0.2"/>
    <row r="223" spans="1:8" s="10" customFormat="1" x14ac:dyDescent="0.2">
      <c r="C223" s="105" t="str">
        <f>HL_TOP_ACTV_4_Name&amp;" "&amp;Lang_Detailed_Cost_Summary</f>
        <v>IEC Soc Mob  Activity # 1 (Not in Use) Detailed Cost Summary</v>
      </c>
    </row>
    <row r="224" spans="1:8" s="10" customFormat="1" ht="24" x14ac:dyDescent="0.2">
      <c r="D224" s="93" t="str">
        <f>Lang_Cost_Category</f>
        <v>Cost Category</v>
      </c>
      <c r="E224" s="94" t="str">
        <f>SOCMOB_Lu!$D$32&amp;" "&amp;Lang_Cost&amp;" ("&amp;SOCMOB_Lu!$D$13&amp;")"</f>
        <v>Financial Cost (LCU)</v>
      </c>
      <c r="F224" s="94" t="str">
        <f>SOCMOB_Lu!$D$33&amp;" "&amp;Lang_Cost&amp;" ("&amp;SOCMOB_Lu!$D$13&amp;")"</f>
        <v>Economic Cost (LCU)</v>
      </c>
      <c r="G224" s="94" t="str">
        <f>SOCMOB_Lu!$D$32&amp;" "&amp;Lang_Cost&amp;" ("&amp;SOCMOB_Lu!$D$12&amp;")"</f>
        <v>Financial Cost (USD)</v>
      </c>
      <c r="H224" s="94" t="str">
        <f>SOCMOB_Lu!$D$33&amp;" "&amp;Lang_Cost&amp;" ("&amp;SOCMOB_Lu!$D$12&amp;")"</f>
        <v>Economic Cost (USD)</v>
      </c>
    </row>
    <row r="225" spans="1:8" s="10" customFormat="1" x14ac:dyDescent="0.2">
      <c r="D225" s="49" t="str">
        <f>CALCS_DETAILED!D1194</f>
        <v>Personnel</v>
      </c>
      <c r="E225" s="117">
        <f>CALCS_DETAILED!E1194</f>
        <v>0</v>
      </c>
      <c r="F225" s="117">
        <f>CALCS_DETAILED!F1194</f>
        <v>0</v>
      </c>
      <c r="G225" s="118">
        <f>CALCS_DETAILED!G1194</f>
        <v>0</v>
      </c>
      <c r="H225" s="118">
        <f>CALCS_DETAILED!H1194</f>
        <v>0</v>
      </c>
    </row>
    <row r="226" spans="1:8" s="10" customFormat="1" x14ac:dyDescent="0.2">
      <c r="D226" s="49" t="str">
        <f>CALCS_DETAILED!D1214</f>
        <v>Allowances</v>
      </c>
      <c r="E226" s="117">
        <f>CALCS_DETAILED!E1214</f>
        <v>0</v>
      </c>
      <c r="F226" s="117">
        <f>CALCS_DETAILED!F1214</f>
        <v>0</v>
      </c>
      <c r="G226" s="118">
        <f>CALCS_DETAILED!G1214</f>
        <v>0</v>
      </c>
      <c r="H226" s="118">
        <f>CALCS_DETAILED!H1214</f>
        <v>0</v>
      </c>
    </row>
    <row r="227" spans="1:8" s="10" customFormat="1" x14ac:dyDescent="0.2">
      <c r="D227" s="49" t="str">
        <f>CALCS_DETAILED!D1234</f>
        <v>Supplies and Materials</v>
      </c>
      <c r="E227" s="117">
        <f>CALCS_DETAILED!E1234</f>
        <v>0</v>
      </c>
      <c r="F227" s="117">
        <f>CALCS_DETAILED!F1234</f>
        <v>0</v>
      </c>
      <c r="G227" s="118">
        <f>CALCS_DETAILED!G1234</f>
        <v>0</v>
      </c>
      <c r="H227" s="118">
        <f>CALCS_DETAILED!H1234</f>
        <v>0</v>
      </c>
    </row>
    <row r="228" spans="1:8" s="10" customFormat="1" x14ac:dyDescent="0.2">
      <c r="D228" s="49" t="str">
        <f>CALCS_DETAILED!D1254</f>
        <v>Other Direct Costs</v>
      </c>
      <c r="E228" s="117">
        <f>CALCS_DETAILED!E1254</f>
        <v>0</v>
      </c>
      <c r="F228" s="117">
        <f>CALCS_DETAILED!F1254</f>
        <v>0</v>
      </c>
      <c r="G228" s="118">
        <f>CALCS_DETAILED!G1254</f>
        <v>0</v>
      </c>
      <c r="H228" s="118">
        <f>CALCS_DETAILED!H1254</f>
        <v>0</v>
      </c>
    </row>
    <row r="229" spans="1:8" s="10" customFormat="1" ht="12.75" thickBot="1" x14ac:dyDescent="0.25">
      <c r="D229" s="95" t="str">
        <f>Lang_Total_Single_Activity_Cost</f>
        <v>Total Single Activity Cost</v>
      </c>
      <c r="E229" s="123">
        <f>SUM(E225:E228)</f>
        <v>0</v>
      </c>
      <c r="F229" s="123">
        <f>SUM(F225:F228)</f>
        <v>0</v>
      </c>
      <c r="G229" s="124">
        <f>SUM(G225:G228)</f>
        <v>0</v>
      </c>
      <c r="H229" s="124">
        <f>SUM(H225:H228)</f>
        <v>0</v>
      </c>
    </row>
    <row r="230" spans="1:8" s="10" customFormat="1" x14ac:dyDescent="0.2"/>
    <row r="231" spans="1:8" s="10" customFormat="1" x14ac:dyDescent="0.2">
      <c r="D231" s="76" t="str">
        <f>Lang_GoTo&amp;" "&amp;HL_TOP_ACTV_4_Personnel_Outputs</f>
        <v>Go to IEC Soc Mob  Activity # 1 (Not in Use) Personnel - Outputs</v>
      </c>
    </row>
    <row r="232" spans="1:8" s="10" customFormat="1" x14ac:dyDescent="0.2">
      <c r="D232" s="76" t="str">
        <f>Lang_GoTo&amp;" "&amp;HL_TOP_ACTV_4_Out_A</f>
        <v>Go to IEC Soc Mob  Activity # 1 (Not in Use) Allowances - Outputs</v>
      </c>
    </row>
    <row r="233" spans="1:8" s="10" customFormat="1" x14ac:dyDescent="0.2">
      <c r="D233" s="76" t="str">
        <f>Lang_GoTo&amp;" "&amp;HL_TOP_ACTV_4_Supplies_and_Materials_Outputs</f>
        <v>Go to IEC Soc Mob  Activity # 1 (Not in Use) Supplies and Materials - Outputs</v>
      </c>
    </row>
    <row r="234" spans="1:8" s="10" customFormat="1" x14ac:dyDescent="0.2">
      <c r="D234" s="76" t="str">
        <f>Lang_GoTo&amp;" "&amp;HL_TOP_ACTV_4_Other_Direct_Costs_Outputs</f>
        <v>Go to IEC Soc Mob  Activity # 1 (Not in Use) Other Direct Costs - Outputs</v>
      </c>
    </row>
    <row r="235" spans="1:8" s="10" customFormat="1" x14ac:dyDescent="0.2"/>
    <row r="236" spans="1:8" s="13" customFormat="1" x14ac:dyDescent="0.2">
      <c r="A236" s="12" t="s">
        <v>125</v>
      </c>
      <c r="B236" s="13" t="str">
        <f>HL_TOP_ACTV_15_Name&amp;" "&amp;Lang_Detailed_Cost_Summary</f>
        <v>IEC Soc Mob  Activity # 2 (Not in Use) Detailed Cost Summary</v>
      </c>
    </row>
    <row r="237" spans="1:8" s="10" customFormat="1" x14ac:dyDescent="0.2"/>
    <row r="238" spans="1:8" s="10" customFormat="1" x14ac:dyDescent="0.2">
      <c r="C238" s="105" t="str">
        <f>HL_TOP_ACTV_15_Name&amp;" "&amp;Lang_Detailed_Cost_Summary</f>
        <v>IEC Soc Mob  Activity # 2 (Not in Use) Detailed Cost Summary</v>
      </c>
    </row>
    <row r="239" spans="1:8" s="10" customFormat="1" ht="24" x14ac:dyDescent="0.2">
      <c r="D239" s="93" t="str">
        <f>Lang_Cost_Category</f>
        <v>Cost Category</v>
      </c>
      <c r="E239" s="94" t="str">
        <f>SOCMOB_Lu!$D$67&amp;" "&amp;Lang_Cost&amp;" ("&amp;SOCMOB_Lu!$D$48&amp;")"</f>
        <v>Financial Cost (LCU)</v>
      </c>
      <c r="F239" s="94" t="str">
        <f>SOCMOB_Lu!$D$68&amp;" "&amp;Lang_Cost&amp;" ("&amp;SOCMOB_Lu!$D$48&amp;")"</f>
        <v>Economic Cost (LCU)</v>
      </c>
      <c r="G239" s="94" t="str">
        <f>SOCMOB_Lu!$D$67&amp;" "&amp;Lang_Cost&amp;" ("&amp;SOCMOB_Lu!$D$47&amp;")"</f>
        <v>Financial Cost (USD)</v>
      </c>
      <c r="H239" s="94" t="str">
        <f>SOCMOB_Lu!$D$68&amp;" "&amp;Lang_Cost&amp;" ("&amp;SOCMOB_Lu!$D$47&amp;")"</f>
        <v>Economic Cost (USD)</v>
      </c>
    </row>
    <row r="240" spans="1:8" s="10" customFormat="1" x14ac:dyDescent="0.2">
      <c r="D240" s="49" t="str">
        <f>CALCS_DETAILED!D1278</f>
        <v>Personnel</v>
      </c>
      <c r="E240" s="117">
        <f>CALCS_DETAILED!E1278</f>
        <v>0</v>
      </c>
      <c r="F240" s="117">
        <f>CALCS_DETAILED!F1278</f>
        <v>0</v>
      </c>
      <c r="G240" s="118">
        <f>CALCS_DETAILED!G1278</f>
        <v>0</v>
      </c>
      <c r="H240" s="118">
        <f>CALCS_DETAILED!H1278</f>
        <v>0</v>
      </c>
    </row>
    <row r="241" spans="1:8" s="10" customFormat="1" x14ac:dyDescent="0.2">
      <c r="D241" s="49" t="str">
        <f>CALCS_DETAILED!D1298</f>
        <v>Allowances</v>
      </c>
      <c r="E241" s="117">
        <f>CALCS_DETAILED!E1298</f>
        <v>0</v>
      </c>
      <c r="F241" s="117">
        <f>CALCS_DETAILED!F1298</f>
        <v>0</v>
      </c>
      <c r="G241" s="118">
        <f>CALCS_DETAILED!G1298</f>
        <v>0</v>
      </c>
      <c r="H241" s="118">
        <f>CALCS_DETAILED!H1298</f>
        <v>0</v>
      </c>
    </row>
    <row r="242" spans="1:8" s="10" customFormat="1" x14ac:dyDescent="0.2">
      <c r="D242" s="49" t="str">
        <f>CALCS_DETAILED!D1318</f>
        <v>Supplies and Materials</v>
      </c>
      <c r="E242" s="117">
        <f>CALCS_DETAILED!E1318</f>
        <v>0</v>
      </c>
      <c r="F242" s="117">
        <f>CALCS_DETAILED!F1318</f>
        <v>0</v>
      </c>
      <c r="G242" s="118">
        <f>CALCS_DETAILED!G1318</f>
        <v>0</v>
      </c>
      <c r="H242" s="118">
        <f>CALCS_DETAILED!H1318</f>
        <v>0</v>
      </c>
    </row>
    <row r="243" spans="1:8" s="10" customFormat="1" x14ac:dyDescent="0.2">
      <c r="D243" s="49" t="str">
        <f>CALCS_DETAILED!D1338</f>
        <v>Other Direct Costs</v>
      </c>
      <c r="E243" s="117">
        <f>CALCS_DETAILED!E1338</f>
        <v>0</v>
      </c>
      <c r="F243" s="117">
        <f>CALCS_DETAILED!F1338</f>
        <v>0</v>
      </c>
      <c r="G243" s="118">
        <f>CALCS_DETAILED!G1338</f>
        <v>0</v>
      </c>
      <c r="H243" s="118">
        <f>CALCS_DETAILED!H1338</f>
        <v>0</v>
      </c>
    </row>
    <row r="244" spans="1:8" s="10" customFormat="1" ht="12.75" thickBot="1" x14ac:dyDescent="0.25">
      <c r="D244" s="95" t="str">
        <f>Lang_Total_Single_Activity_Cost</f>
        <v>Total Single Activity Cost</v>
      </c>
      <c r="E244" s="123">
        <f>SUM(E240:E243)</f>
        <v>0</v>
      </c>
      <c r="F244" s="123">
        <f>SUM(F240:F243)</f>
        <v>0</v>
      </c>
      <c r="G244" s="124">
        <f>SUM(G240:G243)</f>
        <v>0</v>
      </c>
      <c r="H244" s="124">
        <f>SUM(H240:H243)</f>
        <v>0</v>
      </c>
    </row>
    <row r="245" spans="1:8" s="10" customFormat="1" x14ac:dyDescent="0.2"/>
    <row r="246" spans="1:8" s="10" customFormat="1" x14ac:dyDescent="0.2">
      <c r="D246" s="76" t="str">
        <f>Lang_GoTo&amp;" "&amp;HL_TOP_ACTV_15_Personnel_Outputs</f>
        <v>Go to IEC Soc Mob  Activity # 2 (Not in Use) Personnel - Outputs</v>
      </c>
    </row>
    <row r="247" spans="1:8" s="10" customFormat="1" x14ac:dyDescent="0.2">
      <c r="D247" s="76" t="str">
        <f>Lang_GoTo&amp;" "&amp;HL_TOP_ACTV_15_Out_A</f>
        <v>Go to IEC Soc Mob  Activity # 2 (Not in Use) Allowances - Outputs</v>
      </c>
    </row>
    <row r="248" spans="1:8" s="10" customFormat="1" x14ac:dyDescent="0.2">
      <c r="D248" s="76" t="str">
        <f>Lang_GoTo&amp;" "&amp;HL_TOP_ACTV_15_Supplies_and_Materials_Outputs</f>
        <v>Go to IEC Soc Mob  Activity # 2 (Not in Use) Supplies and Materials - Outputs</v>
      </c>
    </row>
    <row r="249" spans="1:8" s="10" customFormat="1" x14ac:dyDescent="0.2">
      <c r="D249" s="76" t="str">
        <f>Lang_GoTo&amp;" "&amp;HL_TOP_ACTV_15_Other_Direct_Costs_Outputs</f>
        <v>Go to IEC Soc Mob  Activity # 2 (Not in Use) Other Direct Costs - Outputs</v>
      </c>
    </row>
    <row r="250" spans="1:8" s="10" customFormat="1" x14ac:dyDescent="0.2"/>
    <row r="251" spans="1:8" s="13" customFormat="1" x14ac:dyDescent="0.2">
      <c r="A251" s="12" t="s">
        <v>125</v>
      </c>
      <c r="B251" s="13" t="str">
        <f>HL_TOP_ACTV_16_Name&amp;" "&amp;Lang_Detailed_Cost_Summary</f>
        <v>IEC Soc Mob  Activity # 3 (Not in Use) Detailed Cost Summary</v>
      </c>
    </row>
    <row r="252" spans="1:8" s="10" customFormat="1" x14ac:dyDescent="0.2"/>
    <row r="253" spans="1:8" s="10" customFormat="1" x14ac:dyDescent="0.2">
      <c r="C253" s="105" t="str">
        <f>HL_TOP_ACTV_16_Name&amp;" "&amp;Lang_Detailed_Cost_Summary</f>
        <v>IEC Soc Mob  Activity # 3 (Not in Use) Detailed Cost Summary</v>
      </c>
    </row>
    <row r="254" spans="1:8" s="10" customFormat="1" ht="24" x14ac:dyDescent="0.2">
      <c r="D254" s="93" t="str">
        <f>Lang_Cost_Category</f>
        <v>Cost Category</v>
      </c>
      <c r="E254" s="94" t="str">
        <f>SOCMOB_Lu!$D$102&amp;" "&amp;Lang_Cost&amp;" ("&amp;SOCMOB_Lu!$D$83&amp;")"</f>
        <v>Financial Cost (LCU)</v>
      </c>
      <c r="F254" s="94" t="str">
        <f>SOCMOB_Lu!$D$103&amp;" "&amp;Lang_Cost&amp;" ("&amp;SOCMOB_Lu!$D$83&amp;")"</f>
        <v>Economic Cost (LCU)</v>
      </c>
      <c r="G254" s="94" t="str">
        <f>SOCMOB_Lu!$D$102&amp;" "&amp;Lang_Cost&amp;" ("&amp;SOCMOB_Lu!$D$82&amp;")"</f>
        <v>Financial Cost (USD)</v>
      </c>
      <c r="H254" s="94" t="str">
        <f>SOCMOB_Lu!$D$103&amp;" "&amp;Lang_Cost&amp;" ("&amp;SOCMOB_Lu!$D$82&amp;")"</f>
        <v>Economic Cost (USD)</v>
      </c>
    </row>
    <row r="255" spans="1:8" s="10" customFormat="1" x14ac:dyDescent="0.2">
      <c r="D255" s="49" t="str">
        <f>CALCS_DETAILED!D1362</f>
        <v>Personnel</v>
      </c>
      <c r="E255" s="117">
        <f>CALCS_DETAILED!E1362</f>
        <v>0</v>
      </c>
      <c r="F255" s="117">
        <f>CALCS_DETAILED!F1362</f>
        <v>0</v>
      </c>
      <c r="G255" s="118">
        <f>CALCS_DETAILED!G1362</f>
        <v>0</v>
      </c>
      <c r="H255" s="118">
        <f>CALCS_DETAILED!H1362</f>
        <v>0</v>
      </c>
    </row>
    <row r="256" spans="1:8" s="10" customFormat="1" x14ac:dyDescent="0.2">
      <c r="D256" s="49" t="str">
        <f>CALCS_DETAILED!D1382</f>
        <v>Allowances</v>
      </c>
      <c r="E256" s="117">
        <f>CALCS_DETAILED!E1382</f>
        <v>0</v>
      </c>
      <c r="F256" s="117">
        <f>CALCS_DETAILED!F1382</f>
        <v>0</v>
      </c>
      <c r="G256" s="118">
        <f>CALCS_DETAILED!G1382</f>
        <v>0</v>
      </c>
      <c r="H256" s="118">
        <f>CALCS_DETAILED!H1382</f>
        <v>0</v>
      </c>
    </row>
    <row r="257" spans="1:8" s="10" customFormat="1" x14ac:dyDescent="0.2">
      <c r="D257" s="49" t="str">
        <f>CALCS_DETAILED!D1402</f>
        <v>Supplies and Materials</v>
      </c>
      <c r="E257" s="117">
        <f>CALCS_DETAILED!E1402</f>
        <v>0</v>
      </c>
      <c r="F257" s="117">
        <f>CALCS_DETAILED!F1402</f>
        <v>0</v>
      </c>
      <c r="G257" s="118">
        <f>CALCS_DETAILED!G1402</f>
        <v>0</v>
      </c>
      <c r="H257" s="118">
        <f>CALCS_DETAILED!H1402</f>
        <v>0</v>
      </c>
    </row>
    <row r="258" spans="1:8" s="10" customFormat="1" x14ac:dyDescent="0.2">
      <c r="D258" s="49" t="str">
        <f>CALCS_DETAILED!D1422</f>
        <v>Other Direct Costs</v>
      </c>
      <c r="E258" s="117">
        <f>CALCS_DETAILED!E1422</f>
        <v>0</v>
      </c>
      <c r="F258" s="117">
        <f>CALCS_DETAILED!F1422</f>
        <v>0</v>
      </c>
      <c r="G258" s="118">
        <f>CALCS_DETAILED!G1422</f>
        <v>0</v>
      </c>
      <c r="H258" s="118">
        <f>CALCS_DETAILED!H1422</f>
        <v>0</v>
      </c>
    </row>
    <row r="259" spans="1:8" s="10" customFormat="1" ht="12.75" thickBot="1" x14ac:dyDescent="0.25">
      <c r="D259" s="95" t="str">
        <f>Lang_Total_Single_Activity_Cost</f>
        <v>Total Single Activity Cost</v>
      </c>
      <c r="E259" s="123">
        <f>SUM(E255:E258)</f>
        <v>0</v>
      </c>
      <c r="F259" s="123">
        <f>SUM(F255:F258)</f>
        <v>0</v>
      </c>
      <c r="G259" s="124">
        <f>SUM(G255:G258)</f>
        <v>0</v>
      </c>
      <c r="H259" s="124">
        <f>SUM(H255:H258)</f>
        <v>0</v>
      </c>
    </row>
    <row r="260" spans="1:8" s="10" customFormat="1" x14ac:dyDescent="0.2"/>
    <row r="261" spans="1:8" s="10" customFormat="1" x14ac:dyDescent="0.2">
      <c r="D261" s="76" t="str">
        <f>Lang_GoTo&amp;" "&amp;HL_TOP_ACTV_16_Personnel_Outputs</f>
        <v>Go to IEC Soc Mob  Activity # 3 (Not in Use) Personnel - Outputs</v>
      </c>
    </row>
    <row r="262" spans="1:8" s="10" customFormat="1" x14ac:dyDescent="0.2">
      <c r="D262" s="76" t="str">
        <f>Lang_GoTo&amp;" "&amp;HL_TOP_ACTV_16_Out_A</f>
        <v>Go to IEC Soc Mob  Activity # 3 (Not in Use) Allowances - Outputs</v>
      </c>
    </row>
    <row r="263" spans="1:8" s="10" customFormat="1" x14ac:dyDescent="0.2">
      <c r="D263" s="76" t="str">
        <f>Lang_GoTo&amp;" "&amp;HL_TOP_ACTV_16_Supplies_and_Materials_Outputs</f>
        <v>Go to IEC Soc Mob  Activity # 3 (Not in Use) Supplies and Materials - Outputs</v>
      </c>
    </row>
    <row r="264" spans="1:8" s="10" customFormat="1" x14ac:dyDescent="0.2">
      <c r="D264" s="76" t="str">
        <f>Lang_GoTo&amp;" "&amp;HL_TOP_ACTV_16_Other_Direct_Costs_Outputs</f>
        <v>Go to IEC Soc Mob  Activity # 3 (Not in Use) Other Direct Costs - Outputs</v>
      </c>
    </row>
    <row r="265" spans="1:8" s="10" customFormat="1" x14ac:dyDescent="0.2"/>
    <row r="266" spans="1:8" s="13" customFormat="1" x14ac:dyDescent="0.2">
      <c r="A266" s="12" t="s">
        <v>125</v>
      </c>
      <c r="B266" s="13" t="str">
        <f>HL_LVL2_ACTV_4_Name&amp;" "&amp;Lang_Detailed_Cost_Summary</f>
        <v>IEC Soc Mob  Activity # 4  (Not in Use) Detailed Cost Summary</v>
      </c>
    </row>
    <row r="267" spans="1:8" s="10" customFormat="1" x14ac:dyDescent="0.2"/>
    <row r="268" spans="1:8" s="10" customFormat="1" x14ac:dyDescent="0.2">
      <c r="C268" s="65" t="str">
        <f>HL_LVL2_ACTV_4_Name&amp;" "&amp;Lang_Detailed_Cost_Summary</f>
        <v>IEC Soc Mob  Activity # 4  (Not in Use) Detailed Cost Summary</v>
      </c>
    </row>
    <row r="269" spans="1:8" s="10" customFormat="1" x14ac:dyDescent="0.2"/>
    <row r="270" spans="1:8" s="10" customFormat="1" ht="24" x14ac:dyDescent="0.2">
      <c r="D270" s="93" t="str">
        <f>Lang_Cost_Category</f>
        <v>Cost Category</v>
      </c>
      <c r="E270" s="94" t="str">
        <f>SOCMOB_Lu!$D$137&amp;" "&amp;Lang_Cost&amp;" ("&amp;SOCMOB_Lu!$D$118&amp;")"</f>
        <v>Financial Cost (LCU)</v>
      </c>
      <c r="F270" s="94" t="str">
        <f>SOCMOB_Lu!$D$138&amp;" "&amp;Lang_Cost&amp;" ("&amp;SOCMOB_Lu!$D$118&amp;")"</f>
        <v>Economic Cost (LCU)</v>
      </c>
      <c r="G270" s="94" t="str">
        <f>SOCMOB_Lu!$D$137&amp;" "&amp;Lang_Cost&amp;" ("&amp;SOCMOB_Lu!$D$117&amp;")"</f>
        <v>Financial Cost (USD)</v>
      </c>
      <c r="H270" s="94" t="str">
        <f>SOCMOB_Lu!$D$138&amp;" "&amp;Lang_Cost&amp;" ("&amp;SOCMOB_Lu!$D$117&amp;")"</f>
        <v>Economic Cost (USD)</v>
      </c>
    </row>
    <row r="271" spans="1:8" s="10" customFormat="1" x14ac:dyDescent="0.2">
      <c r="D271" s="49" t="str">
        <f>CALCS_DETAILED!D1446</f>
        <v>Personnel</v>
      </c>
      <c r="E271" s="117">
        <f>CALCS_DETAILED!E1446</f>
        <v>0</v>
      </c>
      <c r="F271" s="117">
        <f>CALCS_DETAILED!F1446</f>
        <v>0</v>
      </c>
      <c r="G271" s="118">
        <f>CALCS_DETAILED!G1446</f>
        <v>0</v>
      </c>
      <c r="H271" s="118">
        <f>CALCS_DETAILED!H1446</f>
        <v>0</v>
      </c>
    </row>
    <row r="272" spans="1:8" s="10" customFormat="1" x14ac:dyDescent="0.2">
      <c r="D272" s="49" t="str">
        <f>CALCS_DETAILED!D1466</f>
        <v>Allowances</v>
      </c>
      <c r="E272" s="117">
        <f>CALCS_DETAILED!E1466</f>
        <v>0</v>
      </c>
      <c r="F272" s="117">
        <f>CALCS_DETAILED!F1466</f>
        <v>0</v>
      </c>
      <c r="G272" s="118">
        <f>CALCS_DETAILED!G1466</f>
        <v>0</v>
      </c>
      <c r="H272" s="118">
        <f>CALCS_DETAILED!H1466</f>
        <v>0</v>
      </c>
    </row>
    <row r="273" spans="1:8" s="10" customFormat="1" x14ac:dyDescent="0.2">
      <c r="D273" s="49" t="str">
        <f>CALCS_DETAILED!D1486</f>
        <v>Supplies and Materials</v>
      </c>
      <c r="E273" s="117">
        <f>CALCS_DETAILED!E1486</f>
        <v>0</v>
      </c>
      <c r="F273" s="117">
        <f>CALCS_DETAILED!F1486</f>
        <v>0</v>
      </c>
      <c r="G273" s="118">
        <f>CALCS_DETAILED!G1486</f>
        <v>0</v>
      </c>
      <c r="H273" s="118">
        <f>CALCS_DETAILED!H1486</f>
        <v>0</v>
      </c>
    </row>
    <row r="274" spans="1:8" s="10" customFormat="1" x14ac:dyDescent="0.2">
      <c r="D274" s="49" t="str">
        <f>CALCS_DETAILED!D1506</f>
        <v>Other Direct Costs</v>
      </c>
      <c r="E274" s="117">
        <f>CALCS_DETAILED!E1506</f>
        <v>0</v>
      </c>
      <c r="F274" s="117">
        <f>CALCS_DETAILED!F1506</f>
        <v>0</v>
      </c>
      <c r="G274" s="118">
        <f>CALCS_DETAILED!G1506</f>
        <v>0</v>
      </c>
      <c r="H274" s="118">
        <f>CALCS_DETAILED!H1506</f>
        <v>0</v>
      </c>
    </row>
    <row r="275" spans="1:8" s="10" customFormat="1" ht="12.75" thickBot="1" x14ac:dyDescent="0.25">
      <c r="D275" s="95" t="str">
        <f>Lang_Total_Single_Activity_Cost</f>
        <v>Total Single Activity Cost</v>
      </c>
      <c r="E275" s="123">
        <f>SUM(E271:E274)</f>
        <v>0</v>
      </c>
      <c r="F275" s="123">
        <f>SUM(F271:F274)</f>
        <v>0</v>
      </c>
      <c r="G275" s="124">
        <f>SUM(G271:G274)</f>
        <v>0</v>
      </c>
      <c r="H275" s="124">
        <f>SUM(H271:H274)</f>
        <v>0</v>
      </c>
    </row>
    <row r="276" spans="1:8" s="10" customFormat="1" x14ac:dyDescent="0.2"/>
    <row r="277" spans="1:8" s="10" customFormat="1" x14ac:dyDescent="0.2">
      <c r="D277" s="76" t="str">
        <f>Lang_GoTo&amp;" "&amp;HL_LVL2_ACTV_4_Personnel_Outputs</f>
        <v>Go to IEC Soc Mob  Activity # 4  (Not in Use) Personnel - Outputs</v>
      </c>
    </row>
    <row r="278" spans="1:8" s="10" customFormat="1" x14ac:dyDescent="0.2">
      <c r="D278" s="76" t="str">
        <f>Lang_GoTo&amp;" "&amp;HL_LVL2_ACTV_4_Out_A</f>
        <v>Go to IEC Soc Mob  Activity # 4  (Not in Use) Allowances - Outputs</v>
      </c>
    </row>
    <row r="279" spans="1:8" s="10" customFormat="1" x14ac:dyDescent="0.2">
      <c r="D279" s="76" t="str">
        <f>Lang_GoTo&amp;" "&amp;HL_LVL2_ACTV_4_Supplies_and_Materials_Outputs</f>
        <v>Go to IEC Soc Mob  Activity # 4  (Not in Use) Supplies and Materials - Outputs</v>
      </c>
    </row>
    <row r="280" spans="1:8" s="10" customFormat="1" x14ac:dyDescent="0.2">
      <c r="D280" s="76" t="str">
        <f>Lang_GoTo&amp;" "&amp;HL_LVL2_ACTV_4_Other_Direct_Costs_Outputs</f>
        <v>Go to IEC Soc Mob  Activity # 4  (Not in Use) Other Direct Costs - Outputs</v>
      </c>
    </row>
    <row r="281" spans="1:8" s="10" customFormat="1" x14ac:dyDescent="0.2"/>
    <row r="282" spans="1:8" s="13" customFormat="1" x14ac:dyDescent="0.2">
      <c r="A282" s="12" t="s">
        <v>125</v>
      </c>
      <c r="B282" s="13" t="str">
        <f>HL_LVL2_ACTV_10_Name&amp;" "&amp;Lang_Detailed_Cost_Summary</f>
        <v>IEC Soc Mob  Activity # 5  (Not in Use) Detailed Cost Summary</v>
      </c>
    </row>
    <row r="283" spans="1:8" s="10" customFormat="1" x14ac:dyDescent="0.2"/>
    <row r="284" spans="1:8" s="10" customFormat="1" x14ac:dyDescent="0.2">
      <c r="C284" s="65" t="str">
        <f>HL_LVL2_ACTV_10_Name&amp;" "&amp;Lang_Detailed_Cost_Summary</f>
        <v>IEC Soc Mob  Activity # 5  (Not in Use) Detailed Cost Summary</v>
      </c>
    </row>
    <row r="285" spans="1:8" s="10" customFormat="1" x14ac:dyDescent="0.2"/>
    <row r="286" spans="1:8" s="10" customFormat="1" ht="24" x14ac:dyDescent="0.2">
      <c r="D286" s="93" t="str">
        <f>Lang_Cost_Category</f>
        <v>Cost Category</v>
      </c>
      <c r="E286" s="94" t="str">
        <f>SOCMOB_Lu!$D$172&amp;" "&amp;Lang_Cost&amp;" ("&amp;SOCMOB_Lu!$D$153&amp;")"</f>
        <v>Financial Cost (LCU)</v>
      </c>
      <c r="F286" s="94" t="str">
        <f>SOCMOB_Lu!$D$173&amp;" "&amp;Lang_Cost&amp;" ("&amp;SOCMOB_Lu!$D$153&amp;")"</f>
        <v>Economic Cost (LCU)</v>
      </c>
      <c r="G286" s="94" t="str">
        <f>SOCMOB_Lu!$D$172&amp;" "&amp;Lang_Cost&amp;" ("&amp;SOCMOB_Lu!$D$152&amp;")"</f>
        <v>Financial Cost (USD)</v>
      </c>
      <c r="H286" s="94" t="str">
        <f>SOCMOB_Lu!$D$173&amp;" "&amp;Lang_Cost&amp;" ("&amp;SOCMOB_Lu!$D$152&amp;")"</f>
        <v>Economic Cost (USD)</v>
      </c>
    </row>
    <row r="287" spans="1:8" s="10" customFormat="1" x14ac:dyDescent="0.2">
      <c r="D287" s="49" t="str">
        <f>CALCS_DETAILED!D1530</f>
        <v>Personnel</v>
      </c>
      <c r="E287" s="117">
        <f>CALCS_DETAILED!E1530</f>
        <v>0</v>
      </c>
      <c r="F287" s="117">
        <f>CALCS_DETAILED!F1530</f>
        <v>0</v>
      </c>
      <c r="G287" s="118">
        <f>CALCS_DETAILED!G1530</f>
        <v>0</v>
      </c>
      <c r="H287" s="118">
        <f>CALCS_DETAILED!H1530</f>
        <v>0</v>
      </c>
    </row>
    <row r="288" spans="1:8" s="10" customFormat="1" x14ac:dyDescent="0.2">
      <c r="D288" s="49" t="str">
        <f>CALCS_DETAILED!D1550</f>
        <v>Allowances</v>
      </c>
      <c r="E288" s="117">
        <f>CALCS_DETAILED!E1550</f>
        <v>0</v>
      </c>
      <c r="F288" s="117">
        <f>CALCS_DETAILED!F1550</f>
        <v>0</v>
      </c>
      <c r="G288" s="118">
        <f>CALCS_DETAILED!G1550</f>
        <v>0</v>
      </c>
      <c r="H288" s="118">
        <f>CALCS_DETAILED!H1550</f>
        <v>0</v>
      </c>
    </row>
    <row r="289" spans="1:8" s="10" customFormat="1" x14ac:dyDescent="0.2">
      <c r="D289" s="49" t="str">
        <f>CALCS_DETAILED!D1570</f>
        <v>Supplies and Materials</v>
      </c>
      <c r="E289" s="117">
        <f>CALCS_DETAILED!E1570</f>
        <v>0</v>
      </c>
      <c r="F289" s="117">
        <f>CALCS_DETAILED!F1570</f>
        <v>0</v>
      </c>
      <c r="G289" s="118">
        <f>CALCS_DETAILED!G1570</f>
        <v>0</v>
      </c>
      <c r="H289" s="118">
        <f>CALCS_DETAILED!H1570</f>
        <v>0</v>
      </c>
    </row>
    <row r="290" spans="1:8" s="10" customFormat="1" x14ac:dyDescent="0.2">
      <c r="D290" s="49" t="str">
        <f>CALCS_DETAILED!D1590</f>
        <v>Other Direct Costs</v>
      </c>
      <c r="E290" s="117">
        <f>CALCS_DETAILED!E1590</f>
        <v>0</v>
      </c>
      <c r="F290" s="117">
        <f>CALCS_DETAILED!F1590</f>
        <v>0</v>
      </c>
      <c r="G290" s="118">
        <f>CALCS_DETAILED!G1590</f>
        <v>0</v>
      </c>
      <c r="H290" s="118">
        <f>CALCS_DETAILED!H1590</f>
        <v>0</v>
      </c>
    </row>
    <row r="291" spans="1:8" s="10" customFormat="1" ht="12.75" thickBot="1" x14ac:dyDescent="0.25">
      <c r="D291" s="95" t="str">
        <f>Lang_Total_Single_Activity_Cost</f>
        <v>Total Single Activity Cost</v>
      </c>
      <c r="E291" s="123">
        <f>SUM(E287:E290)</f>
        <v>0</v>
      </c>
      <c r="F291" s="123">
        <f>SUM(F287:F290)</f>
        <v>0</v>
      </c>
      <c r="G291" s="124">
        <f>SUM(G287:G290)</f>
        <v>0</v>
      </c>
      <c r="H291" s="124">
        <f>SUM(H287:H290)</f>
        <v>0</v>
      </c>
    </row>
    <row r="292" spans="1:8" s="10" customFormat="1" x14ac:dyDescent="0.2"/>
    <row r="293" spans="1:8" s="10" customFormat="1" x14ac:dyDescent="0.2">
      <c r="D293" s="76" t="str">
        <f>Lang_GoTo&amp;" "&amp;HL_LVL2_ACTV_10_Personnel_Outputs</f>
        <v>Go to IEC Soc Mob  Activity # 5  (Not in Use) Personnel - Outputs</v>
      </c>
    </row>
    <row r="294" spans="1:8" s="10" customFormat="1" x14ac:dyDescent="0.2">
      <c r="D294" s="76" t="str">
        <f>Lang_GoTo&amp;" "&amp;HL_LVL2_ACTV_10_Out_A</f>
        <v>Go to IEC Soc Mob  Activity # 5  (Not in Use) Allowances - Outputs</v>
      </c>
    </row>
    <row r="295" spans="1:8" s="10" customFormat="1" x14ac:dyDescent="0.2">
      <c r="D295" s="76" t="str">
        <f>Lang_GoTo&amp;" "&amp;HL_LVL2_ACTV_10_Supplies_and_Materials_Outputs</f>
        <v>Go to IEC Soc Mob  Activity # 5  (Not in Use) Supplies and Materials - Outputs</v>
      </c>
    </row>
    <row r="296" spans="1:8" s="10" customFormat="1" x14ac:dyDescent="0.2">
      <c r="D296" s="76" t="str">
        <f>Lang_GoTo&amp;" "&amp;HL_LVL2_ACTV_10_Other_Direct_Costs_Outputs</f>
        <v>Go to IEC Soc Mob  Activity # 5  (Not in Use) Other Direct Costs - Outputs</v>
      </c>
    </row>
    <row r="297" spans="1:8" s="10" customFormat="1" x14ac:dyDescent="0.2"/>
    <row r="298" spans="1:8" s="13" customFormat="1" x14ac:dyDescent="0.2">
      <c r="A298" s="12" t="s">
        <v>125</v>
      </c>
      <c r="B298" s="13" t="str">
        <f>HL_LVL2_ACTV_11_Name&amp;" "&amp;Lang_Detailed_Cost_Summary</f>
        <v>IEC Soc Mob  Activity # 6 (Not in Use) Detailed Cost Summary</v>
      </c>
    </row>
    <row r="299" spans="1:8" s="10" customFormat="1" x14ac:dyDescent="0.2"/>
    <row r="300" spans="1:8" s="10" customFormat="1" x14ac:dyDescent="0.2">
      <c r="C300" s="65" t="str">
        <f>HL_LVL2_ACTV_11_Name&amp;" "&amp;Lang_Detailed_Cost_Summary</f>
        <v>IEC Soc Mob  Activity # 6 (Not in Use) Detailed Cost Summary</v>
      </c>
    </row>
    <row r="301" spans="1:8" s="10" customFormat="1" x14ac:dyDescent="0.2"/>
    <row r="302" spans="1:8" s="10" customFormat="1" ht="24" x14ac:dyDescent="0.2">
      <c r="D302" s="93" t="str">
        <f>Lang_Cost_Category</f>
        <v>Cost Category</v>
      </c>
      <c r="E302" s="94" t="str">
        <f>SOCMOB_Lu!$D$207&amp;" "&amp;Lang_Cost&amp;" ("&amp;SOCMOB_Lu!$D$188&amp;")"</f>
        <v>Financial Cost (LCU)</v>
      </c>
      <c r="F302" s="94" t="str">
        <f>SOCMOB_Lu!$D$208&amp;" "&amp;Lang_Cost&amp;" ("&amp;SOCMOB_Lu!$D$188&amp;")"</f>
        <v>Economic Cost (LCU)</v>
      </c>
      <c r="G302" s="94" t="str">
        <f>SOCMOB_Lu!$D$207&amp;" "&amp;Lang_Cost&amp;" ("&amp;SOCMOB_Lu!$D$187&amp;")"</f>
        <v>Financial Cost (USD)</v>
      </c>
      <c r="H302" s="94" t="str">
        <f>SOCMOB_Lu!$D$208&amp;" "&amp;Lang_Cost&amp;" ("&amp;SOCMOB_Lu!$D$187&amp;")"</f>
        <v>Economic Cost (USD)</v>
      </c>
    </row>
    <row r="303" spans="1:8" s="10" customFormat="1" x14ac:dyDescent="0.2">
      <c r="D303" s="49" t="str">
        <f>CALCS_DETAILED!D1614</f>
        <v>Personnel</v>
      </c>
      <c r="E303" s="117">
        <f>CALCS_DETAILED!E1614</f>
        <v>0</v>
      </c>
      <c r="F303" s="117">
        <f>CALCS_DETAILED!F1614</f>
        <v>0</v>
      </c>
      <c r="G303" s="118">
        <f>CALCS_DETAILED!G1614</f>
        <v>0</v>
      </c>
      <c r="H303" s="118">
        <f>CALCS_DETAILED!H1614</f>
        <v>0</v>
      </c>
    </row>
    <row r="304" spans="1:8" s="10" customFormat="1" x14ac:dyDescent="0.2">
      <c r="D304" s="49" t="str">
        <f>CALCS_DETAILED!D1634</f>
        <v>Allowances</v>
      </c>
      <c r="E304" s="117">
        <f>CALCS_DETAILED!E1634</f>
        <v>0</v>
      </c>
      <c r="F304" s="117">
        <f>CALCS_DETAILED!F1634</f>
        <v>0</v>
      </c>
      <c r="G304" s="118">
        <f>CALCS_DETAILED!G1634</f>
        <v>0</v>
      </c>
      <c r="H304" s="118">
        <f>CALCS_DETAILED!H1634</f>
        <v>0</v>
      </c>
    </row>
    <row r="305" spans="1:8" s="10" customFormat="1" x14ac:dyDescent="0.2">
      <c r="D305" s="49" t="str">
        <f>CALCS_DETAILED!D1654</f>
        <v>Supplies and Materials</v>
      </c>
      <c r="E305" s="117">
        <f>CALCS_DETAILED!E1654</f>
        <v>0</v>
      </c>
      <c r="F305" s="117">
        <f>CALCS_DETAILED!F1654</f>
        <v>0</v>
      </c>
      <c r="G305" s="118">
        <f>CALCS_DETAILED!G1654</f>
        <v>0</v>
      </c>
      <c r="H305" s="118">
        <f>CALCS_DETAILED!H1654</f>
        <v>0</v>
      </c>
    </row>
    <row r="306" spans="1:8" s="10" customFormat="1" x14ac:dyDescent="0.2">
      <c r="D306" s="49" t="str">
        <f>CALCS_DETAILED!D1674</f>
        <v>Other Direct Costs</v>
      </c>
      <c r="E306" s="117">
        <f>CALCS_DETAILED!E1674</f>
        <v>0</v>
      </c>
      <c r="F306" s="117">
        <f>CALCS_DETAILED!F1674</f>
        <v>0</v>
      </c>
      <c r="G306" s="118">
        <f>CALCS_DETAILED!G1674</f>
        <v>0</v>
      </c>
      <c r="H306" s="118">
        <f>CALCS_DETAILED!H1674</f>
        <v>0</v>
      </c>
    </row>
    <row r="307" spans="1:8" s="10" customFormat="1" ht="12.75" thickBot="1" x14ac:dyDescent="0.25">
      <c r="D307" s="95" t="str">
        <f>Lang_Total_Single_Activity_Cost</f>
        <v>Total Single Activity Cost</v>
      </c>
      <c r="E307" s="123">
        <f>SUM(E303:E306)</f>
        <v>0</v>
      </c>
      <c r="F307" s="123">
        <f>SUM(F303:F306)</f>
        <v>0</v>
      </c>
      <c r="G307" s="124">
        <f>SUM(G303:G306)</f>
        <v>0</v>
      </c>
      <c r="H307" s="124">
        <f>SUM(H303:H306)</f>
        <v>0</v>
      </c>
    </row>
    <row r="308" spans="1:8" s="10" customFormat="1" x14ac:dyDescent="0.2"/>
    <row r="309" spans="1:8" s="10" customFormat="1" x14ac:dyDescent="0.2">
      <c r="D309" s="76" t="str">
        <f>Lang_GoTo&amp;" "&amp;HL_LVL2_ACTV_11_Personnel_Outputs</f>
        <v>Go to IEC Soc Mob  Activity # 6 (Not in Use) Personnel - Outputs</v>
      </c>
    </row>
    <row r="310" spans="1:8" s="10" customFormat="1" x14ac:dyDescent="0.2">
      <c r="D310" s="76" t="str">
        <f>Lang_GoTo&amp;" "&amp;HL_LVL2_ACTV_11_Out_A</f>
        <v>Go to IEC Soc Mob  Activity # 6 (Not in Use) Allowances - Outputs</v>
      </c>
    </row>
    <row r="311" spans="1:8" s="10" customFormat="1" x14ac:dyDescent="0.2">
      <c r="D311" s="76" t="str">
        <f>Lang_GoTo&amp;" "&amp;HL_LVL2_ACTV_11_Supplies_and_Materials_Outputs</f>
        <v>Go to IEC Soc Mob  Activity # 6 (Not in Use) Supplies and Materials - Outputs</v>
      </c>
    </row>
    <row r="312" spans="1:8" s="10" customFormat="1" x14ac:dyDescent="0.2">
      <c r="D312" s="76" t="str">
        <f>Lang_GoTo&amp;" "&amp;HL_LVL2_ACTV_11_Other_Direct_Costs_Outputs</f>
        <v>Go to IEC Soc Mob  Activity # 6 (Not in Use) Other Direct Costs - Outputs</v>
      </c>
    </row>
    <row r="313" spans="1:8" s="10" customFormat="1" x14ac:dyDescent="0.2"/>
    <row r="314" spans="1:8" s="13" customFormat="1" x14ac:dyDescent="0.2">
      <c r="A314" s="12" t="s">
        <v>125</v>
      </c>
      <c r="B314" s="13" t="str">
        <f>HL_LVL2_ACTV_8_Name&amp;" "&amp;Lang_Detailed_Cost_Summary</f>
        <v>IEC Soc Mob  Activity # 7 (Not in Use) Detailed Cost Summary</v>
      </c>
    </row>
    <row r="315" spans="1:8" s="10" customFormat="1" x14ac:dyDescent="0.2"/>
    <row r="316" spans="1:8" s="10" customFormat="1" x14ac:dyDescent="0.2">
      <c r="C316" s="65" t="str">
        <f>HL_LVL2_ACTV_8_Name&amp;" "&amp;Lang_Detailed_Cost_Summary</f>
        <v>IEC Soc Mob  Activity # 7 (Not in Use) Detailed Cost Summary</v>
      </c>
    </row>
    <row r="317" spans="1:8" s="10" customFormat="1" x14ac:dyDescent="0.2"/>
    <row r="318" spans="1:8" s="10" customFormat="1" ht="24" x14ac:dyDescent="0.2">
      <c r="D318" s="93" t="str">
        <f>Lang_Cost_Category</f>
        <v>Cost Category</v>
      </c>
      <c r="E318" s="94" t="str">
        <f>SOCMOB_Lu!$D$242&amp;" "&amp;Lang_Cost&amp;" ("&amp;SOCMOB_Lu!$D$223&amp;")"</f>
        <v>Financial Cost (LCU)</v>
      </c>
      <c r="F318" s="94" t="str">
        <f>SOCMOB_Lu!$D$243&amp;" "&amp;Lang_Cost&amp;" ("&amp;SOCMOB_Lu!$D$223&amp;")"</f>
        <v>Economic Cost (LCU)</v>
      </c>
      <c r="G318" s="94" t="str">
        <f>SOCMOB_Lu!$D$242&amp;" "&amp;Lang_Cost&amp;" ("&amp;SOCMOB_Lu!$D$222&amp;")"</f>
        <v>Financial Cost (USD)</v>
      </c>
      <c r="H318" s="94" t="str">
        <f>SOCMOB_Lu!$D$243&amp;" "&amp;Lang_Cost&amp;" ("&amp;SOCMOB_Lu!$D$222&amp;")"</f>
        <v>Economic Cost (USD)</v>
      </c>
    </row>
    <row r="319" spans="1:8" s="10" customFormat="1" x14ac:dyDescent="0.2">
      <c r="D319" s="49" t="str">
        <f>CALCS_DETAILED!D1698</f>
        <v>Personnel</v>
      </c>
      <c r="E319" s="117">
        <f>CALCS_DETAILED!E1698</f>
        <v>0</v>
      </c>
      <c r="F319" s="117">
        <f>CALCS_DETAILED!F1698</f>
        <v>0</v>
      </c>
      <c r="G319" s="118">
        <f>CALCS_DETAILED!G1698</f>
        <v>0</v>
      </c>
      <c r="H319" s="118">
        <f>CALCS_DETAILED!H1698</f>
        <v>0</v>
      </c>
    </row>
    <row r="320" spans="1:8" s="10" customFormat="1" x14ac:dyDescent="0.2">
      <c r="D320" s="49" t="str">
        <f>CALCS_DETAILED!D1718</f>
        <v>Allowances</v>
      </c>
      <c r="E320" s="117">
        <f>CALCS_DETAILED!E1718</f>
        <v>0</v>
      </c>
      <c r="F320" s="117">
        <f>CALCS_DETAILED!F1718</f>
        <v>0</v>
      </c>
      <c r="G320" s="118">
        <f>CALCS_DETAILED!G1718</f>
        <v>0</v>
      </c>
      <c r="H320" s="118">
        <f>CALCS_DETAILED!H1718</f>
        <v>0</v>
      </c>
    </row>
    <row r="321" spans="1:8" s="10" customFormat="1" x14ac:dyDescent="0.2">
      <c r="D321" s="49" t="str">
        <f>CALCS_DETAILED!D1738</f>
        <v>Supplies and Materials</v>
      </c>
      <c r="E321" s="117">
        <f>CALCS_DETAILED!E1738</f>
        <v>0</v>
      </c>
      <c r="F321" s="117">
        <f>CALCS_DETAILED!F1738</f>
        <v>0</v>
      </c>
      <c r="G321" s="118">
        <f>CALCS_DETAILED!G1738</f>
        <v>0</v>
      </c>
      <c r="H321" s="118">
        <f>CALCS_DETAILED!H1738</f>
        <v>0</v>
      </c>
    </row>
    <row r="322" spans="1:8" s="10" customFormat="1" x14ac:dyDescent="0.2">
      <c r="D322" s="49" t="str">
        <f>CALCS_DETAILED!D1758</f>
        <v>Other Direct Costs</v>
      </c>
      <c r="E322" s="117">
        <f>CALCS_DETAILED!E1758</f>
        <v>0</v>
      </c>
      <c r="F322" s="117">
        <f>CALCS_DETAILED!F1758</f>
        <v>0</v>
      </c>
      <c r="G322" s="118">
        <f>CALCS_DETAILED!G1758</f>
        <v>0</v>
      </c>
      <c r="H322" s="118">
        <f>CALCS_DETAILED!H1758</f>
        <v>0</v>
      </c>
    </row>
    <row r="323" spans="1:8" s="10" customFormat="1" ht="12.75" thickBot="1" x14ac:dyDescent="0.25">
      <c r="D323" s="95" t="str">
        <f>Lang_Total_Single_Activity_Cost</f>
        <v>Total Single Activity Cost</v>
      </c>
      <c r="E323" s="123">
        <f>SUM(E319:E322)</f>
        <v>0</v>
      </c>
      <c r="F323" s="123">
        <f>SUM(F319:F322)</f>
        <v>0</v>
      </c>
      <c r="G323" s="124">
        <f>SUM(G319:G322)</f>
        <v>0</v>
      </c>
      <c r="H323" s="124">
        <f>SUM(H319:H322)</f>
        <v>0</v>
      </c>
    </row>
    <row r="324" spans="1:8" s="10" customFormat="1" x14ac:dyDescent="0.2"/>
    <row r="325" spans="1:8" s="10" customFormat="1" x14ac:dyDescent="0.2">
      <c r="D325" s="76" t="str">
        <f>Lang_GoTo&amp;" "&amp;HL_LVL2_ACTV_8_Personnel_Outputs</f>
        <v>Go to IEC Soc Mob  Activity # 7 (Not in Use) Personnel - Outputs</v>
      </c>
    </row>
    <row r="326" spans="1:8" s="10" customFormat="1" x14ac:dyDescent="0.2">
      <c r="D326" s="76" t="str">
        <f>Lang_GoTo&amp;" "&amp;HL_LVL2_ACTV_8_Out_A</f>
        <v>Go to IEC Soc Mob  Activity # 7 (Not in Use) Allowances - Outputs</v>
      </c>
    </row>
    <row r="327" spans="1:8" s="10" customFormat="1" x14ac:dyDescent="0.2">
      <c r="D327" s="76" t="str">
        <f>Lang_GoTo&amp;" "&amp;HL_LVL2_ACTV_8_Supplies_and_Materials_Outputs</f>
        <v>Go to IEC Soc Mob  Activity # 7 (Not in Use) Supplies and Materials - Outputs</v>
      </c>
    </row>
    <row r="328" spans="1:8" s="10" customFormat="1" x14ac:dyDescent="0.2">
      <c r="D328" s="76" t="str">
        <f>Lang_GoTo&amp;" "&amp;HL_LVL2_ACTV_8_Other_Direct_Costs_Outputs</f>
        <v>Go to IEC Soc Mob  Activity # 7 (Not in Use) Other Direct Costs - Outputs</v>
      </c>
    </row>
    <row r="329" spans="1:8" s="10" customFormat="1" x14ac:dyDescent="0.2"/>
    <row r="330" spans="1:8" s="13" customFormat="1" x14ac:dyDescent="0.2">
      <c r="A330" s="12" t="s">
        <v>125</v>
      </c>
      <c r="B330" s="13" t="str">
        <f>HL_LVL2_ACTV_21_Name&amp;" "&amp;Lang_Detailed_Cost_Summary</f>
        <v>IEC Soc Mob  Activity # 8 (Not in Use) Detailed Cost Summary</v>
      </c>
    </row>
    <row r="331" spans="1:8" s="10" customFormat="1" x14ac:dyDescent="0.2"/>
    <row r="332" spans="1:8" s="10" customFormat="1" x14ac:dyDescent="0.2">
      <c r="C332" s="65" t="str">
        <f>HL_LVL2_ACTV_21_Name&amp;" "&amp;Lang_Detailed_Cost_Summary</f>
        <v>IEC Soc Mob  Activity # 8 (Not in Use) Detailed Cost Summary</v>
      </c>
    </row>
    <row r="333" spans="1:8" s="10" customFormat="1" x14ac:dyDescent="0.2"/>
    <row r="334" spans="1:8" s="10" customFormat="1" ht="24" x14ac:dyDescent="0.2">
      <c r="D334" s="93" t="str">
        <f>Lang_Cost_Category</f>
        <v>Cost Category</v>
      </c>
      <c r="E334" s="94" t="str">
        <f>SOCMOB_Lu!$D$277&amp;" "&amp;Lang_Cost&amp;" ("&amp;SOCMOB_Lu!$D$258&amp;")"</f>
        <v>Financial Cost (LCU)</v>
      </c>
      <c r="F334" s="94" t="str">
        <f>SOCMOB_Lu!$D$278&amp;" "&amp;Lang_Cost&amp;" ("&amp;SOCMOB_Lu!$D$258&amp;")"</f>
        <v>Economic Cost (LCU)</v>
      </c>
      <c r="G334" s="94" t="str">
        <f>SOCMOB_Lu!$D$277&amp;" "&amp;Lang_Cost&amp;" ("&amp;SOCMOB_Lu!$D$257&amp;")"</f>
        <v>Financial Cost (USD)</v>
      </c>
      <c r="H334" s="94" t="str">
        <f>SOCMOB_Lu!$D$278&amp;" "&amp;Lang_Cost&amp;" ("&amp;SOCMOB_Lu!$D$257&amp;")"</f>
        <v>Economic Cost (USD)</v>
      </c>
    </row>
    <row r="335" spans="1:8" s="10" customFormat="1" x14ac:dyDescent="0.2">
      <c r="D335" s="49" t="str">
        <f>CALCS_DETAILED!D1782</f>
        <v>Personnel</v>
      </c>
      <c r="E335" s="117">
        <f>CALCS_DETAILED!E1782</f>
        <v>0</v>
      </c>
      <c r="F335" s="117">
        <f>CALCS_DETAILED!F1782</f>
        <v>0</v>
      </c>
      <c r="G335" s="118">
        <f>CALCS_DETAILED!G1782</f>
        <v>0</v>
      </c>
      <c r="H335" s="118">
        <f>CALCS_DETAILED!H1782</f>
        <v>0</v>
      </c>
    </row>
    <row r="336" spans="1:8" s="10" customFormat="1" x14ac:dyDescent="0.2">
      <c r="D336" s="49" t="str">
        <f>CALCS_DETAILED!D1802</f>
        <v>Allowances</v>
      </c>
      <c r="E336" s="117">
        <f>CALCS_DETAILED!E1802</f>
        <v>0</v>
      </c>
      <c r="F336" s="117">
        <f>CALCS_DETAILED!F1802</f>
        <v>0</v>
      </c>
      <c r="G336" s="118">
        <f>CALCS_DETAILED!G1802</f>
        <v>0</v>
      </c>
      <c r="H336" s="118">
        <f>CALCS_DETAILED!H1802</f>
        <v>0</v>
      </c>
    </row>
    <row r="337" spans="1:8" s="10" customFormat="1" x14ac:dyDescent="0.2">
      <c r="D337" s="49" t="str">
        <f>CALCS_DETAILED!D1822</f>
        <v>Supplies and Materials</v>
      </c>
      <c r="E337" s="117">
        <f>CALCS_DETAILED!E1822</f>
        <v>0</v>
      </c>
      <c r="F337" s="117">
        <f>CALCS_DETAILED!F1822</f>
        <v>0</v>
      </c>
      <c r="G337" s="118">
        <f>CALCS_DETAILED!G1822</f>
        <v>0</v>
      </c>
      <c r="H337" s="118">
        <f>CALCS_DETAILED!H1822</f>
        <v>0</v>
      </c>
    </row>
    <row r="338" spans="1:8" s="10" customFormat="1" x14ac:dyDescent="0.2">
      <c r="D338" s="49" t="str">
        <f>CALCS_DETAILED!D1842</f>
        <v>Other Direct Costs</v>
      </c>
      <c r="E338" s="117">
        <f>CALCS_DETAILED!E1842</f>
        <v>0</v>
      </c>
      <c r="F338" s="117">
        <f>CALCS_DETAILED!F1842</f>
        <v>0</v>
      </c>
      <c r="G338" s="118">
        <f>CALCS_DETAILED!G1842</f>
        <v>0</v>
      </c>
      <c r="H338" s="118">
        <f>CALCS_DETAILED!H1842</f>
        <v>0</v>
      </c>
    </row>
    <row r="339" spans="1:8" s="10" customFormat="1" ht="12.75" thickBot="1" x14ac:dyDescent="0.25">
      <c r="D339" s="95" t="str">
        <f>Lang_Total_Single_Activity_Cost</f>
        <v>Total Single Activity Cost</v>
      </c>
      <c r="E339" s="123">
        <f>SUM(E335:E338)</f>
        <v>0</v>
      </c>
      <c r="F339" s="123">
        <f>SUM(F335:F338)</f>
        <v>0</v>
      </c>
      <c r="G339" s="124">
        <f>SUM(G335:G338)</f>
        <v>0</v>
      </c>
      <c r="H339" s="124">
        <f>SUM(H335:H338)</f>
        <v>0</v>
      </c>
    </row>
    <row r="340" spans="1:8" s="10" customFormat="1" x14ac:dyDescent="0.2"/>
    <row r="341" spans="1:8" s="10" customFormat="1" x14ac:dyDescent="0.2">
      <c r="D341" s="76" t="str">
        <f>Lang_GoTo&amp;" "&amp;HL_LVL2_ACTV_21_Personnel_Outputs</f>
        <v>Go to IEC Soc Mob  Activity # 8 (Not in Use) Personnel - Outputs</v>
      </c>
    </row>
    <row r="342" spans="1:8" s="10" customFormat="1" x14ac:dyDescent="0.2">
      <c r="D342" s="76" t="str">
        <f>Lang_GoTo&amp;" "&amp;HL_LVL2_ACTV_21_Out_A</f>
        <v>Go to IEC Soc Mob  Activity # 8 (Not in Use) Allowances - Outputs</v>
      </c>
    </row>
    <row r="343" spans="1:8" s="10" customFormat="1" x14ac:dyDescent="0.2">
      <c r="D343" s="76" t="str">
        <f>Lang_GoTo&amp;" "&amp;HL_LVL2_ACTV_21_Supplies_and_Materials_Outputs</f>
        <v>Go to IEC Soc Mob  Activity # 8 (Not in Use) Supplies and Materials - Outputs</v>
      </c>
    </row>
    <row r="344" spans="1:8" s="10" customFormat="1" x14ac:dyDescent="0.2">
      <c r="D344" s="76" t="str">
        <f>Lang_GoTo&amp;" "&amp;HL_LVL2_ACTV_21_Other_Direct_Costs_Outputs</f>
        <v>Go to IEC Soc Mob  Activity # 8 (Not in Use) Other Direct Costs - Outputs</v>
      </c>
    </row>
    <row r="345" spans="1:8" s="10" customFormat="1" x14ac:dyDescent="0.2"/>
    <row r="346" spans="1:8" s="13" customFormat="1" x14ac:dyDescent="0.2">
      <c r="A346" s="12" t="s">
        <v>125</v>
      </c>
      <c r="B346" s="13" t="str">
        <f>HL_TOP_ACTV_5_Name&amp;" "&amp;Lang_Detailed_Cost_Summary</f>
        <v>SME Activity #1 (Not in Use) Detailed Cost Summary</v>
      </c>
    </row>
    <row r="347" spans="1:8" s="10" customFormat="1" x14ac:dyDescent="0.2"/>
    <row r="348" spans="1:8" s="10" customFormat="1" x14ac:dyDescent="0.2">
      <c r="C348" s="105" t="str">
        <f>HL_TOP_ACTV_5_Name&amp;" "&amp;Lang_Detailed_Cost_Summary</f>
        <v>SME Activity #1 (Not in Use) Detailed Cost Summary</v>
      </c>
    </row>
    <row r="349" spans="1:8" s="10" customFormat="1" ht="24" x14ac:dyDescent="0.2">
      <c r="D349" s="93" t="str">
        <f>Lang_Cost_Category</f>
        <v>Cost Category</v>
      </c>
      <c r="E349" s="94" t="str">
        <f>SUPV_Lu!$D$32&amp;" "&amp;Lang_Cost&amp;" ("&amp;SUPV_Lu!$D$13&amp;")"</f>
        <v>Financial Cost (LCU)</v>
      </c>
      <c r="F349" s="94" t="str">
        <f>SUPV_Lu!$D$33&amp;" "&amp;Lang_Cost&amp;" ("&amp;SUPV_Lu!$D$13&amp;")"</f>
        <v>Economic Cost (LCU)</v>
      </c>
      <c r="G349" s="94" t="str">
        <f>SUPV_Lu!$D$32&amp;" "&amp;Lang_Cost&amp;" ("&amp;SUPV_Lu!$D$12&amp;")"</f>
        <v>Financial Cost (USD)</v>
      </c>
      <c r="H349" s="94" t="str">
        <f>SUPV_Lu!$D$33&amp;" "&amp;Lang_Cost&amp;" ("&amp;SUPV_Lu!$D$12&amp;")"</f>
        <v>Economic Cost (USD)</v>
      </c>
    </row>
    <row r="350" spans="1:8" s="10" customFormat="1" x14ac:dyDescent="0.2">
      <c r="D350" s="49" t="str">
        <f>CALCS_DETAILED!D1866</f>
        <v>Personnel</v>
      </c>
      <c r="E350" s="117">
        <f>CALCS_DETAILED!E1866</f>
        <v>0</v>
      </c>
      <c r="F350" s="117">
        <f>CALCS_DETAILED!F1866</f>
        <v>0</v>
      </c>
      <c r="G350" s="118">
        <f>CALCS_DETAILED!G1866</f>
        <v>0</v>
      </c>
      <c r="H350" s="118">
        <f>CALCS_DETAILED!H1866</f>
        <v>0</v>
      </c>
    </row>
    <row r="351" spans="1:8" s="10" customFormat="1" x14ac:dyDescent="0.2">
      <c r="D351" s="49" t="str">
        <f>CALCS_DETAILED!D1886</f>
        <v>Allowances</v>
      </c>
      <c r="E351" s="117">
        <f>CALCS_DETAILED!E1886</f>
        <v>0</v>
      </c>
      <c r="F351" s="117">
        <f>CALCS_DETAILED!F1886</f>
        <v>0</v>
      </c>
      <c r="G351" s="118">
        <f>CALCS_DETAILED!G1886</f>
        <v>0</v>
      </c>
      <c r="H351" s="118">
        <f>CALCS_DETAILED!H1886</f>
        <v>0</v>
      </c>
    </row>
    <row r="352" spans="1:8" s="10" customFormat="1" x14ac:dyDescent="0.2">
      <c r="D352" s="49" t="str">
        <f>CALCS_DETAILED!D1906</f>
        <v>Supplies and Materials</v>
      </c>
      <c r="E352" s="117">
        <f>CALCS_DETAILED!E1906</f>
        <v>0</v>
      </c>
      <c r="F352" s="117">
        <f>CALCS_DETAILED!F1906</f>
        <v>0</v>
      </c>
      <c r="G352" s="118">
        <f>CALCS_DETAILED!G1906</f>
        <v>0</v>
      </c>
      <c r="H352" s="118">
        <f>CALCS_DETAILED!H1906</f>
        <v>0</v>
      </c>
    </row>
    <row r="353" spans="1:8" s="10" customFormat="1" x14ac:dyDescent="0.2">
      <c r="D353" s="49" t="str">
        <f>CALCS_DETAILED!D1926</f>
        <v>Other Direct Costs</v>
      </c>
      <c r="E353" s="117">
        <f>CALCS_DETAILED!E1926</f>
        <v>0</v>
      </c>
      <c r="F353" s="117">
        <f>CALCS_DETAILED!F1926</f>
        <v>0</v>
      </c>
      <c r="G353" s="118">
        <f>CALCS_DETAILED!G1926</f>
        <v>0</v>
      </c>
      <c r="H353" s="118">
        <f>CALCS_DETAILED!H1926</f>
        <v>0</v>
      </c>
    </row>
    <row r="354" spans="1:8" s="10" customFormat="1" ht="12.75" thickBot="1" x14ac:dyDescent="0.25">
      <c r="D354" s="95" t="str">
        <f>Lang_Total_Single_Activity_Cost</f>
        <v>Total Single Activity Cost</v>
      </c>
      <c r="E354" s="123">
        <f>SUM(E350:E353)</f>
        <v>0</v>
      </c>
      <c r="F354" s="123">
        <f>SUM(F350:F353)</f>
        <v>0</v>
      </c>
      <c r="G354" s="124">
        <f>SUM(G350:G353)</f>
        <v>0</v>
      </c>
      <c r="H354" s="124">
        <f>SUM(H350:H353)</f>
        <v>0</v>
      </c>
    </row>
    <row r="355" spans="1:8" s="10" customFormat="1" x14ac:dyDescent="0.2"/>
    <row r="356" spans="1:8" s="10" customFormat="1" x14ac:dyDescent="0.2">
      <c r="D356" s="76" t="str">
        <f>Lang_GoTo&amp;" "&amp;HL_TOP_ACTV_5_Personnel_Outputs</f>
        <v>Go to SME Activity #1 (Not in Use) Personnel - Outputs</v>
      </c>
    </row>
    <row r="357" spans="1:8" s="10" customFormat="1" x14ac:dyDescent="0.2">
      <c r="D357" s="76" t="str">
        <f>Lang_GoTo&amp;" "&amp;HL_TOP_ACTV_5_Out_A</f>
        <v>Go to SME Activity #1 (Not in Use) Allowances - Outputs</v>
      </c>
    </row>
    <row r="358" spans="1:8" s="10" customFormat="1" x14ac:dyDescent="0.2">
      <c r="D358" s="76" t="str">
        <f>Lang_GoTo&amp;" "&amp;HL_TOP_ACTV_5_Supplies_and_Materials_Outputs</f>
        <v>Go to SME Activity #1 (Not in Use) Supplies and Materials - Outputs</v>
      </c>
    </row>
    <row r="359" spans="1:8" s="10" customFormat="1" x14ac:dyDescent="0.2">
      <c r="D359" s="76" t="str">
        <f>Lang_GoTo&amp;" "&amp;HL_TOP_ACTV_5_Other_Direct_Costs_Outputs</f>
        <v>Go to SME Activity #1 (Not in Use) Other Direct Costs - Outputs</v>
      </c>
    </row>
    <row r="360" spans="1:8" s="10" customFormat="1" x14ac:dyDescent="0.2"/>
    <row r="361" spans="1:8" s="13" customFormat="1" x14ac:dyDescent="0.2">
      <c r="A361" s="12" t="s">
        <v>125</v>
      </c>
      <c r="B361" s="13" t="str">
        <f>HL_TOP_ACTV_17_Name&amp;" "&amp;Lang_Detailed_Cost_Summary</f>
        <v>SME Activity #2 (Not in Use) Detailed Cost Summary</v>
      </c>
    </row>
    <row r="362" spans="1:8" s="10" customFormat="1" x14ac:dyDescent="0.2"/>
    <row r="363" spans="1:8" s="10" customFormat="1" x14ac:dyDescent="0.2">
      <c r="C363" s="105" t="str">
        <f>HL_TOP_ACTV_17_Name&amp;" "&amp;Lang_Detailed_Cost_Summary</f>
        <v>SME Activity #2 (Not in Use) Detailed Cost Summary</v>
      </c>
    </row>
    <row r="364" spans="1:8" s="10" customFormat="1" ht="24" x14ac:dyDescent="0.2">
      <c r="D364" s="93" t="str">
        <f>Lang_Cost_Category</f>
        <v>Cost Category</v>
      </c>
      <c r="E364" s="94" t="str">
        <f>SUPV_Lu!$D$67&amp;" "&amp;Lang_Cost&amp;" ("&amp;SUPV_Lu!$D$48&amp;")"</f>
        <v>Financial Cost (LCU)</v>
      </c>
      <c r="F364" s="94" t="str">
        <f>SUPV_Lu!$D$68&amp;" "&amp;Lang_Cost&amp;" ("&amp;SUPV_Lu!$D$48&amp;")"</f>
        <v>Economic Cost (LCU)</v>
      </c>
      <c r="G364" s="94" t="str">
        <f>SUPV_Lu!$D$67&amp;" "&amp;Lang_Cost&amp;" ("&amp;SUPV_Lu!$D$47&amp;")"</f>
        <v>Financial Cost (USD)</v>
      </c>
      <c r="H364" s="94" t="str">
        <f>SUPV_Lu!$D$68&amp;" "&amp;Lang_Cost&amp;" ("&amp;SUPV_Lu!$D$47&amp;")"</f>
        <v>Economic Cost (USD)</v>
      </c>
    </row>
    <row r="365" spans="1:8" s="10" customFormat="1" x14ac:dyDescent="0.2">
      <c r="D365" s="49" t="str">
        <f>CALCS_DETAILED!D1950</f>
        <v>Personnel</v>
      </c>
      <c r="E365" s="117">
        <f>CALCS_DETAILED!E1950</f>
        <v>0</v>
      </c>
      <c r="F365" s="117">
        <f>CALCS_DETAILED!F1950</f>
        <v>0</v>
      </c>
      <c r="G365" s="118">
        <f>CALCS_DETAILED!G1950</f>
        <v>0</v>
      </c>
      <c r="H365" s="118">
        <f>CALCS_DETAILED!H1950</f>
        <v>0</v>
      </c>
    </row>
    <row r="366" spans="1:8" s="10" customFormat="1" x14ac:dyDescent="0.2">
      <c r="D366" s="49" t="str">
        <f>CALCS_DETAILED!D1970</f>
        <v>Allowances</v>
      </c>
      <c r="E366" s="117">
        <f>CALCS_DETAILED!E1970</f>
        <v>0</v>
      </c>
      <c r="F366" s="117">
        <f>CALCS_DETAILED!F1970</f>
        <v>0</v>
      </c>
      <c r="G366" s="118">
        <f>CALCS_DETAILED!G1970</f>
        <v>0</v>
      </c>
      <c r="H366" s="118">
        <f>CALCS_DETAILED!H1970</f>
        <v>0</v>
      </c>
    </row>
    <row r="367" spans="1:8" s="10" customFormat="1" x14ac:dyDescent="0.2">
      <c r="D367" s="49" t="str">
        <f>CALCS_DETAILED!D1990</f>
        <v>Supplies and Materials</v>
      </c>
      <c r="E367" s="117">
        <f>CALCS_DETAILED!E1990</f>
        <v>0</v>
      </c>
      <c r="F367" s="117">
        <f>CALCS_DETAILED!F1990</f>
        <v>0</v>
      </c>
      <c r="G367" s="118">
        <f>CALCS_DETAILED!G1990</f>
        <v>0</v>
      </c>
      <c r="H367" s="118">
        <f>CALCS_DETAILED!H1990</f>
        <v>0</v>
      </c>
    </row>
    <row r="368" spans="1:8" s="10" customFormat="1" x14ac:dyDescent="0.2">
      <c r="D368" s="49" t="str">
        <f>CALCS_DETAILED!D2010</f>
        <v>Other Direct Costs</v>
      </c>
      <c r="E368" s="117">
        <f>CALCS_DETAILED!E2010</f>
        <v>0</v>
      </c>
      <c r="F368" s="117">
        <f>CALCS_DETAILED!F2010</f>
        <v>0</v>
      </c>
      <c r="G368" s="118">
        <f>CALCS_DETAILED!G2010</f>
        <v>0</v>
      </c>
      <c r="H368" s="118">
        <f>CALCS_DETAILED!H2010</f>
        <v>0</v>
      </c>
    </row>
    <row r="369" spans="1:8" s="10" customFormat="1" ht="12.75" thickBot="1" x14ac:dyDescent="0.25">
      <c r="D369" s="95" t="str">
        <f>Lang_Total_Single_Activity_Cost</f>
        <v>Total Single Activity Cost</v>
      </c>
      <c r="E369" s="123">
        <f>SUM(E365:E368)</f>
        <v>0</v>
      </c>
      <c r="F369" s="123">
        <f>SUM(F365:F368)</f>
        <v>0</v>
      </c>
      <c r="G369" s="124">
        <f>SUM(G365:G368)</f>
        <v>0</v>
      </c>
      <c r="H369" s="124">
        <f>SUM(H365:H368)</f>
        <v>0</v>
      </c>
    </row>
    <row r="370" spans="1:8" s="10" customFormat="1" x14ac:dyDescent="0.2"/>
    <row r="371" spans="1:8" s="10" customFormat="1" x14ac:dyDescent="0.2">
      <c r="D371" s="76" t="str">
        <f>Lang_GoTo&amp;" "&amp;HL_TOP_ACTV_17_Personnel_Outputs</f>
        <v>Go to SME Activity #2 (Not in Use) Personnel - Outputs</v>
      </c>
    </row>
    <row r="372" spans="1:8" s="10" customFormat="1" x14ac:dyDescent="0.2">
      <c r="D372" s="76" t="str">
        <f>Lang_GoTo&amp;" "&amp;HL_TOP_ACTV_17_Out_A</f>
        <v>Go to SME Activity #2 (Not in Use) Allowances - Outputs</v>
      </c>
    </row>
    <row r="373" spans="1:8" s="10" customFormat="1" x14ac:dyDescent="0.2">
      <c r="D373" s="76" t="str">
        <f>Lang_GoTo&amp;" "&amp;HL_TOP_ACTV_17_Supplies_and_Materials_Outputs</f>
        <v>Go to SME Activity #2 (Not in Use) Supplies and Materials - Outputs</v>
      </c>
    </row>
    <row r="374" spans="1:8" s="10" customFormat="1" x14ac:dyDescent="0.2">
      <c r="D374" s="76" t="str">
        <f>Lang_GoTo&amp;" "&amp;HL_TOP_ACTV_17_Other_Direct_Costs_Outputs</f>
        <v>Go to SME Activity #2 (Not in Use) Other Direct Costs - Outputs</v>
      </c>
    </row>
    <row r="375" spans="1:8" s="10" customFormat="1" x14ac:dyDescent="0.2"/>
    <row r="376" spans="1:8" s="13" customFormat="1" x14ac:dyDescent="0.2">
      <c r="A376" s="12" t="s">
        <v>125</v>
      </c>
      <c r="B376" s="13" t="str">
        <f>HL_TOP_ACTV_18_Name&amp;" "&amp;Lang_Detailed_Cost_Summary</f>
        <v>SME Activity #3 (Not in Use) Detailed Cost Summary</v>
      </c>
    </row>
    <row r="377" spans="1:8" s="10" customFormat="1" x14ac:dyDescent="0.2"/>
    <row r="378" spans="1:8" s="10" customFormat="1" x14ac:dyDescent="0.2">
      <c r="C378" s="105" t="str">
        <f>HL_TOP_ACTV_18_Name&amp;" "&amp;Lang_Detailed_Cost_Summary</f>
        <v>SME Activity #3 (Not in Use) Detailed Cost Summary</v>
      </c>
    </row>
    <row r="379" spans="1:8" s="10" customFormat="1" ht="24" x14ac:dyDescent="0.2">
      <c r="D379" s="93" t="str">
        <f>Lang_Cost_Category</f>
        <v>Cost Category</v>
      </c>
      <c r="E379" s="94" t="str">
        <f>SUPV_Lu!$D$102&amp;" "&amp;Lang_Cost&amp;" ("&amp;SUPV_Lu!$D$83&amp;")"</f>
        <v>Financial Cost (LCU)</v>
      </c>
      <c r="F379" s="94" t="str">
        <f>SUPV_Lu!$D$103&amp;" "&amp;Lang_Cost&amp;" ("&amp;SUPV_Lu!$D$83&amp;")"</f>
        <v>Economic Cost (LCU)</v>
      </c>
      <c r="G379" s="94" t="str">
        <f>SUPV_Lu!$D$102&amp;" "&amp;Lang_Cost&amp;" ("&amp;SUPV_Lu!$D$82&amp;")"</f>
        <v>Financial Cost (USD)</v>
      </c>
      <c r="H379" s="94" t="str">
        <f>SUPV_Lu!$D$103&amp;" "&amp;Lang_Cost&amp;" ("&amp;SUPV_Lu!$D$82&amp;")"</f>
        <v>Economic Cost (USD)</v>
      </c>
    </row>
    <row r="380" spans="1:8" s="10" customFormat="1" x14ac:dyDescent="0.2">
      <c r="D380" s="49" t="str">
        <f>CALCS_DETAILED!D2034</f>
        <v>Personnel</v>
      </c>
      <c r="E380" s="117">
        <f>CALCS_DETAILED!E2034</f>
        <v>0</v>
      </c>
      <c r="F380" s="117">
        <f>CALCS_DETAILED!F2034</f>
        <v>0</v>
      </c>
      <c r="G380" s="118">
        <f>CALCS_DETAILED!G2034</f>
        <v>0</v>
      </c>
      <c r="H380" s="118">
        <f>CALCS_DETAILED!H2034</f>
        <v>0</v>
      </c>
    </row>
    <row r="381" spans="1:8" s="10" customFormat="1" x14ac:dyDescent="0.2">
      <c r="D381" s="49" t="str">
        <f>CALCS_DETAILED!D2054</f>
        <v>Allowances</v>
      </c>
      <c r="E381" s="117">
        <f>CALCS_DETAILED!E2054</f>
        <v>0</v>
      </c>
      <c r="F381" s="117">
        <f>CALCS_DETAILED!F2054</f>
        <v>0</v>
      </c>
      <c r="G381" s="118">
        <f>CALCS_DETAILED!G2054</f>
        <v>0</v>
      </c>
      <c r="H381" s="118">
        <f>CALCS_DETAILED!H2054</f>
        <v>0</v>
      </c>
    </row>
    <row r="382" spans="1:8" s="10" customFormat="1" x14ac:dyDescent="0.2">
      <c r="D382" s="49" t="str">
        <f>CALCS_DETAILED!D2074</f>
        <v>Supplies and Materials</v>
      </c>
      <c r="E382" s="117">
        <f>CALCS_DETAILED!E2074</f>
        <v>0</v>
      </c>
      <c r="F382" s="117">
        <f>CALCS_DETAILED!F2074</f>
        <v>0</v>
      </c>
      <c r="G382" s="118">
        <f>CALCS_DETAILED!G2074</f>
        <v>0</v>
      </c>
      <c r="H382" s="118">
        <f>CALCS_DETAILED!H2074</f>
        <v>0</v>
      </c>
    </row>
    <row r="383" spans="1:8" s="10" customFormat="1" x14ac:dyDescent="0.2">
      <c r="D383" s="49" t="str">
        <f>CALCS_DETAILED!D2094</f>
        <v>Other Direct Costs</v>
      </c>
      <c r="E383" s="117">
        <f>CALCS_DETAILED!E2094</f>
        <v>0</v>
      </c>
      <c r="F383" s="117">
        <f>CALCS_DETAILED!F2094</f>
        <v>0</v>
      </c>
      <c r="G383" s="118">
        <f>CALCS_DETAILED!G2094</f>
        <v>0</v>
      </c>
      <c r="H383" s="118">
        <f>CALCS_DETAILED!H2094</f>
        <v>0</v>
      </c>
    </row>
    <row r="384" spans="1:8" s="10" customFormat="1" ht="12.75" thickBot="1" x14ac:dyDescent="0.25">
      <c r="D384" s="95" t="str">
        <f>Lang_Total_Single_Activity_Cost</f>
        <v>Total Single Activity Cost</v>
      </c>
      <c r="E384" s="123">
        <f>SUM(E380:E383)</f>
        <v>0</v>
      </c>
      <c r="F384" s="123">
        <f>SUM(F380:F383)</f>
        <v>0</v>
      </c>
      <c r="G384" s="124">
        <f>SUM(G380:G383)</f>
        <v>0</v>
      </c>
      <c r="H384" s="124">
        <f>SUM(H380:H383)</f>
        <v>0</v>
      </c>
    </row>
    <row r="385" spans="1:8" s="10" customFormat="1" x14ac:dyDescent="0.2"/>
    <row r="386" spans="1:8" s="10" customFormat="1" x14ac:dyDescent="0.2">
      <c r="D386" s="76" t="str">
        <f>Lang_GoTo&amp;" "&amp;HL_TOP_ACTV_18_Personnel_Outputs</f>
        <v>Go to SME Activity #3 (Not in Use) Personnel - Outputs</v>
      </c>
    </row>
    <row r="387" spans="1:8" s="10" customFormat="1" x14ac:dyDescent="0.2">
      <c r="D387" s="76" t="str">
        <f>Lang_GoTo&amp;" "&amp;HL_TOP_ACTV_18_Out_A</f>
        <v>Go to SME Activity #3 (Not in Use) Allowances - Outputs</v>
      </c>
    </row>
    <row r="388" spans="1:8" s="10" customFormat="1" x14ac:dyDescent="0.2">
      <c r="D388" s="76" t="str">
        <f>Lang_GoTo&amp;" "&amp;HL_TOP_ACTV_18_Supplies_and_Materials_Outputs</f>
        <v>Go to SME Activity #3 (Not in Use) Supplies and Materials - Outputs</v>
      </c>
    </row>
    <row r="389" spans="1:8" s="10" customFormat="1" x14ac:dyDescent="0.2">
      <c r="D389" s="76" t="str">
        <f>Lang_GoTo&amp;" "&amp;HL_TOP_ACTV_18_Other_Direct_Costs_Outputs</f>
        <v>Go to SME Activity #3 (Not in Use) Other Direct Costs - Outputs</v>
      </c>
    </row>
    <row r="390" spans="1:8" s="10" customFormat="1" x14ac:dyDescent="0.2"/>
    <row r="391" spans="1:8" s="13" customFormat="1" x14ac:dyDescent="0.2">
      <c r="A391" s="12" t="s">
        <v>125</v>
      </c>
      <c r="B391" s="13" t="str">
        <f>HL_TOP_ACTV_8_Name&amp;" "&amp;Lang_Detailed_Cost_Summary</f>
        <v>SME Activity #4 (Not in Use) Detailed Cost Summary</v>
      </c>
    </row>
    <row r="392" spans="1:8" s="10" customFormat="1" x14ac:dyDescent="0.2"/>
    <row r="393" spans="1:8" s="10" customFormat="1" x14ac:dyDescent="0.2">
      <c r="C393" s="105" t="str">
        <f>HL_TOP_ACTV_8_Name&amp;" "&amp;Lang_Detailed_Cost_Summary</f>
        <v>SME Activity #4 (Not in Use) Detailed Cost Summary</v>
      </c>
    </row>
    <row r="394" spans="1:8" s="10" customFormat="1" ht="24" x14ac:dyDescent="0.2">
      <c r="D394" s="93" t="str">
        <f>Lang_Cost_Category</f>
        <v>Cost Category</v>
      </c>
      <c r="E394" s="94" t="str">
        <f>SUPV_Lu!$D$137&amp;" "&amp;Lang_Cost&amp;" ("&amp;SUPV_Lu!$D$118&amp;")"</f>
        <v>Financial Cost (LCU)</v>
      </c>
      <c r="F394" s="94" t="str">
        <f>SUPV_Lu!$D$138&amp;" "&amp;Lang_Cost&amp;" ("&amp;SUPV_Lu!$D$118&amp;")"</f>
        <v>Economic Cost (LCU)</v>
      </c>
      <c r="G394" s="94" t="str">
        <f>SUPV_Lu!$D$137&amp;" "&amp;Lang_Cost&amp;" ("&amp;SUPV_Lu!$D$117&amp;")"</f>
        <v>Financial Cost (USD)</v>
      </c>
      <c r="H394" s="94" t="str">
        <f>SUPV_Lu!$D$138&amp;" "&amp;Lang_Cost&amp;" ("&amp;SUPV_Lu!$D$117&amp;")"</f>
        <v>Economic Cost (USD)</v>
      </c>
    </row>
    <row r="395" spans="1:8" s="10" customFormat="1" x14ac:dyDescent="0.2">
      <c r="D395" s="49" t="str">
        <f>CALCS_DETAILED!D2118</f>
        <v>Personnel</v>
      </c>
      <c r="E395" s="117">
        <f>CALCS_DETAILED!E2118</f>
        <v>0</v>
      </c>
      <c r="F395" s="117">
        <f>CALCS_DETAILED!F2118</f>
        <v>0</v>
      </c>
      <c r="G395" s="118">
        <f>CALCS_DETAILED!G2118</f>
        <v>0</v>
      </c>
      <c r="H395" s="118">
        <f>CALCS_DETAILED!H2118</f>
        <v>0</v>
      </c>
    </row>
    <row r="396" spans="1:8" s="10" customFormat="1" x14ac:dyDescent="0.2">
      <c r="D396" s="49" t="str">
        <f>CALCS_DETAILED!D2138</f>
        <v>Allowances</v>
      </c>
      <c r="E396" s="117">
        <f>CALCS_DETAILED!E2138</f>
        <v>0</v>
      </c>
      <c r="F396" s="117">
        <f>CALCS_DETAILED!F2138</f>
        <v>0</v>
      </c>
      <c r="G396" s="118">
        <f>CALCS_DETAILED!G2138</f>
        <v>0</v>
      </c>
      <c r="H396" s="118">
        <f>CALCS_DETAILED!H2138</f>
        <v>0</v>
      </c>
    </row>
    <row r="397" spans="1:8" s="10" customFormat="1" x14ac:dyDescent="0.2">
      <c r="D397" s="49" t="str">
        <f>CALCS_DETAILED!D2158</f>
        <v>Supplies and Materials</v>
      </c>
      <c r="E397" s="117">
        <f>CALCS_DETAILED!E2158</f>
        <v>0</v>
      </c>
      <c r="F397" s="117">
        <f>CALCS_DETAILED!F2158</f>
        <v>0</v>
      </c>
      <c r="G397" s="118">
        <f>CALCS_DETAILED!G2158</f>
        <v>0</v>
      </c>
      <c r="H397" s="118">
        <f>CALCS_DETAILED!H2158</f>
        <v>0</v>
      </c>
    </row>
    <row r="398" spans="1:8" s="10" customFormat="1" x14ac:dyDescent="0.2">
      <c r="D398" s="49" t="str">
        <f>CALCS_DETAILED!D2178</f>
        <v>Other Direct Costs</v>
      </c>
      <c r="E398" s="117">
        <f>CALCS_DETAILED!E2178</f>
        <v>0</v>
      </c>
      <c r="F398" s="117">
        <f>CALCS_DETAILED!F2178</f>
        <v>0</v>
      </c>
      <c r="G398" s="118">
        <f>CALCS_DETAILED!G2178</f>
        <v>0</v>
      </c>
      <c r="H398" s="118">
        <f>CALCS_DETAILED!H2178</f>
        <v>0</v>
      </c>
    </row>
    <row r="399" spans="1:8" s="10" customFormat="1" ht="12.75" thickBot="1" x14ac:dyDescent="0.25">
      <c r="D399" s="95" t="str">
        <f>Lang_Total_Single_Activity_Cost</f>
        <v>Total Single Activity Cost</v>
      </c>
      <c r="E399" s="123">
        <f>SUM(E395:E398)</f>
        <v>0</v>
      </c>
      <c r="F399" s="123">
        <f>SUM(F395:F398)</f>
        <v>0</v>
      </c>
      <c r="G399" s="124">
        <f>SUM(G395:G398)</f>
        <v>0</v>
      </c>
      <c r="H399" s="124">
        <f>SUM(H395:H398)</f>
        <v>0</v>
      </c>
    </row>
    <row r="400" spans="1:8" s="10" customFormat="1" x14ac:dyDescent="0.2"/>
    <row r="401" spans="1:8" s="10" customFormat="1" x14ac:dyDescent="0.2">
      <c r="D401" s="76" t="str">
        <f>Lang_GoTo&amp;" "&amp;HL_TOP_ACTV_8_Personnel_Outputs</f>
        <v>Go to SME Activity #4 (Not in Use) Personnel - Outputs</v>
      </c>
    </row>
    <row r="402" spans="1:8" s="10" customFormat="1" x14ac:dyDescent="0.2">
      <c r="D402" s="76" t="str">
        <f>Lang_GoTo&amp;" "&amp;HL_TOP_ACTV_8_Out_A</f>
        <v>Go to SME Activity #4 (Not in Use) Allowances - Outputs</v>
      </c>
    </row>
    <row r="403" spans="1:8" s="10" customFormat="1" x14ac:dyDescent="0.2">
      <c r="D403" s="76" t="str">
        <f>Lang_GoTo&amp;" "&amp;HL_TOP_ACTV_8_Supplies_and_Materials_Outputs</f>
        <v>Go to SME Activity #4 (Not in Use) Supplies and Materials - Outputs</v>
      </c>
    </row>
    <row r="404" spans="1:8" s="10" customFormat="1" x14ac:dyDescent="0.2">
      <c r="D404" s="76" t="str">
        <f>Lang_GoTo&amp;" "&amp;HL_TOP_ACTV_8_Other_Direct_Costs_Outputs</f>
        <v>Go to SME Activity #4 (Not in Use) Other Direct Costs - Outputs</v>
      </c>
    </row>
    <row r="405" spans="1:8" s="10" customFormat="1" x14ac:dyDescent="0.2"/>
    <row r="406" spans="1:8" s="13" customFormat="1" x14ac:dyDescent="0.2">
      <c r="A406" s="12" t="s">
        <v>125</v>
      </c>
      <c r="B406" s="13" t="str">
        <f>HL_LVL2_ACTV_5_Name&amp;" "&amp;Lang_Detailed_Cost_Summary</f>
        <v>SME Activity #5 (Not in Use) Detailed Cost Summary</v>
      </c>
    </row>
    <row r="407" spans="1:8" s="10" customFormat="1" x14ac:dyDescent="0.2"/>
    <row r="408" spans="1:8" s="10" customFormat="1" x14ac:dyDescent="0.2">
      <c r="C408" s="65" t="str">
        <f>HL_LVL2_ACTV_5_Name&amp;" "&amp;Lang_Detailed_Cost_Summary</f>
        <v>SME Activity #5 (Not in Use) Detailed Cost Summary</v>
      </c>
    </row>
    <row r="409" spans="1:8" s="10" customFormat="1" x14ac:dyDescent="0.2"/>
    <row r="410" spans="1:8" s="10" customFormat="1" ht="24" x14ac:dyDescent="0.2">
      <c r="D410" s="93" t="str">
        <f>Lang_Cost_Category</f>
        <v>Cost Category</v>
      </c>
      <c r="E410" s="94" t="str">
        <f>SUPV_Lu!$D$172&amp;" "&amp;Lang_Cost&amp;" ("&amp;SUPV_Lu!$D$153&amp;")"</f>
        <v>Financial Cost (LCU)</v>
      </c>
      <c r="F410" s="94" t="str">
        <f>SUPV_Lu!$D$173&amp;" "&amp;Lang_Cost&amp;" ("&amp;SUPV_Lu!$D$153&amp;")"</f>
        <v>Economic Cost (LCU)</v>
      </c>
      <c r="G410" s="94" t="str">
        <f>SUPV_Lu!$D$172&amp;" "&amp;Lang_Cost&amp;" ("&amp;SUPV_Lu!$D$152&amp;")"</f>
        <v>Financial Cost (USD)</v>
      </c>
      <c r="H410" s="94" t="str">
        <f>SUPV_Lu!$D$173&amp;" "&amp;Lang_Cost&amp;" ("&amp;SUPV_Lu!$D$152&amp;")"</f>
        <v>Economic Cost (USD)</v>
      </c>
    </row>
    <row r="411" spans="1:8" s="10" customFormat="1" x14ac:dyDescent="0.2">
      <c r="D411" s="49" t="str">
        <f>CALCS_DETAILED!D2202</f>
        <v>Personnel</v>
      </c>
      <c r="E411" s="117">
        <f>CALCS_DETAILED!E2202</f>
        <v>0</v>
      </c>
      <c r="F411" s="117">
        <f>CALCS_DETAILED!F2202</f>
        <v>0</v>
      </c>
      <c r="G411" s="118">
        <f>CALCS_DETAILED!G2202</f>
        <v>0</v>
      </c>
      <c r="H411" s="118">
        <f>CALCS_DETAILED!H2202</f>
        <v>0</v>
      </c>
    </row>
    <row r="412" spans="1:8" s="10" customFormat="1" x14ac:dyDescent="0.2">
      <c r="D412" s="49" t="str">
        <f>CALCS_DETAILED!D2222</f>
        <v>Allowances</v>
      </c>
      <c r="E412" s="117">
        <f>CALCS_DETAILED!E2222</f>
        <v>0</v>
      </c>
      <c r="F412" s="117">
        <f>CALCS_DETAILED!F2222</f>
        <v>0</v>
      </c>
      <c r="G412" s="118">
        <f>CALCS_DETAILED!G2222</f>
        <v>0</v>
      </c>
      <c r="H412" s="118">
        <f>CALCS_DETAILED!H2222</f>
        <v>0</v>
      </c>
    </row>
    <row r="413" spans="1:8" s="10" customFormat="1" x14ac:dyDescent="0.2">
      <c r="D413" s="49" t="str">
        <f>CALCS_DETAILED!D2242</f>
        <v>Supplies and Materials</v>
      </c>
      <c r="E413" s="117">
        <f>CALCS_DETAILED!E2242</f>
        <v>0</v>
      </c>
      <c r="F413" s="117">
        <f>CALCS_DETAILED!F2242</f>
        <v>0</v>
      </c>
      <c r="G413" s="118">
        <f>CALCS_DETAILED!G2242</f>
        <v>0</v>
      </c>
      <c r="H413" s="118">
        <f>CALCS_DETAILED!H2242</f>
        <v>0</v>
      </c>
    </row>
    <row r="414" spans="1:8" s="10" customFormat="1" x14ac:dyDescent="0.2">
      <c r="D414" s="49" t="str">
        <f>CALCS_DETAILED!D2262</f>
        <v>Other Direct Costs</v>
      </c>
      <c r="E414" s="117">
        <f>CALCS_DETAILED!E2262</f>
        <v>0</v>
      </c>
      <c r="F414" s="117">
        <f>CALCS_DETAILED!F2262</f>
        <v>0</v>
      </c>
      <c r="G414" s="118">
        <f>CALCS_DETAILED!G2262</f>
        <v>0</v>
      </c>
      <c r="H414" s="118">
        <f>CALCS_DETAILED!H2262</f>
        <v>0</v>
      </c>
    </row>
    <row r="415" spans="1:8" s="10" customFormat="1" ht="12.75" thickBot="1" x14ac:dyDescent="0.25">
      <c r="D415" s="95" t="str">
        <f>Lang_Total_Single_Activity_Cost</f>
        <v>Total Single Activity Cost</v>
      </c>
      <c r="E415" s="123">
        <f>SUM(E411:E414)</f>
        <v>0</v>
      </c>
      <c r="F415" s="123">
        <f>SUM(F411:F414)</f>
        <v>0</v>
      </c>
      <c r="G415" s="124">
        <f>SUM(G411:G414)</f>
        <v>0</v>
      </c>
      <c r="H415" s="124">
        <f>SUM(H411:H414)</f>
        <v>0</v>
      </c>
    </row>
    <row r="416" spans="1:8" s="10" customFormat="1" x14ac:dyDescent="0.2"/>
    <row r="417" spans="1:8" s="10" customFormat="1" x14ac:dyDescent="0.2">
      <c r="D417" s="76" t="str">
        <f>Lang_GoTo&amp;" "&amp;HL_LVL2_ACTV_5_Personnel_Outputs</f>
        <v>Go to SME Activity #5 (Not in Use) Personnel - Outputs</v>
      </c>
    </row>
    <row r="418" spans="1:8" s="10" customFormat="1" x14ac:dyDescent="0.2">
      <c r="D418" s="76" t="str">
        <f>Lang_GoTo&amp;" "&amp;HL_LVL2_ACTV_5_Out_A</f>
        <v>Go to SME Activity #5 (Not in Use) Allowances - Outputs</v>
      </c>
    </row>
    <row r="419" spans="1:8" s="10" customFormat="1" x14ac:dyDescent="0.2">
      <c r="D419" s="76" t="str">
        <f>Lang_GoTo&amp;" "&amp;HL_LVL2_ACTV_5_Supplies_and_Materials_Outputs</f>
        <v>Go to SME Activity #5 (Not in Use) Supplies and Materials - Outputs</v>
      </c>
    </row>
    <row r="420" spans="1:8" s="10" customFormat="1" x14ac:dyDescent="0.2">
      <c r="D420" s="76" t="str">
        <f>Lang_GoTo&amp;" "&amp;HL_LVL2_ACTV_5_Other_Direct_Costs_Outputs</f>
        <v>Go to SME Activity #5 (Not in Use) Other Direct Costs - Outputs</v>
      </c>
    </row>
    <row r="421" spans="1:8" s="10" customFormat="1" x14ac:dyDescent="0.2"/>
    <row r="422" spans="1:8" s="13" customFormat="1" x14ac:dyDescent="0.2">
      <c r="A422" s="12" t="s">
        <v>125</v>
      </c>
      <c r="B422" s="13" t="str">
        <f>HL_LVL2_ACTV_14_Name&amp;" "&amp;Lang_Detailed_Cost_Summary</f>
        <v>SME Activity #6 (Not in Use) Detailed Cost Summary</v>
      </c>
    </row>
    <row r="423" spans="1:8" s="10" customFormat="1" x14ac:dyDescent="0.2"/>
    <row r="424" spans="1:8" s="10" customFormat="1" x14ac:dyDescent="0.2">
      <c r="C424" s="65" t="str">
        <f>HL_LVL2_ACTV_14_Name&amp;" "&amp;Lang_Detailed_Cost_Summary</f>
        <v>SME Activity #6 (Not in Use) Detailed Cost Summary</v>
      </c>
    </row>
    <row r="425" spans="1:8" s="10" customFormat="1" x14ac:dyDescent="0.2"/>
    <row r="426" spans="1:8" s="10" customFormat="1" ht="24" x14ac:dyDescent="0.2">
      <c r="D426" s="93" t="str">
        <f>Lang_Cost_Category</f>
        <v>Cost Category</v>
      </c>
      <c r="E426" s="94" t="str">
        <f>SUPV_Lu!$D$207&amp;" "&amp;Lang_Cost&amp;" ("&amp;SUPV_Lu!$D$188&amp;")"</f>
        <v>Financial Cost (LCU)</v>
      </c>
      <c r="F426" s="94" t="str">
        <f>SUPV_Lu!$D$208&amp;" "&amp;Lang_Cost&amp;" ("&amp;SUPV_Lu!$D$188&amp;")"</f>
        <v>Economic Cost (LCU)</v>
      </c>
      <c r="G426" s="94" t="str">
        <f>SUPV_Lu!$D$207&amp;" "&amp;Lang_Cost&amp;" ("&amp;SUPV_Lu!$D$187&amp;")"</f>
        <v>Financial Cost (USD)</v>
      </c>
      <c r="H426" s="94" t="str">
        <f>SUPV_Lu!$D$208&amp;" "&amp;Lang_Cost&amp;" ("&amp;SUPV_Lu!$D$187&amp;")"</f>
        <v>Economic Cost (USD)</v>
      </c>
    </row>
    <row r="427" spans="1:8" s="10" customFormat="1" x14ac:dyDescent="0.2">
      <c r="D427" s="49" t="str">
        <f>CALCS_DETAILED!D2286</f>
        <v>Personnel</v>
      </c>
      <c r="E427" s="117">
        <f>CALCS_DETAILED!E2286</f>
        <v>0</v>
      </c>
      <c r="F427" s="117">
        <f>CALCS_DETAILED!F2286</f>
        <v>0</v>
      </c>
      <c r="G427" s="118">
        <f>CALCS_DETAILED!G2286</f>
        <v>0</v>
      </c>
      <c r="H427" s="118">
        <f>CALCS_DETAILED!H2286</f>
        <v>0</v>
      </c>
    </row>
    <row r="428" spans="1:8" s="10" customFormat="1" x14ac:dyDescent="0.2">
      <c r="D428" s="49" t="str">
        <f>CALCS_DETAILED!D2306</f>
        <v>Allowances</v>
      </c>
      <c r="E428" s="117">
        <f>CALCS_DETAILED!E2306</f>
        <v>0</v>
      </c>
      <c r="F428" s="117">
        <f>CALCS_DETAILED!F2306</f>
        <v>0</v>
      </c>
      <c r="G428" s="118">
        <f>CALCS_DETAILED!G2306</f>
        <v>0</v>
      </c>
      <c r="H428" s="118">
        <f>CALCS_DETAILED!H2306</f>
        <v>0</v>
      </c>
    </row>
    <row r="429" spans="1:8" s="10" customFormat="1" x14ac:dyDescent="0.2">
      <c r="D429" s="49" t="str">
        <f>CALCS_DETAILED!D2326</f>
        <v>Supplies and Materials</v>
      </c>
      <c r="E429" s="117">
        <f>CALCS_DETAILED!E2326</f>
        <v>0</v>
      </c>
      <c r="F429" s="117">
        <f>CALCS_DETAILED!F2326</f>
        <v>0</v>
      </c>
      <c r="G429" s="118">
        <f>CALCS_DETAILED!G2326</f>
        <v>0</v>
      </c>
      <c r="H429" s="118">
        <f>CALCS_DETAILED!H2326</f>
        <v>0</v>
      </c>
    </row>
    <row r="430" spans="1:8" s="10" customFormat="1" x14ac:dyDescent="0.2">
      <c r="D430" s="49" t="str">
        <f>CALCS_DETAILED!D2346</f>
        <v>Other Direct Costs</v>
      </c>
      <c r="E430" s="117">
        <f>CALCS_DETAILED!E2346</f>
        <v>0</v>
      </c>
      <c r="F430" s="117">
        <f>CALCS_DETAILED!F2346</f>
        <v>0</v>
      </c>
      <c r="G430" s="118">
        <f>CALCS_DETAILED!G2346</f>
        <v>0</v>
      </c>
      <c r="H430" s="118">
        <f>CALCS_DETAILED!H2346</f>
        <v>0</v>
      </c>
    </row>
    <row r="431" spans="1:8" s="10" customFormat="1" ht="12.75" thickBot="1" x14ac:dyDescent="0.25">
      <c r="D431" s="95" t="str">
        <f>Lang_Total_Single_Activity_Cost</f>
        <v>Total Single Activity Cost</v>
      </c>
      <c r="E431" s="123">
        <f>SUM(E427:E430)</f>
        <v>0</v>
      </c>
      <c r="F431" s="123">
        <f>SUM(F427:F430)</f>
        <v>0</v>
      </c>
      <c r="G431" s="124">
        <f>SUM(G427:G430)</f>
        <v>0</v>
      </c>
      <c r="H431" s="124">
        <f>SUM(H427:H430)</f>
        <v>0</v>
      </c>
    </row>
    <row r="432" spans="1:8" s="10" customFormat="1" x14ac:dyDescent="0.2"/>
    <row r="433" spans="1:8" s="10" customFormat="1" x14ac:dyDescent="0.2">
      <c r="D433" s="76" t="str">
        <f>Lang_GoTo&amp;" "&amp;HL_LVL2_ACTV_14_Personnel_Outputs</f>
        <v>Go to SME Activity #6 (Not in Use) Personnel - Outputs</v>
      </c>
    </row>
    <row r="434" spans="1:8" s="10" customFormat="1" x14ac:dyDescent="0.2">
      <c r="D434" s="76" t="str">
        <f>Lang_GoTo&amp;" "&amp;HL_LVL2_ACTV_14_Out_A</f>
        <v>Go to SME Activity #6 (Not in Use) Allowances - Outputs</v>
      </c>
    </row>
    <row r="435" spans="1:8" s="10" customFormat="1" x14ac:dyDescent="0.2">
      <c r="D435" s="76" t="str">
        <f>Lang_GoTo&amp;" "&amp;HL_LVL2_ACTV_14_Supplies_and_Materials_Outputs</f>
        <v>Go to SME Activity #6 (Not in Use) Supplies and Materials - Outputs</v>
      </c>
    </row>
    <row r="436" spans="1:8" s="10" customFormat="1" x14ac:dyDescent="0.2">
      <c r="D436" s="76" t="str">
        <f>Lang_GoTo&amp;" "&amp;HL_LVL2_ACTV_14_Other_Direct_Costs_Outputs</f>
        <v>Go to SME Activity #6 (Not in Use) Other Direct Costs - Outputs</v>
      </c>
    </row>
    <row r="437" spans="1:8" s="10" customFormat="1" x14ac:dyDescent="0.2"/>
    <row r="438" spans="1:8" s="13" customFormat="1" x14ac:dyDescent="0.2">
      <c r="A438" s="12" t="s">
        <v>125</v>
      </c>
      <c r="B438" s="13" t="str">
        <f>HL_LVL2_ACTV_15_Name&amp;" "&amp;Lang_Detailed_Cost_Summary</f>
        <v>SME Activity #7 (Not in Use) Detailed Cost Summary</v>
      </c>
    </row>
    <row r="439" spans="1:8" s="10" customFormat="1" x14ac:dyDescent="0.2"/>
    <row r="440" spans="1:8" s="10" customFormat="1" x14ac:dyDescent="0.2">
      <c r="C440" s="65" t="str">
        <f>HL_LVL2_ACTV_15_Name&amp;" "&amp;Lang_Detailed_Cost_Summary</f>
        <v>SME Activity #7 (Not in Use) Detailed Cost Summary</v>
      </c>
    </row>
    <row r="441" spans="1:8" s="10" customFormat="1" x14ac:dyDescent="0.2"/>
    <row r="442" spans="1:8" s="10" customFormat="1" ht="24" x14ac:dyDescent="0.2">
      <c r="D442" s="93" t="str">
        <f>Lang_Cost_Category</f>
        <v>Cost Category</v>
      </c>
      <c r="E442" s="94" t="str">
        <f>SUPV_Lu!$D$242&amp;" "&amp;Lang_Cost&amp;" ("&amp;SUPV_Lu!$D$223&amp;")"</f>
        <v>Financial Cost (LCU)</v>
      </c>
      <c r="F442" s="94" t="str">
        <f>SUPV_Lu!$D$243&amp;" "&amp;Lang_Cost&amp;" ("&amp;SUPV_Lu!$D$223&amp;")"</f>
        <v>Economic Cost (LCU)</v>
      </c>
      <c r="G442" s="94" t="str">
        <f>SUPV_Lu!$D$242&amp;" "&amp;Lang_Cost&amp;" ("&amp;SUPV_Lu!$D$222&amp;")"</f>
        <v>Financial Cost (USD)</v>
      </c>
      <c r="H442" s="94" t="str">
        <f>SUPV_Lu!$D$243&amp;" "&amp;Lang_Cost&amp;" ("&amp;SUPV_Lu!$D$222&amp;")"</f>
        <v>Economic Cost (USD)</v>
      </c>
    </row>
    <row r="443" spans="1:8" s="10" customFormat="1" x14ac:dyDescent="0.2">
      <c r="D443" s="49" t="str">
        <f>CALCS_DETAILED!D2370</f>
        <v>Personnel</v>
      </c>
      <c r="E443" s="117">
        <f>CALCS_DETAILED!E2370</f>
        <v>0</v>
      </c>
      <c r="F443" s="117">
        <f>CALCS_DETAILED!F2370</f>
        <v>0</v>
      </c>
      <c r="G443" s="118">
        <f>CALCS_DETAILED!G2370</f>
        <v>0</v>
      </c>
      <c r="H443" s="118">
        <f>CALCS_DETAILED!H2370</f>
        <v>0</v>
      </c>
    </row>
    <row r="444" spans="1:8" s="10" customFormat="1" x14ac:dyDescent="0.2">
      <c r="D444" s="49" t="str">
        <f>CALCS_DETAILED!D2390</f>
        <v>Allowances</v>
      </c>
      <c r="E444" s="117">
        <f>CALCS_DETAILED!E2390</f>
        <v>0</v>
      </c>
      <c r="F444" s="117">
        <f>CALCS_DETAILED!F2390</f>
        <v>0</v>
      </c>
      <c r="G444" s="118">
        <f>CALCS_DETAILED!G2390</f>
        <v>0</v>
      </c>
      <c r="H444" s="118">
        <f>CALCS_DETAILED!H2390</f>
        <v>0</v>
      </c>
    </row>
    <row r="445" spans="1:8" s="10" customFormat="1" x14ac:dyDescent="0.2">
      <c r="D445" s="49" t="str">
        <f>CALCS_DETAILED!D2410</f>
        <v>Supplies and Materials</v>
      </c>
      <c r="E445" s="117">
        <f>CALCS_DETAILED!E2410</f>
        <v>0</v>
      </c>
      <c r="F445" s="117">
        <f>CALCS_DETAILED!F2410</f>
        <v>0</v>
      </c>
      <c r="G445" s="118">
        <f>CALCS_DETAILED!G2410</f>
        <v>0</v>
      </c>
      <c r="H445" s="118">
        <f>CALCS_DETAILED!H2410</f>
        <v>0</v>
      </c>
    </row>
    <row r="446" spans="1:8" s="10" customFormat="1" x14ac:dyDescent="0.2">
      <c r="D446" s="49" t="str">
        <f>CALCS_DETAILED!D2430</f>
        <v>Other Direct Costs</v>
      </c>
      <c r="E446" s="117">
        <f>CALCS_DETAILED!E2430</f>
        <v>0</v>
      </c>
      <c r="F446" s="117">
        <f>CALCS_DETAILED!F2430</f>
        <v>0</v>
      </c>
      <c r="G446" s="118">
        <f>CALCS_DETAILED!G2430</f>
        <v>0</v>
      </c>
      <c r="H446" s="118">
        <f>CALCS_DETAILED!H2430</f>
        <v>0</v>
      </c>
    </row>
    <row r="447" spans="1:8" s="10" customFormat="1" ht="12.75" thickBot="1" x14ac:dyDescent="0.25">
      <c r="D447" s="95" t="str">
        <f>Lang_Total_Single_Activity_Cost</f>
        <v>Total Single Activity Cost</v>
      </c>
      <c r="E447" s="123">
        <f>SUM(E443:E446)</f>
        <v>0</v>
      </c>
      <c r="F447" s="123">
        <f>SUM(F443:F446)</f>
        <v>0</v>
      </c>
      <c r="G447" s="124">
        <f>SUM(G443:G446)</f>
        <v>0</v>
      </c>
      <c r="H447" s="124">
        <f>SUM(H443:H446)</f>
        <v>0</v>
      </c>
    </row>
    <row r="448" spans="1:8" s="10" customFormat="1" x14ac:dyDescent="0.2"/>
    <row r="449" spans="1:8" s="10" customFormat="1" x14ac:dyDescent="0.2">
      <c r="D449" s="76" t="str">
        <f>Lang_GoTo&amp;" "&amp;HL_LVL2_ACTV_15_Personnel_Outputs</f>
        <v>Go to SME Activity #7 (Not in Use) Personnel - Outputs</v>
      </c>
    </row>
    <row r="450" spans="1:8" s="10" customFormat="1" x14ac:dyDescent="0.2">
      <c r="D450" s="76" t="str">
        <f>Lang_GoTo&amp;" "&amp;HL_LVL2_ACTV_15_Out_A</f>
        <v>Go to SME Activity #7 (Not in Use) Allowances - Outputs</v>
      </c>
    </row>
    <row r="451" spans="1:8" s="10" customFormat="1" x14ac:dyDescent="0.2">
      <c r="D451" s="76" t="str">
        <f>Lang_GoTo&amp;" "&amp;HL_LVL2_ACTV_15_Supplies_and_Materials_Outputs</f>
        <v>Go to SME Activity #7 (Not in Use) Supplies and Materials - Outputs</v>
      </c>
    </row>
    <row r="452" spans="1:8" s="10" customFormat="1" x14ac:dyDescent="0.2">
      <c r="D452" s="76" t="str">
        <f>Lang_GoTo&amp;" "&amp;HL_LVL2_ACTV_15_Other_Direct_Costs_Outputs</f>
        <v>Go to SME Activity #7 (Not in Use) Other Direct Costs - Outputs</v>
      </c>
    </row>
    <row r="453" spans="1:8" s="10" customFormat="1" x14ac:dyDescent="0.2"/>
    <row r="454" spans="1:8" s="13" customFormat="1" x14ac:dyDescent="0.2">
      <c r="A454" s="12" t="s">
        <v>125</v>
      </c>
      <c r="B454" s="13" t="str">
        <f>HL_LVL2_ACTV_6_Name&amp;" "&amp;Lang_Detailed_Cost_Summary</f>
        <v>Single Vaccination Service Delivery Type 1 Detailed Cost Summary</v>
      </c>
    </row>
    <row r="455" spans="1:8" s="10" customFormat="1" x14ac:dyDescent="0.2"/>
    <row r="456" spans="1:8" s="10" customFormat="1" x14ac:dyDescent="0.2">
      <c r="C456" s="65" t="str">
        <f>HL_LVL2_ACTV_6_Name&amp;" "&amp;Lang_Detailed_Cost_Summary</f>
        <v>Single Vaccination Service Delivery Type 1 Detailed Cost Summary</v>
      </c>
    </row>
    <row r="457" spans="1:8" s="10" customFormat="1" x14ac:dyDescent="0.2"/>
    <row r="458" spans="1:8" s="10" customFormat="1" ht="24" x14ac:dyDescent="0.2">
      <c r="D458" s="93" t="str">
        <f>Lang_Cost_Category</f>
        <v>Cost Category</v>
      </c>
      <c r="E458" s="94" t="str">
        <f>SD_Lu!$D$32&amp;" "&amp;Lang_Cost&amp;" ("&amp;SD_Lu!$D$13&amp;")"</f>
        <v>Financial Cost (LCU)</v>
      </c>
      <c r="F458" s="94" t="str">
        <f>SD_Lu!$D$33&amp;" "&amp;Lang_Cost&amp;" ("&amp;SD_Lu!$D$13&amp;")"</f>
        <v>Economic Cost (LCU)</v>
      </c>
      <c r="G458" s="94" t="str">
        <f>SD_Lu!$D$32&amp;" "&amp;Lang_Cost&amp;" ("&amp;SD_Lu!$D$12&amp;")"</f>
        <v>Financial Cost (USD)</v>
      </c>
      <c r="H458" s="94" t="str">
        <f>SD_Lu!$D$33&amp;" "&amp;Lang_Cost&amp;" ("&amp;SD_Lu!$D$12&amp;")"</f>
        <v>Economic Cost (USD)</v>
      </c>
    </row>
    <row r="459" spans="1:8" s="10" customFormat="1" x14ac:dyDescent="0.2">
      <c r="D459" s="49" t="str">
        <f>CALCS_DETAILED!D2874</f>
        <v>Personnel</v>
      </c>
      <c r="E459" s="117">
        <f>CALCS_DETAILED!E2874</f>
        <v>0</v>
      </c>
      <c r="F459" s="117">
        <f>CALCS_DETAILED!F2874</f>
        <v>0</v>
      </c>
      <c r="G459" s="118">
        <f>CALCS_DETAILED!G2874</f>
        <v>0</v>
      </c>
      <c r="H459" s="118">
        <f>CALCS_DETAILED!H2874</f>
        <v>0</v>
      </c>
    </row>
    <row r="460" spans="1:8" s="10" customFormat="1" x14ac:dyDescent="0.2">
      <c r="D460" s="49" t="str">
        <f>CALCS_DETAILED!D2894</f>
        <v>Allowances</v>
      </c>
      <c r="E460" s="117">
        <f>CALCS_DETAILED!E2894</f>
        <v>0</v>
      </c>
      <c r="F460" s="117">
        <f>CALCS_DETAILED!F2894</f>
        <v>0</v>
      </c>
      <c r="G460" s="118">
        <f>CALCS_DETAILED!G2894</f>
        <v>0</v>
      </c>
      <c r="H460" s="118">
        <f>CALCS_DETAILED!H2894</f>
        <v>0</v>
      </c>
    </row>
    <row r="461" spans="1:8" s="10" customFormat="1" x14ac:dyDescent="0.2">
      <c r="D461" s="49" t="str">
        <f>CALCS_DETAILED!D2914</f>
        <v>Supplies and Materials</v>
      </c>
      <c r="E461" s="117">
        <f>CALCS_DETAILED!E2914</f>
        <v>0</v>
      </c>
      <c r="F461" s="117">
        <f>CALCS_DETAILED!F2914</f>
        <v>0</v>
      </c>
      <c r="G461" s="118">
        <f>CALCS_DETAILED!G2914</f>
        <v>0</v>
      </c>
      <c r="H461" s="118">
        <f>CALCS_DETAILED!H2914</f>
        <v>0</v>
      </c>
    </row>
    <row r="462" spans="1:8" s="10" customFormat="1" x14ac:dyDescent="0.2">
      <c r="D462" s="49" t="str">
        <f>CALCS_DETAILED!D2934</f>
        <v>Other Direct Costs</v>
      </c>
      <c r="E462" s="117">
        <f>CALCS_DETAILED!E2934</f>
        <v>0</v>
      </c>
      <c r="F462" s="117">
        <f>CALCS_DETAILED!F2934</f>
        <v>0</v>
      </c>
      <c r="G462" s="118">
        <f>CALCS_DETAILED!G2934</f>
        <v>0</v>
      </c>
      <c r="H462" s="118">
        <f>CALCS_DETAILED!H2934</f>
        <v>0</v>
      </c>
    </row>
    <row r="463" spans="1:8" s="10" customFormat="1" ht="12.75" thickBot="1" x14ac:dyDescent="0.25">
      <c r="D463" s="95" t="str">
        <f>Lang_Total_Single_Activity_Cost</f>
        <v>Total Single Activity Cost</v>
      </c>
      <c r="E463" s="123">
        <f>SUM(E459:E462)</f>
        <v>0</v>
      </c>
      <c r="F463" s="123">
        <f>SUM(F459:F462)</f>
        <v>0</v>
      </c>
      <c r="G463" s="124">
        <f>SUM(G459:G462)</f>
        <v>0</v>
      </c>
      <c r="H463" s="124">
        <f>SUM(H459:H462)</f>
        <v>0</v>
      </c>
    </row>
    <row r="464" spans="1:8" s="10" customFormat="1" x14ac:dyDescent="0.2"/>
    <row r="465" spans="1:8" s="10" customFormat="1" x14ac:dyDescent="0.2">
      <c r="D465" s="76" t="str">
        <f>Lang_GoTo&amp;" "&amp;HL_LVL2_ACTV_6_Personnel_Outputs</f>
        <v>Go to Single Vaccination Service Delivery Type 1 Personnel - Outputs</v>
      </c>
    </row>
    <row r="466" spans="1:8" s="10" customFormat="1" x14ac:dyDescent="0.2">
      <c r="D466" s="76" t="str">
        <f>Lang_GoTo&amp;" "&amp;HL_LVL2_ACTV_6_Out_A</f>
        <v>Go to Single Vaccination Service Delivery Type 1 Allowances - Outputs</v>
      </c>
    </row>
    <row r="467" spans="1:8" s="10" customFormat="1" x14ac:dyDescent="0.2">
      <c r="D467" s="76" t="str">
        <f>Lang_GoTo&amp;" "&amp;HL_LVL2_ACTV_6_Supplies_and_Materials_Outputs</f>
        <v>Go to Single Vaccination Service Delivery Type 1 Supplies and Materials - Outputs</v>
      </c>
    </row>
    <row r="468" spans="1:8" s="10" customFormat="1" x14ac:dyDescent="0.2">
      <c r="D468" s="76" t="str">
        <f>Lang_GoTo&amp;" "&amp;HL_LVL2_ACTV_6_Other_Direct_Costs_Outputs</f>
        <v>Go to Single Vaccination Service Delivery Type 1 Other Direct Costs - Outputs</v>
      </c>
    </row>
    <row r="469" spans="1:8" s="10" customFormat="1" x14ac:dyDescent="0.2"/>
    <row r="470" spans="1:8" s="13" customFormat="1" x14ac:dyDescent="0.2">
      <c r="A470" s="12" t="s">
        <v>125</v>
      </c>
      <c r="B470" s="13" t="str">
        <f>HL_LVL2_ACTV_12_Name&amp;" "&amp;Lang_Detailed_Cost_Summary</f>
        <v>Single Vaccination Service Delivery Type 2 Detailed Cost Summary</v>
      </c>
    </row>
    <row r="471" spans="1:8" s="10" customFormat="1" x14ac:dyDescent="0.2"/>
    <row r="472" spans="1:8" s="10" customFormat="1" x14ac:dyDescent="0.2">
      <c r="C472" s="65" t="str">
        <f>HL_LVL2_ACTV_12_Name&amp;" "&amp;Lang_Detailed_Cost_Summary</f>
        <v>Single Vaccination Service Delivery Type 2 Detailed Cost Summary</v>
      </c>
    </row>
    <row r="473" spans="1:8" s="10" customFormat="1" x14ac:dyDescent="0.2"/>
    <row r="474" spans="1:8" s="10" customFormat="1" ht="24" x14ac:dyDescent="0.2">
      <c r="D474" s="93" t="str">
        <f>Lang_Cost_Category</f>
        <v>Cost Category</v>
      </c>
      <c r="E474" s="94" t="str">
        <f>SD_Lu!$D$67&amp;" "&amp;Lang_Cost&amp;" ("&amp;SD_Lu!$D$48&amp;")"</f>
        <v>Financial Cost (LCU)</v>
      </c>
      <c r="F474" s="94" t="str">
        <f>SD_Lu!$D$68&amp;" "&amp;Lang_Cost&amp;" ("&amp;SD_Lu!$D$48&amp;")"</f>
        <v>Economic Cost (LCU)</v>
      </c>
      <c r="G474" s="94" t="str">
        <f>SD_Lu!$D$67&amp;" "&amp;Lang_Cost&amp;" ("&amp;SD_Lu!$D$47&amp;")"</f>
        <v>Financial Cost (USD)</v>
      </c>
      <c r="H474" s="94" t="str">
        <f>SD_Lu!$D$68&amp;" "&amp;Lang_Cost&amp;" ("&amp;SD_Lu!$D$47&amp;")"</f>
        <v>Economic Cost (USD)</v>
      </c>
    </row>
    <row r="475" spans="1:8" s="10" customFormat="1" x14ac:dyDescent="0.2">
      <c r="D475" s="49" t="str">
        <f>CALCS_DETAILED!D3042</f>
        <v>Personnel</v>
      </c>
      <c r="E475" s="117">
        <f>CALCS_DETAILED!E3042</f>
        <v>0</v>
      </c>
      <c r="F475" s="117">
        <f>CALCS_DETAILED!F3042</f>
        <v>0</v>
      </c>
      <c r="G475" s="118">
        <f>CALCS_DETAILED!G3042</f>
        <v>0</v>
      </c>
      <c r="H475" s="118">
        <f>CALCS_DETAILED!H3042</f>
        <v>0</v>
      </c>
    </row>
    <row r="476" spans="1:8" s="10" customFormat="1" x14ac:dyDescent="0.2">
      <c r="D476" s="49" t="str">
        <f>CALCS_DETAILED!D2978</f>
        <v>Allowances</v>
      </c>
      <c r="E476" s="117">
        <f>CALCS_DETAILED!E2978</f>
        <v>0</v>
      </c>
      <c r="F476" s="117">
        <f>CALCS_DETAILED!F2978</f>
        <v>0</v>
      </c>
      <c r="G476" s="118">
        <f>CALCS_DETAILED!G2978</f>
        <v>0</v>
      </c>
      <c r="H476" s="118">
        <f>CALCS_DETAILED!H2978</f>
        <v>0</v>
      </c>
    </row>
    <row r="477" spans="1:8" s="10" customFormat="1" x14ac:dyDescent="0.2">
      <c r="D477" s="49" t="str">
        <f>CALCS_DETAILED!D2998</f>
        <v>Supplies and Materials</v>
      </c>
      <c r="E477" s="117">
        <f>CALCS_DETAILED!E2998</f>
        <v>0</v>
      </c>
      <c r="F477" s="117">
        <f>CALCS_DETAILED!F2998</f>
        <v>0</v>
      </c>
      <c r="G477" s="118">
        <f>CALCS_DETAILED!G2998</f>
        <v>0</v>
      </c>
      <c r="H477" s="118">
        <f>CALCS_DETAILED!H2998</f>
        <v>0</v>
      </c>
    </row>
    <row r="478" spans="1:8" s="10" customFormat="1" x14ac:dyDescent="0.2">
      <c r="D478" s="49" t="str">
        <f>CALCS_DETAILED!D3018</f>
        <v>Other Direct Costs</v>
      </c>
      <c r="E478" s="117">
        <f>CALCS_DETAILED!E3018</f>
        <v>0</v>
      </c>
      <c r="F478" s="117">
        <f>CALCS_DETAILED!F3018</f>
        <v>0</v>
      </c>
      <c r="G478" s="118">
        <f>CALCS_DETAILED!G3018</f>
        <v>0</v>
      </c>
      <c r="H478" s="118">
        <f>CALCS_DETAILED!H3018</f>
        <v>0</v>
      </c>
    </row>
    <row r="479" spans="1:8" s="10" customFormat="1" ht="12.75" thickBot="1" x14ac:dyDescent="0.25">
      <c r="D479" s="95" t="str">
        <f>Lang_Total_Single_Activity_Cost</f>
        <v>Total Single Activity Cost</v>
      </c>
      <c r="E479" s="123">
        <f>SUM(E475:E478)</f>
        <v>0</v>
      </c>
      <c r="F479" s="123">
        <f>SUM(F475:F478)</f>
        <v>0</v>
      </c>
      <c r="G479" s="124">
        <f>SUM(G475:G478)</f>
        <v>0</v>
      </c>
      <c r="H479" s="124">
        <f>SUM(H475:H478)</f>
        <v>0</v>
      </c>
    </row>
    <row r="480" spans="1:8" s="10" customFormat="1" x14ac:dyDescent="0.2"/>
    <row r="481" spans="1:8" s="10" customFormat="1" x14ac:dyDescent="0.2">
      <c r="D481" s="76" t="str">
        <f>Lang_GoTo&amp;" "&amp;HL_LVL2_ACTV_12_Personnel_Outputs</f>
        <v>Go to Single Vaccination Service Delivery Type 2 Personnel - Outputs</v>
      </c>
    </row>
    <row r="482" spans="1:8" s="10" customFormat="1" x14ac:dyDescent="0.2">
      <c r="D482" s="76" t="str">
        <f>Lang_GoTo&amp;" "&amp;HL_LVL2_ACTV_12_Out_A</f>
        <v>Go to Single Vaccination Service Delivery Type 2 Allowances - Outputs</v>
      </c>
    </row>
    <row r="483" spans="1:8" s="10" customFormat="1" x14ac:dyDescent="0.2">
      <c r="D483" s="76" t="str">
        <f>Lang_GoTo&amp;" "&amp;HL_LVL2_ACTV_12_Supplies_and_Materials_Outputs</f>
        <v>Go to Single Vaccination Service Delivery Type 2 Supplies and Materials - Outputs</v>
      </c>
    </row>
    <row r="484" spans="1:8" s="10" customFormat="1" x14ac:dyDescent="0.2">
      <c r="D484" s="76" t="str">
        <f>Lang_GoTo&amp;" "&amp;HL_LVL2_ACTV_12_Other_Direct_Costs_Outputs</f>
        <v>Go to Single Vaccination Service Delivery Type 2 Other Direct Costs - Outputs</v>
      </c>
    </row>
    <row r="485" spans="1:8" s="10" customFormat="1" x14ac:dyDescent="0.2"/>
    <row r="486" spans="1:8" s="13" customFormat="1" x14ac:dyDescent="0.2">
      <c r="A486" s="12" t="s">
        <v>125</v>
      </c>
      <c r="B486" s="13" t="str">
        <f>HL_LVL2_ACTV_13_Name&amp;" "&amp;Lang_Detailed_Cost_Summary</f>
        <v>Small Group Vaccination Activity (30 people vaccinated) Detailed Cost Summary</v>
      </c>
    </row>
    <row r="487" spans="1:8" s="10" customFormat="1" x14ac:dyDescent="0.2"/>
    <row r="488" spans="1:8" s="10" customFormat="1" x14ac:dyDescent="0.2">
      <c r="C488" s="65" t="str">
        <f>HL_LVL2_ACTV_13_Name&amp;" "&amp;Lang_Detailed_Cost_Summary</f>
        <v>Small Group Vaccination Activity (30 people vaccinated) Detailed Cost Summary</v>
      </c>
    </row>
    <row r="489" spans="1:8" s="10" customFormat="1" x14ac:dyDescent="0.2"/>
    <row r="490" spans="1:8" s="10" customFormat="1" ht="24" x14ac:dyDescent="0.2">
      <c r="D490" s="93" t="str">
        <f>Lang_Cost_Category</f>
        <v>Cost Category</v>
      </c>
      <c r="E490" s="94" t="str">
        <f>SD_Lu!$D$102&amp;" "&amp;Lang_Cost&amp;" ("&amp;SD_Lu!$D$83&amp;")"</f>
        <v>Financial Cost (LCU)</v>
      </c>
      <c r="F490" s="94" t="str">
        <f>SD_Lu!$D$103&amp;" "&amp;Lang_Cost&amp;" ("&amp;SD_Lu!$D$83&amp;")"</f>
        <v>Economic Cost (LCU)</v>
      </c>
      <c r="G490" s="94" t="str">
        <f>SD_Lu!$D$102&amp;" "&amp;Lang_Cost&amp;" ("&amp;SD_Lu!$D$82&amp;")"</f>
        <v>Financial Cost (USD)</v>
      </c>
      <c r="H490" s="94" t="str">
        <f>SD_Lu!$D$103&amp;" "&amp;Lang_Cost&amp;" ("&amp;SD_Lu!$D$82&amp;")"</f>
        <v>Economic Cost (USD)</v>
      </c>
    </row>
    <row r="491" spans="1:8" s="10" customFormat="1" x14ac:dyDescent="0.2">
      <c r="D491" s="49" t="str">
        <f>CALCS_DETAILED!D2958</f>
        <v>Personnel</v>
      </c>
      <c r="E491" s="117">
        <f>CALCS_DETAILED!E2958</f>
        <v>0</v>
      </c>
      <c r="F491" s="117">
        <f>CALCS_DETAILED!F2958</f>
        <v>0</v>
      </c>
      <c r="G491" s="118">
        <f>CALCS_DETAILED!G2958</f>
        <v>0</v>
      </c>
      <c r="H491" s="118">
        <f>CALCS_DETAILED!H2958</f>
        <v>0</v>
      </c>
    </row>
    <row r="492" spans="1:8" s="10" customFormat="1" x14ac:dyDescent="0.2">
      <c r="D492" s="49" t="str">
        <f>CALCS_DETAILED!D3062</f>
        <v>Allowances</v>
      </c>
      <c r="E492" s="117">
        <f>CALCS_DETAILED!E3062</f>
        <v>0</v>
      </c>
      <c r="F492" s="117">
        <f>CALCS_DETAILED!F3062</f>
        <v>0</v>
      </c>
      <c r="G492" s="118">
        <f>CALCS_DETAILED!G3062</f>
        <v>0</v>
      </c>
      <c r="H492" s="118">
        <f>CALCS_DETAILED!H3062</f>
        <v>0</v>
      </c>
    </row>
    <row r="493" spans="1:8" s="10" customFormat="1" x14ac:dyDescent="0.2">
      <c r="D493" s="49" t="str">
        <f>CALCS_DETAILED!D3127</f>
        <v>Supplies and Materials</v>
      </c>
      <c r="E493" s="117">
        <f>CALCS_DETAILED!E3127</f>
        <v>0</v>
      </c>
      <c r="F493" s="117">
        <f>CALCS_DETAILED!F3127</f>
        <v>0</v>
      </c>
      <c r="G493" s="118">
        <f>CALCS_DETAILED!G3127</f>
        <v>0</v>
      </c>
      <c r="H493" s="118">
        <f>CALCS_DETAILED!H3127</f>
        <v>0</v>
      </c>
    </row>
    <row r="494" spans="1:8" s="10" customFormat="1" x14ac:dyDescent="0.2">
      <c r="D494" s="49" t="str">
        <f>CALCS_DETAILED!D3167</f>
        <v>Other Direct Costs</v>
      </c>
      <c r="E494" s="117">
        <f>CALCS_DETAILED!E3167</f>
        <v>0</v>
      </c>
      <c r="F494" s="117">
        <f>CALCS_DETAILED!F3167</f>
        <v>0</v>
      </c>
      <c r="G494" s="118">
        <f>CALCS_DETAILED!G3167</f>
        <v>0</v>
      </c>
      <c r="H494" s="118">
        <f>CALCS_DETAILED!H3167</f>
        <v>0</v>
      </c>
    </row>
    <row r="495" spans="1:8" s="10" customFormat="1" ht="12.75" thickBot="1" x14ac:dyDescent="0.25">
      <c r="D495" s="95" t="str">
        <f>Lang_Total_Single_Activity_Cost</f>
        <v>Total Single Activity Cost</v>
      </c>
      <c r="E495" s="123">
        <f>SUM(E491:E494)</f>
        <v>0</v>
      </c>
      <c r="F495" s="123">
        <f>SUM(F491:F494)</f>
        <v>0</v>
      </c>
      <c r="G495" s="124">
        <f>SUM(G491:G494)</f>
        <v>0</v>
      </c>
      <c r="H495" s="124">
        <f>SUM(H491:H494)</f>
        <v>0</v>
      </c>
    </row>
    <row r="496" spans="1:8" s="10" customFormat="1" x14ac:dyDescent="0.2"/>
    <row r="497" spans="1:8" s="10" customFormat="1" x14ac:dyDescent="0.2">
      <c r="D497" s="76" t="str">
        <f>Lang_GoTo&amp;" "&amp;HL_LVL2_ACTV_13_Personnel_Outputs</f>
        <v>Go to Small Group Vaccination Activity (30 people vaccinated) Personnel - Outputs</v>
      </c>
    </row>
    <row r="498" spans="1:8" s="10" customFormat="1" x14ac:dyDescent="0.2">
      <c r="D498" s="76" t="str">
        <f>Lang_GoTo&amp;" "&amp;HL_LVL2_ACTV_13_Out_A</f>
        <v>Go to Small Group Vaccination Activity (30 people vaccinated) Allowances - Outputs</v>
      </c>
    </row>
    <row r="499" spans="1:8" s="10" customFormat="1" x14ac:dyDescent="0.2">
      <c r="D499" s="76" t="str">
        <f>Lang_GoTo&amp;" "&amp;HL_LVL2_ACTV_13_Supplies_and_Materials_Outputs</f>
        <v>Go to Small Group Vaccination Activity (30 people vaccinated) Supplies and Materials - Outputs</v>
      </c>
    </row>
    <row r="500" spans="1:8" s="10" customFormat="1" x14ac:dyDescent="0.2">
      <c r="D500" s="76" t="str">
        <f>Lang_GoTo&amp;" "&amp;HL_LVL2_ACTV_13_Other_Direct_Costs_Outputs</f>
        <v>Go to Small Group Vaccination Activity (30 people vaccinated) Other Direct Costs - Outputs</v>
      </c>
    </row>
    <row r="502" spans="1:8" s="13" customFormat="1" x14ac:dyDescent="0.2">
      <c r="A502" s="6" t="s">
        <v>125</v>
      </c>
      <c r="B502" s="13" t="str">
        <f>HL_LVL2_ACTV_9_Name&amp;" "&amp;Lang_Detailed_Cost_Summary</f>
        <v>Large Group Vaccination Activity (100 people vaccinated) Detailed Cost Summary</v>
      </c>
    </row>
    <row r="504" spans="1:8" x14ac:dyDescent="0.2">
      <c r="C504" s="65" t="str">
        <f>HL_LVL2_ACTV_9_Name&amp;" "&amp;Lang_Detailed_Cost_Summary</f>
        <v>Large Group Vaccination Activity (100 people vaccinated) Detailed Cost Summary</v>
      </c>
    </row>
    <row r="506" spans="1:8" ht="24" x14ac:dyDescent="0.2">
      <c r="D506" s="93" t="str">
        <f>Lang_Cost_Category</f>
        <v>Cost Category</v>
      </c>
      <c r="E506" s="122" t="str">
        <f>SD_Lu!$D$137&amp;" "&amp;Lang_Cost&amp;" ("&amp;SD_Lu!$D$118&amp;")"</f>
        <v>Financial Cost (LCU)</v>
      </c>
      <c r="F506" s="122" t="str">
        <f>SD_Lu!$D$138&amp;" "&amp;Lang_Cost&amp;" ("&amp;SD_Lu!$D$118&amp;")"</f>
        <v>Economic Cost (LCU)</v>
      </c>
      <c r="G506" s="122" t="str">
        <f>SD_Lu!$D$137&amp;" "&amp;Lang_Cost&amp;" ("&amp;SD_Lu!$D$117&amp;")"</f>
        <v>Financial Cost (USD)</v>
      </c>
      <c r="H506" s="122" t="str">
        <f>SD_Lu!$D$138&amp;" "&amp;Lang_Cost&amp;" ("&amp;SD_Lu!$D$117&amp;")"</f>
        <v>Economic Cost (USD)</v>
      </c>
    </row>
    <row r="507" spans="1:8" x14ac:dyDescent="0.2">
      <c r="D507" s="49" t="str">
        <f>CALCS_DETAILED!D3087</f>
        <v>Personnel</v>
      </c>
      <c r="E507" s="117">
        <f>CALCS_DETAILED!E3087</f>
        <v>0</v>
      </c>
      <c r="F507" s="117">
        <f>CALCS_DETAILED!F3087</f>
        <v>0</v>
      </c>
      <c r="G507" s="118">
        <f>CALCS_DETAILED!G3087</f>
        <v>0</v>
      </c>
      <c r="H507" s="118">
        <f>CALCS_DETAILED!H3087</f>
        <v>0</v>
      </c>
    </row>
    <row r="508" spans="1:8" x14ac:dyDescent="0.2">
      <c r="D508" s="49" t="str">
        <f>CALCS_DETAILED!D3107</f>
        <v>Allowances</v>
      </c>
      <c r="E508" s="117">
        <f>CALCS_DETAILED!E3107</f>
        <v>0</v>
      </c>
      <c r="F508" s="117">
        <f>CALCS_DETAILED!F3107</f>
        <v>0</v>
      </c>
      <c r="G508" s="118">
        <f>CALCS_DETAILED!G3107</f>
        <v>0</v>
      </c>
      <c r="H508" s="118">
        <f>CALCS_DETAILED!H3107</f>
        <v>0</v>
      </c>
    </row>
    <row r="509" spans="1:8" x14ac:dyDescent="0.2">
      <c r="D509" s="49" t="str">
        <f>CALCS_DETAILED!D3147</f>
        <v>Supplies and Materials</v>
      </c>
      <c r="E509" s="117">
        <f>CALCS_DETAILED!E3147</f>
        <v>0</v>
      </c>
      <c r="F509" s="117">
        <f>CALCS_DETAILED!F3147</f>
        <v>0</v>
      </c>
      <c r="G509" s="118">
        <f>CALCS_DETAILED!G3147</f>
        <v>0</v>
      </c>
      <c r="H509" s="118">
        <f>CALCS_DETAILED!H3147</f>
        <v>0</v>
      </c>
    </row>
    <row r="510" spans="1:8" x14ac:dyDescent="0.2">
      <c r="D510" s="49" t="str">
        <f>CALCS_DETAILED!D3186</f>
        <v>Other Direct Costs</v>
      </c>
      <c r="E510" s="117">
        <f>CALCS_DETAILED!E3186</f>
        <v>0</v>
      </c>
      <c r="F510" s="117">
        <f>CALCS_DETAILED!F3186</f>
        <v>0</v>
      </c>
      <c r="G510" s="118">
        <f>CALCS_DETAILED!G3186</f>
        <v>0</v>
      </c>
      <c r="H510" s="118">
        <f>CALCS_DETAILED!H3186</f>
        <v>0</v>
      </c>
    </row>
    <row r="511" spans="1:8" ht="12.75" thickBot="1" x14ac:dyDescent="0.25">
      <c r="D511" s="95" t="str">
        <f>Lang_Total_Single_Activity_Cost</f>
        <v>Total Single Activity Cost</v>
      </c>
      <c r="E511" s="123">
        <f>SUM(E507:E510)</f>
        <v>0</v>
      </c>
      <c r="F511" s="123">
        <f>SUM(F507:F510)</f>
        <v>0</v>
      </c>
      <c r="G511" s="124">
        <f>SUM(G507:G510)</f>
        <v>0</v>
      </c>
      <c r="H511" s="124">
        <f>SUM(H507:H510)</f>
        <v>0</v>
      </c>
    </row>
    <row r="513" spans="1:8" x14ac:dyDescent="0.2">
      <c r="D513" s="47" t="str">
        <f>Lang_GoTo&amp;" "&amp;HL_LVL2_ACTV_9_Personnel_Outputs</f>
        <v>Go to Large Group Vaccination Activity (100 people vaccinated) Personnel - Outputs</v>
      </c>
    </row>
    <row r="514" spans="1:8" x14ac:dyDescent="0.2">
      <c r="D514" s="47" t="str">
        <f>Lang_GoTo&amp;" "&amp;HL_LVL2_ACTV_9_Out_A</f>
        <v>Go to Large Group Vaccination Activity (100 people vaccinated) Allowances - Outputs</v>
      </c>
    </row>
    <row r="515" spans="1:8" x14ac:dyDescent="0.2">
      <c r="D515" s="47" t="str">
        <f>Lang_GoTo&amp;" "&amp;HL_LVL2_ACTV_9_Supplies_and_Materials_Outputs</f>
        <v>Go to Large Group Vaccination Activity (100 people vaccinated) Supplies and Materials - Outputs</v>
      </c>
    </row>
    <row r="516" spans="1:8" x14ac:dyDescent="0.2">
      <c r="D516" s="47" t="str">
        <f>Lang_GoTo&amp;" "&amp;HL_LVL2_ACTV_9_Other_Direct_Costs_Outputs</f>
        <v>Go to Large Group Vaccination Activity (100 people vaccinated) Other Direct Costs - Outputs</v>
      </c>
    </row>
    <row r="517" spans="1:8" s="10" customFormat="1" x14ac:dyDescent="0.2"/>
    <row r="518" spans="1:8" s="13" customFormat="1" x14ac:dyDescent="0.2">
      <c r="A518" s="12" t="s">
        <v>125</v>
      </c>
      <c r="B518" s="13" t="str">
        <f>HL_TOP_ACTV_6_Name&amp;" "&amp;Lang_Detailed_Cost_Summary</f>
        <v>Other Activity #1 - (Recurrent Costs Only) (Not in Use) Detailed Cost Summary</v>
      </c>
    </row>
    <row r="519" spans="1:8" s="10" customFormat="1" x14ac:dyDescent="0.2"/>
    <row r="520" spans="1:8" s="10" customFormat="1" x14ac:dyDescent="0.2">
      <c r="C520" s="105" t="str">
        <f>HL_TOP_ACTV_6_Name&amp;" "&amp;Lang_Detailed_Cost_Summary</f>
        <v>Other Activity #1 - (Recurrent Costs Only) (Not in Use) Detailed Cost Summary</v>
      </c>
    </row>
    <row r="521" spans="1:8" s="10" customFormat="1" ht="24" x14ac:dyDescent="0.2">
      <c r="D521" s="93" t="str">
        <f>Lang_Cost_Category</f>
        <v>Cost Category</v>
      </c>
      <c r="E521" s="94" t="str">
        <f>OTHER_Lu!$D$32&amp;" "&amp;Lang_Cost&amp;" ("&amp;OTHER_Lu!$D$13&amp;")"</f>
        <v>Financial Cost (LCU)</v>
      </c>
      <c r="F521" s="94" t="str">
        <f>OTHER_Lu!$D$33&amp;" "&amp;Lang_Cost&amp;" ("&amp;OTHER_Lu!$D$13&amp;")"</f>
        <v>Economic Cost (LCU)</v>
      </c>
      <c r="G521" s="94" t="str">
        <f>OTHER_Lu!$D$32&amp;" "&amp;Lang_Cost&amp;" ("&amp;OTHER_Lu!$D$12&amp;")"</f>
        <v>Financial Cost (USD)</v>
      </c>
      <c r="H521" s="94" t="str">
        <f>OTHER_Lu!$D$33&amp;" "&amp;Lang_Cost&amp;" ("&amp;OTHER_Lu!$D$12&amp;")"</f>
        <v>Economic Cost (USD)</v>
      </c>
    </row>
    <row r="522" spans="1:8" s="10" customFormat="1" x14ac:dyDescent="0.2">
      <c r="D522" s="49" t="str">
        <f>CALCS_DETAILED!D2454</f>
        <v>Personnel</v>
      </c>
      <c r="E522" s="117">
        <f>CALCS_DETAILED!E2454</f>
        <v>0</v>
      </c>
      <c r="F522" s="117">
        <f>CALCS_DETAILED!F2454</f>
        <v>0</v>
      </c>
      <c r="G522" s="118">
        <f>CALCS_DETAILED!G2454</f>
        <v>0</v>
      </c>
      <c r="H522" s="118">
        <f>CALCS_DETAILED!H2454</f>
        <v>0</v>
      </c>
    </row>
    <row r="523" spans="1:8" s="10" customFormat="1" x14ac:dyDescent="0.2">
      <c r="D523" s="49" t="str">
        <f>CALCS_DETAILED!D2474</f>
        <v>Allowances</v>
      </c>
      <c r="E523" s="117">
        <f>CALCS_DETAILED!E2474</f>
        <v>0</v>
      </c>
      <c r="F523" s="117">
        <f>CALCS_DETAILED!F2474</f>
        <v>0</v>
      </c>
      <c r="G523" s="118">
        <f>CALCS_DETAILED!G2474</f>
        <v>0</v>
      </c>
      <c r="H523" s="118">
        <f>CALCS_DETAILED!H2474</f>
        <v>0</v>
      </c>
    </row>
    <row r="524" spans="1:8" s="10" customFormat="1" x14ac:dyDescent="0.2">
      <c r="D524" s="49" t="str">
        <f>CALCS_DETAILED!D2494</f>
        <v>Supplies and Materials</v>
      </c>
      <c r="E524" s="117">
        <f>CALCS_DETAILED!E2494</f>
        <v>0</v>
      </c>
      <c r="F524" s="117">
        <f>CALCS_DETAILED!F2494</f>
        <v>0</v>
      </c>
      <c r="G524" s="118">
        <f>CALCS_DETAILED!G2494</f>
        <v>0</v>
      </c>
      <c r="H524" s="118">
        <f>CALCS_DETAILED!H2494</f>
        <v>0</v>
      </c>
    </row>
    <row r="525" spans="1:8" s="10" customFormat="1" x14ac:dyDescent="0.2">
      <c r="D525" s="49" t="str">
        <f>CALCS_DETAILED!D2514</f>
        <v>Other Direct Costs</v>
      </c>
      <c r="E525" s="117">
        <f>CALCS_DETAILED!E2514</f>
        <v>0</v>
      </c>
      <c r="F525" s="117">
        <f>CALCS_DETAILED!F2514</f>
        <v>0</v>
      </c>
      <c r="G525" s="118">
        <f>CALCS_DETAILED!G2514</f>
        <v>0</v>
      </c>
      <c r="H525" s="118">
        <f>CALCS_DETAILED!H2514</f>
        <v>0</v>
      </c>
    </row>
    <row r="526" spans="1:8" s="10" customFormat="1" ht="12.75" thickBot="1" x14ac:dyDescent="0.25">
      <c r="D526" s="95" t="str">
        <f>Lang_Total_Single_Activity_Cost</f>
        <v>Total Single Activity Cost</v>
      </c>
      <c r="E526" s="123">
        <f>SUM(E522:E525)</f>
        <v>0</v>
      </c>
      <c r="F526" s="123">
        <f>SUM(F522:F525)</f>
        <v>0</v>
      </c>
      <c r="G526" s="124">
        <f>SUM(G522:G525)</f>
        <v>0</v>
      </c>
      <c r="H526" s="124">
        <f>SUM(H522:H525)</f>
        <v>0</v>
      </c>
    </row>
    <row r="527" spans="1:8" s="10" customFormat="1" x14ac:dyDescent="0.2"/>
    <row r="528" spans="1:8" s="10" customFormat="1" x14ac:dyDescent="0.2">
      <c r="D528" s="76" t="str">
        <f>Lang_GoTo&amp;" "&amp;HL_TOP_ACTV_6_Personnel_Outputs</f>
        <v>Go to Other Activity #1 - (Recurrent Costs Only) (Not in Use) Personnel - Outputs</v>
      </c>
    </row>
    <row r="529" spans="1:8" s="10" customFormat="1" x14ac:dyDescent="0.2">
      <c r="D529" s="76" t="str">
        <f>Lang_GoTo&amp;" "&amp;HL_TOP_ACTV_6_Out_A</f>
        <v>Go to Other Activity #1 - (Recurrent Costs Only) (Not in Use) Allowances - Outputs</v>
      </c>
    </row>
    <row r="530" spans="1:8" s="10" customFormat="1" x14ac:dyDescent="0.2">
      <c r="D530" s="76" t="str">
        <f>Lang_GoTo&amp;" "&amp;HL_TOP_ACTV_6_Supplies_and_Materials_Outputs</f>
        <v>Go to Other Activity #1 - (Recurrent Costs Only) (Not in Use) Supplies and Materials - Outputs</v>
      </c>
    </row>
    <row r="531" spans="1:8" s="10" customFormat="1" x14ac:dyDescent="0.2">
      <c r="D531" s="76" t="str">
        <f>Lang_GoTo&amp;" "&amp;HL_TOP_ACTV_6_Other_Direct_Costs_Outputs</f>
        <v>Go to Other Activity #1 - (Recurrent Costs Only) (Not in Use) Other Direct Costs - Outputs</v>
      </c>
    </row>
    <row r="532" spans="1:8" s="10" customFormat="1" x14ac:dyDescent="0.2"/>
    <row r="533" spans="1:8" s="13" customFormat="1" x14ac:dyDescent="0.2">
      <c r="A533" s="12" t="s">
        <v>125</v>
      </c>
      <c r="B533" s="13" t="str">
        <f>HL_TOP_ACTV_20_Name&amp;" "&amp;Lang_Detailed_Cost_Summary</f>
        <v>Other Activity #2 - (Recurrent Costs Only) (Not in Use) Detailed Cost Summary</v>
      </c>
    </row>
    <row r="534" spans="1:8" s="10" customFormat="1" x14ac:dyDescent="0.2"/>
    <row r="535" spans="1:8" s="10" customFormat="1" x14ac:dyDescent="0.2">
      <c r="C535" s="105" t="str">
        <f>HL_TOP_ACTV_20_Name&amp;" "&amp;Lang_Detailed_Cost_Summary</f>
        <v>Other Activity #2 - (Recurrent Costs Only) (Not in Use) Detailed Cost Summary</v>
      </c>
    </row>
    <row r="536" spans="1:8" s="10" customFormat="1" ht="24" x14ac:dyDescent="0.2">
      <c r="D536" s="93" t="str">
        <f>Lang_Cost_Category</f>
        <v>Cost Category</v>
      </c>
      <c r="E536" s="94" t="str">
        <f>OTHER_Lu!$D$67&amp;" "&amp;Lang_Cost&amp;" ("&amp;OTHER_Lu!$D$48&amp;")"</f>
        <v>Financial Cost (LCU)</v>
      </c>
      <c r="F536" s="94" t="str">
        <f>OTHER_Lu!$D$68&amp;" "&amp;Lang_Cost&amp;" ("&amp;OTHER_Lu!$D$48&amp;")"</f>
        <v>Economic Cost (LCU)</v>
      </c>
      <c r="G536" s="94" t="str">
        <f>OTHER_Lu!$D$67&amp;" "&amp;Lang_Cost&amp;" ("&amp;OTHER_Lu!$D$47&amp;")"</f>
        <v>Financial Cost (USD)</v>
      </c>
      <c r="H536" s="94" t="str">
        <f>OTHER_Lu!$D$68&amp;" "&amp;Lang_Cost&amp;" ("&amp;OTHER_Lu!$D$47&amp;")"</f>
        <v>Economic Cost (USD)</v>
      </c>
    </row>
    <row r="537" spans="1:8" s="10" customFormat="1" x14ac:dyDescent="0.2">
      <c r="D537" s="49" t="str">
        <f>CALCS_DETAILED!D2538</f>
        <v>Personnel</v>
      </c>
      <c r="E537" s="117">
        <f>CALCS_DETAILED!E2538</f>
        <v>0</v>
      </c>
      <c r="F537" s="117">
        <f>CALCS_DETAILED!F2538</f>
        <v>0</v>
      </c>
      <c r="G537" s="118">
        <f>CALCS_DETAILED!G2538</f>
        <v>0</v>
      </c>
      <c r="H537" s="118">
        <f>CALCS_DETAILED!H2538</f>
        <v>0</v>
      </c>
    </row>
    <row r="538" spans="1:8" s="10" customFormat="1" x14ac:dyDescent="0.2">
      <c r="D538" s="49" t="str">
        <f>CALCS_DETAILED!D2558</f>
        <v>Allowances</v>
      </c>
      <c r="E538" s="117">
        <f>CALCS_DETAILED!E2558</f>
        <v>0</v>
      </c>
      <c r="F538" s="117">
        <f>CALCS_DETAILED!F2558</f>
        <v>0</v>
      </c>
      <c r="G538" s="118">
        <f>CALCS_DETAILED!G2558</f>
        <v>0</v>
      </c>
      <c r="H538" s="118">
        <f>CALCS_DETAILED!H2558</f>
        <v>0</v>
      </c>
    </row>
    <row r="539" spans="1:8" s="10" customFormat="1" x14ac:dyDescent="0.2">
      <c r="D539" s="49" t="str">
        <f>CALCS_DETAILED!D2578</f>
        <v>Supplies and Materials</v>
      </c>
      <c r="E539" s="117">
        <f>CALCS_DETAILED!E2578</f>
        <v>0</v>
      </c>
      <c r="F539" s="117">
        <f>CALCS_DETAILED!F2578</f>
        <v>0</v>
      </c>
      <c r="G539" s="118">
        <f>CALCS_DETAILED!G2578</f>
        <v>0</v>
      </c>
      <c r="H539" s="118">
        <f>CALCS_DETAILED!H2578</f>
        <v>0</v>
      </c>
    </row>
    <row r="540" spans="1:8" s="10" customFormat="1" x14ac:dyDescent="0.2">
      <c r="D540" s="49" t="str">
        <f>CALCS_DETAILED!D2598</f>
        <v>Other Direct Costs</v>
      </c>
      <c r="E540" s="117">
        <f>CALCS_DETAILED!E2598</f>
        <v>0</v>
      </c>
      <c r="F540" s="117">
        <f>CALCS_DETAILED!F2598</f>
        <v>0</v>
      </c>
      <c r="G540" s="118">
        <f>CALCS_DETAILED!G2598</f>
        <v>0</v>
      </c>
      <c r="H540" s="118">
        <f>CALCS_DETAILED!H2598</f>
        <v>0</v>
      </c>
    </row>
    <row r="541" spans="1:8" s="10" customFormat="1" ht="12.75" thickBot="1" x14ac:dyDescent="0.25">
      <c r="D541" s="95" t="str">
        <f>Lang_Total_Single_Activity_Cost</f>
        <v>Total Single Activity Cost</v>
      </c>
      <c r="E541" s="123">
        <f>SUM(E537:E540)</f>
        <v>0</v>
      </c>
      <c r="F541" s="123">
        <f>SUM(F537:F540)</f>
        <v>0</v>
      </c>
      <c r="G541" s="124">
        <f>SUM(G537:G540)</f>
        <v>0</v>
      </c>
      <c r="H541" s="124">
        <f>SUM(H537:H540)</f>
        <v>0</v>
      </c>
    </row>
    <row r="542" spans="1:8" s="10" customFormat="1" x14ac:dyDescent="0.2"/>
    <row r="543" spans="1:8" s="10" customFormat="1" x14ac:dyDescent="0.2">
      <c r="D543" s="76" t="str">
        <f>Lang_GoTo&amp;" "&amp;HL_TOP_ACTV_20_Personnel_Outputs</f>
        <v>Go to Other Activity #2 - (Recurrent Costs Only) (Not in Use) Personnel - Outputs</v>
      </c>
    </row>
    <row r="544" spans="1:8" s="10" customFormat="1" x14ac:dyDescent="0.2">
      <c r="D544" s="76" t="str">
        <f>Lang_GoTo&amp;" "&amp;HL_TOP_ACTV_20_Out_A</f>
        <v>Go to Other Activity #2 - (Recurrent Costs Only) (Not in Use) Allowances - Outputs</v>
      </c>
    </row>
    <row r="545" spans="1:8" s="10" customFormat="1" x14ac:dyDescent="0.2">
      <c r="D545" s="76" t="str">
        <f>Lang_GoTo&amp;" "&amp;HL_TOP_ACTV_20_Supplies_and_Materials_Outputs</f>
        <v>Go to Other Activity #2 - (Recurrent Costs Only) (Not in Use) Supplies and Materials - Outputs</v>
      </c>
    </row>
    <row r="546" spans="1:8" s="10" customFormat="1" x14ac:dyDescent="0.2">
      <c r="D546" s="76" t="str">
        <f>Lang_GoTo&amp;" "&amp;HL_TOP_ACTV_20_Other_Direct_Costs_Outputs</f>
        <v>Go to Other Activity #2 - (Recurrent Costs Only) (Not in Use) Other Direct Costs - Outputs</v>
      </c>
    </row>
    <row r="547" spans="1:8" s="10" customFormat="1" x14ac:dyDescent="0.2"/>
    <row r="548" spans="1:8" s="13" customFormat="1" x14ac:dyDescent="0.2">
      <c r="A548" s="12" t="s">
        <v>125</v>
      </c>
      <c r="B548" s="13" t="str">
        <f>HL_TOP_ACTV_19_Name&amp;" "&amp;Lang_Detailed_Cost_Summary</f>
        <v>Other Activity #3 - (Recurrent Costs Only) (Not in Use) Detailed Cost Summary</v>
      </c>
    </row>
    <row r="549" spans="1:8" s="10" customFormat="1" x14ac:dyDescent="0.2"/>
    <row r="550" spans="1:8" s="10" customFormat="1" x14ac:dyDescent="0.2">
      <c r="C550" s="358" t="str">
        <f>HL_TOP_ACTV_19_Name</f>
        <v>Other Activity #3 - (Recurrent Costs Only) (Not in Use)</v>
      </c>
    </row>
    <row r="551" spans="1:8" s="10" customFormat="1" ht="24" x14ac:dyDescent="0.2">
      <c r="D551" s="93" t="str">
        <f>Lang_Cost_Category</f>
        <v>Cost Category</v>
      </c>
      <c r="E551" s="94" t="str">
        <f>OTHER_Lu!$D$102&amp;" "&amp;Lang_Cost&amp;" ("&amp;OTHER_Lu!$D$83&amp;")"</f>
        <v>Financial Cost (LCU)</v>
      </c>
      <c r="F551" s="94" t="str">
        <f>OTHER_Lu!$D$103&amp;" "&amp;Lang_Cost&amp;" ("&amp;OTHER_Lu!$D$83&amp;")"</f>
        <v>Economic Cost (LCU)</v>
      </c>
      <c r="G551" s="94" t="str">
        <f>OTHER_Lu!$D$102&amp;" "&amp;Lang_Cost&amp;" ("&amp;OTHER_Lu!$D$82&amp;")"</f>
        <v>Financial Cost (USD)</v>
      </c>
      <c r="H551" s="94" t="str">
        <f>OTHER_Lu!$D$103&amp;" "&amp;Lang_Cost&amp;" ("&amp;OTHER_Lu!$D$82&amp;")"</f>
        <v>Economic Cost (USD)</v>
      </c>
    </row>
    <row r="552" spans="1:8" s="10" customFormat="1" x14ac:dyDescent="0.2">
      <c r="D552" s="49" t="str">
        <f>CALCS_DETAILED!D2622</f>
        <v>Personnel</v>
      </c>
      <c r="E552" s="117">
        <f>CALCS_DETAILED!E2622</f>
        <v>0</v>
      </c>
      <c r="F552" s="117">
        <f>CALCS_DETAILED!F2622</f>
        <v>0</v>
      </c>
      <c r="G552" s="118">
        <f>CALCS_DETAILED!G2622</f>
        <v>0</v>
      </c>
      <c r="H552" s="118">
        <f>CALCS_DETAILED!H2622</f>
        <v>0</v>
      </c>
    </row>
    <row r="553" spans="1:8" s="10" customFormat="1" x14ac:dyDescent="0.2">
      <c r="D553" s="49" t="str">
        <f>CALCS_DETAILED!D2642</f>
        <v>Allowances</v>
      </c>
      <c r="E553" s="117">
        <f>CALCS_DETAILED!E2642</f>
        <v>0</v>
      </c>
      <c r="F553" s="117">
        <f>CALCS_DETAILED!F2642</f>
        <v>0</v>
      </c>
      <c r="G553" s="118">
        <f>CALCS_DETAILED!G2642</f>
        <v>0</v>
      </c>
      <c r="H553" s="118">
        <f>CALCS_DETAILED!H2642</f>
        <v>0</v>
      </c>
    </row>
    <row r="554" spans="1:8" s="10" customFormat="1" x14ac:dyDescent="0.2">
      <c r="D554" s="49" t="str">
        <f>CALCS_DETAILED!D2662</f>
        <v>Supplies and Materials</v>
      </c>
      <c r="E554" s="117">
        <f>CALCS_DETAILED!E2662</f>
        <v>0</v>
      </c>
      <c r="F554" s="117">
        <f>CALCS_DETAILED!F2662</f>
        <v>0</v>
      </c>
      <c r="G554" s="118">
        <f>CALCS_DETAILED!G2662</f>
        <v>0</v>
      </c>
      <c r="H554" s="118">
        <f>CALCS_DETAILED!H2662</f>
        <v>0</v>
      </c>
    </row>
    <row r="555" spans="1:8" s="10" customFormat="1" x14ac:dyDescent="0.2">
      <c r="D555" s="49" t="str">
        <f>CALCS_DETAILED!D2682</f>
        <v>Other Direct Costs</v>
      </c>
      <c r="E555" s="117">
        <f>CALCS_DETAILED!E2682</f>
        <v>0</v>
      </c>
      <c r="F555" s="117">
        <f>CALCS_DETAILED!F2682</f>
        <v>0</v>
      </c>
      <c r="G555" s="118">
        <f>CALCS_DETAILED!G2682</f>
        <v>0</v>
      </c>
      <c r="H555" s="118">
        <f>CALCS_DETAILED!H2682</f>
        <v>0</v>
      </c>
    </row>
    <row r="556" spans="1:8" s="10" customFormat="1" ht="12.75" thickBot="1" x14ac:dyDescent="0.25">
      <c r="D556" s="95" t="str">
        <f>Lang_Total_Single_Activity_Cost</f>
        <v>Total Single Activity Cost</v>
      </c>
      <c r="E556" s="123">
        <f>SUM(E552:E555)</f>
        <v>0</v>
      </c>
      <c r="F556" s="123">
        <f>SUM(F552:F555)</f>
        <v>0</v>
      </c>
      <c r="G556" s="124">
        <f>SUM(G552:G555)</f>
        <v>0</v>
      </c>
      <c r="H556" s="124">
        <f>SUM(H552:H555)</f>
        <v>0</v>
      </c>
    </row>
    <row r="557" spans="1:8" s="10" customFormat="1" x14ac:dyDescent="0.2"/>
    <row r="558" spans="1:8" s="10" customFormat="1" x14ac:dyDescent="0.2">
      <c r="D558" s="76" t="str">
        <f>Lang_GoTo&amp;" "&amp;HL_TOP_ACTV_19_Personnel_Outputs</f>
        <v>Go to Other Activity #3 - (Recurrent Costs Only) (Not in Use) Personnel - Outputs</v>
      </c>
    </row>
    <row r="559" spans="1:8" s="10" customFormat="1" x14ac:dyDescent="0.2">
      <c r="D559" s="76" t="str">
        <f>Lang_GoTo&amp;" "&amp;HL_TOP_ACTV_19_Out_A</f>
        <v>Go to Other Activity #3 - (Recurrent Costs Only) (Not in Use) Allowances - Outputs</v>
      </c>
    </row>
    <row r="560" spans="1:8" s="10" customFormat="1" x14ac:dyDescent="0.2">
      <c r="D560" s="76" t="str">
        <f>Lang_GoTo&amp;" "&amp;HL_TOP_ACTV_19_Supplies_and_Materials_Outputs</f>
        <v>Go to Other Activity #3 - (Recurrent Costs Only) (Not in Use) Supplies and Materials - Outputs</v>
      </c>
    </row>
    <row r="561" spans="1:8" s="10" customFormat="1" x14ac:dyDescent="0.2">
      <c r="D561" s="76" t="str">
        <f>Lang_GoTo&amp;" "&amp;HL_TOP_ACTV_19_Other_Direct_Costs_Outputs</f>
        <v>Go to Other Activity #3 - (Recurrent Costs Only) (Not in Use) Other Direct Costs - Outputs</v>
      </c>
    </row>
    <row r="562" spans="1:8" s="10" customFormat="1" x14ac:dyDescent="0.2"/>
    <row r="563" spans="1:8" s="13" customFormat="1" x14ac:dyDescent="0.2">
      <c r="A563" s="12" t="s">
        <v>125</v>
      </c>
      <c r="B563" s="13" t="str">
        <f>HL_LVL2_ACTV_7_Name&amp;" "&amp;Lang_Detailed_Cost_Summary</f>
        <v>Other Activity #4 - (Recurrent Costs Only) (Not in Use) Detailed Cost Summary</v>
      </c>
    </row>
    <row r="564" spans="1:8" s="10" customFormat="1" x14ac:dyDescent="0.2"/>
    <row r="565" spans="1:8" s="10" customFormat="1" x14ac:dyDescent="0.2">
      <c r="C565" s="65" t="str">
        <f>HL_LVL2_ACTV_7_Name&amp;" "&amp;Lang_Detailed_Cost_Summary</f>
        <v>Other Activity #4 - (Recurrent Costs Only) (Not in Use) Detailed Cost Summary</v>
      </c>
    </row>
    <row r="566" spans="1:8" s="10" customFormat="1" x14ac:dyDescent="0.2"/>
    <row r="567" spans="1:8" s="10" customFormat="1" ht="24" x14ac:dyDescent="0.2">
      <c r="D567" s="93" t="str">
        <f>Lang_Cost_Category</f>
        <v>Cost Category</v>
      </c>
      <c r="E567" s="94" t="str">
        <f>OTHER_Lu!$D$137&amp;" "&amp;Lang_Cost&amp;" ("&amp;OTHER_Lu!$D$118&amp;")"</f>
        <v>Financial Cost (LCU)</v>
      </c>
      <c r="F567" s="94" t="str">
        <f>OTHER_Lu!$D$138&amp;" "&amp;Lang_Cost&amp;" ("&amp;OTHER_Lu!$D$118&amp;")"</f>
        <v>Economic Cost (LCU)</v>
      </c>
      <c r="G567" s="94" t="str">
        <f>OTHER_Lu!$D$137&amp;" "&amp;Lang_Cost&amp;" ("&amp;OTHER_Lu!$D$117&amp;")"</f>
        <v>Financial Cost (USD)</v>
      </c>
      <c r="H567" s="94" t="str">
        <f>OTHER_Lu!$D$138&amp;" "&amp;Lang_Cost&amp;" ("&amp;OTHER_Lu!$D$117&amp;")"</f>
        <v>Economic Cost (USD)</v>
      </c>
    </row>
    <row r="568" spans="1:8" s="10" customFormat="1" x14ac:dyDescent="0.2">
      <c r="D568" s="49" t="str">
        <f>CALCS_DETAILED!D2706</f>
        <v>Personnel</v>
      </c>
      <c r="E568" s="117">
        <f>CALCS_DETAILED!E2706</f>
        <v>0</v>
      </c>
      <c r="F568" s="117">
        <f>CALCS_DETAILED!F2706</f>
        <v>0</v>
      </c>
      <c r="G568" s="118">
        <f>CALCS_DETAILED!G2706</f>
        <v>0</v>
      </c>
      <c r="H568" s="118">
        <f>CALCS_DETAILED!H2706</f>
        <v>0</v>
      </c>
    </row>
    <row r="569" spans="1:8" s="10" customFormat="1" x14ac:dyDescent="0.2">
      <c r="D569" s="49" t="str">
        <f>CALCS_DETAILED!D2726</f>
        <v>Allowances</v>
      </c>
      <c r="E569" s="117">
        <f>CALCS_DETAILED!E2726</f>
        <v>0</v>
      </c>
      <c r="F569" s="117">
        <f>CALCS_DETAILED!F2726</f>
        <v>0</v>
      </c>
      <c r="G569" s="118">
        <f>CALCS_DETAILED!G2726</f>
        <v>0</v>
      </c>
      <c r="H569" s="118">
        <f>CALCS_DETAILED!H2726</f>
        <v>0</v>
      </c>
    </row>
    <row r="570" spans="1:8" s="10" customFormat="1" x14ac:dyDescent="0.2">
      <c r="D570" s="49" t="str">
        <f>CALCS_DETAILED!D2746</f>
        <v>Supplies and Materials</v>
      </c>
      <c r="E570" s="117">
        <f>CALCS_DETAILED!E2746</f>
        <v>0</v>
      </c>
      <c r="F570" s="117">
        <f>CALCS_DETAILED!F2746</f>
        <v>0</v>
      </c>
      <c r="G570" s="118">
        <f>CALCS_DETAILED!G2746</f>
        <v>0</v>
      </c>
      <c r="H570" s="118">
        <f>CALCS_DETAILED!H2746</f>
        <v>0</v>
      </c>
    </row>
    <row r="571" spans="1:8" s="10" customFormat="1" x14ac:dyDescent="0.2">
      <c r="D571" s="49" t="str">
        <f>CALCS_DETAILED!D2766</f>
        <v>Other Direct Costs</v>
      </c>
      <c r="E571" s="117">
        <f>CALCS_DETAILED!E2766</f>
        <v>0</v>
      </c>
      <c r="F571" s="117">
        <f>CALCS_DETAILED!F2766</f>
        <v>0</v>
      </c>
      <c r="G571" s="118">
        <f>CALCS_DETAILED!G2766</f>
        <v>0</v>
      </c>
      <c r="H571" s="118">
        <f>CALCS_DETAILED!H2766</f>
        <v>0</v>
      </c>
    </row>
    <row r="572" spans="1:8" s="10" customFormat="1" ht="12.75" thickBot="1" x14ac:dyDescent="0.25">
      <c r="D572" s="95" t="str">
        <f>Lang_Total_Single_Activity_Cost</f>
        <v>Total Single Activity Cost</v>
      </c>
      <c r="E572" s="123">
        <f>SUM(E568:E571)</f>
        <v>0</v>
      </c>
      <c r="F572" s="123">
        <f>SUM(F568:F571)</f>
        <v>0</v>
      </c>
      <c r="G572" s="124">
        <f>SUM(G568:G571)</f>
        <v>0</v>
      </c>
      <c r="H572" s="124">
        <f>SUM(H568:H571)</f>
        <v>0</v>
      </c>
    </row>
    <row r="573" spans="1:8" s="10" customFormat="1" x14ac:dyDescent="0.2"/>
    <row r="574" spans="1:8" s="10" customFormat="1" x14ac:dyDescent="0.2">
      <c r="D574" s="76" t="str">
        <f>Lang_GoTo&amp;" "&amp;HL_LVL2_ACTV_7_Personnel_Outputs</f>
        <v>Go to Other Activity #4 - (Recurrent Costs Only) (Not in Use) Personnel - Outputs</v>
      </c>
    </row>
    <row r="575" spans="1:8" s="10" customFormat="1" x14ac:dyDescent="0.2">
      <c r="D575" s="76" t="str">
        <f>Lang_GoTo&amp;" "&amp;HL_LVL2_ACTV_7_Out_A</f>
        <v>Go to Other Activity #4 - (Recurrent Costs Only) (Not in Use) Allowances - Outputs</v>
      </c>
    </row>
    <row r="576" spans="1:8" s="10" customFormat="1" x14ac:dyDescent="0.2">
      <c r="D576" s="76" t="str">
        <f>Lang_GoTo&amp;" "&amp;HL_LVL2_ACTV_7_Supplies_and_Materials_Outputs</f>
        <v>Go to Other Activity #4 - (Recurrent Costs Only) (Not in Use) Supplies and Materials - Outputs</v>
      </c>
    </row>
    <row r="577" spans="1:8" s="10" customFormat="1" x14ac:dyDescent="0.2">
      <c r="D577" s="76" t="str">
        <f>Lang_GoTo&amp;" "&amp;HL_LVL2_ACTV_7_Other_Direct_Costs_Outputs</f>
        <v>Go to Other Activity #4 - (Recurrent Costs Only) (Not in Use) Other Direct Costs - Outputs</v>
      </c>
    </row>
    <row r="578" spans="1:8" s="10" customFormat="1" x14ac:dyDescent="0.2"/>
    <row r="579" spans="1:8" s="13" customFormat="1" x14ac:dyDescent="0.2">
      <c r="A579" s="12" t="s">
        <v>125</v>
      </c>
      <c r="B579" s="13" t="str">
        <f>HL_LVL2_ACTV_16_Name&amp;" "&amp;Lang_Detailed_Cost_Summary</f>
        <v>Other Activity #5 - (Recurrent Costs Only) (Not in Use) Detailed Cost Summary</v>
      </c>
    </row>
    <row r="580" spans="1:8" s="10" customFormat="1" x14ac:dyDescent="0.2"/>
    <row r="581" spans="1:8" s="10" customFormat="1" x14ac:dyDescent="0.2">
      <c r="C581" s="65" t="str">
        <f>HL_LVL2_ACTV_16_Name&amp;" "&amp;Lang_Detailed_Cost_Summary</f>
        <v>Other Activity #5 - (Recurrent Costs Only) (Not in Use) Detailed Cost Summary</v>
      </c>
    </row>
    <row r="582" spans="1:8" s="10" customFormat="1" x14ac:dyDescent="0.2"/>
    <row r="583" spans="1:8" s="10" customFormat="1" ht="24" x14ac:dyDescent="0.2">
      <c r="D583" s="93" t="str">
        <f>Lang_Cost_Category</f>
        <v>Cost Category</v>
      </c>
      <c r="E583" s="94" t="str">
        <f>OTHER_Lu!$D$172&amp;" "&amp;Lang_Cost&amp;" ("&amp;OTHER_Lu!$D$153&amp;")"</f>
        <v>Financial Cost (LCU)</v>
      </c>
      <c r="F583" s="94" t="str">
        <f>OTHER_Lu!$D$173&amp;" "&amp;Lang_Cost&amp;" ("&amp;OTHER_Lu!$D$153&amp;")"</f>
        <v>Economic Cost (LCU)</v>
      </c>
      <c r="G583" s="94" t="str">
        <f>OTHER_Lu!$D$172&amp;" "&amp;Lang_Cost&amp;" ("&amp;OTHER_Lu!$D$152&amp;")"</f>
        <v>Financial Cost (USD)</v>
      </c>
      <c r="H583" s="94" t="str">
        <f>OTHER_Lu!$D$173&amp;" Cost("&amp;OTHER_Lu!$D$152&amp;")"</f>
        <v>Economic Cost(USD)</v>
      </c>
    </row>
    <row r="584" spans="1:8" s="10" customFormat="1" x14ac:dyDescent="0.2">
      <c r="D584" s="49" t="str">
        <f>CALCS_DETAILED!D2790</f>
        <v>Personnel</v>
      </c>
      <c r="E584" s="117">
        <f>CALCS_DETAILED!E2790</f>
        <v>0</v>
      </c>
      <c r="F584" s="117">
        <f>CALCS_DETAILED!F2790</f>
        <v>0</v>
      </c>
      <c r="G584" s="118">
        <f>CALCS_DETAILED!G2790</f>
        <v>0</v>
      </c>
      <c r="H584" s="118">
        <f>CALCS_DETAILED!H2790</f>
        <v>0</v>
      </c>
    </row>
    <row r="585" spans="1:8" s="10" customFormat="1" x14ac:dyDescent="0.2">
      <c r="D585" s="49" t="str">
        <f>CALCS_DETAILED!D2810</f>
        <v>Allowances</v>
      </c>
      <c r="E585" s="117">
        <f>CALCS_DETAILED!E2810</f>
        <v>0</v>
      </c>
      <c r="F585" s="117">
        <f>CALCS_DETAILED!F2810</f>
        <v>0</v>
      </c>
      <c r="G585" s="118">
        <f>CALCS_DETAILED!G2810</f>
        <v>0</v>
      </c>
      <c r="H585" s="118">
        <f>CALCS_DETAILED!H2810</f>
        <v>0</v>
      </c>
    </row>
    <row r="586" spans="1:8" s="10" customFormat="1" x14ac:dyDescent="0.2">
      <c r="D586" s="49" t="str">
        <f>CALCS_DETAILED!D2830</f>
        <v>Supplies and Materials</v>
      </c>
      <c r="E586" s="117">
        <f>CALCS_DETAILED!E2830</f>
        <v>0</v>
      </c>
      <c r="F586" s="117">
        <f>CALCS_DETAILED!F2830</f>
        <v>0</v>
      </c>
      <c r="G586" s="118">
        <f>CALCS_DETAILED!G2830</f>
        <v>0</v>
      </c>
      <c r="H586" s="118">
        <f>CALCS_DETAILED!H2830</f>
        <v>0</v>
      </c>
    </row>
    <row r="587" spans="1:8" s="10" customFormat="1" x14ac:dyDescent="0.2">
      <c r="D587" s="49" t="str">
        <f>CALCS_DETAILED!D2850</f>
        <v>Other Direct Costs</v>
      </c>
      <c r="E587" s="117">
        <f>CALCS_DETAILED!E2850</f>
        <v>0</v>
      </c>
      <c r="F587" s="117">
        <f>CALCS_DETAILED!F2850</f>
        <v>0</v>
      </c>
      <c r="G587" s="118">
        <f>CALCS_DETAILED!G2850</f>
        <v>0</v>
      </c>
      <c r="H587" s="118">
        <f>CALCS_DETAILED!H2850</f>
        <v>0</v>
      </c>
    </row>
    <row r="588" spans="1:8" s="10" customFormat="1" ht="12.75" thickBot="1" x14ac:dyDescent="0.25">
      <c r="D588" s="95" t="str">
        <f>Lang_Total_Single_Activity_Cost</f>
        <v>Total Single Activity Cost</v>
      </c>
      <c r="E588" s="123">
        <f>SUM(E584:E587)</f>
        <v>0</v>
      </c>
      <c r="F588" s="123">
        <f>SUM(F584:F587)</f>
        <v>0</v>
      </c>
      <c r="G588" s="124">
        <f>SUM(G584:G587)</f>
        <v>0</v>
      </c>
      <c r="H588" s="124">
        <f>SUM(H584:H587)</f>
        <v>0</v>
      </c>
    </row>
    <row r="589" spans="1:8" s="10" customFormat="1" x14ac:dyDescent="0.2"/>
    <row r="590" spans="1:8" s="10" customFormat="1" x14ac:dyDescent="0.2">
      <c r="D590" s="76" t="str">
        <f>Lang_GoTo&amp;" "&amp;HL_LVL2_ACTV_16_Personnel_Outputs</f>
        <v>Go to Other Activity #5 - (Recurrent Costs Only) (Not in Use) Personnel - Outputs</v>
      </c>
    </row>
    <row r="591" spans="1:8" s="10" customFormat="1" x14ac:dyDescent="0.2">
      <c r="D591" s="76" t="str">
        <f>Lang_GoTo&amp;" "&amp;HL_LVL2_ACTV_16_Out_A</f>
        <v>Go to Other Activity #5 - (Recurrent Costs Only) (Not in Use) Allowances - Outputs</v>
      </c>
    </row>
    <row r="592" spans="1:8" s="10" customFormat="1" x14ac:dyDescent="0.2">
      <c r="D592" s="76" t="str">
        <f>Lang_GoTo&amp;" "&amp;HL_LVL2_ACTV_16_Supplies_and_Materials_Outputs</f>
        <v>Go to Other Activity #5 - (Recurrent Costs Only) (Not in Use) Supplies and Materials - Outputs</v>
      </c>
    </row>
    <row r="593" spans="4:4" s="10" customFormat="1" x14ac:dyDescent="0.2">
      <c r="D593" s="76" t="str">
        <f>Lang_GoTo&amp;" "&amp;HL_LVL2_ACTV_16_Other_Direct_Costs_Outputs</f>
        <v>Go to Other Activity #5 - (Recurrent Costs Only) (Not in Use) Other Direct Costs - Outputs</v>
      </c>
    </row>
  </sheetData>
  <hyperlinks>
    <hyperlink ref="D15" location="HL_TOP_ACTV_Personnel_Outputs" tooltip="Click to follow hyperlink." display="HL_TOP_ACTV_Personnel_Outputs" xr:uid="{00000000-0004-0000-1D00-000000000000}"/>
    <hyperlink ref="A5" location="HL_TOP_ACTV_Out_A" tooltip="Click to follow hyperlink." display="HL_TOP_ACTV_Out_A" xr:uid="{00000000-0004-0000-1D00-000001000000}"/>
    <hyperlink ref="D16" location="HL_TOP_ACTV_Out_A" tooltip="Click to follow hyperlink." display="HL_TOP_ACTV_Out_A" xr:uid="{00000000-0004-0000-1D00-000002000000}"/>
    <hyperlink ref="D17" location="HL_TOP_ACTV_Supplies_and_Materials_Outputs" tooltip="Click to follow hyperlink." display="HL_TOP_ACTV_Supplies_and_Materials_Outputs" xr:uid="{00000000-0004-0000-1D00-000003000000}"/>
    <hyperlink ref="D18" location="HL_TOP_ACTV_Other_Direct_Costs_Outputs" tooltip="Click to follow hyperlink." display="HL_TOP_ACTV_Other_Direct_Costs_Outputs" xr:uid="{00000000-0004-0000-1D00-000004000000}"/>
    <hyperlink ref="A67" location="HL_TOP_ACTV_2_Out_A" tooltip="Click to follow hyperlink." display="HL_TOP_ACTV_2_Out_A" xr:uid="{00000000-0004-0000-1D00-000005000000}"/>
    <hyperlink ref="D77" location="HL_TOP_ACTV_2_Personnel_Outputs" tooltip="Click to follow hyperlink." display="HL_TOP_ACTV_2_Personnel_Outputs" xr:uid="{00000000-0004-0000-1D00-000006000000}"/>
    <hyperlink ref="D78" location="HL_TOP_ACTV_2_Out_A" tooltip="Click to follow hyperlink." display="HL_TOP_ACTV_2_Out_A" xr:uid="{00000000-0004-0000-1D00-000007000000}"/>
    <hyperlink ref="D79" location="HL_TOP_ACTV_2_Supplies_and_Materials_Outputs" tooltip="Click to follow hyperlink." display="HL_TOP_ACTV_2_Supplies_and_Materials_Outputs" xr:uid="{00000000-0004-0000-1D00-000008000000}"/>
    <hyperlink ref="D80" location="HL_TOP_ACTV_2_Other_Direct_Costs_Outputs" tooltip="Click to follow hyperlink." display="HL_TOP_ACTV_2_Other_Direct_Costs_Outputs" xr:uid="{00000000-0004-0000-1D00-000009000000}"/>
    <hyperlink ref="A128" location="HL_TOP_ACTV_3_Out_A" tooltip="Click to follow hyperlink." display="HL_TOP_ACTV_3_Out_A" xr:uid="{00000000-0004-0000-1D00-00000A000000}"/>
    <hyperlink ref="D138" location="HL_TOP_ACTV_3_Personnel_Outputs" tooltip="Click to follow hyperlink." display="HL_TOP_ACTV_3_Personnel_Outputs" xr:uid="{00000000-0004-0000-1D00-00000B000000}"/>
    <hyperlink ref="D139" location="HL_TOP_ACTV_3_Out_A" tooltip="Click to follow hyperlink." display="HL_TOP_ACTV_3_Out_A" xr:uid="{00000000-0004-0000-1D00-00000C000000}"/>
    <hyperlink ref="D140" location="HL_TOP_ACTV_3_Supplies_and_Materials_Outputs" tooltip="Click to follow hyperlink." display="HL_TOP_ACTV_3_Supplies_and_Materials_Outputs" xr:uid="{00000000-0004-0000-1D00-00000D000000}"/>
    <hyperlink ref="D141" location="HL_TOP_ACTV_3_Other_Direct_Costs_Outputs" tooltip="Click to follow hyperlink." display="HL_TOP_ACTV_3_Other_Direct_Costs_Outputs" xr:uid="{00000000-0004-0000-1D00-00000E000000}"/>
    <hyperlink ref="A221" location="HL_TOP_ACTV_4_Out_A" tooltip="Click to follow hyperlink." display="HL_TOP_ACTV_4_Out_A" xr:uid="{00000000-0004-0000-1D00-00000F000000}"/>
    <hyperlink ref="D231" location="HL_TOP_ACTV_4_Personnel_Outputs" tooltip="Click to follow hyperlink." display="HL_TOP_ACTV_4_Personnel_Outputs" xr:uid="{00000000-0004-0000-1D00-000010000000}"/>
    <hyperlink ref="D232" location="HL_TOP_ACTV_4_Out_A" tooltip="Click to follow hyperlink." display="HL_TOP_ACTV_4_Out_A" xr:uid="{00000000-0004-0000-1D00-000011000000}"/>
    <hyperlink ref="D233" location="HL_TOP_ACTV_4_Supplies_and_Materials_Outputs" tooltip="Click to follow hyperlink." display="HL_TOP_ACTV_4_Supplies_and_Materials_Outputs" xr:uid="{00000000-0004-0000-1D00-000012000000}"/>
    <hyperlink ref="D234" location="HL_TOP_ACTV_4_Other_Direct_Costs_Outputs" tooltip="Click to follow hyperlink." display="HL_TOP_ACTV_4_Other_Direct_Costs_Outputs" xr:uid="{00000000-0004-0000-1D00-000013000000}"/>
    <hyperlink ref="A346" location="HL_TOP_ACTV_5_Out_A" tooltip="Click to follow hyperlink." display="HL_TOP_ACTV_5_Out_A" xr:uid="{00000000-0004-0000-1D00-000014000000}"/>
    <hyperlink ref="D356" location="HL_TOP_ACTV_5_Personnel_Outputs" tooltip="Click to follow hyperlink." display="HL_TOP_ACTV_5_Personnel_Outputs" xr:uid="{00000000-0004-0000-1D00-000015000000}"/>
    <hyperlink ref="D357" location="HL_TOP_ACTV_5_Out_A" tooltip="Click to follow hyperlink." display="HL_TOP_ACTV_5_Out_A" xr:uid="{00000000-0004-0000-1D00-000016000000}"/>
    <hyperlink ref="D358" location="HL_TOP_ACTV_5_Supplies_and_Materials_Outputs" tooltip="Click to follow hyperlink." display="HL_TOP_ACTV_5_Supplies_and_Materials_Outputs" xr:uid="{00000000-0004-0000-1D00-000017000000}"/>
    <hyperlink ref="D359" location="HL_TOP_ACTV_5_Other_Direct_Costs_Outputs" tooltip="Click to follow hyperlink." display="HL_TOP_ACTV_5_Other_Direct_Costs_Outputs" xr:uid="{00000000-0004-0000-1D00-000018000000}"/>
    <hyperlink ref="A35" location="HL_LVL2_ACTV_Out_A" tooltip="Click to follow hyperlink." display="HL_LVL2_ACTV_Out_A" xr:uid="{00000000-0004-0000-1D00-000019000000}"/>
    <hyperlink ref="D46" location="HL_LVL2_ACTV_Personnel_Outputs" tooltip="Click to follow hyperlink." display="HL_LVL2_ACTV_Personnel_Outputs" xr:uid="{00000000-0004-0000-1D00-00001A000000}"/>
    <hyperlink ref="D47" location="HL_LVL2_ACTV_Out_A" tooltip="Click to follow hyperlink." display="HL_LVL2_ACTV_Out_A" xr:uid="{00000000-0004-0000-1D00-00001B000000}"/>
    <hyperlink ref="D48" location="HL_LVL2_ACTV_Supplies_and_Materials_Outputs" tooltip="Click to follow hyperlink." display="HL_LVL2_ACTV_Supplies_and_Materials_Outputs" xr:uid="{00000000-0004-0000-1D00-00001C000000}"/>
    <hyperlink ref="D49" location="HL_LVL2_ACTV_Other_Direct_Costs_Outputs" tooltip="Click to follow hyperlink." display="HL_LVL2_ACTV_Other_Direct_Costs_Outputs" xr:uid="{00000000-0004-0000-1D00-00001D000000}"/>
    <hyperlink ref="A454" location="HL_LVL2_ACTV_6_Out_A" tooltip="Click to follow hyperlink." display="HL_LVL2_ACTV_6_Out_A" xr:uid="{00000000-0004-0000-1D00-00001E000000}"/>
    <hyperlink ref="D465" location="HL_LVL2_ACTV_6_Personnel_Outputs" tooltip="Click to follow hyperlink." display="HL_LVL2_ACTV_6_Personnel_Outputs" xr:uid="{00000000-0004-0000-1D00-00001F000000}"/>
    <hyperlink ref="D466" location="HL_LVL2_ACTV_6_Out_A" tooltip="Click to follow hyperlink." display="HL_LVL2_ACTV_6_Out_A" xr:uid="{00000000-0004-0000-1D00-000020000000}"/>
    <hyperlink ref="D467" location="HL_LVL2_ACTV_6_Supplies_and_Materials_Outputs" tooltip="Click to follow hyperlink." display="HL_LVL2_ACTV_6_Supplies_and_Materials_Outputs" xr:uid="{00000000-0004-0000-1D00-000021000000}"/>
    <hyperlink ref="D468" location="HL_LVL2_ACTV_6_Other_Direct_Costs_Outputs" tooltip="Click to follow hyperlink." display="HL_LVL2_ACTV_6_Other_Direct_Costs_Outputs" xr:uid="{00000000-0004-0000-1D00-000022000000}"/>
    <hyperlink ref="A173" location="HL_LVL2_ACTV_3_Out_A" tooltip="Click to follow hyperlink." display="HL_LVL2_ACTV_3_Out_A" xr:uid="{00000000-0004-0000-1D00-000023000000}"/>
    <hyperlink ref="D184" location="HL_LVL2_ACTV_3_Personnel_Outputs" tooltip="Click to follow hyperlink." display="HL_LVL2_ACTV_3_Personnel_Outputs" xr:uid="{00000000-0004-0000-1D00-000024000000}"/>
    <hyperlink ref="D185" location="HL_LVL2_ACTV_3_Out_A" tooltip="Click to follow hyperlink." display="HL_LVL2_ACTV_3_Out_A" xr:uid="{00000000-0004-0000-1D00-000025000000}"/>
    <hyperlink ref="D186" location="HL_LVL2_ACTV_3_Supplies_and_Materials_Outputs" tooltip="Click to follow hyperlink." display="HL_LVL2_ACTV_3_Supplies_and_Materials_Outputs" xr:uid="{00000000-0004-0000-1D00-000026000000}"/>
    <hyperlink ref="D187" location="HL_LVL2_ACTV_3_Other_Direct_Costs_Outputs" tooltip="Click to follow hyperlink." display="HL_LVL2_ACTV_3_Other_Direct_Costs_Outputs" xr:uid="{00000000-0004-0000-1D00-000027000000}"/>
    <hyperlink ref="A112" location="HL_LVL2_ACTV_2_Out_A" tooltip="Click to follow hyperlink." display="HL_LVL2_ACTV_2_Out_A" xr:uid="{00000000-0004-0000-1D00-000028000000}"/>
    <hyperlink ref="D123" location="HL_LVL2_ACTV_2_Personnel_Outputs" tooltip="Click to follow hyperlink." display="HL_LVL2_ACTV_2_Personnel_Outputs" xr:uid="{00000000-0004-0000-1D00-000029000000}"/>
    <hyperlink ref="D124" location="HL_LVL2_ACTV_2_Out_A" tooltip="Click to follow hyperlink." display="HL_LVL2_ACTV_2_Out_A" xr:uid="{00000000-0004-0000-1D00-00002A000000}"/>
    <hyperlink ref="D125" location="HL_LVL2_ACTV_2_Supplies_and_Materials_Outputs" tooltip="Click to follow hyperlink." display="HL_LVL2_ACTV_2_Supplies_and_Materials_Outputs" xr:uid="{00000000-0004-0000-1D00-00002B000000}"/>
    <hyperlink ref="D126" location="HL_LVL2_ACTV_2_Other_Direct_Costs_Outputs" tooltip="Click to follow hyperlink." display="HL_LVL2_ACTV_2_Other_Direct_Costs_Outputs" xr:uid="{00000000-0004-0000-1D00-00002C000000}"/>
    <hyperlink ref="A266" location="HL_LVL2_ACTV_4_Out_A" tooltip="Click to follow hyperlink." display="HL_LVL2_ACTV_4_Out_A" xr:uid="{00000000-0004-0000-1D00-00002D000000}"/>
    <hyperlink ref="D277" location="HL_LVL2_ACTV_4_Personnel_Outputs" tooltip="Click to follow hyperlink." display="HL_LVL2_ACTV_4_Personnel_Outputs" xr:uid="{00000000-0004-0000-1D00-00002E000000}"/>
    <hyperlink ref="D278" location="HL_LVL2_ACTV_4_Out_A" tooltip="Click to follow hyperlink." display="HL_LVL2_ACTV_4_Out_A" xr:uid="{00000000-0004-0000-1D00-00002F000000}"/>
    <hyperlink ref="D279" location="HL_LVL2_ACTV_4_Supplies_and_Materials_Outputs" tooltip="Click to follow hyperlink." display="HL_LVL2_ACTV_4_Supplies_and_Materials_Outputs" xr:uid="{00000000-0004-0000-1D00-000030000000}"/>
    <hyperlink ref="D280" location="HL_LVL2_ACTV_4_Other_Direct_Costs_Outputs" tooltip="Click to follow hyperlink." display="HL_LVL2_ACTV_4_Other_Direct_Costs_Outputs" xr:uid="{00000000-0004-0000-1D00-000031000000}"/>
    <hyperlink ref="A406" location="HL_LVL2_ACTV_5_Out_A" tooltip="Click to follow hyperlink." display="HL_LVL2_ACTV_5_Out_A" xr:uid="{00000000-0004-0000-1D00-000032000000}"/>
    <hyperlink ref="D417" location="HL_LVL2_ACTV_5_Personnel_Outputs" tooltip="Click to follow hyperlink." display="HL_LVL2_ACTV_5_Personnel_Outputs" xr:uid="{00000000-0004-0000-1D00-000033000000}"/>
    <hyperlink ref="D418" location="HL_LVL2_ACTV_5_Out_A" tooltip="Click to follow hyperlink." display="HL_LVL2_ACTV_5_Out_A" xr:uid="{00000000-0004-0000-1D00-000034000000}"/>
    <hyperlink ref="D419" location="HL_LVL2_ACTV_5_Supplies_and_Materials_Outputs" tooltip="Click to follow hyperlink." display="HL_LVL2_ACTV_5_Supplies_and_Materials_Outputs" xr:uid="{00000000-0004-0000-1D00-000035000000}"/>
    <hyperlink ref="D420" location="HL_LVL2_ACTV_5_Other_Direct_Costs_Outputs" tooltip="Click to follow hyperlink." display="HL_LVL2_ACTV_5_Other_Direct_Costs_Outputs" xr:uid="{00000000-0004-0000-1D00-000036000000}"/>
    <hyperlink ref="A518" location="HL_TOP_ACTV_6_Out_A" tooltip="Click to follow hyperlink." display="HL_TOP_ACTV_6_Out_A" xr:uid="{00000000-0004-0000-1D00-000037000000}"/>
    <hyperlink ref="D528" location="HL_TOP_ACTV_6_Personnel_Outputs" tooltip="Click to follow hyperlink." display="HL_TOP_ACTV_6_Personnel_Outputs" xr:uid="{00000000-0004-0000-1D00-000038000000}"/>
    <hyperlink ref="D529" location="HL_TOP_ACTV_6_Out_A" tooltip="Click to follow hyperlink." display="HL_TOP_ACTV_6_Out_A" xr:uid="{00000000-0004-0000-1D00-000039000000}"/>
    <hyperlink ref="D530" location="HL_TOP_ACTV_6_Supplies_and_Materials_Outputs" tooltip="Click to follow hyperlink." display="HL_TOP_ACTV_6_Supplies_and_Materials_Outputs" xr:uid="{00000000-0004-0000-1D00-00003A000000}"/>
    <hyperlink ref="D531" location="HL_TOP_ACTV_6_Other_Direct_Costs_Outputs" tooltip="Click to follow hyperlink." display="HL_TOP_ACTV_6_Other_Direct_Costs_Outputs" xr:uid="{00000000-0004-0000-1D00-00003B000000}"/>
    <hyperlink ref="A563" location="HL_LVL2_ACTV_7_Out_A" tooltip="Click to follow hyperlink." display="HL_LVL2_ACTV_7_Out_A" xr:uid="{00000000-0004-0000-1D00-00003C000000}"/>
    <hyperlink ref="D574" location="HL_LVL2_ACTV_7_Personnel_Outputs" tooltip="Click to follow hyperlink." display="HL_LVL2_ACTV_7_Personnel_Outputs" xr:uid="{00000000-0004-0000-1D00-00003D000000}"/>
    <hyperlink ref="D575" location="HL_LVL2_ACTV_7_Out_A" tooltip="Click to follow hyperlink." display="HL_LVL2_ACTV_7_Out_A" xr:uid="{00000000-0004-0000-1D00-00003E000000}"/>
    <hyperlink ref="D576" location="HL_LVL2_ACTV_7_Supplies_and_Materials_Outputs" tooltip="Click to follow hyperlink." display="HL_LVL2_ACTV_7_Supplies_and_Materials_Outputs" xr:uid="{00000000-0004-0000-1D00-00003F000000}"/>
    <hyperlink ref="D577" location="HL_LVL2_ACTV_7_Other_Direct_Costs_Outputs" tooltip="Click to follow hyperlink." display="HL_LVL2_ACTV_7_Other_Direct_Costs_Outputs" xr:uid="{00000000-0004-0000-1D00-000040000000}"/>
    <hyperlink ref="A20" location="HL_TOP_ACTV_7_Out_A" tooltip="Click to follow hyperlink." display="HL_TOP_ACTV_7_Out_A" xr:uid="{00000000-0004-0000-1D00-000042000000}"/>
    <hyperlink ref="D30" location="HL_TOP_ACTV_7_Personnel_Outputs" tooltip="Click to follow hyperlink." display="HL_TOP_ACTV_7_Personnel_Outputs" xr:uid="{00000000-0004-0000-1D00-000043000000}"/>
    <hyperlink ref="D31" location="HL_TOP_ACTV_7_Out_A" tooltip="Click to follow hyperlink." display="HL_TOP_ACTV_7_Out_A" xr:uid="{00000000-0004-0000-1D00-000044000000}"/>
    <hyperlink ref="D32" location="HL_TOP_ACTV_7_Supplies_and_Materials_Outputs" tooltip="Click to follow hyperlink." display="HL_TOP_ACTV_7_Supplies_and_Materials_Outputs" xr:uid="{00000000-0004-0000-1D00-000045000000}"/>
    <hyperlink ref="D33" location="HL_TOP_ACTV_7_Other_Direct_Costs_Outputs" tooltip="Click to follow hyperlink." display="HL_TOP_ACTV_7_Other_Direct_Costs_Outputs" xr:uid="{00000000-0004-0000-1D00-000046000000}"/>
    <hyperlink ref="A143" location="HL_TOP_ACTV_10_Out_A" tooltip="Click to follow hyperlink." display="HL_TOP_ACTV_10_Out_A" xr:uid="{00000000-0004-0000-1D00-000047000000}"/>
    <hyperlink ref="D153" location="HL_TOP_ACTV_10_Personnel_Outputs" tooltip="Click to follow hyperlink." display="HL_TOP_ACTV_10_Personnel_Outputs" xr:uid="{00000000-0004-0000-1D00-000048000000}"/>
    <hyperlink ref="D154" location="HL_TOP_ACTV_10_Out_A" tooltip="Click to follow hyperlink." display="HL_TOP_ACTV_10_Out_A" xr:uid="{00000000-0004-0000-1D00-000049000000}"/>
    <hyperlink ref="D155" location="HL_TOP_ACTV_10_Supplies_and_Materials_Outputs" tooltip="Click to follow hyperlink." display="HL_TOP_ACTV_10_Supplies_and_Materials_Outputs" xr:uid="{00000000-0004-0000-1D00-00004A000000}"/>
    <hyperlink ref="D156" location="HL_TOP_ACTV_10_Other_Direct_Costs_Outputs" tooltip="Click to follow hyperlink." display="HL_TOP_ACTV_10_Other_Direct_Costs_Outputs" xr:uid="{00000000-0004-0000-1D00-00004B000000}"/>
    <hyperlink ref="A158" location="HL_TOP_ACTV_11_Out_A" tooltip="Click to follow hyperlink." display="HL_TOP_ACTV_11_Out_A" xr:uid="{00000000-0004-0000-1D00-00004C000000}"/>
    <hyperlink ref="D168" location="HL_TOP_ACTV_11_Personnel_Outputs" tooltip="Click to follow hyperlink." display="HL_TOP_ACTV_11_Personnel_Outputs" xr:uid="{00000000-0004-0000-1D00-00004D000000}"/>
    <hyperlink ref="D169" location="HL_TOP_ACTV_11_Out_A" tooltip="Click to follow hyperlink." display="HL_TOP_ACTV_11_Out_A" xr:uid="{00000000-0004-0000-1D00-00004E000000}"/>
    <hyperlink ref="D170" location="HL_TOP_ACTV_11_Supplies_and_Materials_Outputs" tooltip="Click to follow hyperlink." display="HL_TOP_ACTV_11_Supplies_and_Materials_Outputs" xr:uid="{00000000-0004-0000-1D00-00004F000000}"/>
    <hyperlink ref="D171" location="HL_TOP_ACTV_11_Other_Direct_Costs_Outputs" tooltip="Click to follow hyperlink." display="HL_TOP_ACTV_11_Other_Direct_Costs_Outputs" xr:uid="{00000000-0004-0000-1D00-000050000000}"/>
    <hyperlink ref="A82" location="HL_TOP_ACTV_13_Out_A" tooltip="Click to follow hyperlink." display="HL_TOP_ACTV_13_Out_A" xr:uid="{00000000-0004-0000-1D00-000051000000}"/>
    <hyperlink ref="D92" location="HL_TOP_ACTV_13_Personnel_Outputs" tooltip="Click to follow hyperlink." display="HL_TOP_ACTV_13_Personnel_Outputs" xr:uid="{00000000-0004-0000-1D00-000052000000}"/>
    <hyperlink ref="D93" location="HL_TOP_ACTV_13_Out_A" tooltip="Click to follow hyperlink." display="HL_TOP_ACTV_13_Out_A" xr:uid="{00000000-0004-0000-1D00-000053000000}"/>
    <hyperlink ref="D94" location="HL_TOP_ACTV_13_Supplies_and_Materials_Outputs" tooltip="Click to follow hyperlink." display="HL_TOP_ACTV_13_Supplies_and_Materials_Outputs" xr:uid="{00000000-0004-0000-1D00-000054000000}"/>
    <hyperlink ref="D95" location="HL_TOP_ACTV_13_Other_Direct_Costs_Outputs" tooltip="Click to follow hyperlink." display="HL_TOP_ACTV_13_Other_Direct_Costs_Outputs" xr:uid="{00000000-0004-0000-1D00-000055000000}"/>
    <hyperlink ref="A97" location="HL_TOP_ACTV_14_Out_A" tooltip="Click to follow hyperlink." display="HL_TOP_ACTV_14_Out_A" xr:uid="{00000000-0004-0000-1D00-000056000000}"/>
    <hyperlink ref="D107" location="HL_TOP_ACTV_14_Personnel_Outputs" tooltip="Click to follow hyperlink." display="HL_TOP_ACTV_14_Personnel_Outputs" xr:uid="{00000000-0004-0000-1D00-000057000000}"/>
    <hyperlink ref="D108" location="HL_TOP_ACTV_14_Out_A" tooltip="Click to follow hyperlink." display="HL_TOP_ACTV_14_Out_A" xr:uid="{00000000-0004-0000-1D00-000058000000}"/>
    <hyperlink ref="D109" location="HL_TOP_ACTV_14_Supplies_and_Materials_Outputs" tooltip="Click to follow hyperlink." display="HL_TOP_ACTV_14_Supplies_and_Materials_Outputs" xr:uid="{00000000-0004-0000-1D00-000059000000}"/>
    <hyperlink ref="D110" location="HL_TOP_ACTV_14_Other_Direct_Costs_Outputs" tooltip="Click to follow hyperlink." display="HL_TOP_ACTV_14_Other_Direct_Costs_Outputs" xr:uid="{00000000-0004-0000-1D00-00005A000000}"/>
    <hyperlink ref="A236" location="HL_TOP_ACTV_15_Out_A" tooltip="Click to follow hyperlink." display="HL_TOP_ACTV_15_Out_A" xr:uid="{00000000-0004-0000-1D00-00005B000000}"/>
    <hyperlink ref="D246" location="HL_TOP_ACTV_15_Personnel_Outputs" tooltip="Click to follow hyperlink." display="HL_TOP_ACTV_15_Personnel_Outputs" xr:uid="{00000000-0004-0000-1D00-00005C000000}"/>
    <hyperlink ref="D247" location="HL_TOP_ACTV_15_Out_A" tooltip="Click to follow hyperlink." display="HL_TOP_ACTV_15_Out_A" xr:uid="{00000000-0004-0000-1D00-00005D000000}"/>
    <hyperlink ref="D248" location="HL_TOP_ACTV_15_Supplies_and_Materials_Outputs" tooltip="Click to follow hyperlink." display="HL_TOP_ACTV_15_Supplies_and_Materials_Outputs" xr:uid="{00000000-0004-0000-1D00-00005E000000}"/>
    <hyperlink ref="D249" location="HL_TOP_ACTV_15_Other_Direct_Costs_Outputs" tooltip="Click to follow hyperlink." display="HL_TOP_ACTV_15_Other_Direct_Costs_Outputs" xr:uid="{00000000-0004-0000-1D00-00005F000000}"/>
    <hyperlink ref="A251" location="HL_TOP_ACTV_16_Out_A" tooltip="Click to follow hyperlink." display="HL_TOP_ACTV_16_Out_A" xr:uid="{00000000-0004-0000-1D00-000060000000}"/>
    <hyperlink ref="D261" location="HL_TOP_ACTV_16_Personnel_Outputs" tooltip="Click to follow hyperlink." display="HL_TOP_ACTV_16_Personnel_Outputs" xr:uid="{00000000-0004-0000-1D00-000061000000}"/>
    <hyperlink ref="D262" location="HL_TOP_ACTV_16_Out_A" tooltip="Click to follow hyperlink." display="HL_TOP_ACTV_16_Out_A" xr:uid="{00000000-0004-0000-1D00-000062000000}"/>
    <hyperlink ref="D263" location="HL_TOP_ACTV_16_Supplies_and_Materials_Outputs" tooltip="Click to follow hyperlink." display="HL_TOP_ACTV_16_Supplies_and_Materials_Outputs" xr:uid="{00000000-0004-0000-1D00-000063000000}"/>
    <hyperlink ref="D264" location="HL_TOP_ACTV_16_Other_Direct_Costs_Outputs" tooltip="Click to follow hyperlink." display="HL_TOP_ACTV_16_Other_Direct_Costs_Outputs" xr:uid="{00000000-0004-0000-1D00-000064000000}"/>
    <hyperlink ref="A282" location="HL_LVL2_ACTV_10_Out_A" tooltip="Click to follow hyperlink." display="HL_LVL2_ACTV_10_Out_A" xr:uid="{00000000-0004-0000-1D00-000065000000}"/>
    <hyperlink ref="D293" location="HL_LVL2_ACTV_10_Personnel_Outputs" tooltip="Click to follow hyperlink." display="HL_LVL2_ACTV_10_Personnel_Outputs" xr:uid="{00000000-0004-0000-1D00-000066000000}"/>
    <hyperlink ref="D294" location="HL_LVL2_ACTV_10_Out_A" tooltip="Click to follow hyperlink." display="HL_LVL2_ACTV_10_Out_A" xr:uid="{00000000-0004-0000-1D00-000067000000}"/>
    <hyperlink ref="D295" location="HL_LVL2_ACTV_10_Supplies_and_Materials_Outputs" tooltip="Click to follow hyperlink." display="HL_LVL2_ACTV_10_Supplies_and_Materials_Outputs" xr:uid="{00000000-0004-0000-1D00-000068000000}"/>
    <hyperlink ref="D296" location="HL_LVL2_ACTV_10_Other_Direct_Costs_Outputs" tooltip="Click to follow hyperlink." display="HL_LVL2_ACTV_10_Other_Direct_Costs_Outputs" xr:uid="{00000000-0004-0000-1D00-000069000000}"/>
    <hyperlink ref="A298" location="HL_LVL2_ACTV_11_Out_A" tooltip="Click to follow hyperlink." display="HL_LVL2_ACTV_11_Out_A" xr:uid="{00000000-0004-0000-1D00-00006A000000}"/>
    <hyperlink ref="D309" location="HL_LVL2_ACTV_11_Personnel_Outputs" tooltip="Click to follow hyperlink." display="HL_LVL2_ACTV_11_Personnel_Outputs" xr:uid="{00000000-0004-0000-1D00-00006B000000}"/>
    <hyperlink ref="D310" location="HL_LVL2_ACTV_11_Out_A" tooltip="Click to follow hyperlink." display="HL_LVL2_ACTV_11_Out_A" xr:uid="{00000000-0004-0000-1D00-00006C000000}"/>
    <hyperlink ref="D311" location="HL_LVL2_ACTV_11_Supplies_and_Materials_Outputs" tooltip="Click to follow hyperlink." display="HL_LVL2_ACTV_11_Supplies_and_Materials_Outputs" xr:uid="{00000000-0004-0000-1D00-00006D000000}"/>
    <hyperlink ref="D312" location="HL_LVL2_ACTV_11_Other_Direct_Costs_Outputs" tooltip="Click to follow hyperlink." display="HL_LVL2_ACTV_11_Other_Direct_Costs_Outputs" xr:uid="{00000000-0004-0000-1D00-00006E000000}"/>
    <hyperlink ref="A470" location="HL_LVL2_ACTV_12_Out_A" tooltip="Click to follow hyperlink." display="HL_LVL2_ACTV_12_Out_A" xr:uid="{00000000-0004-0000-1D00-00006F000000}"/>
    <hyperlink ref="D481" location="HL_LVL2_ACTV_12_Personnel_Outputs" tooltip="Click to follow hyperlink." display="HL_LVL2_ACTV_12_Personnel_Outputs" xr:uid="{00000000-0004-0000-1D00-000070000000}"/>
    <hyperlink ref="D482" location="HL_LVL2_ACTV_12_Out_A" tooltip="Click to follow hyperlink." display="HL_LVL2_ACTV_12_Out_A" xr:uid="{00000000-0004-0000-1D00-000071000000}"/>
    <hyperlink ref="D483" location="HL_LVL2_ACTV_12_Supplies_and_Materials_Outputs" tooltip="Click to follow hyperlink." display="HL_LVL2_ACTV_12_Supplies_and_Materials_Outputs" xr:uid="{00000000-0004-0000-1D00-000072000000}"/>
    <hyperlink ref="D484" location="HL_LVL2_ACTV_12_Other_Direct_Costs_Outputs" tooltip="Click to follow hyperlink." display="HL_LVL2_ACTV_12_Other_Direct_Costs_Outputs" xr:uid="{00000000-0004-0000-1D00-000073000000}"/>
    <hyperlink ref="A486" location="HL_LVL2_ACTV_13_Out_A" tooltip="Click to follow hyperlink." display="HL_LVL2_ACTV_13_Out_A" xr:uid="{00000000-0004-0000-1D00-000074000000}"/>
    <hyperlink ref="D497" location="HL_LVL2_ACTV_13_Personnel_Outputs" tooltip="Click to follow hyperlink." display="HL_LVL2_ACTV_13_Personnel_Outputs" xr:uid="{00000000-0004-0000-1D00-000075000000}"/>
    <hyperlink ref="D498" location="HL_LVL2_ACTV_13_Out_A" tooltip="Click to follow hyperlink." display="HL_LVL2_ACTV_13_Out_A" xr:uid="{00000000-0004-0000-1D00-000076000000}"/>
    <hyperlink ref="D499" location="HL_LVL2_ACTV_13_Supplies_and_Materials_Outputs" tooltip="Click to follow hyperlink." display="HL_LVL2_ACTV_13_Supplies_and_Materials_Outputs" xr:uid="{00000000-0004-0000-1D00-000077000000}"/>
    <hyperlink ref="D500" location="HL_LVL2_ACTV_13_Other_Direct_Costs_Outputs" tooltip="Click to follow hyperlink." display="HL_LVL2_ACTV_13_Other_Direct_Costs_Outputs" xr:uid="{00000000-0004-0000-1D00-000078000000}"/>
    <hyperlink ref="A361" location="HL_TOP_ACTV_17_Out_A" tooltip="Click to follow hyperlink." display="HL_TOP_ACTV_17_Out_A" xr:uid="{00000000-0004-0000-1D00-000079000000}"/>
    <hyperlink ref="D371" location="HL_TOP_ACTV_17_Personnel_Outputs" tooltip="Click to follow hyperlink." display="HL_TOP_ACTV_17_Personnel_Outputs" xr:uid="{00000000-0004-0000-1D00-00007A000000}"/>
    <hyperlink ref="D372" location="HL_TOP_ACTV_17_Out_A" tooltip="Click to follow hyperlink." display="HL_TOP_ACTV_17_Out_A" xr:uid="{00000000-0004-0000-1D00-00007B000000}"/>
    <hyperlink ref="D373" location="HL_TOP_ACTV_17_Supplies_and_Materials_Outputs" tooltip="Click to follow hyperlink." display="HL_TOP_ACTV_17_Supplies_and_Materials_Outputs" xr:uid="{00000000-0004-0000-1D00-00007C000000}"/>
    <hyperlink ref="D374" location="HL_TOP_ACTV_17_Other_Direct_Costs_Outputs" tooltip="Click to follow hyperlink." display="HL_TOP_ACTV_17_Other_Direct_Costs_Outputs" xr:uid="{00000000-0004-0000-1D00-00007D000000}"/>
    <hyperlink ref="A376" location="HL_TOP_ACTV_18_Out_A" tooltip="Click to follow hyperlink." display="HL_TOP_ACTV_18_Out_A" xr:uid="{00000000-0004-0000-1D00-00007E000000}"/>
    <hyperlink ref="D386" location="HL_TOP_ACTV_18_Personnel_Outputs" tooltip="Click to follow hyperlink." display="HL_TOP_ACTV_18_Personnel_Outputs" xr:uid="{00000000-0004-0000-1D00-00007F000000}"/>
    <hyperlink ref="D387" location="HL_TOP_ACTV_18_Out_A" tooltip="Click to follow hyperlink." display="HL_TOP_ACTV_18_Out_A" xr:uid="{00000000-0004-0000-1D00-000080000000}"/>
    <hyperlink ref="D388" location="HL_TOP_ACTV_18_Supplies_and_Materials_Outputs" tooltip="Click to follow hyperlink." display="HL_TOP_ACTV_18_Supplies_and_Materials_Outputs" xr:uid="{00000000-0004-0000-1D00-000081000000}"/>
    <hyperlink ref="D389" location="HL_TOP_ACTV_18_Other_Direct_Costs_Outputs" tooltip="Click to follow hyperlink." display="HL_TOP_ACTV_18_Other_Direct_Costs_Outputs" xr:uid="{00000000-0004-0000-1D00-000082000000}"/>
    <hyperlink ref="A422" location="HL_LVL2_ACTV_14_Out_A" tooltip="Click to follow hyperlink." display="HL_LVL2_ACTV_14_Out_A" xr:uid="{00000000-0004-0000-1D00-000083000000}"/>
    <hyperlink ref="D433" location="HL_LVL2_ACTV_14_Personnel_Outputs" tooltip="Click to follow hyperlink." display="HL_LVL2_ACTV_14_Personnel_Outputs" xr:uid="{00000000-0004-0000-1D00-000084000000}"/>
    <hyperlink ref="D434" location="HL_LVL2_ACTV_14_Out_A" tooltip="Click to follow hyperlink." display="HL_LVL2_ACTV_14_Out_A" xr:uid="{00000000-0004-0000-1D00-000085000000}"/>
    <hyperlink ref="D435" location="HL_LVL2_ACTV_14_Supplies_and_Materials_Outputs" tooltip="Click to follow hyperlink." display="HL_LVL2_ACTV_14_Supplies_and_Materials_Outputs" xr:uid="{00000000-0004-0000-1D00-000086000000}"/>
    <hyperlink ref="D436" location="HL_LVL2_ACTV_14_Other_Direct_Costs_Outputs" tooltip="Click to follow hyperlink." display="HL_LVL2_ACTV_14_Other_Direct_Costs_Outputs" xr:uid="{00000000-0004-0000-1D00-000087000000}"/>
    <hyperlink ref="A438" location="HL_LVL2_ACTV_15_Out_A" tooltip="Click to follow hyperlink." display="HL_LVL2_ACTV_15_Out_A" xr:uid="{00000000-0004-0000-1D00-000088000000}"/>
    <hyperlink ref="D449" location="HL_LVL2_ACTV_15_Personnel_Outputs" tooltip="Click to follow hyperlink." display="HL_LVL2_ACTV_15_Personnel_Outputs" xr:uid="{00000000-0004-0000-1D00-000089000000}"/>
    <hyperlink ref="D450" location="HL_LVL2_ACTV_15_Out_A" tooltip="Click to follow hyperlink." display="HL_LVL2_ACTV_15_Out_A" xr:uid="{00000000-0004-0000-1D00-00008A000000}"/>
    <hyperlink ref="D451" location="HL_LVL2_ACTV_15_Supplies_and_Materials_Outputs" tooltip="Click to follow hyperlink." display="HL_LVL2_ACTV_15_Supplies_and_Materials_Outputs" xr:uid="{00000000-0004-0000-1D00-00008B000000}"/>
    <hyperlink ref="D452" location="HL_LVL2_ACTV_15_Other_Direct_Costs_Outputs" tooltip="Click to follow hyperlink." display="HL_LVL2_ACTV_15_Other_Direct_Costs_Outputs" xr:uid="{00000000-0004-0000-1D00-00008C000000}"/>
    <hyperlink ref="A548" location="HL_TOP_ACTV_19_Out_A" tooltip="Click to follow hyperlink." display="HL_TOP_ACTV_19_Out_A" xr:uid="{00000000-0004-0000-1D00-00008D000000}"/>
    <hyperlink ref="D558" location="HL_TOP_ACTV_19_Personnel_Outputs" tooltip="Click to follow hyperlink." display="HL_TOP_ACTV_19_Personnel_Outputs" xr:uid="{00000000-0004-0000-1D00-00008E000000}"/>
    <hyperlink ref="D559" location="HL_TOP_ACTV_19_Out_A" tooltip="Click to follow hyperlink." display="HL_TOP_ACTV_19_Out_A" xr:uid="{00000000-0004-0000-1D00-00008F000000}"/>
    <hyperlink ref="D560" location="HL_TOP_ACTV_19_Supplies_and_Materials_Outputs" tooltip="Click to follow hyperlink." display="HL_TOP_ACTV_19_Supplies_and_Materials_Outputs" xr:uid="{00000000-0004-0000-1D00-000090000000}"/>
    <hyperlink ref="D561" location="HL_TOP_ACTV_19_Other_Direct_Costs_Outputs" tooltip="Click to follow hyperlink." display="HL_TOP_ACTV_19_Other_Direct_Costs_Outputs" xr:uid="{00000000-0004-0000-1D00-000091000000}"/>
    <hyperlink ref="A533" location="HL_TOP_ACTV_20_Out_A" tooltip="Click to follow hyperlink." display="HL_TOP_ACTV_20_Out_A" xr:uid="{00000000-0004-0000-1D00-000092000000}"/>
    <hyperlink ref="D543" location="HL_TOP_ACTV_20_Personnel_Outputs" tooltip="Click to follow hyperlink." display="HL_TOP_ACTV_20_Personnel_Outputs" xr:uid="{00000000-0004-0000-1D00-000093000000}"/>
    <hyperlink ref="D544" location="HL_TOP_ACTV_20_Out_A" tooltip="Click to follow hyperlink." display="HL_TOP_ACTV_20_Out_A" xr:uid="{00000000-0004-0000-1D00-000094000000}"/>
    <hyperlink ref="D545" location="HL_TOP_ACTV_20_Supplies_and_Materials_Outputs" tooltip="Click to follow hyperlink." display="HL_TOP_ACTV_20_Supplies_and_Materials_Outputs" xr:uid="{00000000-0004-0000-1D00-000095000000}"/>
    <hyperlink ref="D546" location="HL_TOP_ACTV_20_Other_Direct_Costs_Outputs" tooltip="Click to follow hyperlink." display="HL_TOP_ACTV_20_Other_Direct_Costs_Outputs" xr:uid="{00000000-0004-0000-1D00-000096000000}"/>
    <hyperlink ref="A579" location="HL_LVL2_ACTV_16_Out_A" tooltip="Click to follow hyperlink." display="HL_LVL2_ACTV_16_Out_A" xr:uid="{00000000-0004-0000-1D00-000097000000}"/>
    <hyperlink ref="D590" location="HL_LVL2_ACTV_16_Personnel_Outputs" tooltip="Click to follow hyperlink." display="HL_LVL2_ACTV_16_Personnel_Outputs" xr:uid="{00000000-0004-0000-1D00-000098000000}"/>
    <hyperlink ref="D591" location="HL_LVL2_ACTV_16_Out_A" tooltip="Click to follow hyperlink." display="HL_LVL2_ACTV_16_Out_A" xr:uid="{00000000-0004-0000-1D00-000099000000}"/>
    <hyperlink ref="D592" location="HL_LVL2_ACTV_16_Supplies_and_Materials_Outputs" tooltip="Click to follow hyperlink." display="HL_LVL2_ACTV_16_Supplies_and_Materials_Outputs" xr:uid="{00000000-0004-0000-1D00-00009A000000}"/>
    <hyperlink ref="D593" location="HL_LVL2_ACTV_16_Other_Direct_Costs_Outputs" tooltip="Click to follow hyperlink." display="HL_LVL2_ACTV_16_Other_Direct_Costs_Outputs" xr:uid="{00000000-0004-0000-1D00-00009B000000}"/>
    <hyperlink ref="A189" location="HL_LVL2_ACTV_18_Out_A" tooltip="Click to follow hyperlink." display="HL_LVL2_ACTV_18_Out_A" xr:uid="{00000000-0004-0000-1D00-00009C000000}"/>
    <hyperlink ref="D200" location="HL_LVL2_ACTV_18_Personnel_Outputs" tooltip="Click to follow hyperlink." display="HL_LVL2_ACTV_18_Personnel_Outputs" xr:uid="{00000000-0004-0000-1D00-00009D000000}"/>
    <hyperlink ref="D201" location="HL_LVL2_ACTV_18_Out_A" tooltip="Click to follow hyperlink." display="HL_LVL2_ACTV_18_Out_A" xr:uid="{00000000-0004-0000-1D00-00009E000000}"/>
    <hyperlink ref="D202" location="HL_LVL2_ACTV_18_Supplies_and_Materials_Outputs" tooltip="Click to follow hyperlink." display="HL_LVL2_ACTV_18_Supplies_and_Materials_Outputs" xr:uid="{00000000-0004-0000-1D00-00009F000000}"/>
    <hyperlink ref="D203" location="HL_LVL2_ACTV_18_Other_Direct_Costs_Outputs" tooltip="Click to follow hyperlink." display="HL_LVL2_ACTV_18_Other_Direct_Costs_Outputs" xr:uid="{00000000-0004-0000-1D00-0000A0000000}"/>
    <hyperlink ref="A205" location="HL_LVL2_ACTV_19_Out_A" tooltip="Click to follow hyperlink." display="HL_LVL2_ACTV_19_Out_A" xr:uid="{00000000-0004-0000-1D00-0000A1000000}"/>
    <hyperlink ref="D216" location="HL_LVL2_ACTV_19_Personnel_Outputs" tooltip="Click to follow hyperlink." display="HL_LVL2_ACTV_19_Personnel_Outputs" xr:uid="{00000000-0004-0000-1D00-0000A2000000}"/>
    <hyperlink ref="D217" location="HL_LVL2_ACTV_19_Out_A" tooltip="Click to follow hyperlink." display="HL_LVL2_ACTV_19_Out_A" xr:uid="{00000000-0004-0000-1D00-0000A3000000}"/>
    <hyperlink ref="D218" location="HL_LVL2_ACTV_19_Supplies_and_Materials_Outputs" tooltip="Click to follow hyperlink." display="HL_LVL2_ACTV_19_Supplies_and_Materials_Outputs" xr:uid="{00000000-0004-0000-1D00-0000A4000000}"/>
    <hyperlink ref="D219" location="HL_LVL2_ACTV_19_Other_Direct_Costs_Outputs" tooltip="Click to follow hyperlink." display="HL_LVL2_ACTV_19_Other_Direct_Costs_Outputs" xr:uid="{00000000-0004-0000-1D00-0000A5000000}"/>
    <hyperlink ref="A51" location="HL_LVL2_ACTV_20_Out_A" tooltip="Click to follow hyperlink." display="HL_LVL2_ACTV_20_Out_A" xr:uid="{00000000-0004-0000-1D00-0000A6000000}"/>
    <hyperlink ref="D62" location="HL_LVL2_ACTV_20_Personnel_Outputs" tooltip="Click to follow hyperlink." display="HL_LVL2_ACTV_20_Personnel_Outputs" xr:uid="{00000000-0004-0000-1D00-0000A7000000}"/>
    <hyperlink ref="D63" location="HL_LVL2_ACTV_20_Out_A" tooltip="Click to follow hyperlink." display="HL_LVL2_ACTV_20_Out_A" xr:uid="{00000000-0004-0000-1D00-0000A8000000}"/>
    <hyperlink ref="D64" location="HL_LVL2_ACTV_20_Supplies_and_Materials_Outputs" tooltip="Click to follow hyperlink." display="HL_LVL2_ACTV_20_Supplies_and_Materials_Outputs" xr:uid="{00000000-0004-0000-1D00-0000A9000000}"/>
    <hyperlink ref="D65" location="HL_LVL2_ACTV_20_Other_Direct_Costs_Outputs" tooltip="Click to follow hyperlink." display="HL_LVL2_ACTV_20_Other_Direct_Costs_Outputs" xr:uid="{00000000-0004-0000-1D00-0000AA000000}"/>
    <hyperlink ref="A314" location="HL_LVL2_ACTV_8_Out_A" tooltip="Click to follow hyperlink." display="HL_LVL2_ACTV_8_Out_A" xr:uid="{00000000-0004-0000-1D00-0000AB000000}"/>
    <hyperlink ref="D325" location="HL_LVL2_ACTV_8_Personnel_Outputs" tooltip="Click to follow hyperlink." display="HL_LVL2_ACTV_8_Personnel_Outputs" xr:uid="{00000000-0004-0000-1D00-0000AC000000}"/>
    <hyperlink ref="D326" location="HL_LVL2_ACTV_8_Out_A" tooltip="Click to follow hyperlink." display="HL_LVL2_ACTV_8_Out_A" xr:uid="{00000000-0004-0000-1D00-0000AD000000}"/>
    <hyperlink ref="D327" location="HL_LVL2_ACTV_8_Supplies_and_Materials_Outputs" tooltip="Click to follow hyperlink." display="HL_LVL2_ACTV_8_Supplies_and_Materials_Outputs" xr:uid="{00000000-0004-0000-1D00-0000AE000000}"/>
    <hyperlink ref="D328" location="HL_LVL2_ACTV_8_Other_Direct_Costs_Outputs" tooltip="Click to follow hyperlink." display="HL_LVL2_ACTV_8_Other_Direct_Costs_Outputs" xr:uid="{00000000-0004-0000-1D00-0000AF000000}"/>
    <hyperlink ref="A330" location="HL_LVL2_ACTV_21_Out_A" tooltip="Click to follow hyperlink." display="HL_LVL2_ACTV_21_Out_A" xr:uid="{00000000-0004-0000-1D00-0000B0000000}"/>
    <hyperlink ref="D341" location="HL_LVL2_ACTV_21_Personnel_Outputs" tooltip="Click to follow hyperlink." display="HL_LVL2_ACTV_21_Personnel_Outputs" xr:uid="{00000000-0004-0000-1D00-0000B1000000}"/>
    <hyperlink ref="D342" location="HL_LVL2_ACTV_21_Out_A" tooltip="Click to follow hyperlink." display="HL_LVL2_ACTV_21_Out_A" xr:uid="{00000000-0004-0000-1D00-0000B2000000}"/>
    <hyperlink ref="D343" location="HL_LVL2_ACTV_21_Supplies_and_Materials_Outputs" tooltip="Click to follow hyperlink." display="HL_LVL2_ACTV_21_Supplies_and_Materials_Outputs" xr:uid="{00000000-0004-0000-1D00-0000B3000000}"/>
    <hyperlink ref="D344" location="HL_LVL2_ACTV_21_Other_Direct_Costs_Outputs" tooltip="Click to follow hyperlink." display="HL_LVL2_ACTV_21_Other_Direct_Costs_Outputs" xr:uid="{00000000-0004-0000-1D00-0000B4000000}"/>
    <hyperlink ref="A391" location="HL_TOP_ACTV_8_Out_A" tooltip="Click to follow hyperlink." display="HL_TOP_ACTV_8_Out_A" xr:uid="{00000000-0004-0000-1D00-0000B5000000}"/>
    <hyperlink ref="D401" location="HL_TOP_ACTV_8_Personnel_Outputs" tooltip="Click to follow hyperlink." display="HL_TOP_ACTV_8_Personnel_Outputs" xr:uid="{00000000-0004-0000-1D00-0000B6000000}"/>
    <hyperlink ref="D402" location="HL_TOP_ACTV_8_Out_A" tooltip="Click to follow hyperlink." display="HL_TOP_ACTV_8_Out_A" xr:uid="{00000000-0004-0000-1D00-0000B7000000}"/>
    <hyperlink ref="D403" location="HL_TOP_ACTV_8_Supplies_and_Materials_Outputs" tooltip="Click to follow hyperlink." display="HL_TOP_ACTV_8_Supplies_and_Materials_Outputs" xr:uid="{00000000-0004-0000-1D00-0000B8000000}"/>
    <hyperlink ref="D404" location="HL_TOP_ACTV_8_Other_Direct_Costs_Outputs" tooltip="Click to follow hyperlink." display="HL_TOP_ACTV_8_Other_Direct_Costs_Outputs" xr:uid="{00000000-0004-0000-1D00-0000B9000000}"/>
    <hyperlink ref="A502" location="HL_LVL2_ACTV_9_Out_A" tooltip="Click to follow hyperlink." display="HL_LVL2_ACTV_9_Out_A" xr:uid="{00000000-0004-0000-1D00-0000BA000000}"/>
    <hyperlink ref="D513" location="HL_LVL2_ACTV_9_Personnel_Outputs" tooltip="Click to follow hyperlink." display="HL_LVL2_ACTV_9_Personnel_Outputs" xr:uid="{00000000-0004-0000-1D00-0000BB000000}"/>
    <hyperlink ref="D514" location="HL_LVL2_ACTV_9_Out_A" tooltip="Click to follow hyperlink." display="HL_LVL2_ACTV_9_Out_A" xr:uid="{00000000-0004-0000-1D00-0000BC000000}"/>
    <hyperlink ref="D515" location="HL_LVL2_ACTV_9_Supplies_and_Materials_Outputs" tooltip="Click to follow hyperlink." display="HL_LVL2_ACTV_9_Supplies_and_Materials_Outputs" xr:uid="{00000000-0004-0000-1D00-0000BD000000}"/>
    <hyperlink ref="D516" location="HL_LVL2_ACTV_9_Other_Direct_Costs_Outputs" tooltip="Click to follow hyperlink." display="HL_LVL2_ACTV_9_Other_Direct_Costs_Outputs" xr:uid="{00000000-0004-0000-1D00-0000BE000000}"/>
    <hyperlink ref="A2" location="HL_Err_Chk" tooltip="Go to Error Checks" display="HL_Err_Chk" xr:uid="{00000000-0004-0000-1D00-0000BF000000}"/>
    <hyperlink ref="A3" location="$A$4" tooltip="Go to Top of Sheet" display="$A$4" xr:uid="{9D42DD55-E67C-4C48-A246-C0B453C4997F}"/>
    <hyperlink ref="A1" location="Contents!A1" tooltip="Go to Table of Contents" display="±" xr:uid="{026627A4-48D9-4569-94EA-EB6A285D6A90}"/>
  </hyperlinks>
  <pageMargins left="0.4" right="0.4" top="0.6" bottom="1" header="0" footer="0.3"/>
  <pageSetup orientation="landscape" r:id="rId1"/>
  <headerFooter>
    <oddFooter>&amp;L&amp;F
&amp;A
Printed: &amp;T on &amp;D&amp;CPage &amp;P of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9">
    <tabColor rgb="FF7030A0"/>
    <pageSetUpPr autoPageBreaks="0" fitToPage="1"/>
  </sheetPr>
  <dimension ref="A1:W33"/>
  <sheetViews>
    <sheetView showGridLines="0" zoomScaleNormal="100" workbookViewId="0">
      <selection activeCell="T29" sqref="T29:W30"/>
    </sheetView>
  </sheetViews>
  <sheetFormatPr defaultColWidth="11.7109375" defaultRowHeight="12" x14ac:dyDescent="0.2"/>
  <cols>
    <col min="3" max="6" width="3.7109375" customWidth="1"/>
  </cols>
  <sheetData>
    <row r="1" spans="1:7" x14ac:dyDescent="0.2">
      <c r="A1" s="35" t="s">
        <v>128</v>
      </c>
    </row>
    <row r="9" spans="1:7" ht="15" x14ac:dyDescent="0.2">
      <c r="C9" s="30" t="str">
        <f>Lang_Appendices</f>
        <v>Appendices</v>
      </c>
    </row>
    <row r="10" spans="1:7" ht="12.75" x14ac:dyDescent="0.2">
      <c r="C10" s="32" t="str">
        <f>Lang_Section_4</f>
        <v>Section 4.</v>
      </c>
    </row>
    <row r="11" spans="1:7" ht="12.75" x14ac:dyDescent="0.2">
      <c r="C11" s="45" t="str">
        <f ca="1">Model_Name</f>
        <v>Cervical Cancer Prevention and Control Costing (C4P) Tool (Cost Projection)</v>
      </c>
    </row>
    <row r="12" spans="1:7" ht="12.75" x14ac:dyDescent="0.2">
      <c r="C12" s="426" t="str">
        <f>Lang_Goto_TOC</f>
        <v>Go to Table of Contents</v>
      </c>
      <c r="D12" s="426"/>
      <c r="E12" s="426"/>
      <c r="F12" s="426"/>
      <c r="G12" s="426"/>
    </row>
    <row r="13" spans="1:7" x14ac:dyDescent="0.2">
      <c r="C13" s="38" t="s">
        <v>7</v>
      </c>
      <c r="D13" s="39" t="s">
        <v>8</v>
      </c>
    </row>
    <row r="17" spans="3:23" x14ac:dyDescent="0.2">
      <c r="C17" s="48" t="str">
        <f>Lang_Section_Cover_Notes</f>
        <v>Section Cover Notes:</v>
      </c>
    </row>
    <row r="18" spans="3:23" x14ac:dyDescent="0.2">
      <c r="C18" s="15" t="str">
        <f>Lang_Section_Cover_Notes_Appendices_1</f>
        <v>In this section, we provide worksheets for creating detailed cost estimates of each activity.</v>
      </c>
    </row>
    <row r="19" spans="3:23" x14ac:dyDescent="0.2">
      <c r="C19" s="15" t="str">
        <f>Lang_Section_Cover_Notes_Appendices_2</f>
        <v>We also keep autogenerated model worksheets required for the model to calculate accuratetly.</v>
      </c>
    </row>
    <row r="20" spans="3:23" ht="15" x14ac:dyDescent="0.2">
      <c r="C20" s="15" t="str">
        <f>Lang_Section_Cover_Notes_Appendices_3</f>
        <v>We also keep variable lookup worksheets which allow the tool to have more user-friendly navigation.</v>
      </c>
      <c r="P20" s="146" t="str">
        <f>Lang_Current_Calc_Total_Per_FIP</f>
        <v>CURRENT CALCULATED TOTAL COST PER FULLY IMMUNISED PERSON (FIP)</v>
      </c>
    </row>
    <row r="21" spans="3:23" ht="12.75" thickBot="1" x14ac:dyDescent="0.25">
      <c r="C21" s="15" t="str">
        <f>Lang_Section_Cover_Notes_Appendices_4</f>
        <v>Finally, we maintain a series of worksheets where errors, alerts, and issues are kept.</v>
      </c>
    </row>
    <row r="22" spans="3:23" ht="12.75" thickBot="1" x14ac:dyDescent="0.25">
      <c r="T22" s="429" t="str">
        <f>Lang_Fin_Costs&amp;" ("&amp;Analy_Lu!$D$13&amp;")"</f>
        <v>FINANCIAL COSTS (LCU)</v>
      </c>
      <c r="U22" s="430"/>
      <c r="V22" s="429" t="str">
        <f>Lang_Econ_Costs&amp;" ("&amp;Analy_Lu!$D$13&amp;")"</f>
        <v>ECONOMIC COSTS (LCU)</v>
      </c>
      <c r="W22" s="430"/>
    </row>
    <row r="23" spans="3:23" x14ac:dyDescent="0.2">
      <c r="Q23" s="431" t="str">
        <f>Lang_with&amp;" "&amp;Dashboard!$C$61</f>
        <v>with Vaccine and Injection Supply Costs</v>
      </c>
      <c r="R23" s="432"/>
      <c r="S23" s="433"/>
      <c r="T23" s="434">
        <f>Dashboard!$E$76</f>
        <v>0</v>
      </c>
      <c r="U23" s="435"/>
      <c r="V23" s="435">
        <f>Dashboard!$F$76</f>
        <v>0</v>
      </c>
      <c r="W23" s="436"/>
    </row>
    <row r="24" spans="3:23" ht="12.75" thickBot="1" x14ac:dyDescent="0.25">
      <c r="Q24" s="437" t="str">
        <f>Lang_without&amp;" "&amp;Dashboard!$C$61</f>
        <v>without Vaccine and Injection Supply Costs</v>
      </c>
      <c r="R24" s="438"/>
      <c r="S24" s="438"/>
      <c r="T24" s="439">
        <f>Dashboard!$E$77</f>
        <v>0</v>
      </c>
      <c r="U24" s="440"/>
      <c r="V24" s="440">
        <f>Dashboard!$F$77</f>
        <v>0</v>
      </c>
      <c r="W24" s="441"/>
    </row>
    <row r="26" spans="3:23" x14ac:dyDescent="0.2">
      <c r="O26" s="427"/>
      <c r="P26" s="427"/>
      <c r="Q26" s="427"/>
      <c r="R26" s="427"/>
      <c r="V26" s="56"/>
    </row>
    <row r="27" spans="3:23" ht="12.75" thickBot="1" x14ac:dyDescent="0.25"/>
    <row r="28" spans="3:23" ht="12.75" thickBot="1" x14ac:dyDescent="0.25">
      <c r="T28" s="446" t="str">
        <f>Lang_Fin_Costs&amp;" ("&amp;Analy_Lu!$D$12&amp;")"</f>
        <v>FINANCIAL COSTS (USD)</v>
      </c>
      <c r="U28" s="447"/>
      <c r="V28" s="447" t="str">
        <f>Lang_Econ_Costs&amp;" ("&amp;Analy_Lu!$D$12&amp;")"</f>
        <v>ECONOMIC COSTS (USD)</v>
      </c>
      <c r="W28" s="448"/>
    </row>
    <row r="29" spans="3:23" x14ac:dyDescent="0.2">
      <c r="Q29" s="431" t="str">
        <f>Lang_with&amp;" "&amp;Dashboard!$C$61</f>
        <v>with Vaccine and Injection Supply Costs</v>
      </c>
      <c r="R29" s="432"/>
      <c r="S29" s="433"/>
      <c r="T29" s="449">
        <f>Dashboard!$G$76</f>
        <v>0</v>
      </c>
      <c r="U29" s="450"/>
      <c r="V29" s="449">
        <f>Dashboard!$H$76</f>
        <v>0</v>
      </c>
      <c r="W29" s="451"/>
    </row>
    <row r="30" spans="3:23" ht="12.75" thickBot="1" x14ac:dyDescent="0.25">
      <c r="Q30" s="437" t="str">
        <f>Lang_without&amp;" "&amp;Dashboard!$C$61</f>
        <v>without Vaccine and Injection Supply Costs</v>
      </c>
      <c r="R30" s="438"/>
      <c r="S30" s="438"/>
      <c r="T30" s="443">
        <f>Dashboard!$G$77</f>
        <v>0</v>
      </c>
      <c r="U30" s="444"/>
      <c r="V30" s="443">
        <f>Dashboard!$H$77</f>
        <v>0</v>
      </c>
      <c r="W30" s="445"/>
    </row>
    <row r="33" spans="18:18" x14ac:dyDescent="0.2">
      <c r="R33" t="s">
        <v>39</v>
      </c>
    </row>
  </sheetData>
  <mergeCells count="18">
    <mergeCell ref="C12:G12"/>
    <mergeCell ref="T22:U22"/>
    <mergeCell ref="V22:W22"/>
    <mergeCell ref="Q23:S23"/>
    <mergeCell ref="T23:U23"/>
    <mergeCell ref="V23:W23"/>
    <mergeCell ref="Q24:S24"/>
    <mergeCell ref="T24:U24"/>
    <mergeCell ref="V24:W24"/>
    <mergeCell ref="O26:R26"/>
    <mergeCell ref="T28:U28"/>
    <mergeCell ref="V28:W28"/>
    <mergeCell ref="Q29:S29"/>
    <mergeCell ref="T29:U29"/>
    <mergeCell ref="V29:W29"/>
    <mergeCell ref="Q30:S30"/>
    <mergeCell ref="T30:U30"/>
    <mergeCell ref="V30:W30"/>
  </mergeCells>
  <hyperlinks>
    <hyperlink ref="D13" location="HL_Sheet_Main_37" tooltip="Go to Next Sheet" display="HL_Sheet_Main_37" xr:uid="{00000000-0004-0000-1E00-000000000000}"/>
    <hyperlink ref="C13" location="HL_Sheet_Main_19" tooltip="Go to Previous Sheet" display="HL_Sheet_Main_19" xr:uid="{00000000-0004-0000-1E00-000001000000}"/>
    <hyperlink ref="C12" location="HL_Home" tooltip="Go to Table of Contents" display="HL_Home" xr:uid="{00000000-0004-0000-1E00-000002000000}"/>
    <hyperlink ref="C12:G12" location="Contents!A1" tooltip="Go to Table of Contents" display="Contents!A1" xr:uid="{00000000-0004-0000-1E00-000003000000}"/>
    <hyperlink ref="A1" location="Contents!A1" tooltip="Go to Table of Contents" display="±" xr:uid="{00000000-0004-0000-1E00-000004000000}"/>
  </hyperlinks>
  <pageMargins left="0.7" right="0.7" top="0.75" bottom="0.75" header="0.3" footer="0.3"/>
  <pageSetup fitToHeight="0" orientation="landscape" r:id="rId1"/>
  <headerFooter>
    <oddFooter>&amp;L&amp;B Confidential&amp;B&amp;C&amp;D&amp;RPage 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9">
    <tabColor rgb="FF7030A0"/>
    <pageSetUpPr autoPageBreaks="0" fitToPage="1"/>
  </sheetPr>
  <dimension ref="A1:U33"/>
  <sheetViews>
    <sheetView showGridLines="0" zoomScaleNormal="100" workbookViewId="0">
      <selection activeCell="T50" sqref="T50"/>
    </sheetView>
  </sheetViews>
  <sheetFormatPr defaultColWidth="11.7109375" defaultRowHeight="12" x14ac:dyDescent="0.2"/>
  <cols>
    <col min="3" max="6" width="3.7109375" customWidth="1"/>
  </cols>
  <sheetData>
    <row r="1" spans="1:7" x14ac:dyDescent="0.2">
      <c r="A1" s="35" t="s">
        <v>128</v>
      </c>
    </row>
    <row r="9" spans="1:7" ht="15" x14ac:dyDescent="0.2">
      <c r="C9" s="31" t="str">
        <f>Lang_Detailed_Costing_Worksheets_Optional</f>
        <v>Detailed Costing Worksheets (OPTIONAL)</v>
      </c>
    </row>
    <row r="10" spans="1:7" ht="12.75" x14ac:dyDescent="0.2">
      <c r="C10" s="32" t="str">
        <f>Lang_Sub_Section_2_1</f>
        <v>Sub-Section 2.1.</v>
      </c>
    </row>
    <row r="11" spans="1:7" ht="12.75" x14ac:dyDescent="0.2">
      <c r="C11" s="45" t="str">
        <f ca="1">Model_Name</f>
        <v>Cervical Cancer Prevention and Control Costing (C4P) Tool (Cost Projection)</v>
      </c>
    </row>
    <row r="12" spans="1:7" ht="12.75" x14ac:dyDescent="0.2">
      <c r="C12" s="426" t="str">
        <f>Lang_Goto_TOC</f>
        <v>Go to Table of Contents</v>
      </c>
      <c r="D12" s="426"/>
      <c r="E12" s="426"/>
      <c r="F12" s="426"/>
      <c r="G12" s="426"/>
    </row>
    <row r="13" spans="1:7" x14ac:dyDescent="0.2">
      <c r="C13" s="38" t="s">
        <v>7</v>
      </c>
      <c r="D13" s="39" t="s">
        <v>8</v>
      </c>
    </row>
    <row r="22" spans="13:21" ht="15" x14ac:dyDescent="0.2">
      <c r="N22" s="146" t="str">
        <f>Lang_Current_Calc_Total_Per_FIP</f>
        <v>CURRENT CALCULATED TOTAL COST PER FULLY IMMUNISED PERSON (FIP)</v>
      </c>
    </row>
    <row r="23" spans="13:21" ht="12.75" thickBot="1" x14ac:dyDescent="0.25"/>
    <row r="24" spans="13:21" ht="12.75" thickBot="1" x14ac:dyDescent="0.25">
      <c r="R24" s="429" t="str">
        <f>Lang_Fin_Costs&amp;" ("&amp;Analy_Lu!$D$13&amp;")"</f>
        <v>FINANCIAL COSTS (LCU)</v>
      </c>
      <c r="S24" s="430"/>
      <c r="T24" s="429" t="str">
        <f>Lang_Econ_Costs&amp;" ("&amp;Analy_Lu!$D$13&amp;")"</f>
        <v>ECONOMIC COSTS (LCU)</v>
      </c>
      <c r="U24" s="430"/>
    </row>
    <row r="25" spans="13:21" x14ac:dyDescent="0.2">
      <c r="O25" s="431" t="str">
        <f>Lang_with&amp;" "&amp;Dashboard!$C$61</f>
        <v>with Vaccine and Injection Supply Costs</v>
      </c>
      <c r="P25" s="432"/>
      <c r="Q25" s="433"/>
      <c r="R25" s="434">
        <f>Dashboard!$E$76</f>
        <v>0</v>
      </c>
      <c r="S25" s="435"/>
      <c r="T25" s="435">
        <f>Dashboard!$F$76</f>
        <v>0</v>
      </c>
      <c r="U25" s="436"/>
    </row>
    <row r="26" spans="13:21" ht="12.75" thickBot="1" x14ac:dyDescent="0.25">
      <c r="O26" s="437" t="str">
        <f>Lang_without&amp;" "&amp;Dashboard!$C$61</f>
        <v>without Vaccine and Injection Supply Costs</v>
      </c>
      <c r="P26" s="438"/>
      <c r="Q26" s="438"/>
      <c r="R26" s="439">
        <f>Dashboard!$E$77</f>
        <v>0</v>
      </c>
      <c r="S26" s="440"/>
      <c r="T26" s="440">
        <f>Dashboard!$F$77</f>
        <v>0</v>
      </c>
      <c r="U26" s="441"/>
    </row>
    <row r="28" spans="13:21" x14ac:dyDescent="0.2">
      <c r="M28" s="427"/>
      <c r="N28" s="427"/>
      <c r="O28" s="427"/>
      <c r="P28" s="427"/>
      <c r="T28" s="56"/>
    </row>
    <row r="29" spans="13:21" ht="12.75" thickBot="1" x14ac:dyDescent="0.25"/>
    <row r="30" spans="13:21" ht="12.75" thickBot="1" x14ac:dyDescent="0.25">
      <c r="R30" s="446" t="str">
        <f>Lang_Fin_Costs&amp;" ("&amp;Analy_Lu!$D$12&amp;")"</f>
        <v>FINANCIAL COSTS (USD)</v>
      </c>
      <c r="S30" s="447"/>
      <c r="T30" s="447" t="str">
        <f>Lang_Econ_Costs&amp;" ("&amp;Analy_Lu!$D$12&amp;")"</f>
        <v>ECONOMIC COSTS (USD)</v>
      </c>
      <c r="U30" s="448"/>
    </row>
    <row r="31" spans="13:21" x14ac:dyDescent="0.2">
      <c r="O31" s="431" t="str">
        <f>Lang_with&amp;" "&amp;Dashboard!$C$61</f>
        <v>with Vaccine and Injection Supply Costs</v>
      </c>
      <c r="P31" s="432"/>
      <c r="Q31" s="433"/>
      <c r="R31" s="449">
        <f>Dashboard!$G$76</f>
        <v>0</v>
      </c>
      <c r="S31" s="450"/>
      <c r="T31" s="449">
        <f>Dashboard!$H$76</f>
        <v>0</v>
      </c>
      <c r="U31" s="451"/>
    </row>
    <row r="32" spans="13:21" ht="12.75" thickBot="1" x14ac:dyDescent="0.25">
      <c r="O32" s="437" t="str">
        <f>Lang_without&amp;" "&amp;Dashboard!$C$61</f>
        <v>without Vaccine and Injection Supply Costs</v>
      </c>
      <c r="P32" s="438"/>
      <c r="Q32" s="438"/>
      <c r="R32" s="443">
        <f>Dashboard!$G$77</f>
        <v>0</v>
      </c>
      <c r="S32" s="444"/>
      <c r="T32" s="443">
        <f>Dashboard!$H$77</f>
        <v>0</v>
      </c>
      <c r="U32" s="445"/>
    </row>
    <row r="33" spans="18:18" x14ac:dyDescent="0.2">
      <c r="R33" t="s">
        <v>39</v>
      </c>
    </row>
  </sheetData>
  <mergeCells count="18">
    <mergeCell ref="C12:G12"/>
    <mergeCell ref="R24:S24"/>
    <mergeCell ref="T24:U24"/>
    <mergeCell ref="O25:Q25"/>
    <mergeCell ref="R25:S25"/>
    <mergeCell ref="T25:U25"/>
    <mergeCell ref="O26:Q26"/>
    <mergeCell ref="R26:S26"/>
    <mergeCell ref="T26:U26"/>
    <mergeCell ref="M28:P28"/>
    <mergeCell ref="R30:S30"/>
    <mergeCell ref="T30:U30"/>
    <mergeCell ref="O31:Q31"/>
    <mergeCell ref="R31:S31"/>
    <mergeCell ref="T31:U31"/>
    <mergeCell ref="O32:Q32"/>
    <mergeCell ref="R32:S32"/>
    <mergeCell ref="T32:U32"/>
  </mergeCells>
  <hyperlinks>
    <hyperlink ref="D13" location="HL_Sheet_Main_37" tooltip="Go to Next Sheet" display="HL_Sheet_Main_37" xr:uid="{00000000-0004-0000-1F00-000000000000}"/>
    <hyperlink ref="C13" location="HL_Sheet_Main_58" tooltip="Go to Previous Sheet" display="HL_Sheet_Main_58" xr:uid="{00000000-0004-0000-1F00-000001000000}"/>
    <hyperlink ref="C12" location="HL_Home" tooltip="Go to Table of Contents" display="HL_Home" xr:uid="{00000000-0004-0000-1F00-000002000000}"/>
    <hyperlink ref="C12:G12" location="Contents!A1" tooltip="Go to Table of Contents" display="Contents!A1" xr:uid="{00000000-0004-0000-1F00-000003000000}"/>
    <hyperlink ref="A1" location="Contents!A1" tooltip="Go to Table of Contents" display="±" xr:uid="{00000000-0004-0000-1F00-000004000000}"/>
  </hyperlinks>
  <pageMargins left="0.7" right="0.7" top="0.75" bottom="0.75" header="0.3" footer="0.3"/>
  <pageSetup fitToHeight="0" orientation="landscape" r:id="rId1"/>
  <headerFooter>
    <oddFooter>&amp;L&amp;B Confidential&amp;B&amp;C&amp;D&amp;RPage 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0">
    <tabColor rgb="FFFFC000"/>
    <pageSetUpPr autoPageBreaks="0" fitToPage="1"/>
  </sheetPr>
  <dimension ref="A1:R389"/>
  <sheetViews>
    <sheetView showGridLines="0" zoomScaleNormal="100" workbookViewId="0">
      <pane xSplit="1" ySplit="2" topLeftCell="B3" activePane="bottomRight" state="frozen"/>
      <selection activeCell="I511" sqref="I511"/>
      <selection pane="topRight" activeCell="I511" sqref="I511"/>
      <selection pane="bottomLeft" activeCell="I511" sqref="I511"/>
      <selection pane="bottomRight" activeCell="E15" sqref="E15"/>
    </sheetView>
  </sheetViews>
  <sheetFormatPr defaultColWidth="0" defaultRowHeight="12" outlineLevelRow="1" x14ac:dyDescent="0.2"/>
  <cols>
    <col min="1" max="3" width="3.7109375" customWidth="1"/>
    <col min="4" max="4" width="30.7109375" customWidth="1"/>
    <col min="5" max="5" width="20.7109375" customWidth="1"/>
    <col min="6" max="8" width="11.7109375" customWidth="1"/>
    <col min="9" max="9" width="30.7109375" customWidth="1"/>
    <col min="10" max="15" width="11.7109375" customWidth="1"/>
  </cols>
  <sheetData>
    <row r="1" spans="1:5" ht="15" x14ac:dyDescent="0.2">
      <c r="A1" s="35" t="s">
        <v>128</v>
      </c>
      <c r="B1" s="31" t="str">
        <f>Lang_Microplanning_Detailed_Costing_Worksheets_Optional</f>
        <v>Microplanning - Detailed Costing Worksheets (OPTIONAL)</v>
      </c>
    </row>
    <row r="2" spans="1:5" ht="12.75" x14ac:dyDescent="0.2">
      <c r="A2" s="36"/>
      <c r="B2" s="45" t="str">
        <f ca="1">Model_Name</f>
        <v>Cervical Cancer Prevention and Control Costing (C4P) Tool (Cost Projection)</v>
      </c>
    </row>
    <row r="3" spans="1:5" s="10" customFormat="1" x14ac:dyDescent="0.2"/>
    <row r="4" spans="1:5" s="13" customFormat="1" x14ac:dyDescent="0.2">
      <c r="A4" s="12" t="s">
        <v>125</v>
      </c>
      <c r="B4" s="13" t="str">
        <f>C6</f>
        <v>Microplanning Activity #1 (Not in Use) -  Detailed Activity Costing Worksheet - Instructions</v>
      </c>
    </row>
    <row r="5" spans="1:5" s="10" customFormat="1" outlineLevel="1" x14ac:dyDescent="0.2"/>
    <row r="6" spans="1:5" s="10" customFormat="1" outlineLevel="1" x14ac:dyDescent="0.2">
      <c r="C6" s="71" t="str">
        <f>HL_TOP_ACTV_Name&amp;" -  "&amp;Lang_Detailed_Activity_Costing_Worksheet_Instructions</f>
        <v>Microplanning Activity #1 (Not in Use) -  Detailed Activity Costing Worksheet - Instructions</v>
      </c>
    </row>
    <row r="7" spans="1:5" s="10" customFormat="1" outlineLevel="1" x14ac:dyDescent="0.2"/>
    <row r="8" spans="1:5" s="10" customFormat="1" outlineLevel="1" x14ac:dyDescent="0.2">
      <c r="D8" s="50" t="str">
        <f>Lang_Detailed_Costing_Worksheets_Notes_1</f>
        <v>This detailed costing worksheet can be used to document the types and amounts of resources required to complete a single instance of an activity.</v>
      </c>
    </row>
    <row r="9" spans="1:5" s="10" customFormat="1" outlineLevel="1" x14ac:dyDescent="0.2">
      <c r="D9" s="50" t="str">
        <f>Lang_Detailed_Costing_Worksheets_Notes_2</f>
        <v>When completed, it will automatically provide a single activity cost in the general assumption worksheet.</v>
      </c>
    </row>
    <row r="10" spans="1:5" s="10" customFormat="1" outlineLevel="1" x14ac:dyDescent="0.2">
      <c r="D10" s="50" t="str">
        <f>Lang_Detailed_Costing_Worksheets_Notes_3</f>
        <v>The user may then choose to use the results of the detailed costing in the model, or override the detailed costing and insert alternate cost estimates.</v>
      </c>
    </row>
    <row r="11" spans="1:5" s="10" customFormat="1" x14ac:dyDescent="0.2"/>
    <row r="12" spans="1:5" s="13" customFormat="1" x14ac:dyDescent="0.2">
      <c r="A12" s="12" t="s">
        <v>125</v>
      </c>
      <c r="B12" s="13" t="str">
        <f>C14</f>
        <v>Microplanning Activity #1 (Not in Use) - Detailed Activity Costing Worksheet - Currency Selection</v>
      </c>
    </row>
    <row r="13" spans="1:5" s="10" customFormat="1" outlineLevel="1" x14ac:dyDescent="0.2"/>
    <row r="14" spans="1:5" s="10" customFormat="1" outlineLevel="1" x14ac:dyDescent="0.2">
      <c r="C14" s="71" t="str">
        <f>HL_TOP_ACTV_Name&amp;" - "&amp;Lang_Detailed_Activity_Costing_Worksheet_Currency_Selection</f>
        <v>Microplanning Activity #1 (Not in Use) - Detailed Activity Costing Worksheet - Currency Selection</v>
      </c>
    </row>
    <row r="15" spans="1:5" s="10" customFormat="1" outlineLevel="1" x14ac:dyDescent="0.2">
      <c r="D15" s="55" t="str">
        <f>Lang_Currency_Used_For_Cost_Inputs</f>
        <v>Currency Used for Cost Inputs</v>
      </c>
      <c r="E15" s="72">
        <v>1</v>
      </c>
    </row>
    <row r="16" spans="1:5" s="10" customFormat="1" outlineLevel="1" x14ac:dyDescent="0.2"/>
    <row r="17" spans="1:10" s="10" customFormat="1" outlineLevel="1" x14ac:dyDescent="0.2"/>
    <row r="18" spans="1:10" outlineLevel="1" x14ac:dyDescent="0.2">
      <c r="A18" s="10"/>
      <c r="B18" s="10"/>
      <c r="C18" s="10"/>
      <c r="D18" s="54" t="str">
        <f>Lang_Imported_From_Econ_Module</f>
        <v>Imported from Econ Module</v>
      </c>
    </row>
    <row r="19" spans="1:10" s="10" customFormat="1" outlineLevel="1" x14ac:dyDescent="0.2">
      <c r="D19" s="49" t="str">
        <f>ECONOMICS!F7</f>
        <v>USD</v>
      </c>
    </row>
    <row r="20" spans="1:10" s="10" customFormat="1" outlineLevel="1" x14ac:dyDescent="0.2">
      <c r="D20" s="49" t="str">
        <f>ECONOMICS!F8</f>
        <v>LCU</v>
      </c>
    </row>
    <row r="21" spans="1:10" s="10" customFormat="1" outlineLevel="1" x14ac:dyDescent="0.2"/>
    <row r="22" spans="1:10" s="10" customFormat="1" outlineLevel="1" x14ac:dyDescent="0.2">
      <c r="D22" s="50" t="str">
        <f>Lang_Exchange_Rate_From_Econ</f>
        <v>Exchange Rate (from Economics)</v>
      </c>
      <c r="E22" s="41">
        <f>ECONOMICS!E13</f>
        <v>1234.5</v>
      </c>
    </row>
    <row r="23" spans="1:10" s="10" customFormat="1" x14ac:dyDescent="0.2"/>
    <row r="24" spans="1:10" s="13" customFormat="1" x14ac:dyDescent="0.2">
      <c r="A24" s="12" t="s">
        <v>127</v>
      </c>
      <c r="B24" s="13" t="str">
        <f>C26</f>
        <v>Microplanning Activity #1 (Not in Use) - Detailed Personnel Cost Assumptions</v>
      </c>
    </row>
    <row r="25" spans="1:10" s="10" customFormat="1" x14ac:dyDescent="0.2"/>
    <row r="26" spans="1:10" s="10" customFormat="1" x14ac:dyDescent="0.2">
      <c r="C26" s="71" t="str">
        <f>HL_TOP_ACTV_Name&amp;" - "&amp;Lang_Detailed_Personnel_Cost_Assumptions</f>
        <v>Microplanning Activity #1 (Not in Use) - Detailed Personnel Cost Assumptions</v>
      </c>
    </row>
    <row r="27" spans="1:10" s="10" customFormat="1" ht="48" x14ac:dyDescent="0.2">
      <c r="D27" s="55" t="str">
        <f>Lang_Personnel_Cadre_Type</f>
        <v>Personnel Cadre Type</v>
      </c>
      <c r="E27" s="85" t="str">
        <f>Lang_Activity_Unit_Day_Hour_Minute</f>
        <v>Activity Unit (e.g. Day, Hour, Minute)</v>
      </c>
      <c r="F27" s="85" t="str">
        <f>Lang_Number_Of_Activity_Units_Required</f>
        <v>Number of Activity Units Required</v>
      </c>
      <c r="G27" s="86" t="str">
        <f ca="1">MICRO_Lu!$D$30&amp;" "&amp;Lang_Cost_Per_Activity_Unit&amp;" ("&amp;OFFSET(MICRO_Lu!$D$9,DD_TOP_ACTV_Detailed_Currency_Used,0)&amp;")"</f>
        <v>Financial Cost per Activity Unit (USD)</v>
      </c>
      <c r="H27" s="86" t="str">
        <f ca="1">MICRO_Lu!$D$31&amp;" "&amp;Lang_Cost_Per_Activity_Unit&amp;" ("&amp;OFFSET(MICRO_Lu!$D$9,DD_TOP_ACTV_Detailed_Currency_Used,0)&amp;")"</f>
        <v>Economic Cost per Activity Unit (USD)</v>
      </c>
      <c r="I27" s="87" t="str">
        <f>Lang_Evidence_For_Using_This_Cost_Information_Source_Or_Notes</f>
        <v>Evidence for Using this Cost Information (source or notes)</v>
      </c>
    </row>
    <row r="28" spans="1:10" s="10" customFormat="1" outlineLevel="1" x14ac:dyDescent="0.2">
      <c r="D28" s="75" t="s">
        <v>152</v>
      </c>
      <c r="E28" s="75"/>
      <c r="F28" s="80">
        <v>0</v>
      </c>
      <c r="G28" s="80">
        <v>0</v>
      </c>
      <c r="H28" s="80">
        <v>0</v>
      </c>
      <c r="I28" s="75" t="s">
        <v>162</v>
      </c>
      <c r="J28" s="42">
        <f t="shared" ref="J28:J37" si="0">IF(H28&lt;G28,1,0)</f>
        <v>0</v>
      </c>
    </row>
    <row r="29" spans="1:10" s="10" customFormat="1" outlineLevel="1" x14ac:dyDescent="0.2">
      <c r="D29" s="75" t="s">
        <v>153</v>
      </c>
      <c r="E29" s="88"/>
      <c r="F29" s="80">
        <v>0</v>
      </c>
      <c r="G29" s="80">
        <v>0</v>
      </c>
      <c r="H29" s="80">
        <v>0</v>
      </c>
      <c r="I29" s="75" t="s">
        <v>162</v>
      </c>
      <c r="J29" s="42">
        <f t="shared" si="0"/>
        <v>0</v>
      </c>
    </row>
    <row r="30" spans="1:10" s="10" customFormat="1" outlineLevel="1" x14ac:dyDescent="0.2">
      <c r="D30" s="75" t="s">
        <v>154</v>
      </c>
      <c r="E30" s="88"/>
      <c r="F30" s="80">
        <v>0</v>
      </c>
      <c r="G30" s="80">
        <v>0</v>
      </c>
      <c r="H30" s="80">
        <v>0</v>
      </c>
      <c r="I30" s="75" t="s">
        <v>162</v>
      </c>
      <c r="J30" s="42">
        <f t="shared" si="0"/>
        <v>0</v>
      </c>
    </row>
    <row r="31" spans="1:10" s="10" customFormat="1" outlineLevel="1" x14ac:dyDescent="0.2">
      <c r="D31" s="75" t="s">
        <v>155</v>
      </c>
      <c r="E31" s="88"/>
      <c r="F31" s="80">
        <v>0</v>
      </c>
      <c r="G31" s="80">
        <v>0</v>
      </c>
      <c r="H31" s="80">
        <v>0</v>
      </c>
      <c r="I31" s="75" t="s">
        <v>162</v>
      </c>
      <c r="J31" s="42">
        <f t="shared" si="0"/>
        <v>0</v>
      </c>
    </row>
    <row r="32" spans="1:10" s="10" customFormat="1" outlineLevel="1" x14ac:dyDescent="0.2">
      <c r="D32" s="75" t="s">
        <v>156</v>
      </c>
      <c r="E32" s="88"/>
      <c r="F32" s="80">
        <v>0</v>
      </c>
      <c r="G32" s="80">
        <v>0</v>
      </c>
      <c r="H32" s="80">
        <v>0</v>
      </c>
      <c r="I32" s="75" t="s">
        <v>162</v>
      </c>
      <c r="J32" s="42">
        <f t="shared" si="0"/>
        <v>0</v>
      </c>
    </row>
    <row r="33" spans="1:18" s="10" customFormat="1" outlineLevel="1" x14ac:dyDescent="0.2">
      <c r="D33" s="75" t="s">
        <v>157</v>
      </c>
      <c r="E33" s="88"/>
      <c r="F33" s="80">
        <v>0</v>
      </c>
      <c r="G33" s="80">
        <v>0</v>
      </c>
      <c r="H33" s="80">
        <v>0</v>
      </c>
      <c r="I33" s="75" t="s">
        <v>162</v>
      </c>
      <c r="J33" s="42">
        <f t="shared" si="0"/>
        <v>0</v>
      </c>
      <c r="R33" s="13" t="s">
        <v>39</v>
      </c>
    </row>
    <row r="34" spans="1:18" s="10" customFormat="1" outlineLevel="1" x14ac:dyDescent="0.2">
      <c r="D34" s="75" t="s">
        <v>158</v>
      </c>
      <c r="E34" s="88"/>
      <c r="F34" s="80">
        <v>0</v>
      </c>
      <c r="G34" s="80">
        <v>0</v>
      </c>
      <c r="H34" s="80">
        <v>0</v>
      </c>
      <c r="I34" s="75" t="s">
        <v>162</v>
      </c>
      <c r="J34" s="42">
        <f t="shared" si="0"/>
        <v>0</v>
      </c>
    </row>
    <row r="35" spans="1:18" s="10" customFormat="1" outlineLevel="1" x14ac:dyDescent="0.2">
      <c r="D35" s="75" t="s">
        <v>159</v>
      </c>
      <c r="E35" s="88"/>
      <c r="F35" s="80">
        <v>0</v>
      </c>
      <c r="G35" s="80">
        <v>0</v>
      </c>
      <c r="H35" s="80">
        <v>0</v>
      </c>
      <c r="I35" s="75" t="s">
        <v>162</v>
      </c>
      <c r="J35" s="42">
        <f t="shared" si="0"/>
        <v>0</v>
      </c>
    </row>
    <row r="36" spans="1:18" outlineLevel="1" x14ac:dyDescent="0.2">
      <c r="D36" s="62" t="s">
        <v>160</v>
      </c>
      <c r="E36" s="64"/>
      <c r="F36" s="19">
        <v>0</v>
      </c>
      <c r="G36" s="19">
        <v>0</v>
      </c>
      <c r="H36" s="19">
        <v>0</v>
      </c>
      <c r="I36" s="62" t="s">
        <v>162</v>
      </c>
      <c r="J36" s="42">
        <f t="shared" si="0"/>
        <v>0</v>
      </c>
    </row>
    <row r="37" spans="1:18" outlineLevel="1" x14ac:dyDescent="0.2">
      <c r="D37" s="62" t="s">
        <v>161</v>
      </c>
      <c r="E37" s="64"/>
      <c r="F37" s="19">
        <v>0</v>
      </c>
      <c r="G37" s="19">
        <v>0</v>
      </c>
      <c r="H37" s="19">
        <v>0</v>
      </c>
      <c r="I37" s="62" t="s">
        <v>162</v>
      </c>
      <c r="J37" s="42">
        <f t="shared" si="0"/>
        <v>0</v>
      </c>
    </row>
    <row r="38" spans="1:18" s="10" customFormat="1" x14ac:dyDescent="0.2">
      <c r="D38" s="55" t="str">
        <f>Lang_Error_Check_Flags_If_Input_Econ_Cost_Is_Less_Than_Fin_Cost</f>
        <v>ERROR CHECK (FLAGS IF INPUT ECONOMIC COST IS LESS THAN FINANCIAL COST)</v>
      </c>
      <c r="J38" s="43">
        <f>IF(ISERROR(SUM(J28:J37)),1,MIN(SUM(J28:J37),1))</f>
        <v>0</v>
      </c>
    </row>
    <row r="39" spans="1:18" s="10" customFormat="1" x14ac:dyDescent="0.2"/>
    <row r="40" spans="1:18" s="10" customFormat="1" x14ac:dyDescent="0.2">
      <c r="D40" s="76" t="str">
        <f>Lang_GoTo&amp;" "&amp;HL_TOP_ACTV_Personnel_Outputs</f>
        <v>Go to Microplanning Activity #1 (Not in Use) Personnel - Outputs</v>
      </c>
    </row>
    <row r="41" spans="1:18" s="10" customFormat="1" x14ac:dyDescent="0.2"/>
    <row r="42" spans="1:18" s="13" customFormat="1" x14ac:dyDescent="0.2">
      <c r="A42" s="12" t="s">
        <v>127</v>
      </c>
      <c r="B42" s="13" t="str">
        <f>C44</f>
        <v>Microplanning Activity #1 (Not in Use) - Detailed Allowance Cost Assumptions</v>
      </c>
    </row>
    <row r="43" spans="1:18" s="10" customFormat="1" outlineLevel="1" x14ac:dyDescent="0.2"/>
    <row r="44" spans="1:18" s="10" customFormat="1" outlineLevel="1" x14ac:dyDescent="0.2">
      <c r="C44" s="71" t="str">
        <f>HL_TOP_ACTV_Name&amp;" - "&amp;Lang_Detailed_Allowance_Cost_Assumptions</f>
        <v>Microplanning Activity #1 (Not in Use) - Detailed Allowance Cost Assumptions</v>
      </c>
    </row>
    <row r="45" spans="1:18" s="10" customFormat="1" ht="48" outlineLevel="1" x14ac:dyDescent="0.2">
      <c r="D45" s="55" t="str">
        <f>Lang_Allowance_Type</f>
        <v>Allowance Type</v>
      </c>
      <c r="E45" s="85" t="str">
        <f>Lang_Allowance_Unit_Per_Day_Round_Trip_Travel</f>
        <v>Allowance Unit (e.g. Per Day, Round-trip Travel,etc.)</v>
      </c>
      <c r="F45" s="85" t="str">
        <f>Lang_Number_Of_Allowance_Units_Required</f>
        <v>Number of Allowance Units Required</v>
      </c>
      <c r="G45" s="86" t="str">
        <f ca="1">MICRO_Lu!$D$30&amp;" "&amp;Lang_Cost_Per_Activity_Unit&amp;" ("&amp;OFFSET(MICRO_Lu!$D$9,DD_TOP_ACTV_Detailed_Currency_Used,0)&amp;")"</f>
        <v>Financial Cost per Activity Unit (USD)</v>
      </c>
      <c r="H45" s="86" t="str">
        <f ca="1">MICRO_Lu!$D$31&amp;" "&amp;Lang_Cost_Per_Activity_Unit&amp;" ("&amp;OFFSET(MICRO_Lu!$D$9,DD_TOP_ACTV_Detailed_Currency_Used,0)&amp;")"</f>
        <v>Economic Cost per Activity Unit (USD)</v>
      </c>
      <c r="I45" s="87" t="str">
        <f>Lang_Evidence_For_Using_This_Cost_Information_Source_Or_Notes</f>
        <v>Evidence for Using this Cost Information (source or notes)</v>
      </c>
    </row>
    <row r="46" spans="1:18" s="10" customFormat="1" outlineLevel="1" x14ac:dyDescent="0.2">
      <c r="D46" s="75" t="s">
        <v>163</v>
      </c>
      <c r="E46" s="88"/>
      <c r="F46" s="80">
        <v>0</v>
      </c>
      <c r="G46" s="80">
        <v>0</v>
      </c>
      <c r="H46" s="80">
        <v>0</v>
      </c>
      <c r="I46" s="75" t="s">
        <v>162</v>
      </c>
      <c r="J46" s="42">
        <f t="shared" ref="J46:J55" si="1">IF(H46&lt;G46,1,0)</f>
        <v>0</v>
      </c>
    </row>
    <row r="47" spans="1:18" s="10" customFormat="1" outlineLevel="1" x14ac:dyDescent="0.2">
      <c r="D47" s="75" t="s">
        <v>164</v>
      </c>
      <c r="E47" s="88"/>
      <c r="F47" s="80">
        <v>0</v>
      </c>
      <c r="G47" s="80">
        <v>0</v>
      </c>
      <c r="H47" s="80">
        <v>0</v>
      </c>
      <c r="I47" s="75" t="s">
        <v>162</v>
      </c>
      <c r="J47" s="42">
        <f t="shared" si="1"/>
        <v>0</v>
      </c>
    </row>
    <row r="48" spans="1:18" s="10" customFormat="1" outlineLevel="1" x14ac:dyDescent="0.2">
      <c r="D48" s="75" t="s">
        <v>165</v>
      </c>
      <c r="E48" s="88"/>
      <c r="F48" s="80">
        <v>0</v>
      </c>
      <c r="G48" s="80">
        <v>0</v>
      </c>
      <c r="H48" s="80">
        <v>0</v>
      </c>
      <c r="I48" s="75" t="s">
        <v>162</v>
      </c>
      <c r="J48" s="42">
        <f t="shared" si="1"/>
        <v>0</v>
      </c>
    </row>
    <row r="49" spans="1:10" s="10" customFormat="1" outlineLevel="1" x14ac:dyDescent="0.2">
      <c r="D49" s="75" t="s">
        <v>166</v>
      </c>
      <c r="E49" s="88"/>
      <c r="F49" s="80">
        <v>0</v>
      </c>
      <c r="G49" s="80">
        <v>0</v>
      </c>
      <c r="H49" s="80">
        <v>0</v>
      </c>
      <c r="I49" s="75" t="s">
        <v>162</v>
      </c>
      <c r="J49" s="42">
        <f t="shared" si="1"/>
        <v>0</v>
      </c>
    </row>
    <row r="50" spans="1:10" s="10" customFormat="1" outlineLevel="1" x14ac:dyDescent="0.2">
      <c r="D50" s="75" t="s">
        <v>167</v>
      </c>
      <c r="E50" s="88"/>
      <c r="F50" s="80">
        <v>0</v>
      </c>
      <c r="G50" s="80">
        <v>0</v>
      </c>
      <c r="H50" s="80">
        <v>0</v>
      </c>
      <c r="I50" s="75" t="s">
        <v>162</v>
      </c>
      <c r="J50" s="42">
        <f t="shared" si="1"/>
        <v>0</v>
      </c>
    </row>
    <row r="51" spans="1:10" s="10" customFormat="1" outlineLevel="1" x14ac:dyDescent="0.2">
      <c r="D51" s="75" t="s">
        <v>168</v>
      </c>
      <c r="E51" s="88"/>
      <c r="F51" s="80">
        <v>0</v>
      </c>
      <c r="G51" s="80">
        <v>0</v>
      </c>
      <c r="H51" s="80">
        <v>0</v>
      </c>
      <c r="I51" s="75" t="s">
        <v>162</v>
      </c>
      <c r="J51" s="42">
        <f t="shared" si="1"/>
        <v>0</v>
      </c>
    </row>
    <row r="52" spans="1:10" s="10" customFormat="1" outlineLevel="1" x14ac:dyDescent="0.2">
      <c r="D52" s="75" t="s">
        <v>169</v>
      </c>
      <c r="E52" s="88"/>
      <c r="F52" s="80">
        <v>0</v>
      </c>
      <c r="G52" s="80">
        <v>0</v>
      </c>
      <c r="H52" s="80">
        <v>0</v>
      </c>
      <c r="I52" s="75" t="s">
        <v>162</v>
      </c>
      <c r="J52" s="42">
        <f t="shared" si="1"/>
        <v>0</v>
      </c>
    </row>
    <row r="53" spans="1:10" s="10" customFormat="1" outlineLevel="1" x14ac:dyDescent="0.2">
      <c r="D53" s="75" t="s">
        <v>170</v>
      </c>
      <c r="E53" s="88"/>
      <c r="F53" s="80">
        <v>0</v>
      </c>
      <c r="G53" s="80">
        <v>0</v>
      </c>
      <c r="H53" s="80">
        <v>0</v>
      </c>
      <c r="I53" s="75" t="s">
        <v>162</v>
      </c>
      <c r="J53" s="42">
        <f t="shared" si="1"/>
        <v>0</v>
      </c>
    </row>
    <row r="54" spans="1:10" s="10" customFormat="1" outlineLevel="1" x14ac:dyDescent="0.2">
      <c r="D54" s="75" t="s">
        <v>171</v>
      </c>
      <c r="E54" s="88"/>
      <c r="F54" s="80">
        <v>0</v>
      </c>
      <c r="G54" s="80">
        <v>0</v>
      </c>
      <c r="H54" s="80">
        <v>0</v>
      </c>
      <c r="I54" s="75" t="s">
        <v>162</v>
      </c>
      <c r="J54" s="42">
        <f t="shared" si="1"/>
        <v>0</v>
      </c>
    </row>
    <row r="55" spans="1:10" s="10" customFormat="1" outlineLevel="1" x14ac:dyDescent="0.2">
      <c r="D55" s="75" t="s">
        <v>172</v>
      </c>
      <c r="E55" s="88"/>
      <c r="F55" s="80">
        <v>0</v>
      </c>
      <c r="G55" s="80">
        <v>0</v>
      </c>
      <c r="H55" s="80">
        <v>0</v>
      </c>
      <c r="I55" s="75" t="s">
        <v>162</v>
      </c>
      <c r="J55" s="42">
        <f t="shared" si="1"/>
        <v>0</v>
      </c>
    </row>
    <row r="56" spans="1:10" s="10" customFormat="1" outlineLevel="1" x14ac:dyDescent="0.2">
      <c r="D56" s="55" t="str">
        <f>Lang_Error_Check_Flags_If_Input_Econ_Cost_Is_Less_Than_Fin_Cost</f>
        <v>ERROR CHECK (FLAGS IF INPUT ECONOMIC COST IS LESS THAN FINANCIAL COST)</v>
      </c>
      <c r="J56" s="43">
        <f>IF(ISERROR(SUM(J46:J55)),1,MIN(SUM(J46:J55),1))</f>
        <v>0</v>
      </c>
    </row>
    <row r="57" spans="1:10" s="10" customFormat="1" outlineLevel="1" x14ac:dyDescent="0.2"/>
    <row r="58" spans="1:10" s="10" customFormat="1" outlineLevel="1" x14ac:dyDescent="0.2">
      <c r="D58" s="76" t="str">
        <f>Lang_GoTo&amp;" "&amp;HL_TOP_ACTV_Out_A</f>
        <v>Go to Microplanning Activity #1 (Not in Use) Allowances - Outputs</v>
      </c>
    </row>
    <row r="59" spans="1:10" s="10" customFormat="1" x14ac:dyDescent="0.2"/>
    <row r="60" spans="1:10" s="13" customFormat="1" x14ac:dyDescent="0.2">
      <c r="A60" s="12" t="s">
        <v>127</v>
      </c>
      <c r="B60" s="13" t="str">
        <f>C62</f>
        <v>Microplanning Activity #1 (Not in Use) - Detailed Supply and Material Cost Assumptions</v>
      </c>
    </row>
    <row r="61" spans="1:10" s="10" customFormat="1" outlineLevel="1" x14ac:dyDescent="0.2"/>
    <row r="62" spans="1:10" s="10" customFormat="1" outlineLevel="1" x14ac:dyDescent="0.2">
      <c r="C62" s="71" t="str">
        <f>HL_TOP_ACTV_Name&amp;" - "&amp;Lang_Detailed_Supply_And_Material_Cost_Assumptions</f>
        <v>Microplanning Activity #1 (Not in Use) - Detailed Supply and Material Cost Assumptions</v>
      </c>
    </row>
    <row r="63" spans="1:10" s="10" customFormat="1" ht="48" outlineLevel="1" x14ac:dyDescent="0.2">
      <c r="D63" s="55" t="str">
        <f>Lang_Supply_Type</f>
        <v>Supply Type</v>
      </c>
      <c r="E63" s="85" t="str">
        <f>Lang_Supply_Unit_Each_Dozen_100_Pack</f>
        <v>Supply Unit (e.g. Each, Dozen, 100-pack,etc.)</v>
      </c>
      <c r="F63" s="85" t="str">
        <f>Lang_Number_Of_Supply_Units_Required</f>
        <v>Number of Supply Units Required</v>
      </c>
      <c r="G63" s="86" t="str">
        <f ca="1">MICRO_Lu!$D$30&amp;" "&amp;Lang_Cost_Per_Activity_Unit&amp;" ("&amp;OFFSET(MICRO_Lu!$D$9,DD_TOP_ACTV_Detailed_Currency_Used,0)&amp;")"</f>
        <v>Financial Cost per Activity Unit (USD)</v>
      </c>
      <c r="H63" s="86" t="str">
        <f ca="1">MICRO_Lu!$D$31&amp;" "&amp;Lang_Cost_Per_Activity_Unit&amp;" ("&amp;OFFSET(MICRO_Lu!$D$9,DD_TOP_ACTV_Detailed_Currency_Used,0)&amp;")"</f>
        <v>Economic Cost per Activity Unit (USD)</v>
      </c>
      <c r="I63" s="87" t="str">
        <f>Lang_Evidence_For_Using_This_Cost_Information_Source_Or_Notes</f>
        <v>Evidence for Using this Cost Information (source or notes)</v>
      </c>
    </row>
    <row r="64" spans="1:10" s="10" customFormat="1" outlineLevel="1" x14ac:dyDescent="0.2">
      <c r="D64" s="75" t="s">
        <v>173</v>
      </c>
      <c r="E64" s="88"/>
      <c r="F64" s="80">
        <v>0</v>
      </c>
      <c r="G64" s="80">
        <v>0</v>
      </c>
      <c r="H64" s="80">
        <v>0</v>
      </c>
      <c r="I64" s="75" t="s">
        <v>162</v>
      </c>
      <c r="J64" s="42">
        <f t="shared" ref="J64:J73" si="2">IF(H64&lt;G64,1,0)</f>
        <v>0</v>
      </c>
    </row>
    <row r="65" spans="1:10" s="10" customFormat="1" outlineLevel="1" x14ac:dyDescent="0.2">
      <c r="D65" s="75" t="s">
        <v>174</v>
      </c>
      <c r="E65" s="88"/>
      <c r="F65" s="80">
        <v>0</v>
      </c>
      <c r="G65" s="80">
        <v>0</v>
      </c>
      <c r="H65" s="80">
        <v>0</v>
      </c>
      <c r="I65" s="75" t="s">
        <v>162</v>
      </c>
      <c r="J65" s="42">
        <f t="shared" si="2"/>
        <v>0</v>
      </c>
    </row>
    <row r="66" spans="1:10" s="10" customFormat="1" outlineLevel="1" x14ac:dyDescent="0.2">
      <c r="D66" s="75" t="s">
        <v>175</v>
      </c>
      <c r="E66" s="88"/>
      <c r="F66" s="80">
        <v>0</v>
      </c>
      <c r="G66" s="80">
        <v>0</v>
      </c>
      <c r="H66" s="80">
        <v>0</v>
      </c>
      <c r="I66" s="75" t="s">
        <v>162</v>
      </c>
      <c r="J66" s="42">
        <f t="shared" si="2"/>
        <v>0</v>
      </c>
    </row>
    <row r="67" spans="1:10" s="10" customFormat="1" outlineLevel="1" x14ac:dyDescent="0.2">
      <c r="D67" s="75" t="s">
        <v>176</v>
      </c>
      <c r="E67" s="88"/>
      <c r="F67" s="80">
        <v>0</v>
      </c>
      <c r="G67" s="80">
        <v>0</v>
      </c>
      <c r="H67" s="80">
        <v>0</v>
      </c>
      <c r="I67" s="75" t="s">
        <v>162</v>
      </c>
      <c r="J67" s="42">
        <f t="shared" si="2"/>
        <v>0</v>
      </c>
    </row>
    <row r="68" spans="1:10" s="10" customFormat="1" outlineLevel="1" x14ac:dyDescent="0.2">
      <c r="D68" s="75" t="s">
        <v>177</v>
      </c>
      <c r="E68" s="88"/>
      <c r="F68" s="80">
        <v>0</v>
      </c>
      <c r="G68" s="80">
        <v>0</v>
      </c>
      <c r="H68" s="80">
        <v>0</v>
      </c>
      <c r="I68" s="75" t="s">
        <v>162</v>
      </c>
      <c r="J68" s="42">
        <f t="shared" si="2"/>
        <v>0</v>
      </c>
    </row>
    <row r="69" spans="1:10" s="10" customFormat="1" outlineLevel="1" x14ac:dyDescent="0.2">
      <c r="D69" s="75" t="s">
        <v>178</v>
      </c>
      <c r="E69" s="88"/>
      <c r="F69" s="80">
        <v>0</v>
      </c>
      <c r="G69" s="80">
        <v>0</v>
      </c>
      <c r="H69" s="80">
        <v>0</v>
      </c>
      <c r="I69" s="75" t="s">
        <v>162</v>
      </c>
      <c r="J69" s="42">
        <f t="shared" si="2"/>
        <v>0</v>
      </c>
    </row>
    <row r="70" spans="1:10" s="10" customFormat="1" outlineLevel="1" x14ac:dyDescent="0.2">
      <c r="D70" s="75" t="s">
        <v>179</v>
      </c>
      <c r="E70" s="88"/>
      <c r="F70" s="80">
        <v>0</v>
      </c>
      <c r="G70" s="80">
        <v>0</v>
      </c>
      <c r="H70" s="80">
        <v>0</v>
      </c>
      <c r="I70" s="75" t="s">
        <v>162</v>
      </c>
      <c r="J70" s="42">
        <f t="shared" si="2"/>
        <v>0</v>
      </c>
    </row>
    <row r="71" spans="1:10" s="10" customFormat="1" outlineLevel="1" x14ac:dyDescent="0.2">
      <c r="D71" s="75" t="s">
        <v>180</v>
      </c>
      <c r="E71" s="88"/>
      <c r="F71" s="80">
        <v>0</v>
      </c>
      <c r="G71" s="80">
        <v>0</v>
      </c>
      <c r="H71" s="80">
        <v>0</v>
      </c>
      <c r="I71" s="75" t="s">
        <v>162</v>
      </c>
      <c r="J71" s="42">
        <f t="shared" si="2"/>
        <v>0</v>
      </c>
    </row>
    <row r="72" spans="1:10" s="10" customFormat="1" outlineLevel="1" x14ac:dyDescent="0.2">
      <c r="D72" s="75" t="s">
        <v>181</v>
      </c>
      <c r="E72" s="88"/>
      <c r="F72" s="80">
        <v>0</v>
      </c>
      <c r="G72" s="80">
        <v>0</v>
      </c>
      <c r="H72" s="80">
        <v>0</v>
      </c>
      <c r="I72" s="75" t="s">
        <v>162</v>
      </c>
      <c r="J72" s="42">
        <f t="shared" si="2"/>
        <v>0</v>
      </c>
    </row>
    <row r="73" spans="1:10" s="10" customFormat="1" outlineLevel="1" x14ac:dyDescent="0.2">
      <c r="D73" s="75" t="s">
        <v>182</v>
      </c>
      <c r="E73" s="88"/>
      <c r="F73" s="80">
        <v>0</v>
      </c>
      <c r="G73" s="80">
        <v>0</v>
      </c>
      <c r="H73" s="80">
        <v>0</v>
      </c>
      <c r="I73" s="75" t="s">
        <v>162</v>
      </c>
      <c r="J73" s="42">
        <f t="shared" si="2"/>
        <v>0</v>
      </c>
    </row>
    <row r="74" spans="1:10" s="10" customFormat="1" outlineLevel="1" x14ac:dyDescent="0.2">
      <c r="D74" s="55" t="str">
        <f>Lang_Error_Check_Flags_If_Input_Econ_Cost_Is_Less_Than_Fin_Cost</f>
        <v>ERROR CHECK (FLAGS IF INPUT ECONOMIC COST IS LESS THAN FINANCIAL COST)</v>
      </c>
      <c r="J74" s="43">
        <f>IF(ISERROR(SUM(J64:J73)),1,MIN(SUM(J64:J73),1))</f>
        <v>0</v>
      </c>
    </row>
    <row r="75" spans="1:10" s="10" customFormat="1" outlineLevel="1" x14ac:dyDescent="0.2"/>
    <row r="76" spans="1:10" s="10" customFormat="1" outlineLevel="1" x14ac:dyDescent="0.2">
      <c r="D76" s="76" t="str">
        <f>Lang_GoTo&amp;" "&amp;HL_TOP_ACTV_Supplies_and_Materials_Outputs</f>
        <v>Go to Microplanning Activity #1 (Not in Use) Supplies and Materials - Outputs</v>
      </c>
    </row>
    <row r="77" spans="1:10" s="10" customFormat="1" x14ac:dyDescent="0.2"/>
    <row r="78" spans="1:10" s="13" customFormat="1" x14ac:dyDescent="0.2">
      <c r="A78" s="12" t="s">
        <v>127</v>
      </c>
      <c r="B78" s="13" t="str">
        <f>C80</f>
        <v>Microplanning Activity #1 (Not in Use) - Detailed Other Direct Cost Assumptions</v>
      </c>
    </row>
    <row r="79" spans="1:10" s="10" customFormat="1" outlineLevel="1" x14ac:dyDescent="0.2"/>
    <row r="80" spans="1:10" s="10" customFormat="1" outlineLevel="1" x14ac:dyDescent="0.2">
      <c r="C80" s="71" t="str">
        <f>HL_TOP_ACTV_Name&amp;" - "&amp;Lang_Detailed_Other_Direct_Cost_Assumptions</f>
        <v>Microplanning Activity #1 (Not in Use) - Detailed Other Direct Cost Assumptions</v>
      </c>
    </row>
    <row r="81" spans="1:10" s="10" customFormat="1" ht="48" outlineLevel="1" x14ac:dyDescent="0.2">
      <c r="D81" s="55" t="str">
        <f>Lang_Other_Direct_Cost_ODC_Type</f>
        <v>Other Direct Cost (ODC) Type</v>
      </c>
      <c r="E81" s="85" t="str">
        <f>Lang_ODC_Unit_Each_Dozen_100_Pack</f>
        <v>ODC Unit (e.g. Each, Dozen, 100-pack,etc.)</v>
      </c>
      <c r="F81" s="85" t="str">
        <f>Lang_Number_Of_ODC_Units_Required</f>
        <v>Number of ODC Units Required</v>
      </c>
      <c r="G81" s="86" t="str">
        <f ca="1">MICRO_Lu!$D$30&amp;" "&amp;Lang_Cost_Per_Activity_Unit&amp;" ("&amp;OFFSET(MICRO_Lu!$D$9,DD_TOP_ACTV_Detailed_Currency_Used,0)&amp;")"</f>
        <v>Financial Cost per Activity Unit (USD)</v>
      </c>
      <c r="H81" s="86" t="str">
        <f ca="1">MICRO_Lu!$D$31&amp;" "&amp;Lang_Cost_Per_Activity_Unit&amp;" ("&amp;OFFSET(MICRO_Lu!$D$9,DD_TOP_ACTV_Detailed_Currency_Used,0)&amp;")"</f>
        <v>Economic Cost per Activity Unit (USD)</v>
      </c>
      <c r="I81" s="87" t="str">
        <f>Lang_Evidence_For_Using_This_Cost_Information_Source_Or_Notes</f>
        <v>Evidence for Using this Cost Information (source or notes)</v>
      </c>
    </row>
    <row r="82" spans="1:10" s="10" customFormat="1" outlineLevel="1" x14ac:dyDescent="0.2">
      <c r="D82" s="75" t="s">
        <v>183</v>
      </c>
      <c r="E82" s="88"/>
      <c r="F82" s="80">
        <v>0</v>
      </c>
      <c r="G82" s="80">
        <v>0</v>
      </c>
      <c r="H82" s="80">
        <v>0</v>
      </c>
      <c r="I82" s="75" t="s">
        <v>162</v>
      </c>
      <c r="J82" s="42">
        <f t="shared" ref="J82:J91" si="3">IF(H82&lt;G82,1,0)</f>
        <v>0</v>
      </c>
    </row>
    <row r="83" spans="1:10" s="10" customFormat="1" outlineLevel="1" x14ac:dyDescent="0.2">
      <c r="D83" s="75" t="s">
        <v>184</v>
      </c>
      <c r="E83" s="88"/>
      <c r="F83" s="80">
        <v>0</v>
      </c>
      <c r="G83" s="80">
        <v>0</v>
      </c>
      <c r="H83" s="80">
        <v>0</v>
      </c>
      <c r="I83" s="75" t="s">
        <v>162</v>
      </c>
      <c r="J83" s="42">
        <f t="shared" si="3"/>
        <v>0</v>
      </c>
    </row>
    <row r="84" spans="1:10" s="10" customFormat="1" outlineLevel="1" x14ac:dyDescent="0.2">
      <c r="D84" s="75" t="s">
        <v>185</v>
      </c>
      <c r="E84" s="88"/>
      <c r="F84" s="80">
        <v>0</v>
      </c>
      <c r="G84" s="80">
        <v>0</v>
      </c>
      <c r="H84" s="80">
        <v>0</v>
      </c>
      <c r="I84" s="75" t="s">
        <v>162</v>
      </c>
      <c r="J84" s="42">
        <f t="shared" si="3"/>
        <v>0</v>
      </c>
    </row>
    <row r="85" spans="1:10" s="10" customFormat="1" outlineLevel="1" x14ac:dyDescent="0.2">
      <c r="D85" s="75" t="s">
        <v>186</v>
      </c>
      <c r="E85" s="88"/>
      <c r="F85" s="80">
        <v>0</v>
      </c>
      <c r="G85" s="80">
        <v>0</v>
      </c>
      <c r="H85" s="80">
        <v>0</v>
      </c>
      <c r="I85" s="75" t="s">
        <v>162</v>
      </c>
      <c r="J85" s="42">
        <f t="shared" si="3"/>
        <v>0</v>
      </c>
    </row>
    <row r="86" spans="1:10" s="10" customFormat="1" outlineLevel="1" x14ac:dyDescent="0.2">
      <c r="D86" s="75" t="s">
        <v>187</v>
      </c>
      <c r="E86" s="88"/>
      <c r="F86" s="80">
        <v>0</v>
      </c>
      <c r="G86" s="80">
        <v>0</v>
      </c>
      <c r="H86" s="80">
        <v>0</v>
      </c>
      <c r="I86" s="75" t="s">
        <v>162</v>
      </c>
      <c r="J86" s="42">
        <f t="shared" si="3"/>
        <v>0</v>
      </c>
    </row>
    <row r="87" spans="1:10" s="10" customFormat="1" outlineLevel="1" x14ac:dyDescent="0.2">
      <c r="D87" s="75" t="s">
        <v>188</v>
      </c>
      <c r="E87" s="88"/>
      <c r="F87" s="80">
        <v>0</v>
      </c>
      <c r="G87" s="80">
        <v>0</v>
      </c>
      <c r="H87" s="80">
        <v>0</v>
      </c>
      <c r="I87" s="75" t="s">
        <v>162</v>
      </c>
      <c r="J87" s="42">
        <f t="shared" si="3"/>
        <v>0</v>
      </c>
    </row>
    <row r="88" spans="1:10" s="10" customFormat="1" outlineLevel="1" x14ac:dyDescent="0.2">
      <c r="D88" s="75" t="s">
        <v>189</v>
      </c>
      <c r="E88" s="88"/>
      <c r="F88" s="80">
        <v>0</v>
      </c>
      <c r="G88" s="80">
        <v>0</v>
      </c>
      <c r="H88" s="80">
        <v>0</v>
      </c>
      <c r="I88" s="75" t="s">
        <v>162</v>
      </c>
      <c r="J88" s="42">
        <f t="shared" si="3"/>
        <v>0</v>
      </c>
    </row>
    <row r="89" spans="1:10" s="10" customFormat="1" outlineLevel="1" x14ac:dyDescent="0.2">
      <c r="D89" s="75" t="s">
        <v>190</v>
      </c>
      <c r="E89" s="88"/>
      <c r="F89" s="80">
        <v>0</v>
      </c>
      <c r="G89" s="80">
        <v>0</v>
      </c>
      <c r="H89" s="80">
        <v>0</v>
      </c>
      <c r="I89" s="75" t="s">
        <v>162</v>
      </c>
      <c r="J89" s="42">
        <f t="shared" si="3"/>
        <v>0</v>
      </c>
    </row>
    <row r="90" spans="1:10" s="10" customFormat="1" outlineLevel="1" x14ac:dyDescent="0.2">
      <c r="D90" s="75" t="s">
        <v>191</v>
      </c>
      <c r="E90" s="88"/>
      <c r="F90" s="80">
        <v>0</v>
      </c>
      <c r="G90" s="80">
        <v>0</v>
      </c>
      <c r="H90" s="80">
        <v>0</v>
      </c>
      <c r="I90" s="75" t="s">
        <v>162</v>
      </c>
      <c r="J90" s="42">
        <f t="shared" si="3"/>
        <v>0</v>
      </c>
    </row>
    <row r="91" spans="1:10" s="10" customFormat="1" outlineLevel="1" x14ac:dyDescent="0.2">
      <c r="D91" s="75" t="s">
        <v>192</v>
      </c>
      <c r="E91" s="88"/>
      <c r="F91" s="80">
        <v>0</v>
      </c>
      <c r="G91" s="80">
        <v>0</v>
      </c>
      <c r="H91" s="80">
        <v>0</v>
      </c>
      <c r="I91" s="75" t="s">
        <v>162</v>
      </c>
      <c r="J91" s="42">
        <f t="shared" si="3"/>
        <v>0</v>
      </c>
    </row>
    <row r="92" spans="1:10" s="10" customFormat="1" outlineLevel="1" x14ac:dyDescent="0.2">
      <c r="D92" s="55" t="str">
        <f>Lang_Error_Check_Flags_If_Input_Econ_Cost_Is_Less_Than_Fin_Cost</f>
        <v>ERROR CHECK (FLAGS IF INPUT ECONOMIC COST IS LESS THAN FINANCIAL COST)</v>
      </c>
      <c r="J92" s="43">
        <f>IF(ISERROR(SUM(J82:J91)),1,MIN(SUM(J82:J91),1))</f>
        <v>0</v>
      </c>
    </row>
    <row r="93" spans="1:10" s="10" customFormat="1" outlineLevel="1" x14ac:dyDescent="0.2"/>
    <row r="94" spans="1:10" s="10" customFormat="1" outlineLevel="1" x14ac:dyDescent="0.2">
      <c r="D94" s="76" t="str">
        <f>Lang_GoTo&amp;" "&amp;HL_TOP_ACTV_Other_Direct_Costs_Outputs</f>
        <v>Go to Microplanning Activity #1 (Not in Use) Other Direct Costs - Outputs</v>
      </c>
    </row>
    <row r="95" spans="1:10" s="10" customFormat="1" x14ac:dyDescent="0.2"/>
    <row r="96" spans="1:10" s="13" customFormat="1" x14ac:dyDescent="0.2">
      <c r="A96" s="12" t="s">
        <v>125</v>
      </c>
      <c r="B96" s="13" t="str">
        <f>C98</f>
        <v>Microplanning Activity #2 (Not in Use) -  Detailed Activity Costing Worksheet - Instructions</v>
      </c>
    </row>
    <row r="97" spans="1:5" s="10" customFormat="1" outlineLevel="1" x14ac:dyDescent="0.2"/>
    <row r="98" spans="1:5" s="10" customFormat="1" outlineLevel="1" x14ac:dyDescent="0.2">
      <c r="C98" s="71" t="str">
        <f>HL_TOP_ACTV_7_Name&amp;" -  "&amp;Lang_Detailed_Activity_Costing_Worksheet_Instructions</f>
        <v>Microplanning Activity #2 (Not in Use) -  Detailed Activity Costing Worksheet - Instructions</v>
      </c>
    </row>
    <row r="99" spans="1:5" s="10" customFormat="1" outlineLevel="1" x14ac:dyDescent="0.2"/>
    <row r="100" spans="1:5" s="10" customFormat="1" outlineLevel="1" x14ac:dyDescent="0.2">
      <c r="D100" s="50" t="str">
        <f>Lang_Detailed_Costing_Worksheets_Notes_1</f>
        <v>This detailed costing worksheet can be used to document the types and amounts of resources required to complete a single instance of an activity.</v>
      </c>
    </row>
    <row r="101" spans="1:5" s="10" customFormat="1" outlineLevel="1" x14ac:dyDescent="0.2">
      <c r="D101" s="50" t="str">
        <f>Lang_Detailed_Costing_Worksheets_Notes_2</f>
        <v>When completed, it will automatically provide a single activity cost in the general assumption worksheet.</v>
      </c>
    </row>
    <row r="102" spans="1:5" s="10" customFormat="1" outlineLevel="1" x14ac:dyDescent="0.2">
      <c r="D102" s="50" t="str">
        <f>Lang_Detailed_Costing_Worksheets_Notes_3</f>
        <v>The user may then choose to use the results of the detailed costing in the model, or override the detailed costing and insert alternate cost estimates.</v>
      </c>
    </row>
    <row r="103" spans="1:5" s="10" customFormat="1" x14ac:dyDescent="0.2"/>
    <row r="104" spans="1:5" s="13" customFormat="1" x14ac:dyDescent="0.2">
      <c r="A104" s="12" t="s">
        <v>125</v>
      </c>
      <c r="B104" s="13" t="str">
        <f>C106</f>
        <v>Microplanning Activity #2 (Not in Use) - Detailed Activity Costing Worksheet - Currency Selection</v>
      </c>
    </row>
    <row r="105" spans="1:5" s="10" customFormat="1" outlineLevel="1" x14ac:dyDescent="0.2"/>
    <row r="106" spans="1:5" s="10" customFormat="1" outlineLevel="1" x14ac:dyDescent="0.2">
      <c r="C106" s="71" t="str">
        <f>HL_TOP_ACTV_7_Name&amp;" - "&amp;Lang_Detailed_Activity_Costing_Worksheet_Currency_Selection</f>
        <v>Microplanning Activity #2 (Not in Use) - Detailed Activity Costing Worksheet - Currency Selection</v>
      </c>
    </row>
    <row r="107" spans="1:5" s="10" customFormat="1" outlineLevel="1" x14ac:dyDescent="0.2">
      <c r="D107" s="55" t="str">
        <f>Lang_Currency_Used_For_Cost_Inputs</f>
        <v>Currency Used for Cost Inputs</v>
      </c>
      <c r="E107" s="72">
        <v>1</v>
      </c>
    </row>
    <row r="108" spans="1:5" s="10" customFormat="1" outlineLevel="1" x14ac:dyDescent="0.2"/>
    <row r="109" spans="1:5" s="10" customFormat="1" outlineLevel="1" x14ac:dyDescent="0.2"/>
    <row r="110" spans="1:5" s="10" customFormat="1" outlineLevel="1" x14ac:dyDescent="0.2">
      <c r="D110" s="54" t="str">
        <f>Lang_Imported_From_Econ_Module</f>
        <v>Imported from Econ Module</v>
      </c>
    </row>
    <row r="111" spans="1:5" s="10" customFormat="1" outlineLevel="1" x14ac:dyDescent="0.2">
      <c r="D111" s="49" t="str">
        <f>ECONOMICS!F7</f>
        <v>USD</v>
      </c>
    </row>
    <row r="112" spans="1:5" s="10" customFormat="1" outlineLevel="1" x14ac:dyDescent="0.2">
      <c r="D112" s="49" t="str">
        <f>ECONOMICS!F8</f>
        <v>LCU</v>
      </c>
    </row>
    <row r="113" spans="1:10" s="10" customFormat="1" outlineLevel="1" x14ac:dyDescent="0.2"/>
    <row r="114" spans="1:10" s="10" customFormat="1" outlineLevel="1" x14ac:dyDescent="0.2">
      <c r="D114" s="50" t="str">
        <f>Lang_Exchange_Rate_From_Econ</f>
        <v>Exchange Rate (from Economics)</v>
      </c>
      <c r="E114" s="41">
        <f>ECONOMICS!E13</f>
        <v>1234.5</v>
      </c>
    </row>
    <row r="115" spans="1:10" s="10" customFormat="1" x14ac:dyDescent="0.2"/>
    <row r="116" spans="1:10" s="13" customFormat="1" x14ac:dyDescent="0.2">
      <c r="A116" s="12" t="s">
        <v>127</v>
      </c>
      <c r="B116" s="13" t="str">
        <f>C118</f>
        <v>Microplanning Activity #2 (Not in Use) - Detailed Personnel Cost Assumptions</v>
      </c>
    </row>
    <row r="117" spans="1:10" s="10" customFormat="1" outlineLevel="1" x14ac:dyDescent="0.2"/>
    <row r="118" spans="1:10" s="10" customFormat="1" outlineLevel="1" x14ac:dyDescent="0.2">
      <c r="C118" s="71" t="str">
        <f>HL_TOP_ACTV_7_Name&amp;" - "&amp;Lang_Detailed_Personnel_Cost_Assumptions</f>
        <v>Microplanning Activity #2 (Not in Use) - Detailed Personnel Cost Assumptions</v>
      </c>
    </row>
    <row r="119" spans="1:10" s="10" customFormat="1" ht="48" outlineLevel="1" x14ac:dyDescent="0.2">
      <c r="D119" s="55" t="str">
        <f>Lang_Personnel_Cadre_Type</f>
        <v>Personnel Cadre Type</v>
      </c>
      <c r="E119" s="85" t="str">
        <f>Lang_Activity_Unit_Day_Hour_Minute</f>
        <v>Activity Unit (e.g. Day, Hour, Minute)</v>
      </c>
      <c r="F119" s="85" t="str">
        <f>Lang_Number_Of_Activity_Units_Required</f>
        <v>Number of Activity Units Required</v>
      </c>
      <c r="G119" s="86" t="str">
        <f ca="1">MICRO_Lu!$D$65&amp;" "&amp;Lang_Cost_Per_Activity_Unit&amp;" ("&amp;OFFSET(MICRO_Lu!$D$44,DD_TOP_ACTV_7_Detailed_Currency_Used,0)&amp;")"</f>
        <v>Financial Cost per Activity Unit (USD)</v>
      </c>
      <c r="H119" s="86" t="str">
        <f ca="1">MICRO_Lu!$D$66&amp;" "&amp;Lang_Cost_Per_Activity_Unit&amp;" ("&amp;OFFSET(MICRO_Lu!$D$44,DD_TOP_ACTV_7_Detailed_Currency_Used,0)&amp;")"</f>
        <v>Economic Cost per Activity Unit (USD)</v>
      </c>
      <c r="I119" s="87" t="str">
        <f>Lang_Evidence_For_Using_This_Cost_Information_Source_Or_Notes</f>
        <v>Evidence for Using this Cost Information (source or notes)</v>
      </c>
    </row>
    <row r="120" spans="1:10" s="10" customFormat="1" outlineLevel="1" x14ac:dyDescent="0.2">
      <c r="D120" s="75" t="s">
        <v>152</v>
      </c>
      <c r="E120" s="88"/>
      <c r="F120" s="80">
        <v>0</v>
      </c>
      <c r="G120" s="80">
        <v>0</v>
      </c>
      <c r="H120" s="80">
        <v>0</v>
      </c>
      <c r="I120" s="75" t="s">
        <v>162</v>
      </c>
      <c r="J120" s="42">
        <f t="shared" ref="J120:J134" si="4">IF(H120&lt;G120,1,0)</f>
        <v>0</v>
      </c>
    </row>
    <row r="121" spans="1:10" s="10" customFormat="1" outlineLevel="1" x14ac:dyDescent="0.2">
      <c r="D121" s="75" t="s">
        <v>153</v>
      </c>
      <c r="E121" s="88"/>
      <c r="F121" s="80">
        <v>0</v>
      </c>
      <c r="G121" s="80">
        <v>0</v>
      </c>
      <c r="H121" s="80">
        <v>0</v>
      </c>
      <c r="I121" s="75" t="s">
        <v>162</v>
      </c>
      <c r="J121" s="42">
        <f t="shared" si="4"/>
        <v>0</v>
      </c>
    </row>
    <row r="122" spans="1:10" s="10" customFormat="1" outlineLevel="1" x14ac:dyDescent="0.2">
      <c r="D122" s="75" t="s">
        <v>154</v>
      </c>
      <c r="E122" s="88"/>
      <c r="F122" s="80">
        <v>0</v>
      </c>
      <c r="G122" s="80">
        <v>0</v>
      </c>
      <c r="H122" s="80">
        <v>0</v>
      </c>
      <c r="I122" s="75" t="s">
        <v>162</v>
      </c>
      <c r="J122" s="42">
        <f t="shared" si="4"/>
        <v>0</v>
      </c>
    </row>
    <row r="123" spans="1:10" s="10" customFormat="1" outlineLevel="1" x14ac:dyDescent="0.2">
      <c r="D123" s="75" t="s">
        <v>155</v>
      </c>
      <c r="E123" s="88"/>
      <c r="F123" s="80">
        <v>0</v>
      </c>
      <c r="G123" s="80">
        <v>0</v>
      </c>
      <c r="H123" s="80">
        <v>0</v>
      </c>
      <c r="I123" s="75" t="s">
        <v>162</v>
      </c>
      <c r="J123" s="42">
        <f t="shared" si="4"/>
        <v>0</v>
      </c>
    </row>
    <row r="124" spans="1:10" s="10" customFormat="1" outlineLevel="1" x14ac:dyDescent="0.2">
      <c r="D124" s="75" t="s">
        <v>156</v>
      </c>
      <c r="E124" s="88"/>
      <c r="F124" s="80">
        <v>0</v>
      </c>
      <c r="G124" s="80">
        <v>0</v>
      </c>
      <c r="H124" s="80">
        <v>0</v>
      </c>
      <c r="I124" s="75" t="s">
        <v>162</v>
      </c>
      <c r="J124" s="42">
        <f t="shared" si="4"/>
        <v>0</v>
      </c>
    </row>
    <row r="125" spans="1:10" s="10" customFormat="1" outlineLevel="1" x14ac:dyDescent="0.2">
      <c r="D125" s="75" t="s">
        <v>157</v>
      </c>
      <c r="E125" s="88"/>
      <c r="F125" s="80">
        <v>0</v>
      </c>
      <c r="G125" s="80">
        <v>0</v>
      </c>
      <c r="H125" s="80">
        <v>0</v>
      </c>
      <c r="I125" s="75" t="s">
        <v>162</v>
      </c>
      <c r="J125" s="42">
        <f t="shared" si="4"/>
        <v>0</v>
      </c>
    </row>
    <row r="126" spans="1:10" outlineLevel="1" x14ac:dyDescent="0.2">
      <c r="D126" s="62" t="s">
        <v>158</v>
      </c>
      <c r="E126" s="64"/>
      <c r="F126" s="19">
        <v>0</v>
      </c>
      <c r="G126" s="19">
        <v>0</v>
      </c>
      <c r="H126" s="19">
        <v>0</v>
      </c>
      <c r="I126" s="62" t="s">
        <v>162</v>
      </c>
      <c r="J126" s="42">
        <f t="shared" si="4"/>
        <v>0</v>
      </c>
    </row>
    <row r="127" spans="1:10" outlineLevel="1" x14ac:dyDescent="0.2">
      <c r="D127" s="62" t="s">
        <v>159</v>
      </c>
      <c r="E127" s="64"/>
      <c r="F127" s="19">
        <v>0</v>
      </c>
      <c r="G127" s="19">
        <v>0</v>
      </c>
      <c r="H127" s="19">
        <v>0</v>
      </c>
      <c r="I127" s="62" t="s">
        <v>162</v>
      </c>
      <c r="J127" s="42">
        <f t="shared" si="4"/>
        <v>0</v>
      </c>
    </row>
    <row r="128" spans="1:10" outlineLevel="1" x14ac:dyDescent="0.2">
      <c r="D128" s="62" t="s">
        <v>160</v>
      </c>
      <c r="E128" s="64"/>
      <c r="F128" s="19">
        <v>0</v>
      </c>
      <c r="G128" s="19">
        <v>0</v>
      </c>
      <c r="H128" s="19">
        <v>0</v>
      </c>
      <c r="I128" s="62" t="s">
        <v>162</v>
      </c>
      <c r="J128" s="42">
        <f t="shared" si="4"/>
        <v>0</v>
      </c>
    </row>
    <row r="129" spans="1:10" outlineLevel="1" x14ac:dyDescent="0.2">
      <c r="D129" s="62" t="s">
        <v>161</v>
      </c>
      <c r="E129" s="64"/>
      <c r="F129" s="19">
        <v>0</v>
      </c>
      <c r="G129" s="19">
        <v>0</v>
      </c>
      <c r="H129" s="19">
        <v>0</v>
      </c>
      <c r="I129" s="62" t="s">
        <v>162</v>
      </c>
      <c r="J129" s="42">
        <f t="shared" si="4"/>
        <v>0</v>
      </c>
    </row>
    <row r="130" spans="1:10" outlineLevel="1" x14ac:dyDescent="0.2">
      <c r="D130" s="62" t="s">
        <v>393</v>
      </c>
      <c r="E130" s="64"/>
      <c r="F130" s="19">
        <v>0</v>
      </c>
      <c r="G130" s="19">
        <v>0</v>
      </c>
      <c r="H130" s="19">
        <v>0</v>
      </c>
      <c r="I130" s="62" t="s">
        <v>162</v>
      </c>
      <c r="J130" s="42">
        <f t="shared" si="4"/>
        <v>0</v>
      </c>
    </row>
    <row r="131" spans="1:10" s="10" customFormat="1" outlineLevel="1" x14ac:dyDescent="0.2">
      <c r="D131" s="75" t="s">
        <v>394</v>
      </c>
      <c r="E131" s="88"/>
      <c r="F131" s="80">
        <v>0</v>
      </c>
      <c r="G131" s="80">
        <v>0</v>
      </c>
      <c r="H131" s="80">
        <v>0</v>
      </c>
      <c r="I131" s="75" t="s">
        <v>162</v>
      </c>
      <c r="J131" s="42">
        <f t="shared" si="4"/>
        <v>0</v>
      </c>
    </row>
    <row r="132" spans="1:10" s="10" customFormat="1" outlineLevel="1" x14ac:dyDescent="0.2">
      <c r="D132" s="75" t="s">
        <v>395</v>
      </c>
      <c r="E132" s="88"/>
      <c r="F132" s="80">
        <v>0</v>
      </c>
      <c r="G132" s="80">
        <v>0</v>
      </c>
      <c r="H132" s="80">
        <v>0</v>
      </c>
      <c r="I132" s="75" t="s">
        <v>162</v>
      </c>
      <c r="J132" s="42">
        <f t="shared" si="4"/>
        <v>0</v>
      </c>
    </row>
    <row r="133" spans="1:10" s="10" customFormat="1" outlineLevel="1" x14ac:dyDescent="0.2">
      <c r="D133" s="75" t="s">
        <v>396</v>
      </c>
      <c r="E133" s="88"/>
      <c r="F133" s="80">
        <v>0</v>
      </c>
      <c r="G133" s="80">
        <v>0</v>
      </c>
      <c r="H133" s="80">
        <v>0</v>
      </c>
      <c r="I133" s="75" t="s">
        <v>162</v>
      </c>
      <c r="J133" s="42">
        <f t="shared" si="4"/>
        <v>0</v>
      </c>
    </row>
    <row r="134" spans="1:10" s="10" customFormat="1" outlineLevel="1" x14ac:dyDescent="0.2">
      <c r="D134" s="75" t="s">
        <v>397</v>
      </c>
      <c r="E134" s="88"/>
      <c r="F134" s="80">
        <v>0</v>
      </c>
      <c r="G134" s="80">
        <v>0</v>
      </c>
      <c r="H134" s="80">
        <v>0</v>
      </c>
      <c r="I134" s="75" t="s">
        <v>162</v>
      </c>
      <c r="J134" s="42">
        <f t="shared" si="4"/>
        <v>0</v>
      </c>
    </row>
    <row r="135" spans="1:10" s="10" customFormat="1" outlineLevel="1" x14ac:dyDescent="0.2">
      <c r="D135" s="55" t="str">
        <f>Lang_Error_Check_Flags_If_Input_Econ_Cost_Is_Less_Than_Fin_Cost</f>
        <v>ERROR CHECK (FLAGS IF INPUT ECONOMIC COST IS LESS THAN FINANCIAL COST)</v>
      </c>
      <c r="J135" s="43">
        <f>IF(ISERROR(SUM(J120:J134)),1,MIN(SUM(J120:J134),1))</f>
        <v>0</v>
      </c>
    </row>
    <row r="136" spans="1:10" s="10" customFormat="1" outlineLevel="1" x14ac:dyDescent="0.2"/>
    <row r="137" spans="1:10" s="10" customFormat="1" outlineLevel="1" x14ac:dyDescent="0.2">
      <c r="D137" s="76" t="str">
        <f>Lang_GoTo&amp;" "&amp;HL_TOP_ACTV_7_Personnel_Outputs</f>
        <v>Go to Microplanning Activity #2 (Not in Use) Personnel - Outputs</v>
      </c>
    </row>
    <row r="138" spans="1:10" s="10" customFormat="1" x14ac:dyDescent="0.2"/>
    <row r="139" spans="1:10" s="13" customFormat="1" x14ac:dyDescent="0.2">
      <c r="A139" s="12" t="s">
        <v>127</v>
      </c>
      <c r="B139" s="13" t="str">
        <f>C141</f>
        <v>Microplanning Activity #2 (Not in Use) - Detailed Allowance Cost Assumptions</v>
      </c>
    </row>
    <row r="140" spans="1:10" s="10" customFormat="1" outlineLevel="1" x14ac:dyDescent="0.2"/>
    <row r="141" spans="1:10" s="10" customFormat="1" outlineLevel="1" x14ac:dyDescent="0.2">
      <c r="C141" s="71" t="str">
        <f>HL_TOP_ACTV_7_Name&amp;" - "&amp;Lang_Detailed_Allowance_Cost_Assumptions</f>
        <v>Microplanning Activity #2 (Not in Use) - Detailed Allowance Cost Assumptions</v>
      </c>
    </row>
    <row r="142" spans="1:10" s="10" customFormat="1" ht="48" outlineLevel="1" x14ac:dyDescent="0.2">
      <c r="D142" s="55" t="str">
        <f>Lang_Allowance_Type</f>
        <v>Allowance Type</v>
      </c>
      <c r="E142" s="85" t="str">
        <f>Lang_Allowance_Unit_Per_Day_Round_Trip_Travel</f>
        <v>Allowance Unit (e.g. Per Day, Round-trip Travel,etc.)</v>
      </c>
      <c r="F142" s="85" t="str">
        <f>Lang_Number_Of_Allowance_Units_Required</f>
        <v>Number of Allowance Units Required</v>
      </c>
      <c r="G142" s="86" t="str">
        <f ca="1">MICRO_Lu!$D$65&amp;" "&amp;Lang_Cost_Per_Activity_Unit&amp;" ("&amp;OFFSET(MICRO_Lu!$D$44,DD_TOP_ACTV_7_Detailed_Currency_Used,0)&amp;")"</f>
        <v>Financial Cost per Activity Unit (USD)</v>
      </c>
      <c r="H142" s="86" t="str">
        <f ca="1">MICRO_Lu!$D$66&amp;" "&amp;Lang_Cost_Per_Activity_Unit&amp;" ("&amp;OFFSET(MICRO_Lu!$D$44,DD_TOP_ACTV_7_Detailed_Currency_Used,0)&amp;")"</f>
        <v>Economic Cost per Activity Unit (USD)</v>
      </c>
      <c r="I142" s="87" t="str">
        <f>Lang_Evidence_For_Using_This_Cost_Information_Source_Or_Notes</f>
        <v>Evidence for Using this Cost Information (source or notes)</v>
      </c>
    </row>
    <row r="143" spans="1:10" s="10" customFormat="1" outlineLevel="1" x14ac:dyDescent="0.2">
      <c r="D143" s="75" t="s">
        <v>163</v>
      </c>
      <c r="E143" s="88"/>
      <c r="F143" s="80">
        <v>0</v>
      </c>
      <c r="G143" s="80">
        <v>0</v>
      </c>
      <c r="H143" s="80">
        <v>0</v>
      </c>
      <c r="I143" s="75" t="s">
        <v>162</v>
      </c>
      <c r="J143" s="42">
        <f t="shared" ref="J143:J152" si="5">IF(H143&lt;G143,1,0)</f>
        <v>0</v>
      </c>
    </row>
    <row r="144" spans="1:10" s="10" customFormat="1" outlineLevel="1" x14ac:dyDescent="0.2">
      <c r="D144" s="75" t="s">
        <v>164</v>
      </c>
      <c r="E144" s="88"/>
      <c r="F144" s="80">
        <v>0</v>
      </c>
      <c r="G144" s="80">
        <v>0</v>
      </c>
      <c r="H144" s="80">
        <v>0</v>
      </c>
      <c r="I144" s="75" t="s">
        <v>162</v>
      </c>
      <c r="J144" s="42">
        <f t="shared" si="5"/>
        <v>0</v>
      </c>
    </row>
    <row r="145" spans="1:10" s="10" customFormat="1" outlineLevel="1" x14ac:dyDescent="0.2">
      <c r="D145" s="75" t="s">
        <v>165</v>
      </c>
      <c r="E145" s="88"/>
      <c r="F145" s="80">
        <v>0</v>
      </c>
      <c r="G145" s="80">
        <v>0</v>
      </c>
      <c r="H145" s="80">
        <v>0</v>
      </c>
      <c r="I145" s="75" t="s">
        <v>162</v>
      </c>
      <c r="J145" s="42">
        <f t="shared" si="5"/>
        <v>0</v>
      </c>
    </row>
    <row r="146" spans="1:10" s="10" customFormat="1" outlineLevel="1" x14ac:dyDescent="0.2">
      <c r="D146" s="75" t="s">
        <v>166</v>
      </c>
      <c r="E146" s="88"/>
      <c r="F146" s="80">
        <v>0</v>
      </c>
      <c r="G146" s="80">
        <v>0</v>
      </c>
      <c r="H146" s="80">
        <v>0</v>
      </c>
      <c r="I146" s="75" t="s">
        <v>162</v>
      </c>
      <c r="J146" s="42">
        <f t="shared" si="5"/>
        <v>0</v>
      </c>
    </row>
    <row r="147" spans="1:10" s="10" customFormat="1" outlineLevel="1" x14ac:dyDescent="0.2">
      <c r="D147" s="75" t="s">
        <v>167</v>
      </c>
      <c r="E147" s="88"/>
      <c r="F147" s="80">
        <v>0</v>
      </c>
      <c r="G147" s="80">
        <v>0</v>
      </c>
      <c r="H147" s="80">
        <v>0</v>
      </c>
      <c r="I147" s="75" t="s">
        <v>162</v>
      </c>
      <c r="J147" s="42">
        <f t="shared" si="5"/>
        <v>0</v>
      </c>
    </row>
    <row r="148" spans="1:10" s="10" customFormat="1" outlineLevel="1" x14ac:dyDescent="0.2">
      <c r="D148" s="75" t="s">
        <v>168</v>
      </c>
      <c r="E148" s="88"/>
      <c r="F148" s="80">
        <v>0</v>
      </c>
      <c r="G148" s="80">
        <v>0</v>
      </c>
      <c r="H148" s="80">
        <v>0</v>
      </c>
      <c r="I148" s="75" t="s">
        <v>162</v>
      </c>
      <c r="J148" s="42">
        <f t="shared" si="5"/>
        <v>0</v>
      </c>
    </row>
    <row r="149" spans="1:10" s="10" customFormat="1" outlineLevel="1" x14ac:dyDescent="0.2">
      <c r="D149" s="75" t="s">
        <v>169</v>
      </c>
      <c r="E149" s="88"/>
      <c r="F149" s="80">
        <v>0</v>
      </c>
      <c r="G149" s="80">
        <v>0</v>
      </c>
      <c r="H149" s="80">
        <v>0</v>
      </c>
      <c r="I149" s="75" t="s">
        <v>162</v>
      </c>
      <c r="J149" s="42">
        <f t="shared" si="5"/>
        <v>0</v>
      </c>
    </row>
    <row r="150" spans="1:10" s="10" customFormat="1" outlineLevel="1" x14ac:dyDescent="0.2">
      <c r="D150" s="75" t="s">
        <v>170</v>
      </c>
      <c r="E150" s="88"/>
      <c r="F150" s="80">
        <v>0</v>
      </c>
      <c r="G150" s="80">
        <v>0</v>
      </c>
      <c r="H150" s="80">
        <v>0</v>
      </c>
      <c r="I150" s="75" t="s">
        <v>162</v>
      </c>
      <c r="J150" s="42">
        <f t="shared" si="5"/>
        <v>0</v>
      </c>
    </row>
    <row r="151" spans="1:10" s="10" customFormat="1" outlineLevel="1" x14ac:dyDescent="0.2">
      <c r="D151" s="75" t="s">
        <v>171</v>
      </c>
      <c r="E151" s="88"/>
      <c r="F151" s="80">
        <v>0</v>
      </c>
      <c r="G151" s="80">
        <v>0</v>
      </c>
      <c r="H151" s="80">
        <v>0</v>
      </c>
      <c r="I151" s="75" t="s">
        <v>162</v>
      </c>
      <c r="J151" s="42">
        <f t="shared" si="5"/>
        <v>0</v>
      </c>
    </row>
    <row r="152" spans="1:10" s="10" customFormat="1" outlineLevel="1" x14ac:dyDescent="0.2">
      <c r="D152" s="75" t="s">
        <v>172</v>
      </c>
      <c r="E152" s="88"/>
      <c r="F152" s="80">
        <v>0</v>
      </c>
      <c r="G152" s="80">
        <v>0</v>
      </c>
      <c r="H152" s="80">
        <v>0</v>
      </c>
      <c r="I152" s="75" t="s">
        <v>162</v>
      </c>
      <c r="J152" s="42">
        <f t="shared" si="5"/>
        <v>0</v>
      </c>
    </row>
    <row r="153" spans="1:10" s="10" customFormat="1" outlineLevel="1" x14ac:dyDescent="0.2">
      <c r="D153" s="55" t="str">
        <f>Lang_Error_Check_Flags_If_Input_Econ_Cost_Is_Less_Than_Fin_Cost</f>
        <v>ERROR CHECK (FLAGS IF INPUT ECONOMIC COST IS LESS THAN FINANCIAL COST)</v>
      </c>
      <c r="J153" s="43">
        <f>IF(ISERROR(SUM(J143:J152)),1,MIN(SUM(J143:J152),1))</f>
        <v>0</v>
      </c>
    </row>
    <row r="154" spans="1:10" s="10" customFormat="1" outlineLevel="1" x14ac:dyDescent="0.2"/>
    <row r="155" spans="1:10" s="10" customFormat="1" outlineLevel="1" x14ac:dyDescent="0.2">
      <c r="D155" s="76" t="str">
        <f>Lang_GoTo&amp;" "&amp;HL_TOP_ACTV_7_Out_A</f>
        <v>Go to Microplanning Activity #2 (Not in Use) Allowances - Outputs</v>
      </c>
    </row>
    <row r="156" spans="1:10" s="10" customFormat="1" x14ac:dyDescent="0.2"/>
    <row r="157" spans="1:10" s="13" customFormat="1" x14ac:dyDescent="0.2">
      <c r="A157" s="12" t="s">
        <v>127</v>
      </c>
      <c r="B157" s="13" t="str">
        <f>C159</f>
        <v>Microplanning Activity #2 (Not in Use) - Detailed Supply and Material Cost Assumptions</v>
      </c>
    </row>
    <row r="158" spans="1:10" s="10" customFormat="1" outlineLevel="1" x14ac:dyDescent="0.2"/>
    <row r="159" spans="1:10" s="10" customFormat="1" outlineLevel="1" x14ac:dyDescent="0.2">
      <c r="C159" s="71" t="str">
        <f>HL_TOP_ACTV_7_Name&amp;" - "&amp;Lang_Detailed_Supply_And_Material_Cost_Assumptions</f>
        <v>Microplanning Activity #2 (Not in Use) - Detailed Supply and Material Cost Assumptions</v>
      </c>
    </row>
    <row r="160" spans="1:10" s="10" customFormat="1" ht="48" outlineLevel="1" x14ac:dyDescent="0.2">
      <c r="D160" s="55" t="str">
        <f>Lang_Supply_Type</f>
        <v>Supply Type</v>
      </c>
      <c r="E160" s="85" t="str">
        <f>Lang_Supply_Unit_Each_Dozen_100_Pack</f>
        <v>Supply Unit (e.g. Each, Dozen, 100-pack,etc.)</v>
      </c>
      <c r="F160" s="85" t="str">
        <f>Lang_Number_Of_Supply_Units_Required</f>
        <v>Number of Supply Units Required</v>
      </c>
      <c r="G160" s="86" t="str">
        <f ca="1">MICRO_Lu!$D$65&amp;" "&amp;Lang_Cost_Per_Activity_Unit&amp;" ("&amp;OFFSET(MICRO_Lu!$D$44,DD_TOP_ACTV_7_Detailed_Currency_Used,0)&amp;")"</f>
        <v>Financial Cost per Activity Unit (USD)</v>
      </c>
      <c r="H160" s="86" t="str">
        <f ca="1">MICRO_Lu!$D$66&amp;" "&amp;Lang_Cost_Per_Activity_Unit&amp;" ("&amp;OFFSET(MICRO_Lu!$D$44,DD_TOP_ACTV_7_Detailed_Currency_Used,0)&amp;")"</f>
        <v>Economic Cost per Activity Unit (USD)</v>
      </c>
      <c r="I160" s="87" t="str">
        <f>Lang_Evidence_For_Using_This_Cost_Information_Source_Or_Notes</f>
        <v>Evidence for Using this Cost Information (source or notes)</v>
      </c>
    </row>
    <row r="161" spans="1:10" s="10" customFormat="1" outlineLevel="1" x14ac:dyDescent="0.2">
      <c r="D161" s="75" t="s">
        <v>173</v>
      </c>
      <c r="E161" s="88"/>
      <c r="F161" s="80">
        <v>0</v>
      </c>
      <c r="G161" s="80">
        <v>0</v>
      </c>
      <c r="H161" s="80">
        <v>0</v>
      </c>
      <c r="I161" s="75" t="s">
        <v>162</v>
      </c>
      <c r="J161" s="42">
        <f t="shared" ref="J161:J170" si="6">IF(H161&lt;G161,1,0)</f>
        <v>0</v>
      </c>
    </row>
    <row r="162" spans="1:10" s="10" customFormat="1" outlineLevel="1" x14ac:dyDescent="0.2">
      <c r="D162" s="75" t="s">
        <v>174</v>
      </c>
      <c r="E162" s="88"/>
      <c r="F162" s="80">
        <v>0</v>
      </c>
      <c r="G162" s="80">
        <v>0</v>
      </c>
      <c r="H162" s="80">
        <v>0</v>
      </c>
      <c r="I162" s="75" t="s">
        <v>162</v>
      </c>
      <c r="J162" s="42">
        <f t="shared" si="6"/>
        <v>0</v>
      </c>
    </row>
    <row r="163" spans="1:10" s="10" customFormat="1" outlineLevel="1" x14ac:dyDescent="0.2">
      <c r="D163" s="75" t="s">
        <v>175</v>
      </c>
      <c r="E163" s="88"/>
      <c r="F163" s="80">
        <v>0</v>
      </c>
      <c r="G163" s="80">
        <v>0</v>
      </c>
      <c r="H163" s="80">
        <v>0</v>
      </c>
      <c r="I163" s="75" t="s">
        <v>162</v>
      </c>
      <c r="J163" s="42">
        <f t="shared" si="6"/>
        <v>0</v>
      </c>
    </row>
    <row r="164" spans="1:10" s="10" customFormat="1" outlineLevel="1" x14ac:dyDescent="0.2">
      <c r="D164" s="75" t="s">
        <v>176</v>
      </c>
      <c r="E164" s="88"/>
      <c r="F164" s="80">
        <v>0</v>
      </c>
      <c r="G164" s="80">
        <v>0</v>
      </c>
      <c r="H164" s="80">
        <v>0</v>
      </c>
      <c r="I164" s="75" t="s">
        <v>162</v>
      </c>
      <c r="J164" s="42">
        <f t="shared" si="6"/>
        <v>0</v>
      </c>
    </row>
    <row r="165" spans="1:10" s="10" customFormat="1" outlineLevel="1" x14ac:dyDescent="0.2">
      <c r="D165" s="75" t="s">
        <v>177</v>
      </c>
      <c r="E165" s="88"/>
      <c r="F165" s="80">
        <v>0</v>
      </c>
      <c r="G165" s="80">
        <v>0</v>
      </c>
      <c r="H165" s="80">
        <v>0</v>
      </c>
      <c r="I165" s="75" t="s">
        <v>162</v>
      </c>
      <c r="J165" s="42">
        <f t="shared" si="6"/>
        <v>0</v>
      </c>
    </row>
    <row r="166" spans="1:10" s="10" customFormat="1" outlineLevel="1" x14ac:dyDescent="0.2">
      <c r="D166" s="75" t="s">
        <v>178</v>
      </c>
      <c r="E166" s="88"/>
      <c r="F166" s="80">
        <v>0</v>
      </c>
      <c r="G166" s="80">
        <v>0</v>
      </c>
      <c r="H166" s="80">
        <v>0</v>
      </c>
      <c r="I166" s="75" t="s">
        <v>162</v>
      </c>
      <c r="J166" s="42">
        <f t="shared" si="6"/>
        <v>0</v>
      </c>
    </row>
    <row r="167" spans="1:10" s="10" customFormat="1" outlineLevel="1" x14ac:dyDescent="0.2">
      <c r="D167" s="75" t="s">
        <v>179</v>
      </c>
      <c r="E167" s="88"/>
      <c r="F167" s="80">
        <v>0</v>
      </c>
      <c r="G167" s="80">
        <v>0</v>
      </c>
      <c r="H167" s="80">
        <v>0</v>
      </c>
      <c r="I167" s="75" t="s">
        <v>162</v>
      </c>
      <c r="J167" s="42">
        <f t="shared" si="6"/>
        <v>0</v>
      </c>
    </row>
    <row r="168" spans="1:10" s="10" customFormat="1" outlineLevel="1" x14ac:dyDescent="0.2">
      <c r="D168" s="75" t="s">
        <v>180</v>
      </c>
      <c r="E168" s="88"/>
      <c r="F168" s="80">
        <v>0</v>
      </c>
      <c r="G168" s="80">
        <v>0</v>
      </c>
      <c r="H168" s="80">
        <v>0</v>
      </c>
      <c r="I168" s="75" t="s">
        <v>162</v>
      </c>
      <c r="J168" s="42">
        <f t="shared" si="6"/>
        <v>0</v>
      </c>
    </row>
    <row r="169" spans="1:10" s="10" customFormat="1" outlineLevel="1" x14ac:dyDescent="0.2">
      <c r="D169" s="75" t="s">
        <v>181</v>
      </c>
      <c r="E169" s="88"/>
      <c r="F169" s="80">
        <v>0</v>
      </c>
      <c r="G169" s="80">
        <v>0</v>
      </c>
      <c r="H169" s="80">
        <v>0</v>
      </c>
      <c r="I169" s="75" t="s">
        <v>162</v>
      </c>
      <c r="J169" s="42">
        <f t="shared" si="6"/>
        <v>0</v>
      </c>
    </row>
    <row r="170" spans="1:10" s="10" customFormat="1" outlineLevel="1" x14ac:dyDescent="0.2">
      <c r="D170" s="75" t="s">
        <v>182</v>
      </c>
      <c r="E170" s="88"/>
      <c r="F170" s="80">
        <v>0</v>
      </c>
      <c r="G170" s="80">
        <v>0</v>
      </c>
      <c r="H170" s="80">
        <v>0</v>
      </c>
      <c r="I170" s="75" t="s">
        <v>162</v>
      </c>
      <c r="J170" s="42">
        <f t="shared" si="6"/>
        <v>0</v>
      </c>
    </row>
    <row r="171" spans="1:10" s="10" customFormat="1" outlineLevel="1" x14ac:dyDescent="0.2">
      <c r="D171" s="55" t="str">
        <f>Lang_Error_Check_Flags_If_Input_Econ_Cost_Is_Less_Than_Fin_Cost</f>
        <v>ERROR CHECK (FLAGS IF INPUT ECONOMIC COST IS LESS THAN FINANCIAL COST)</v>
      </c>
      <c r="J171" s="43">
        <f>IF(ISERROR(SUM(J161:J170)),1,MIN(SUM(J161:J170),1))</f>
        <v>0</v>
      </c>
    </row>
    <row r="172" spans="1:10" s="10" customFormat="1" outlineLevel="1" x14ac:dyDescent="0.2"/>
    <row r="173" spans="1:10" s="10" customFormat="1" outlineLevel="1" x14ac:dyDescent="0.2">
      <c r="D173" s="76" t="str">
        <f>Lang_GoTo&amp;" "&amp;HL_TOP_ACTV_7_Supplies_and_Materials_Outputs</f>
        <v>Go to Microplanning Activity #2 (Not in Use) Supplies and Materials - Outputs</v>
      </c>
    </row>
    <row r="174" spans="1:10" s="10" customFormat="1" x14ac:dyDescent="0.2"/>
    <row r="175" spans="1:10" s="13" customFormat="1" x14ac:dyDescent="0.2">
      <c r="A175" s="12" t="s">
        <v>127</v>
      </c>
      <c r="B175" s="13" t="str">
        <f>C177</f>
        <v>Microplanning Activity #2 (Not in Use) - Detailed Other Direct Cost Assumptions</v>
      </c>
    </row>
    <row r="176" spans="1:10" s="10" customFormat="1" outlineLevel="1" x14ac:dyDescent="0.2"/>
    <row r="177" spans="3:10" s="10" customFormat="1" outlineLevel="1" x14ac:dyDescent="0.2">
      <c r="C177" s="71" t="str">
        <f>HL_TOP_ACTV_7_Name&amp;" - "&amp;Lang_Detailed_Other_Direct_Cost_Assumptions</f>
        <v>Microplanning Activity #2 (Not in Use) - Detailed Other Direct Cost Assumptions</v>
      </c>
    </row>
    <row r="178" spans="3:10" s="10" customFormat="1" ht="48" outlineLevel="1" x14ac:dyDescent="0.2">
      <c r="D178" s="55" t="str">
        <f>Lang_Other_Direct_Cost_ODC_Type</f>
        <v>Other Direct Cost (ODC) Type</v>
      </c>
      <c r="E178" s="85" t="str">
        <f>Lang_ODC_Unit_Each_Dozen_100_Pack</f>
        <v>ODC Unit (e.g. Each, Dozen, 100-pack,etc.)</v>
      </c>
      <c r="F178" s="85" t="str">
        <f>Lang_Number_Of_ODC_Units_Required</f>
        <v>Number of ODC Units Required</v>
      </c>
      <c r="G178" s="86" t="str">
        <f ca="1">MICRO_Lu!$D$65&amp;" "&amp;Lang_Cost_Per_Activity_Unit&amp;" ("&amp;OFFSET(MICRO_Lu!$D$44,DD_TOP_ACTV_7_Detailed_Currency_Used,0)&amp;")"</f>
        <v>Financial Cost per Activity Unit (USD)</v>
      </c>
      <c r="H178" s="86" t="str">
        <f ca="1">MICRO_Lu!$D$66&amp;" "&amp;Lang_Cost_Per_Activity_Unit&amp;" ("&amp;OFFSET(MICRO_Lu!$D$44,DD_TOP_ACTV_7_Detailed_Currency_Used,0)&amp;")"</f>
        <v>Economic Cost per Activity Unit (USD)</v>
      </c>
      <c r="I178" s="87" t="str">
        <f>Lang_Evidence_For_Using_This_Cost_Information_Source_Or_Notes</f>
        <v>Evidence for Using this Cost Information (source or notes)</v>
      </c>
    </row>
    <row r="179" spans="3:10" s="10" customFormat="1" outlineLevel="1" x14ac:dyDescent="0.2">
      <c r="D179" s="75" t="s">
        <v>183</v>
      </c>
      <c r="E179" s="88"/>
      <c r="F179" s="80">
        <v>0</v>
      </c>
      <c r="G179" s="80">
        <v>0</v>
      </c>
      <c r="H179" s="80">
        <v>0</v>
      </c>
      <c r="I179" s="75" t="s">
        <v>162</v>
      </c>
      <c r="J179" s="42">
        <f t="shared" ref="J179:J188" si="7">IF(H179&lt;G179,1,0)</f>
        <v>0</v>
      </c>
    </row>
    <row r="180" spans="3:10" s="10" customFormat="1" outlineLevel="1" x14ac:dyDescent="0.2">
      <c r="D180" s="75" t="s">
        <v>184</v>
      </c>
      <c r="E180" s="88"/>
      <c r="F180" s="80">
        <v>0</v>
      </c>
      <c r="G180" s="80">
        <v>0</v>
      </c>
      <c r="H180" s="80">
        <v>0</v>
      </c>
      <c r="I180" s="75" t="s">
        <v>162</v>
      </c>
      <c r="J180" s="42">
        <f t="shared" si="7"/>
        <v>0</v>
      </c>
    </row>
    <row r="181" spans="3:10" s="10" customFormat="1" outlineLevel="1" x14ac:dyDescent="0.2">
      <c r="D181" s="75" t="s">
        <v>185</v>
      </c>
      <c r="E181" s="88"/>
      <c r="F181" s="80">
        <v>0</v>
      </c>
      <c r="G181" s="80">
        <v>0</v>
      </c>
      <c r="H181" s="80">
        <v>0</v>
      </c>
      <c r="I181" s="75" t="s">
        <v>162</v>
      </c>
      <c r="J181" s="42">
        <f t="shared" si="7"/>
        <v>0</v>
      </c>
    </row>
    <row r="182" spans="3:10" s="10" customFormat="1" outlineLevel="1" x14ac:dyDescent="0.2">
      <c r="D182" s="75" t="s">
        <v>186</v>
      </c>
      <c r="E182" s="88"/>
      <c r="F182" s="80">
        <v>0</v>
      </c>
      <c r="G182" s="80">
        <v>0</v>
      </c>
      <c r="H182" s="80">
        <v>0</v>
      </c>
      <c r="I182" s="75" t="s">
        <v>162</v>
      </c>
      <c r="J182" s="42">
        <f t="shared" si="7"/>
        <v>0</v>
      </c>
    </row>
    <row r="183" spans="3:10" s="10" customFormat="1" outlineLevel="1" x14ac:dyDescent="0.2">
      <c r="D183" s="75" t="s">
        <v>187</v>
      </c>
      <c r="E183" s="88"/>
      <c r="F183" s="80">
        <v>0</v>
      </c>
      <c r="G183" s="80">
        <v>0</v>
      </c>
      <c r="H183" s="80">
        <v>0</v>
      </c>
      <c r="I183" s="75" t="s">
        <v>162</v>
      </c>
      <c r="J183" s="42">
        <f t="shared" si="7"/>
        <v>0</v>
      </c>
    </row>
    <row r="184" spans="3:10" s="10" customFormat="1" outlineLevel="1" x14ac:dyDescent="0.2">
      <c r="D184" s="75" t="s">
        <v>188</v>
      </c>
      <c r="E184" s="88"/>
      <c r="F184" s="80">
        <v>0</v>
      </c>
      <c r="G184" s="80">
        <v>0</v>
      </c>
      <c r="H184" s="80">
        <v>0</v>
      </c>
      <c r="I184" s="75" t="s">
        <v>162</v>
      </c>
      <c r="J184" s="42">
        <f t="shared" si="7"/>
        <v>0</v>
      </c>
    </row>
    <row r="185" spans="3:10" s="10" customFormat="1" outlineLevel="1" x14ac:dyDescent="0.2">
      <c r="D185" s="75" t="s">
        <v>189</v>
      </c>
      <c r="E185" s="88"/>
      <c r="F185" s="80">
        <v>0</v>
      </c>
      <c r="G185" s="80">
        <v>0</v>
      </c>
      <c r="H185" s="80">
        <v>0</v>
      </c>
      <c r="I185" s="75" t="s">
        <v>162</v>
      </c>
      <c r="J185" s="42">
        <f t="shared" si="7"/>
        <v>0</v>
      </c>
    </row>
    <row r="186" spans="3:10" s="10" customFormat="1" outlineLevel="1" x14ac:dyDescent="0.2">
      <c r="D186" s="75" t="s">
        <v>190</v>
      </c>
      <c r="E186" s="88"/>
      <c r="F186" s="80">
        <v>0</v>
      </c>
      <c r="G186" s="80">
        <v>0</v>
      </c>
      <c r="H186" s="80">
        <v>0</v>
      </c>
      <c r="I186" s="75" t="s">
        <v>162</v>
      </c>
      <c r="J186" s="42">
        <f t="shared" si="7"/>
        <v>0</v>
      </c>
    </row>
    <row r="187" spans="3:10" s="10" customFormat="1" outlineLevel="1" x14ac:dyDescent="0.2">
      <c r="D187" s="75" t="s">
        <v>191</v>
      </c>
      <c r="E187" s="88"/>
      <c r="F187" s="80">
        <v>0</v>
      </c>
      <c r="G187" s="80">
        <v>0</v>
      </c>
      <c r="H187" s="80">
        <v>0</v>
      </c>
      <c r="I187" s="75" t="s">
        <v>162</v>
      </c>
      <c r="J187" s="42">
        <f t="shared" si="7"/>
        <v>0</v>
      </c>
    </row>
    <row r="188" spans="3:10" s="10" customFormat="1" outlineLevel="1" x14ac:dyDescent="0.2">
      <c r="D188" s="75" t="s">
        <v>192</v>
      </c>
      <c r="E188" s="88"/>
      <c r="F188" s="80">
        <v>0</v>
      </c>
      <c r="G188" s="80">
        <v>0</v>
      </c>
      <c r="H188" s="80">
        <v>0</v>
      </c>
      <c r="I188" s="75" t="s">
        <v>162</v>
      </c>
      <c r="J188" s="42">
        <f t="shared" si="7"/>
        <v>0</v>
      </c>
    </row>
    <row r="189" spans="3:10" s="10" customFormat="1" outlineLevel="1" x14ac:dyDescent="0.2">
      <c r="D189" s="55" t="str">
        <f>Lang_Error_Check_Flags_If_Input_Econ_Cost_Is_Less_Than_Fin_Cost</f>
        <v>ERROR CHECK (FLAGS IF INPUT ECONOMIC COST IS LESS THAN FINANCIAL COST)</v>
      </c>
      <c r="J189" s="43">
        <f>IF(ISERROR(SUM(J179:J188)),1,MIN(SUM(J179:J188),1))</f>
        <v>0</v>
      </c>
    </row>
    <row r="190" spans="3:10" s="10" customFormat="1" outlineLevel="1" x14ac:dyDescent="0.2"/>
    <row r="191" spans="3:10" s="10" customFormat="1" outlineLevel="1" x14ac:dyDescent="0.2">
      <c r="D191" s="76" t="str">
        <f>Lang_GoTo&amp;" "&amp;HL_TOP_ACTV_7_Other_Direct_Costs_Outputs</f>
        <v>Go to Microplanning Activity #2 (Not in Use) Other Direct Costs - Outputs</v>
      </c>
    </row>
    <row r="192" spans="3:10" s="10" customFormat="1" x14ac:dyDescent="0.2"/>
    <row r="193" spans="1:5" s="13" customFormat="1" x14ac:dyDescent="0.2">
      <c r="A193" s="12" t="s">
        <v>125</v>
      </c>
      <c r="B193" s="13" t="str">
        <f>C195</f>
        <v>Microplanning Activity #3 (Not in Use) -  Detailed Activity Costing Worksheet - Instructions</v>
      </c>
    </row>
    <row r="194" spans="1:5" s="10" customFormat="1" outlineLevel="1" x14ac:dyDescent="0.2"/>
    <row r="195" spans="1:5" s="10" customFormat="1" outlineLevel="1" x14ac:dyDescent="0.2">
      <c r="C195" s="71" t="str">
        <f>HL_LVL2_ACTV_Name&amp;" -  "&amp;Lang_Detailed_Activity_Costing_Worksheet_Instructions</f>
        <v>Microplanning Activity #3 (Not in Use) -  Detailed Activity Costing Worksheet - Instructions</v>
      </c>
    </row>
    <row r="196" spans="1:5" s="10" customFormat="1" outlineLevel="1" x14ac:dyDescent="0.2"/>
    <row r="197" spans="1:5" s="10" customFormat="1" outlineLevel="1" x14ac:dyDescent="0.2">
      <c r="D197" s="50" t="str">
        <f>Lang_Detailed_Costing_Worksheets_Notes_1</f>
        <v>This detailed costing worksheet can be used to document the types and amounts of resources required to complete a single instance of an activity.</v>
      </c>
    </row>
    <row r="198" spans="1:5" s="10" customFormat="1" outlineLevel="1" x14ac:dyDescent="0.2">
      <c r="D198" s="50" t="str">
        <f>Lang_Detailed_Costing_Worksheets_Notes_2</f>
        <v>When completed, it will automatically provide a single activity cost in the general assumption worksheet.</v>
      </c>
    </row>
    <row r="199" spans="1:5" s="10" customFormat="1" outlineLevel="1" x14ac:dyDescent="0.2">
      <c r="D199" s="50" t="str">
        <f>Lang_Detailed_Costing_Worksheets_Notes_3</f>
        <v>The user may then choose to use the results of the detailed costing in the model, or override the detailed costing and insert alternate cost estimates.</v>
      </c>
    </row>
    <row r="200" spans="1:5" s="10" customFormat="1" outlineLevel="1" x14ac:dyDescent="0.2"/>
    <row r="201" spans="1:5" s="10" customFormat="1" x14ac:dyDescent="0.2"/>
    <row r="202" spans="1:5" s="13" customFormat="1" x14ac:dyDescent="0.2">
      <c r="A202" s="12" t="s">
        <v>125</v>
      </c>
      <c r="B202" s="13" t="str">
        <f>C204</f>
        <v>Microplanning Activity #3 (Not in Use) - Detailed Activity Costing Worksheet - Currency Selection</v>
      </c>
    </row>
    <row r="203" spans="1:5" s="10" customFormat="1" outlineLevel="1" x14ac:dyDescent="0.2"/>
    <row r="204" spans="1:5" s="10" customFormat="1" outlineLevel="1" x14ac:dyDescent="0.2">
      <c r="C204" s="71" t="str">
        <f>HL_LVL2_ACTV_Name&amp;" - "&amp;Lang_Detailed_Activity_Costing_Worksheet_Currency_Selection</f>
        <v>Microplanning Activity #3 (Not in Use) - Detailed Activity Costing Worksheet - Currency Selection</v>
      </c>
    </row>
    <row r="205" spans="1:5" s="10" customFormat="1" outlineLevel="1" x14ac:dyDescent="0.2"/>
    <row r="206" spans="1:5" s="10" customFormat="1" outlineLevel="1" x14ac:dyDescent="0.2">
      <c r="D206" s="55" t="str">
        <f>Lang_Currency_Used_For_Cost_Inputs</f>
        <v>Currency Used for Cost Inputs</v>
      </c>
      <c r="E206" s="72">
        <v>2</v>
      </c>
    </row>
    <row r="207" spans="1:5" s="10" customFormat="1" outlineLevel="1" x14ac:dyDescent="0.2"/>
    <row r="208" spans="1:5" s="10" customFormat="1" outlineLevel="1" x14ac:dyDescent="0.2"/>
    <row r="209" spans="1:10" s="10" customFormat="1" outlineLevel="1" x14ac:dyDescent="0.2">
      <c r="D209" s="54" t="str">
        <f>Lang_Imported_From_Econ_Module</f>
        <v>Imported from Econ Module</v>
      </c>
    </row>
    <row r="210" spans="1:10" s="10" customFormat="1" outlineLevel="1" x14ac:dyDescent="0.2">
      <c r="D210" s="49" t="str">
        <f>ECONOMICS!F7</f>
        <v>USD</v>
      </c>
    </row>
    <row r="211" spans="1:10" s="10" customFormat="1" outlineLevel="1" x14ac:dyDescent="0.2">
      <c r="D211" s="49" t="str">
        <f>ECONOMICS!F8</f>
        <v>LCU</v>
      </c>
    </row>
    <row r="212" spans="1:10" s="10" customFormat="1" outlineLevel="1" x14ac:dyDescent="0.2"/>
    <row r="213" spans="1:10" s="10" customFormat="1" outlineLevel="1" x14ac:dyDescent="0.2">
      <c r="D213" s="50" t="str">
        <f>Lang_Exchange_Rate_From_Econ</f>
        <v>Exchange Rate (from Economics)</v>
      </c>
      <c r="E213" s="41">
        <f>ECONOMICS!E13</f>
        <v>1234.5</v>
      </c>
    </row>
    <row r="214" spans="1:10" s="10" customFormat="1" x14ac:dyDescent="0.2"/>
    <row r="215" spans="1:10" s="13" customFormat="1" x14ac:dyDescent="0.2">
      <c r="A215" s="12" t="s">
        <v>127</v>
      </c>
      <c r="B215" s="13" t="str">
        <f>C217</f>
        <v>Microplanning Activity #3 (Not in Use) - Detailed Personnel Cost Assumptions</v>
      </c>
    </row>
    <row r="216" spans="1:10" s="10" customFormat="1" outlineLevel="1" x14ac:dyDescent="0.2"/>
    <row r="217" spans="1:10" s="10" customFormat="1" outlineLevel="1" x14ac:dyDescent="0.2">
      <c r="C217" s="71" t="str">
        <f>HL_LVL2_ACTV_Name&amp;" - "&amp;Lang_Detailed_Personnel_Cost_Assumptions</f>
        <v>Microplanning Activity #3 (Not in Use) - Detailed Personnel Cost Assumptions</v>
      </c>
    </row>
    <row r="218" spans="1:10" s="10" customFormat="1" ht="48" outlineLevel="1" x14ac:dyDescent="0.2">
      <c r="D218" s="55" t="str">
        <f>Lang_Personnel_Cadre_Type</f>
        <v>Personnel Cadre Type</v>
      </c>
      <c r="E218" s="85" t="str">
        <f>Lang_Activity_Unit_Day_Hour_Minute</f>
        <v>Activity Unit (e.g. Day, Hour, Minute)</v>
      </c>
      <c r="F218" s="85" t="str">
        <f>Lang_Number_Of_Activity_Units_Required</f>
        <v>Number of Activity Units Required</v>
      </c>
      <c r="G218" s="86" t="str">
        <f ca="1">MICRO_Lu!$D$100&amp;" "&amp;Lang_Cost_Per_Activity_Unit&amp;" ("&amp;OFFSET(MICRO_Lu!$D$79,DD_LVL2_ACTV_Currency_Selected,0)&amp;")"</f>
        <v>Financial Cost per Activity Unit (LCU)</v>
      </c>
      <c r="H218" s="86" t="str">
        <f ca="1">MICRO_Lu!$D$101&amp;" "&amp;Lang_Cost_Per_Activity_Unit&amp;" ("&amp;OFFSET(MICRO_Lu!$D$79,DD_LVL2_ACTV_Currency_Selected,0)&amp;")"</f>
        <v>Economic Cost per Activity Unit (LCU)</v>
      </c>
      <c r="I218" s="87" t="str">
        <f>Lang_Evidence_For_Using_This_Cost_Information_Source_Or_Notes</f>
        <v>Evidence for Using this Cost Information (source or notes)</v>
      </c>
    </row>
    <row r="219" spans="1:10" s="10" customFormat="1" outlineLevel="1" x14ac:dyDescent="0.2">
      <c r="D219" s="75" t="s">
        <v>152</v>
      </c>
      <c r="E219" s="88"/>
      <c r="F219" s="80">
        <v>0</v>
      </c>
      <c r="G219" s="80">
        <v>0</v>
      </c>
      <c r="H219" s="80">
        <v>0</v>
      </c>
      <c r="I219" s="75" t="s">
        <v>162</v>
      </c>
      <c r="J219" s="42">
        <f t="shared" ref="J219:J233" si="8">IF(H219&lt;G219,1,0)</f>
        <v>0</v>
      </c>
    </row>
    <row r="220" spans="1:10" s="10" customFormat="1" outlineLevel="1" x14ac:dyDescent="0.2">
      <c r="D220" s="75" t="s">
        <v>153</v>
      </c>
      <c r="E220" s="88"/>
      <c r="F220" s="80">
        <v>0</v>
      </c>
      <c r="G220" s="80">
        <v>0</v>
      </c>
      <c r="H220" s="80">
        <v>0</v>
      </c>
      <c r="I220" s="75" t="s">
        <v>162</v>
      </c>
      <c r="J220" s="42">
        <f t="shared" si="8"/>
        <v>0</v>
      </c>
    </row>
    <row r="221" spans="1:10" s="10" customFormat="1" outlineLevel="1" x14ac:dyDescent="0.2">
      <c r="D221" s="75" t="s">
        <v>154</v>
      </c>
      <c r="E221" s="88"/>
      <c r="F221" s="80">
        <v>0</v>
      </c>
      <c r="G221" s="80">
        <v>0</v>
      </c>
      <c r="H221" s="80">
        <v>0</v>
      </c>
      <c r="I221" s="75" t="s">
        <v>162</v>
      </c>
      <c r="J221" s="42">
        <f t="shared" si="8"/>
        <v>0</v>
      </c>
    </row>
    <row r="222" spans="1:10" s="10" customFormat="1" outlineLevel="1" x14ac:dyDescent="0.2">
      <c r="D222" s="75" t="s">
        <v>155</v>
      </c>
      <c r="E222" s="88"/>
      <c r="F222" s="80">
        <v>0</v>
      </c>
      <c r="G222" s="80">
        <v>0</v>
      </c>
      <c r="H222" s="80">
        <v>0</v>
      </c>
      <c r="I222" s="75" t="s">
        <v>162</v>
      </c>
      <c r="J222" s="42">
        <f t="shared" si="8"/>
        <v>0</v>
      </c>
    </row>
    <row r="223" spans="1:10" s="10" customFormat="1" outlineLevel="1" x14ac:dyDescent="0.2">
      <c r="D223" s="75" t="s">
        <v>156</v>
      </c>
      <c r="E223" s="88"/>
      <c r="F223" s="80">
        <v>0</v>
      </c>
      <c r="G223" s="80">
        <v>0</v>
      </c>
      <c r="H223" s="80">
        <v>0</v>
      </c>
      <c r="I223" s="75" t="s">
        <v>162</v>
      </c>
      <c r="J223" s="42">
        <f t="shared" si="8"/>
        <v>0</v>
      </c>
    </row>
    <row r="224" spans="1:10" s="10" customFormat="1" outlineLevel="1" x14ac:dyDescent="0.2">
      <c r="D224" s="75" t="s">
        <v>157</v>
      </c>
      <c r="E224" s="88"/>
      <c r="F224" s="80">
        <v>0</v>
      </c>
      <c r="G224" s="80">
        <v>0</v>
      </c>
      <c r="H224" s="80">
        <v>0</v>
      </c>
      <c r="I224" s="75" t="s">
        <v>162</v>
      </c>
      <c r="J224" s="42">
        <f t="shared" si="8"/>
        <v>0</v>
      </c>
    </row>
    <row r="225" spans="1:10" s="10" customFormat="1" outlineLevel="1" x14ac:dyDescent="0.2">
      <c r="D225" s="75" t="s">
        <v>158</v>
      </c>
      <c r="E225" s="88"/>
      <c r="F225" s="80">
        <v>0</v>
      </c>
      <c r="G225" s="80">
        <v>0</v>
      </c>
      <c r="H225" s="80">
        <v>0</v>
      </c>
      <c r="I225" s="75" t="s">
        <v>162</v>
      </c>
      <c r="J225" s="42">
        <f t="shared" si="8"/>
        <v>0</v>
      </c>
    </row>
    <row r="226" spans="1:10" s="10" customFormat="1" outlineLevel="1" x14ac:dyDescent="0.2">
      <c r="D226" s="75" t="s">
        <v>159</v>
      </c>
      <c r="E226" s="88"/>
      <c r="F226" s="80">
        <v>0</v>
      </c>
      <c r="G226" s="80">
        <v>0</v>
      </c>
      <c r="H226" s="80">
        <v>0</v>
      </c>
      <c r="I226" s="75" t="s">
        <v>162</v>
      </c>
      <c r="J226" s="42">
        <f t="shared" si="8"/>
        <v>0</v>
      </c>
    </row>
    <row r="227" spans="1:10" outlineLevel="1" x14ac:dyDescent="0.2">
      <c r="D227" s="62" t="s">
        <v>160</v>
      </c>
      <c r="E227" s="64"/>
      <c r="F227" s="19">
        <v>0</v>
      </c>
      <c r="G227" s="19">
        <v>0</v>
      </c>
      <c r="H227" s="19">
        <v>0</v>
      </c>
      <c r="I227" s="62" t="s">
        <v>162</v>
      </c>
      <c r="J227" s="42">
        <f t="shared" si="8"/>
        <v>0</v>
      </c>
    </row>
    <row r="228" spans="1:10" outlineLevel="1" x14ac:dyDescent="0.2">
      <c r="D228" s="62" t="s">
        <v>161</v>
      </c>
      <c r="E228" s="64"/>
      <c r="F228" s="19">
        <v>0</v>
      </c>
      <c r="G228" s="19">
        <v>0</v>
      </c>
      <c r="H228" s="19">
        <v>0</v>
      </c>
      <c r="I228" s="62" t="s">
        <v>162</v>
      </c>
      <c r="J228" s="42">
        <f t="shared" si="8"/>
        <v>0</v>
      </c>
    </row>
    <row r="229" spans="1:10" outlineLevel="1" x14ac:dyDescent="0.2">
      <c r="D229" s="62" t="s">
        <v>393</v>
      </c>
      <c r="E229" s="64"/>
      <c r="F229" s="19">
        <v>0</v>
      </c>
      <c r="G229" s="19">
        <v>0</v>
      </c>
      <c r="H229" s="19">
        <v>0</v>
      </c>
      <c r="I229" s="62" t="s">
        <v>162</v>
      </c>
      <c r="J229" s="42">
        <f t="shared" si="8"/>
        <v>0</v>
      </c>
    </row>
    <row r="230" spans="1:10" outlineLevel="1" x14ac:dyDescent="0.2">
      <c r="D230" s="62" t="s">
        <v>394</v>
      </c>
      <c r="E230" s="64"/>
      <c r="F230" s="19">
        <v>0</v>
      </c>
      <c r="G230" s="19">
        <v>0</v>
      </c>
      <c r="H230" s="19">
        <v>0</v>
      </c>
      <c r="I230" s="62" t="s">
        <v>162</v>
      </c>
      <c r="J230" s="42">
        <f t="shared" si="8"/>
        <v>0</v>
      </c>
    </row>
    <row r="231" spans="1:10" outlineLevel="1" x14ac:dyDescent="0.2">
      <c r="D231" s="62" t="s">
        <v>395</v>
      </c>
      <c r="E231" s="64"/>
      <c r="F231" s="19">
        <v>0</v>
      </c>
      <c r="G231" s="19">
        <v>0</v>
      </c>
      <c r="H231" s="19">
        <v>0</v>
      </c>
      <c r="I231" s="62" t="s">
        <v>162</v>
      </c>
      <c r="J231" s="42">
        <f t="shared" si="8"/>
        <v>0</v>
      </c>
    </row>
    <row r="232" spans="1:10" outlineLevel="1" x14ac:dyDescent="0.2">
      <c r="D232" s="62" t="s">
        <v>396</v>
      </c>
      <c r="E232" s="64"/>
      <c r="F232" s="19">
        <v>0</v>
      </c>
      <c r="G232" s="19">
        <v>0</v>
      </c>
      <c r="H232" s="19">
        <v>0</v>
      </c>
      <c r="I232" s="62" t="s">
        <v>162</v>
      </c>
      <c r="J232" s="42">
        <f t="shared" si="8"/>
        <v>0</v>
      </c>
    </row>
    <row r="233" spans="1:10" s="10" customFormat="1" outlineLevel="1" x14ac:dyDescent="0.2">
      <c r="D233" s="75" t="s">
        <v>397</v>
      </c>
      <c r="E233" s="88"/>
      <c r="F233" s="80">
        <v>0</v>
      </c>
      <c r="G233" s="80">
        <v>0</v>
      </c>
      <c r="H233" s="80">
        <v>0</v>
      </c>
      <c r="I233" s="75" t="s">
        <v>162</v>
      </c>
      <c r="J233" s="42">
        <f t="shared" si="8"/>
        <v>0</v>
      </c>
    </row>
    <row r="234" spans="1:10" s="10" customFormat="1" outlineLevel="1" x14ac:dyDescent="0.2">
      <c r="D234" s="55" t="str">
        <f>Lang_Error_Check_Flags_If_Input_Econ_Cost_Is_Less_Than_Fin_Cost</f>
        <v>ERROR CHECK (FLAGS IF INPUT ECONOMIC COST IS LESS THAN FINANCIAL COST)</v>
      </c>
      <c r="J234" s="43">
        <f>IF(ISERROR(SUM(J219:J233)),1,MIN(SUM(J219:J233),1))</f>
        <v>0</v>
      </c>
    </row>
    <row r="235" spans="1:10" s="10" customFormat="1" outlineLevel="1" x14ac:dyDescent="0.2"/>
    <row r="236" spans="1:10" s="10" customFormat="1" outlineLevel="1" x14ac:dyDescent="0.2">
      <c r="D236" s="76" t="str">
        <f>Lang_GoTo&amp;" "&amp;HL_LVL2_ACTV_Personnel_Outputs</f>
        <v>Go to Microplanning Activity #3 (Not in Use) Personnel - Outputs</v>
      </c>
    </row>
    <row r="237" spans="1:10" s="10" customFormat="1" x14ac:dyDescent="0.2"/>
    <row r="238" spans="1:10" s="13" customFormat="1" x14ac:dyDescent="0.2">
      <c r="A238" s="12" t="s">
        <v>127</v>
      </c>
      <c r="B238" s="13" t="str">
        <f>C240</f>
        <v>Microplanning Activity #3 (Not in Use) - Detailed Allowance Cost Assumptions</v>
      </c>
    </row>
    <row r="239" spans="1:10" s="10" customFormat="1" outlineLevel="1" x14ac:dyDescent="0.2"/>
    <row r="240" spans="1:10" s="10" customFormat="1" outlineLevel="1" x14ac:dyDescent="0.2">
      <c r="C240" s="71" t="str">
        <f>HL_LVL2_ACTV_Name&amp;" - "&amp;Lang_Detailed_Allowance_Cost_Assumptions</f>
        <v>Microplanning Activity #3 (Not in Use) - Detailed Allowance Cost Assumptions</v>
      </c>
    </row>
    <row r="241" spans="1:10" s="10" customFormat="1" ht="48" outlineLevel="1" x14ac:dyDescent="0.2">
      <c r="D241" s="55" t="str">
        <f>Lang_Allowance_Type</f>
        <v>Allowance Type</v>
      </c>
      <c r="E241" s="85" t="str">
        <f>Lang_Allowance_Unit_Per_Day_Round_Trip_Travel</f>
        <v>Allowance Unit (e.g. Per Day, Round-trip Travel,etc.)</v>
      </c>
      <c r="F241" s="85" t="str">
        <f>Lang_Number_Of_Allowance_Units_Required</f>
        <v>Number of Allowance Units Required</v>
      </c>
      <c r="G241" s="86" t="str">
        <f ca="1">MICRO_Lu!$D$100&amp;" "&amp;Lang_Cost_Per_Activity_Unit&amp;" ("&amp;OFFSET(MICRO_Lu!$D$79,DD_LVL2_ACTV_Currency_Selected,0)&amp;")"</f>
        <v>Financial Cost per Activity Unit (LCU)</v>
      </c>
      <c r="H241" s="86" t="str">
        <f ca="1">MICRO_Lu!$D$101&amp;" "&amp;Lang_Cost_Per_Activity_Unit&amp;" ("&amp;OFFSET(MICRO_Lu!$D$79,DD_LVL2_ACTV_Currency_Selected,0)&amp;")"</f>
        <v>Economic Cost per Activity Unit (LCU)</v>
      </c>
      <c r="I241" s="87" t="str">
        <f>Lang_Evidence_For_Using_This_Cost_Information_Source_Or_Notes</f>
        <v>Evidence for Using this Cost Information (source or notes)</v>
      </c>
    </row>
    <row r="242" spans="1:10" s="10" customFormat="1" outlineLevel="1" x14ac:dyDescent="0.2">
      <c r="D242" s="75" t="s">
        <v>163</v>
      </c>
      <c r="E242" s="88"/>
      <c r="F242" s="80">
        <v>0</v>
      </c>
      <c r="G242" s="80">
        <v>0</v>
      </c>
      <c r="H242" s="80">
        <v>0</v>
      </c>
      <c r="I242" s="75" t="s">
        <v>162</v>
      </c>
      <c r="J242" s="42">
        <f t="shared" ref="J242:J251" si="9">IF(H242&lt;G242,1,0)</f>
        <v>0</v>
      </c>
    </row>
    <row r="243" spans="1:10" s="10" customFormat="1" outlineLevel="1" x14ac:dyDescent="0.2">
      <c r="D243" s="75" t="s">
        <v>164</v>
      </c>
      <c r="E243" s="88"/>
      <c r="F243" s="80">
        <v>0</v>
      </c>
      <c r="G243" s="80">
        <v>0</v>
      </c>
      <c r="H243" s="80">
        <v>0</v>
      </c>
      <c r="I243" s="75" t="s">
        <v>162</v>
      </c>
      <c r="J243" s="42">
        <f t="shared" si="9"/>
        <v>0</v>
      </c>
    </row>
    <row r="244" spans="1:10" s="10" customFormat="1" outlineLevel="1" x14ac:dyDescent="0.2">
      <c r="D244" s="75" t="s">
        <v>165</v>
      </c>
      <c r="E244" s="88"/>
      <c r="F244" s="80">
        <v>0</v>
      </c>
      <c r="G244" s="80">
        <v>0</v>
      </c>
      <c r="H244" s="80">
        <v>0</v>
      </c>
      <c r="I244" s="75" t="s">
        <v>162</v>
      </c>
      <c r="J244" s="42">
        <f t="shared" si="9"/>
        <v>0</v>
      </c>
    </row>
    <row r="245" spans="1:10" s="10" customFormat="1" outlineLevel="1" x14ac:dyDescent="0.2">
      <c r="D245" s="75" t="s">
        <v>166</v>
      </c>
      <c r="E245" s="88"/>
      <c r="F245" s="80">
        <v>0</v>
      </c>
      <c r="G245" s="80">
        <v>0</v>
      </c>
      <c r="H245" s="80">
        <v>0</v>
      </c>
      <c r="I245" s="75" t="s">
        <v>162</v>
      </c>
      <c r="J245" s="42">
        <f t="shared" si="9"/>
        <v>0</v>
      </c>
    </row>
    <row r="246" spans="1:10" s="10" customFormat="1" outlineLevel="1" x14ac:dyDescent="0.2">
      <c r="D246" s="75" t="s">
        <v>167</v>
      </c>
      <c r="E246" s="88"/>
      <c r="F246" s="80">
        <v>0</v>
      </c>
      <c r="G246" s="80">
        <v>0</v>
      </c>
      <c r="H246" s="80">
        <v>0</v>
      </c>
      <c r="I246" s="75" t="s">
        <v>162</v>
      </c>
      <c r="J246" s="42">
        <f t="shared" si="9"/>
        <v>0</v>
      </c>
    </row>
    <row r="247" spans="1:10" s="10" customFormat="1" outlineLevel="1" x14ac:dyDescent="0.2">
      <c r="D247" s="75" t="s">
        <v>168</v>
      </c>
      <c r="E247" s="88"/>
      <c r="F247" s="80">
        <v>0</v>
      </c>
      <c r="G247" s="80">
        <v>0</v>
      </c>
      <c r="H247" s="80">
        <v>0</v>
      </c>
      <c r="I247" s="75" t="s">
        <v>162</v>
      </c>
      <c r="J247" s="42">
        <f t="shared" si="9"/>
        <v>0</v>
      </c>
    </row>
    <row r="248" spans="1:10" s="10" customFormat="1" outlineLevel="1" x14ac:dyDescent="0.2">
      <c r="D248" s="75" t="s">
        <v>169</v>
      </c>
      <c r="E248" s="88"/>
      <c r="F248" s="80">
        <v>0</v>
      </c>
      <c r="G248" s="80">
        <v>0</v>
      </c>
      <c r="H248" s="80">
        <v>0</v>
      </c>
      <c r="I248" s="75" t="s">
        <v>162</v>
      </c>
      <c r="J248" s="42">
        <f t="shared" si="9"/>
        <v>0</v>
      </c>
    </row>
    <row r="249" spans="1:10" s="10" customFormat="1" outlineLevel="1" x14ac:dyDescent="0.2">
      <c r="D249" s="75" t="s">
        <v>170</v>
      </c>
      <c r="E249" s="88"/>
      <c r="F249" s="80">
        <v>0</v>
      </c>
      <c r="G249" s="80">
        <v>0</v>
      </c>
      <c r="H249" s="80">
        <v>0</v>
      </c>
      <c r="I249" s="75" t="s">
        <v>162</v>
      </c>
      <c r="J249" s="42">
        <f t="shared" si="9"/>
        <v>0</v>
      </c>
    </row>
    <row r="250" spans="1:10" s="10" customFormat="1" outlineLevel="1" x14ac:dyDescent="0.2">
      <c r="D250" s="75" t="s">
        <v>171</v>
      </c>
      <c r="E250" s="88"/>
      <c r="F250" s="80">
        <v>0</v>
      </c>
      <c r="G250" s="80">
        <v>0</v>
      </c>
      <c r="H250" s="80">
        <v>0</v>
      </c>
      <c r="I250" s="75" t="s">
        <v>162</v>
      </c>
      <c r="J250" s="42">
        <f t="shared" si="9"/>
        <v>0</v>
      </c>
    </row>
    <row r="251" spans="1:10" s="10" customFormat="1" outlineLevel="1" x14ac:dyDescent="0.2">
      <c r="D251" s="75" t="s">
        <v>172</v>
      </c>
      <c r="E251" s="88"/>
      <c r="F251" s="80">
        <v>0</v>
      </c>
      <c r="G251" s="80">
        <v>0</v>
      </c>
      <c r="H251" s="80">
        <v>0</v>
      </c>
      <c r="I251" s="75" t="s">
        <v>162</v>
      </c>
      <c r="J251" s="42">
        <f t="shared" si="9"/>
        <v>0</v>
      </c>
    </row>
    <row r="252" spans="1:10" s="10" customFormat="1" outlineLevel="1" x14ac:dyDescent="0.2">
      <c r="D252" s="55" t="str">
        <f>Lang_Error_Check_Flags_If_Input_Econ_Cost_Is_Less_Than_Fin_Cost</f>
        <v>ERROR CHECK (FLAGS IF INPUT ECONOMIC COST IS LESS THAN FINANCIAL COST)</v>
      </c>
      <c r="J252" s="43">
        <f>IF(ISERROR(SUM(J242:J251)),1,MIN(SUM(J242:J251),1))</f>
        <v>0</v>
      </c>
    </row>
    <row r="253" spans="1:10" s="10" customFormat="1" outlineLevel="1" x14ac:dyDescent="0.2"/>
    <row r="254" spans="1:10" s="10" customFormat="1" outlineLevel="1" x14ac:dyDescent="0.2">
      <c r="D254" s="76" t="str">
        <f>Lang_GoTo&amp;" "&amp;HL_LVL2_ACTV_Out_A</f>
        <v>Go to Microplanning Activity #3 (Not in Use) Allowances - Outputs</v>
      </c>
    </row>
    <row r="255" spans="1:10" s="10" customFormat="1" x14ac:dyDescent="0.2"/>
    <row r="256" spans="1:10" s="13" customFormat="1" x14ac:dyDescent="0.2">
      <c r="A256" s="12" t="s">
        <v>127</v>
      </c>
      <c r="B256" s="13" t="str">
        <f>C258</f>
        <v>Microplanning Activity #3 (Not in Use) - Detailed Supply and Material Cost Assumptions</v>
      </c>
    </row>
    <row r="257" spans="3:10" s="10" customFormat="1" outlineLevel="1" x14ac:dyDescent="0.2"/>
    <row r="258" spans="3:10" s="10" customFormat="1" outlineLevel="1" x14ac:dyDescent="0.2">
      <c r="C258" s="71" t="str">
        <f>HL_LVL2_ACTV_Name&amp;" - "&amp;Lang_Detailed_Supply_And_Material_Cost_Assumptions</f>
        <v>Microplanning Activity #3 (Not in Use) - Detailed Supply and Material Cost Assumptions</v>
      </c>
    </row>
    <row r="259" spans="3:10" s="10" customFormat="1" ht="48" outlineLevel="1" x14ac:dyDescent="0.2">
      <c r="D259" s="55" t="str">
        <f>Lang_Supply_Type</f>
        <v>Supply Type</v>
      </c>
      <c r="E259" s="85" t="str">
        <f>Lang_Supply_Unit_Each_Dozen_100_Pack</f>
        <v>Supply Unit (e.g. Each, Dozen, 100-pack,etc.)</v>
      </c>
      <c r="F259" s="85" t="str">
        <f>Lang_Number_Of_Supply_Units_Required</f>
        <v>Number of Supply Units Required</v>
      </c>
      <c r="G259" s="86" t="str">
        <f ca="1">MICRO_Lu!$D$100&amp;" "&amp;Lang_Cost_Per_Activity_Unit&amp;" ("&amp;OFFSET(MICRO_Lu!$D$79,DD_LVL2_ACTV_Currency_Selected,0)&amp;")"</f>
        <v>Financial Cost per Activity Unit (LCU)</v>
      </c>
      <c r="H259" s="86" t="str">
        <f ca="1">MICRO_Lu!$D$101&amp;" "&amp;Lang_Cost_Per_Activity_Unit&amp;" ("&amp;OFFSET(MICRO_Lu!$D$79,DD_LVL2_ACTV_Currency_Selected,0)&amp;")"</f>
        <v>Economic Cost per Activity Unit (LCU)</v>
      </c>
      <c r="I259" s="87" t="str">
        <f>Lang_Evidence_For_Using_This_Cost_Information_Source_Or_Notes</f>
        <v>Evidence for Using this Cost Information (source or notes)</v>
      </c>
    </row>
    <row r="260" spans="3:10" s="10" customFormat="1" outlineLevel="1" x14ac:dyDescent="0.2">
      <c r="D260" s="75" t="s">
        <v>173</v>
      </c>
      <c r="E260" s="88"/>
      <c r="F260" s="80">
        <v>0</v>
      </c>
      <c r="G260" s="80">
        <v>0</v>
      </c>
      <c r="H260" s="80">
        <v>0</v>
      </c>
      <c r="I260" s="75" t="s">
        <v>162</v>
      </c>
      <c r="J260" s="42">
        <f t="shared" ref="J260:J269" si="10">IF(H260&lt;G260,1,0)</f>
        <v>0</v>
      </c>
    </row>
    <row r="261" spans="3:10" s="10" customFormat="1" outlineLevel="1" x14ac:dyDescent="0.2">
      <c r="D261" s="75" t="s">
        <v>174</v>
      </c>
      <c r="E261" s="88"/>
      <c r="F261" s="80">
        <v>0</v>
      </c>
      <c r="G261" s="80">
        <v>0</v>
      </c>
      <c r="H261" s="80">
        <v>0</v>
      </c>
      <c r="I261" s="75" t="s">
        <v>162</v>
      </c>
      <c r="J261" s="42">
        <f t="shared" si="10"/>
        <v>0</v>
      </c>
    </row>
    <row r="262" spans="3:10" s="10" customFormat="1" outlineLevel="1" x14ac:dyDescent="0.2">
      <c r="D262" s="75" t="s">
        <v>175</v>
      </c>
      <c r="E262" s="88"/>
      <c r="F262" s="80">
        <v>0</v>
      </c>
      <c r="G262" s="80">
        <v>0</v>
      </c>
      <c r="H262" s="80">
        <v>0</v>
      </c>
      <c r="I262" s="75" t="s">
        <v>162</v>
      </c>
      <c r="J262" s="42">
        <f t="shared" si="10"/>
        <v>0</v>
      </c>
    </row>
    <row r="263" spans="3:10" s="10" customFormat="1" outlineLevel="1" x14ac:dyDescent="0.2">
      <c r="D263" s="75" t="s">
        <v>176</v>
      </c>
      <c r="E263" s="88"/>
      <c r="F263" s="80">
        <v>0</v>
      </c>
      <c r="G263" s="80">
        <v>0</v>
      </c>
      <c r="H263" s="80">
        <v>0</v>
      </c>
      <c r="I263" s="75" t="s">
        <v>162</v>
      </c>
      <c r="J263" s="42">
        <f t="shared" si="10"/>
        <v>0</v>
      </c>
    </row>
    <row r="264" spans="3:10" s="10" customFormat="1" outlineLevel="1" x14ac:dyDescent="0.2">
      <c r="D264" s="75" t="s">
        <v>177</v>
      </c>
      <c r="E264" s="88"/>
      <c r="F264" s="80">
        <v>0</v>
      </c>
      <c r="G264" s="80">
        <v>0</v>
      </c>
      <c r="H264" s="80">
        <v>0</v>
      </c>
      <c r="I264" s="75" t="s">
        <v>162</v>
      </c>
      <c r="J264" s="42">
        <f t="shared" si="10"/>
        <v>0</v>
      </c>
    </row>
    <row r="265" spans="3:10" s="10" customFormat="1" outlineLevel="1" x14ac:dyDescent="0.2">
      <c r="D265" s="75" t="s">
        <v>178</v>
      </c>
      <c r="E265" s="88"/>
      <c r="F265" s="80">
        <v>0</v>
      </c>
      <c r="G265" s="80">
        <v>0</v>
      </c>
      <c r="H265" s="80">
        <v>0</v>
      </c>
      <c r="I265" s="75" t="s">
        <v>162</v>
      </c>
      <c r="J265" s="42">
        <f t="shared" si="10"/>
        <v>0</v>
      </c>
    </row>
    <row r="266" spans="3:10" s="10" customFormat="1" outlineLevel="1" x14ac:dyDescent="0.2">
      <c r="D266" s="75" t="s">
        <v>179</v>
      </c>
      <c r="E266" s="88"/>
      <c r="F266" s="80">
        <v>0</v>
      </c>
      <c r="G266" s="80">
        <v>0</v>
      </c>
      <c r="H266" s="80">
        <v>0</v>
      </c>
      <c r="I266" s="75" t="s">
        <v>162</v>
      </c>
      <c r="J266" s="42">
        <f t="shared" si="10"/>
        <v>0</v>
      </c>
    </row>
    <row r="267" spans="3:10" s="10" customFormat="1" outlineLevel="1" x14ac:dyDescent="0.2">
      <c r="D267" s="75" t="s">
        <v>180</v>
      </c>
      <c r="E267" s="88"/>
      <c r="F267" s="80">
        <v>0</v>
      </c>
      <c r="G267" s="80">
        <v>0</v>
      </c>
      <c r="H267" s="80">
        <v>0</v>
      </c>
      <c r="I267" s="75" t="s">
        <v>162</v>
      </c>
      <c r="J267" s="42">
        <f t="shared" si="10"/>
        <v>0</v>
      </c>
    </row>
    <row r="268" spans="3:10" s="10" customFormat="1" outlineLevel="1" x14ac:dyDescent="0.2">
      <c r="D268" s="75" t="s">
        <v>181</v>
      </c>
      <c r="E268" s="88"/>
      <c r="F268" s="80">
        <v>0</v>
      </c>
      <c r="G268" s="80">
        <v>0</v>
      </c>
      <c r="H268" s="80">
        <v>0</v>
      </c>
      <c r="I268" s="75" t="s">
        <v>162</v>
      </c>
      <c r="J268" s="42">
        <f t="shared" si="10"/>
        <v>0</v>
      </c>
    </row>
    <row r="269" spans="3:10" s="10" customFormat="1" outlineLevel="1" x14ac:dyDescent="0.2">
      <c r="D269" s="75" t="s">
        <v>182</v>
      </c>
      <c r="E269" s="88"/>
      <c r="F269" s="80">
        <v>0</v>
      </c>
      <c r="G269" s="80">
        <v>0</v>
      </c>
      <c r="H269" s="80">
        <v>0</v>
      </c>
      <c r="I269" s="75" t="s">
        <v>162</v>
      </c>
      <c r="J269" s="42">
        <f t="shared" si="10"/>
        <v>0</v>
      </c>
    </row>
    <row r="270" spans="3:10" s="10" customFormat="1" outlineLevel="1" x14ac:dyDescent="0.2">
      <c r="D270" s="55" t="str">
        <f>Lang_Error_Check_Flags_If_Input_Econ_Cost_Is_Less_Than_Fin_Cost</f>
        <v>ERROR CHECK (FLAGS IF INPUT ECONOMIC COST IS LESS THAN FINANCIAL COST)</v>
      </c>
      <c r="J270" s="43">
        <f>IF(ISERROR(SUM(J260:J269)),1,MIN(SUM(J260:J269),1))</f>
        <v>0</v>
      </c>
    </row>
    <row r="271" spans="3:10" s="10" customFormat="1" outlineLevel="1" x14ac:dyDescent="0.2"/>
    <row r="272" spans="3:10" s="10" customFormat="1" outlineLevel="1" x14ac:dyDescent="0.2">
      <c r="D272" s="76" t="str">
        <f>Lang_GoTo&amp;" "&amp;HL_LVL2_ACTV_Supplies_and_Materials_Outputs</f>
        <v>Go to Microplanning Activity #3 (Not in Use) Supplies and Materials - Outputs</v>
      </c>
    </row>
    <row r="273" spans="1:10" s="10" customFormat="1" x14ac:dyDescent="0.2"/>
    <row r="274" spans="1:10" s="13" customFormat="1" x14ac:dyDescent="0.2">
      <c r="A274" s="12" t="s">
        <v>127</v>
      </c>
      <c r="B274" s="13" t="str">
        <f>C276</f>
        <v>Microplanning Activity #3 (Not in Use) - Detailed Other Direct Cost Assumptions</v>
      </c>
    </row>
    <row r="275" spans="1:10" s="10" customFormat="1" outlineLevel="1" x14ac:dyDescent="0.2"/>
    <row r="276" spans="1:10" s="10" customFormat="1" outlineLevel="1" x14ac:dyDescent="0.2">
      <c r="C276" s="71" t="str">
        <f>HL_LVL2_ACTV_Name&amp;" - "&amp;Lang_Detailed_Other_Direct_Cost_Assumptions</f>
        <v>Microplanning Activity #3 (Not in Use) - Detailed Other Direct Cost Assumptions</v>
      </c>
    </row>
    <row r="277" spans="1:10" s="10" customFormat="1" ht="48" outlineLevel="1" x14ac:dyDescent="0.2">
      <c r="D277" s="55" t="str">
        <f>Lang_Other_Direct_Cost_ODC_Type</f>
        <v>Other Direct Cost (ODC) Type</v>
      </c>
      <c r="E277" s="85" t="str">
        <f>Lang_ODC_Unit_Each_Dozen_100_Pack</f>
        <v>ODC Unit (e.g. Each, Dozen, 100-pack,etc.)</v>
      </c>
      <c r="F277" s="85" t="str">
        <f>Lang_Number_Of_ODC_Units_Required</f>
        <v>Number of ODC Units Required</v>
      </c>
      <c r="G277" s="86" t="str">
        <f ca="1">MICRO_Lu!$D$100&amp;" "&amp;Lang_Cost_Per_Activity_Unit&amp;" ("&amp;OFFSET(MICRO_Lu!$D$79,DD_LVL2_ACTV_Currency_Selected,0)&amp;")"</f>
        <v>Financial Cost per Activity Unit (LCU)</v>
      </c>
      <c r="H277" s="86" t="str">
        <f ca="1">MICRO_Lu!$D$101&amp;" "&amp;Lang_Cost_Per_Activity_Unit&amp;" ("&amp;OFFSET(MICRO_Lu!$D$79,DD_LVL2_ACTV_Currency_Selected,0)&amp;")"</f>
        <v>Economic Cost per Activity Unit (LCU)</v>
      </c>
      <c r="I277" s="87" t="str">
        <f>Lang_Evidence_For_Using_This_Cost_Information_Source_Or_Notes</f>
        <v>Evidence for Using this Cost Information (source or notes)</v>
      </c>
    </row>
    <row r="278" spans="1:10" s="10" customFormat="1" outlineLevel="1" x14ac:dyDescent="0.2">
      <c r="D278" s="75" t="s">
        <v>183</v>
      </c>
      <c r="E278" s="88"/>
      <c r="F278" s="80">
        <v>0</v>
      </c>
      <c r="G278" s="80">
        <v>0</v>
      </c>
      <c r="H278" s="80">
        <v>0</v>
      </c>
      <c r="I278" s="75" t="s">
        <v>162</v>
      </c>
      <c r="J278" s="42">
        <f t="shared" ref="J278:J287" si="11">IF(H278&lt;G278,1,0)</f>
        <v>0</v>
      </c>
    </row>
    <row r="279" spans="1:10" s="10" customFormat="1" outlineLevel="1" x14ac:dyDescent="0.2">
      <c r="D279" s="75" t="s">
        <v>184</v>
      </c>
      <c r="E279" s="88"/>
      <c r="F279" s="80">
        <v>0</v>
      </c>
      <c r="G279" s="80">
        <v>0</v>
      </c>
      <c r="H279" s="80">
        <v>0</v>
      </c>
      <c r="I279" s="75" t="s">
        <v>162</v>
      </c>
      <c r="J279" s="42">
        <f t="shared" si="11"/>
        <v>0</v>
      </c>
    </row>
    <row r="280" spans="1:10" s="10" customFormat="1" outlineLevel="1" x14ac:dyDescent="0.2">
      <c r="D280" s="75" t="s">
        <v>185</v>
      </c>
      <c r="E280" s="88"/>
      <c r="F280" s="80">
        <v>0</v>
      </c>
      <c r="G280" s="80">
        <v>0</v>
      </c>
      <c r="H280" s="80">
        <v>0</v>
      </c>
      <c r="I280" s="75" t="s">
        <v>162</v>
      </c>
      <c r="J280" s="42">
        <f t="shared" si="11"/>
        <v>0</v>
      </c>
    </row>
    <row r="281" spans="1:10" s="10" customFormat="1" outlineLevel="1" x14ac:dyDescent="0.2">
      <c r="D281" s="75" t="s">
        <v>186</v>
      </c>
      <c r="E281" s="88"/>
      <c r="F281" s="80">
        <v>0</v>
      </c>
      <c r="G281" s="80">
        <v>0</v>
      </c>
      <c r="H281" s="80">
        <v>0</v>
      </c>
      <c r="I281" s="75" t="s">
        <v>162</v>
      </c>
      <c r="J281" s="42">
        <f t="shared" si="11"/>
        <v>0</v>
      </c>
    </row>
    <row r="282" spans="1:10" s="10" customFormat="1" outlineLevel="1" x14ac:dyDescent="0.2">
      <c r="D282" s="75" t="s">
        <v>187</v>
      </c>
      <c r="E282" s="88"/>
      <c r="F282" s="80">
        <v>0</v>
      </c>
      <c r="G282" s="80">
        <v>0</v>
      </c>
      <c r="H282" s="80">
        <v>0</v>
      </c>
      <c r="I282" s="75" t="s">
        <v>162</v>
      </c>
      <c r="J282" s="42">
        <f t="shared" si="11"/>
        <v>0</v>
      </c>
    </row>
    <row r="283" spans="1:10" s="10" customFormat="1" outlineLevel="1" x14ac:dyDescent="0.2">
      <c r="D283" s="75" t="s">
        <v>188</v>
      </c>
      <c r="E283" s="88"/>
      <c r="F283" s="80">
        <v>0</v>
      </c>
      <c r="G283" s="80">
        <v>0</v>
      </c>
      <c r="H283" s="80">
        <v>0</v>
      </c>
      <c r="I283" s="75" t="s">
        <v>162</v>
      </c>
      <c r="J283" s="42">
        <f t="shared" si="11"/>
        <v>0</v>
      </c>
    </row>
    <row r="284" spans="1:10" s="10" customFormat="1" outlineLevel="1" x14ac:dyDescent="0.2">
      <c r="D284" s="75" t="s">
        <v>189</v>
      </c>
      <c r="E284" s="88"/>
      <c r="F284" s="80">
        <v>0</v>
      </c>
      <c r="G284" s="80">
        <v>0</v>
      </c>
      <c r="H284" s="80">
        <v>0</v>
      </c>
      <c r="I284" s="75" t="s">
        <v>162</v>
      </c>
      <c r="J284" s="42">
        <f t="shared" si="11"/>
        <v>0</v>
      </c>
    </row>
    <row r="285" spans="1:10" s="10" customFormat="1" outlineLevel="1" x14ac:dyDescent="0.2">
      <c r="D285" s="75" t="s">
        <v>190</v>
      </c>
      <c r="E285" s="88"/>
      <c r="F285" s="80">
        <v>0</v>
      </c>
      <c r="G285" s="80">
        <v>0</v>
      </c>
      <c r="H285" s="80">
        <v>0</v>
      </c>
      <c r="I285" s="75" t="s">
        <v>162</v>
      </c>
      <c r="J285" s="42">
        <f t="shared" si="11"/>
        <v>0</v>
      </c>
    </row>
    <row r="286" spans="1:10" s="10" customFormat="1" outlineLevel="1" x14ac:dyDescent="0.2">
      <c r="D286" s="75" t="s">
        <v>191</v>
      </c>
      <c r="E286" s="88"/>
      <c r="F286" s="80">
        <v>0</v>
      </c>
      <c r="G286" s="80">
        <v>0</v>
      </c>
      <c r="H286" s="80">
        <v>0</v>
      </c>
      <c r="I286" s="75" t="s">
        <v>162</v>
      </c>
      <c r="J286" s="42">
        <f t="shared" si="11"/>
        <v>0</v>
      </c>
    </row>
    <row r="287" spans="1:10" s="10" customFormat="1" outlineLevel="1" x14ac:dyDescent="0.2">
      <c r="D287" s="75" t="s">
        <v>192</v>
      </c>
      <c r="E287" s="88"/>
      <c r="F287" s="80">
        <v>0</v>
      </c>
      <c r="G287" s="80">
        <v>0</v>
      </c>
      <c r="H287" s="80">
        <v>0</v>
      </c>
      <c r="I287" s="75" t="s">
        <v>162</v>
      </c>
      <c r="J287" s="42">
        <f t="shared" si="11"/>
        <v>0</v>
      </c>
    </row>
    <row r="288" spans="1:10" s="10" customFormat="1" outlineLevel="1" x14ac:dyDescent="0.2">
      <c r="D288" s="55" t="str">
        <f>Lang_Error_Check_Flags_If_Input_Econ_Cost_Is_Less_Than_Fin_Cost</f>
        <v>ERROR CHECK (FLAGS IF INPUT ECONOMIC COST IS LESS THAN FINANCIAL COST)</v>
      </c>
      <c r="J288" s="43">
        <f>IF(ISERROR(SUM(J278:J287)),1,MIN(SUM(J278:J287),1))</f>
        <v>0</v>
      </c>
    </row>
    <row r="289" spans="1:4" s="10" customFormat="1" outlineLevel="1" x14ac:dyDescent="0.2"/>
    <row r="290" spans="1:4" s="10" customFormat="1" outlineLevel="1" x14ac:dyDescent="0.2">
      <c r="D290" s="76" t="str">
        <f>Lang_GoTo&amp;" "&amp;HL_LVL2_ACTV_Other_Direct_Costs_Outputs</f>
        <v>Go to Microplanning Activity #3 (Not in Use) Other Direct Costs - Outputs</v>
      </c>
    </row>
    <row r="291" spans="1:4" s="10" customFormat="1" x14ac:dyDescent="0.2"/>
    <row r="292" spans="1:4" s="13" customFormat="1" x14ac:dyDescent="0.2">
      <c r="A292" s="12" t="s">
        <v>125</v>
      </c>
      <c r="B292" s="13" t="str">
        <f>C294</f>
        <v>Microplanning Activity #4 (Not in Use) -  Detailed Activity Costing Worksheet - Instructions</v>
      </c>
    </row>
    <row r="293" spans="1:4" s="10" customFormat="1" outlineLevel="1" x14ac:dyDescent="0.2"/>
    <row r="294" spans="1:4" s="10" customFormat="1" outlineLevel="1" x14ac:dyDescent="0.2">
      <c r="C294" s="71" t="str">
        <f>HL_LVL2_ACTV_20_Name&amp;" -  "&amp;Lang_Detailed_Activity_Costing_Worksheet_Instructions</f>
        <v>Microplanning Activity #4 (Not in Use) -  Detailed Activity Costing Worksheet - Instructions</v>
      </c>
    </row>
    <row r="295" spans="1:4" s="10" customFormat="1" outlineLevel="1" x14ac:dyDescent="0.2"/>
    <row r="296" spans="1:4" s="10" customFormat="1" outlineLevel="1" x14ac:dyDescent="0.2">
      <c r="D296" s="50" t="str">
        <f>Lang_Detailed_Costing_Worksheets_Notes_1</f>
        <v>This detailed costing worksheet can be used to document the types and amounts of resources required to complete a single instance of an activity.</v>
      </c>
    </row>
    <row r="297" spans="1:4" s="10" customFormat="1" outlineLevel="1" x14ac:dyDescent="0.2">
      <c r="D297" s="50" t="str">
        <f>Lang_Detailed_Costing_Worksheets_Notes_2</f>
        <v>When completed, it will automatically provide a single activity cost in the general assumption worksheet.</v>
      </c>
    </row>
    <row r="298" spans="1:4" s="10" customFormat="1" outlineLevel="1" x14ac:dyDescent="0.2">
      <c r="D298" s="50" t="str">
        <f>Lang_Detailed_Costing_Worksheets_Notes_3</f>
        <v>The user may then choose to use the results of the detailed costing in the model, or override the detailed costing and insert alternate cost estimates.</v>
      </c>
    </row>
    <row r="299" spans="1:4" s="10" customFormat="1" outlineLevel="1" x14ac:dyDescent="0.2"/>
    <row r="300" spans="1:4" s="10" customFormat="1" x14ac:dyDescent="0.2"/>
    <row r="301" spans="1:4" s="13" customFormat="1" x14ac:dyDescent="0.2">
      <c r="A301" s="12" t="s">
        <v>125</v>
      </c>
      <c r="B301" s="13" t="str">
        <f>C303</f>
        <v>Microplanning Activity #4 (Not in Use) - Detailed Activity Costing Worksheet - Currency Selection</v>
      </c>
    </row>
    <row r="302" spans="1:4" s="10" customFormat="1" outlineLevel="1" x14ac:dyDescent="0.2"/>
    <row r="303" spans="1:4" s="10" customFormat="1" outlineLevel="1" x14ac:dyDescent="0.2">
      <c r="C303" s="71" t="str">
        <f>HL_LVL2_ACTV_20_Name&amp;" - "&amp;Lang_Detailed_Activity_Costing_Worksheet_Currency_Selection</f>
        <v>Microplanning Activity #4 (Not in Use) - Detailed Activity Costing Worksheet - Currency Selection</v>
      </c>
    </row>
    <row r="304" spans="1:4" s="10" customFormat="1" outlineLevel="1" x14ac:dyDescent="0.2"/>
    <row r="305" spans="1:10" s="10" customFormat="1" outlineLevel="1" x14ac:dyDescent="0.2">
      <c r="D305" s="55" t="str">
        <f>Lang_Currency_Used_For_Cost_Inputs</f>
        <v>Currency Used for Cost Inputs</v>
      </c>
      <c r="E305" s="72">
        <v>1</v>
      </c>
    </row>
    <row r="306" spans="1:10" s="10" customFormat="1" outlineLevel="1" x14ac:dyDescent="0.2"/>
    <row r="307" spans="1:10" s="10" customFormat="1" outlineLevel="1" x14ac:dyDescent="0.2"/>
    <row r="308" spans="1:10" s="10" customFormat="1" outlineLevel="1" x14ac:dyDescent="0.2">
      <c r="D308" s="54" t="str">
        <f>Lang_Imported_From_Econ_Module</f>
        <v>Imported from Econ Module</v>
      </c>
    </row>
    <row r="309" spans="1:10" s="10" customFormat="1" outlineLevel="1" x14ac:dyDescent="0.2">
      <c r="D309" s="49" t="str">
        <f>ECONOMICS!F7</f>
        <v>USD</v>
      </c>
    </row>
    <row r="310" spans="1:10" s="10" customFormat="1" outlineLevel="1" x14ac:dyDescent="0.2">
      <c r="D310" s="49" t="str">
        <f>ECONOMICS!F8</f>
        <v>LCU</v>
      </c>
    </row>
    <row r="311" spans="1:10" s="10" customFormat="1" outlineLevel="1" x14ac:dyDescent="0.2"/>
    <row r="312" spans="1:10" s="10" customFormat="1" outlineLevel="1" x14ac:dyDescent="0.2">
      <c r="D312" s="50" t="str">
        <f>Lang_Exchange_Rate_From_Econ</f>
        <v>Exchange Rate (from Economics)</v>
      </c>
      <c r="E312" s="41">
        <f>ECONOMICS!E13</f>
        <v>1234.5</v>
      </c>
      <c r="F312"/>
    </row>
    <row r="314" spans="1:10" s="13" customFormat="1" x14ac:dyDescent="0.2">
      <c r="A314" s="6" t="s">
        <v>127</v>
      </c>
      <c r="B314" s="13" t="str">
        <f>C316</f>
        <v>Microplanning Activity #4 (Not in Use) - Detailed Personnel Cost Assumptions</v>
      </c>
    </row>
    <row r="315" spans="1:10" outlineLevel="1" x14ac:dyDescent="0.2"/>
    <row r="316" spans="1:10" outlineLevel="1" x14ac:dyDescent="0.2">
      <c r="C316" s="18" t="str">
        <f>HL_LVL2_ACTV_20_Name&amp;" - "&amp;Lang_Detailed_Personnel_Cost_Assumptions</f>
        <v>Microplanning Activity #4 (Not in Use) - Detailed Personnel Cost Assumptions</v>
      </c>
    </row>
    <row r="317" spans="1:10" ht="48" outlineLevel="1" x14ac:dyDescent="0.2">
      <c r="D317" s="55" t="str">
        <f>Lang_Personnel_Cadre_Type</f>
        <v>Personnel Cadre Type</v>
      </c>
      <c r="E317" s="85" t="str">
        <f>Lang_Activity_Unit_Day_Hour_Minute</f>
        <v>Activity Unit (e.g. Day, Hour, Minute)</v>
      </c>
      <c r="F317" s="85" t="str">
        <f>Lang_Number_Of_Activity_Units_Required</f>
        <v>Number of Activity Units Required</v>
      </c>
      <c r="G317" s="63" t="str">
        <f ca="1">MICRO_Lu!$D$135&amp;" "&amp;Lang_Cost_Per_Activity_Unit&amp;" ("&amp;OFFSET(MICRO_Lu!$D$114,DD_LVL2_ACTV_20_Currency_Selected,0)&amp;")"</f>
        <v>Financial Cost per Activity Unit (USD)</v>
      </c>
      <c r="H317" s="63" t="str">
        <f ca="1">MICRO_Lu!$D$136&amp;" "&amp;Lang_Cost_Per_Activity_Unit&amp;" ("&amp;OFFSET(MICRO_Lu!$D$114,DD_LVL2_ACTV_20_Currency_Selected,0)&amp;")"</f>
        <v>Economic Cost per Activity Unit (USD)</v>
      </c>
      <c r="I317" s="87" t="str">
        <f>Lang_Evidence_For_Using_This_Cost_Information_Source_Or_Notes</f>
        <v>Evidence for Using this Cost Information (source or notes)</v>
      </c>
    </row>
    <row r="318" spans="1:10" outlineLevel="1" x14ac:dyDescent="0.2">
      <c r="D318" s="62" t="s">
        <v>152</v>
      </c>
      <c r="E318" s="64"/>
      <c r="F318" s="19">
        <v>0</v>
      </c>
      <c r="G318" s="19">
        <v>0</v>
      </c>
      <c r="H318" s="19">
        <v>0</v>
      </c>
      <c r="I318" s="62" t="s">
        <v>162</v>
      </c>
      <c r="J318" s="42">
        <f t="shared" ref="J318:J332" si="12">IF(H318&lt;G318,1,0)</f>
        <v>0</v>
      </c>
    </row>
    <row r="319" spans="1:10" outlineLevel="1" x14ac:dyDescent="0.2">
      <c r="D319" s="62" t="s">
        <v>153</v>
      </c>
      <c r="E319" s="64"/>
      <c r="F319" s="19">
        <v>0</v>
      </c>
      <c r="G319" s="19">
        <v>0</v>
      </c>
      <c r="H319" s="19">
        <v>0</v>
      </c>
      <c r="I319" s="62" t="s">
        <v>162</v>
      </c>
      <c r="J319" s="42">
        <f t="shared" si="12"/>
        <v>0</v>
      </c>
    </row>
    <row r="320" spans="1:10" outlineLevel="1" x14ac:dyDescent="0.2">
      <c r="D320" s="62" t="s">
        <v>154</v>
      </c>
      <c r="E320" s="64"/>
      <c r="F320" s="19">
        <v>0</v>
      </c>
      <c r="G320" s="19">
        <v>0</v>
      </c>
      <c r="H320" s="19">
        <v>0</v>
      </c>
      <c r="I320" s="62" t="s">
        <v>162</v>
      </c>
      <c r="J320" s="42">
        <f t="shared" si="12"/>
        <v>0</v>
      </c>
    </row>
    <row r="321" spans="4:10" outlineLevel="1" x14ac:dyDescent="0.2">
      <c r="D321" s="62" t="s">
        <v>155</v>
      </c>
      <c r="E321" s="64"/>
      <c r="F321" s="19">
        <v>0</v>
      </c>
      <c r="G321" s="19">
        <v>0</v>
      </c>
      <c r="H321" s="19">
        <v>0</v>
      </c>
      <c r="I321" s="62" t="s">
        <v>162</v>
      </c>
      <c r="J321" s="42">
        <f t="shared" si="12"/>
        <v>0</v>
      </c>
    </row>
    <row r="322" spans="4:10" outlineLevel="1" x14ac:dyDescent="0.2">
      <c r="D322" s="62" t="s">
        <v>156</v>
      </c>
      <c r="E322" s="64"/>
      <c r="F322" s="19">
        <v>0</v>
      </c>
      <c r="G322" s="19">
        <v>0</v>
      </c>
      <c r="H322" s="19">
        <v>0</v>
      </c>
      <c r="I322" s="62" t="s">
        <v>162</v>
      </c>
      <c r="J322" s="42">
        <f t="shared" si="12"/>
        <v>0</v>
      </c>
    </row>
    <row r="323" spans="4:10" outlineLevel="1" x14ac:dyDescent="0.2">
      <c r="D323" s="62" t="s">
        <v>157</v>
      </c>
      <c r="E323" s="64"/>
      <c r="F323" s="19">
        <v>0</v>
      </c>
      <c r="G323" s="19">
        <v>0</v>
      </c>
      <c r="H323" s="19">
        <v>0</v>
      </c>
      <c r="I323" s="62" t="s">
        <v>162</v>
      </c>
      <c r="J323" s="42">
        <f t="shared" si="12"/>
        <v>0</v>
      </c>
    </row>
    <row r="324" spans="4:10" outlineLevel="1" x14ac:dyDescent="0.2">
      <c r="D324" s="62" t="s">
        <v>158</v>
      </c>
      <c r="E324" s="64"/>
      <c r="F324" s="19">
        <v>0</v>
      </c>
      <c r="G324" s="19">
        <v>0</v>
      </c>
      <c r="H324" s="19">
        <v>0</v>
      </c>
      <c r="I324" s="62" t="s">
        <v>162</v>
      </c>
      <c r="J324" s="42">
        <f t="shared" si="12"/>
        <v>0</v>
      </c>
    </row>
    <row r="325" spans="4:10" outlineLevel="1" x14ac:dyDescent="0.2">
      <c r="D325" s="62" t="s">
        <v>159</v>
      </c>
      <c r="E325" s="64"/>
      <c r="F325" s="19">
        <v>0</v>
      </c>
      <c r="G325" s="19">
        <v>0</v>
      </c>
      <c r="H325" s="19">
        <v>0</v>
      </c>
      <c r="I325" s="62" t="s">
        <v>162</v>
      </c>
      <c r="J325" s="42">
        <f t="shared" si="12"/>
        <v>0</v>
      </c>
    </row>
    <row r="326" spans="4:10" outlineLevel="1" x14ac:dyDescent="0.2">
      <c r="D326" s="62" t="s">
        <v>160</v>
      </c>
      <c r="E326" s="64"/>
      <c r="F326" s="19">
        <v>0</v>
      </c>
      <c r="G326" s="19">
        <v>0</v>
      </c>
      <c r="H326" s="19">
        <v>0</v>
      </c>
      <c r="I326" s="62" t="s">
        <v>162</v>
      </c>
      <c r="J326" s="42">
        <f t="shared" si="12"/>
        <v>0</v>
      </c>
    </row>
    <row r="327" spans="4:10" outlineLevel="1" x14ac:dyDescent="0.2">
      <c r="D327" s="62" t="s">
        <v>161</v>
      </c>
      <c r="E327" s="64"/>
      <c r="F327" s="19">
        <v>0</v>
      </c>
      <c r="G327" s="19">
        <v>0</v>
      </c>
      <c r="H327" s="19">
        <v>0</v>
      </c>
      <c r="I327" s="62" t="s">
        <v>162</v>
      </c>
      <c r="J327" s="42">
        <f t="shared" si="12"/>
        <v>0</v>
      </c>
    </row>
    <row r="328" spans="4:10" outlineLevel="1" x14ac:dyDescent="0.2">
      <c r="D328" s="62" t="s">
        <v>393</v>
      </c>
      <c r="E328" s="64"/>
      <c r="F328" s="19">
        <v>0</v>
      </c>
      <c r="G328" s="19">
        <v>0</v>
      </c>
      <c r="H328" s="19">
        <v>0</v>
      </c>
      <c r="I328" s="62" t="s">
        <v>162</v>
      </c>
      <c r="J328" s="42">
        <f t="shared" si="12"/>
        <v>0</v>
      </c>
    </row>
    <row r="329" spans="4:10" outlineLevel="1" x14ac:dyDescent="0.2">
      <c r="D329" s="62" t="s">
        <v>394</v>
      </c>
      <c r="E329" s="64"/>
      <c r="F329" s="19">
        <v>0</v>
      </c>
      <c r="G329" s="19">
        <v>0</v>
      </c>
      <c r="H329" s="19">
        <v>0</v>
      </c>
      <c r="I329" s="62" t="s">
        <v>162</v>
      </c>
      <c r="J329" s="42">
        <f t="shared" si="12"/>
        <v>0</v>
      </c>
    </row>
    <row r="330" spans="4:10" outlineLevel="1" x14ac:dyDescent="0.2">
      <c r="D330" s="62" t="s">
        <v>395</v>
      </c>
      <c r="E330" s="64"/>
      <c r="F330" s="19">
        <v>0</v>
      </c>
      <c r="G330" s="19">
        <v>0</v>
      </c>
      <c r="H330" s="19">
        <v>0</v>
      </c>
      <c r="I330" s="62" t="s">
        <v>162</v>
      </c>
      <c r="J330" s="42">
        <f t="shared" si="12"/>
        <v>0</v>
      </c>
    </row>
    <row r="331" spans="4:10" outlineLevel="1" x14ac:dyDescent="0.2">
      <c r="D331" s="62" t="s">
        <v>396</v>
      </c>
      <c r="E331" s="64"/>
      <c r="F331" s="19">
        <v>0</v>
      </c>
      <c r="G331" s="19">
        <v>0</v>
      </c>
      <c r="H331" s="19">
        <v>0</v>
      </c>
      <c r="I331" s="62" t="s">
        <v>162</v>
      </c>
      <c r="J331" s="42">
        <f t="shared" si="12"/>
        <v>0</v>
      </c>
    </row>
    <row r="332" spans="4:10" outlineLevel="1" x14ac:dyDescent="0.2">
      <c r="D332" s="62" t="s">
        <v>397</v>
      </c>
      <c r="E332" s="64"/>
      <c r="F332" s="19">
        <v>0</v>
      </c>
      <c r="G332" s="19">
        <v>0</v>
      </c>
      <c r="H332" s="19">
        <v>0</v>
      </c>
      <c r="I332" s="62" t="s">
        <v>162</v>
      </c>
      <c r="J332" s="42">
        <f t="shared" si="12"/>
        <v>0</v>
      </c>
    </row>
    <row r="333" spans="4:10" outlineLevel="1" x14ac:dyDescent="0.2">
      <c r="D333" s="55" t="str">
        <f>Lang_Error_Check_Flags_If_Input_Econ_Cost_Is_Less_Than_Fin_Cost</f>
        <v>ERROR CHECK (FLAGS IF INPUT ECONOMIC COST IS LESS THAN FINANCIAL COST)</v>
      </c>
      <c r="J333" s="43">
        <f>IF(ISERROR(SUM(J318:J332)),1,MIN(SUM(J318:J332),1))</f>
        <v>0</v>
      </c>
    </row>
    <row r="334" spans="4:10" outlineLevel="1" x14ac:dyDescent="0.2"/>
    <row r="335" spans="4:10" outlineLevel="1" x14ac:dyDescent="0.2">
      <c r="D335" s="47" t="str">
        <f>Lang_GoTo&amp;" "&amp;HL_LVL2_ACTV_20_Personnel_Outputs</f>
        <v>Go to Microplanning Activity #4 (Not in Use) Personnel - Outputs</v>
      </c>
    </row>
    <row r="337" spans="1:10" s="13" customFormat="1" x14ac:dyDescent="0.2">
      <c r="A337" s="6" t="s">
        <v>127</v>
      </c>
      <c r="B337" s="13" t="str">
        <f>C339</f>
        <v>Microplanning Activity #4 (Not in Use) - Detailed Allowance Cost Assumptions</v>
      </c>
    </row>
    <row r="338" spans="1:10" outlineLevel="1" x14ac:dyDescent="0.2"/>
    <row r="339" spans="1:10" outlineLevel="1" x14ac:dyDescent="0.2">
      <c r="C339" s="18" t="str">
        <f>HL_LVL2_ACTV_20_Name&amp;" - "&amp;Lang_Detailed_Allowance_Cost_Assumptions</f>
        <v>Microplanning Activity #4 (Not in Use) - Detailed Allowance Cost Assumptions</v>
      </c>
    </row>
    <row r="340" spans="1:10" ht="48" outlineLevel="1" x14ac:dyDescent="0.2">
      <c r="D340" s="55" t="str">
        <f>Lang_Allowance_Type</f>
        <v>Allowance Type</v>
      </c>
      <c r="E340" s="85" t="str">
        <f>Lang_Allowance_Unit_Per_Day_Round_Trip_Travel</f>
        <v>Allowance Unit (e.g. Per Day, Round-trip Travel,etc.)</v>
      </c>
      <c r="F340" s="85" t="str">
        <f>Lang_Number_Of_Allowance_Units_Required</f>
        <v>Number of Allowance Units Required</v>
      </c>
      <c r="G340" s="63" t="str">
        <f ca="1">MICRO_Lu!$D$135&amp;" "&amp;Lang_Cost_Per_Activity_Unit&amp;" ("&amp;OFFSET(MICRO_Lu!$D$114,DD_LVL2_ACTV_20_Currency_Selected,0)&amp;")"</f>
        <v>Financial Cost per Activity Unit (USD)</v>
      </c>
      <c r="H340" s="63" t="str">
        <f ca="1">MICRO_Lu!$D$136&amp;" "&amp;Lang_Cost_Per_Activity_Unit&amp;" ("&amp;OFFSET(MICRO_Lu!$D$114,DD_LVL2_ACTV_20_Currency_Selected,0)&amp;")"</f>
        <v>Economic Cost per Activity Unit (USD)</v>
      </c>
      <c r="I340" s="87" t="str">
        <f>Lang_Evidence_For_Using_This_Cost_Information_Source_Or_Notes</f>
        <v>Evidence for Using this Cost Information (source or notes)</v>
      </c>
    </row>
    <row r="341" spans="1:10" outlineLevel="1" x14ac:dyDescent="0.2">
      <c r="D341" s="62" t="s">
        <v>163</v>
      </c>
      <c r="E341" s="64"/>
      <c r="F341" s="19">
        <v>0</v>
      </c>
      <c r="G341" s="19">
        <v>0</v>
      </c>
      <c r="H341" s="19">
        <v>0</v>
      </c>
      <c r="I341" s="62" t="s">
        <v>162</v>
      </c>
      <c r="J341" s="42">
        <f t="shared" ref="J341:J350" si="13">IF(H341&lt;G341,1,0)</f>
        <v>0</v>
      </c>
    </row>
    <row r="342" spans="1:10" outlineLevel="1" x14ac:dyDescent="0.2">
      <c r="D342" s="62" t="s">
        <v>164</v>
      </c>
      <c r="E342" s="64"/>
      <c r="F342" s="19">
        <v>0</v>
      </c>
      <c r="G342" s="19">
        <v>0</v>
      </c>
      <c r="H342" s="19">
        <v>0</v>
      </c>
      <c r="I342" s="62" t="s">
        <v>162</v>
      </c>
      <c r="J342" s="42">
        <f t="shared" si="13"/>
        <v>0</v>
      </c>
    </row>
    <row r="343" spans="1:10" outlineLevel="1" x14ac:dyDescent="0.2">
      <c r="D343" s="62" t="s">
        <v>165</v>
      </c>
      <c r="E343" s="64"/>
      <c r="F343" s="19">
        <v>0</v>
      </c>
      <c r="G343" s="19">
        <v>0</v>
      </c>
      <c r="H343" s="19">
        <v>0</v>
      </c>
      <c r="I343" s="62" t="s">
        <v>162</v>
      </c>
      <c r="J343" s="42">
        <f t="shared" si="13"/>
        <v>0</v>
      </c>
    </row>
    <row r="344" spans="1:10" outlineLevel="1" x14ac:dyDescent="0.2">
      <c r="D344" s="62" t="s">
        <v>166</v>
      </c>
      <c r="E344" s="64"/>
      <c r="F344" s="19">
        <v>0</v>
      </c>
      <c r="G344" s="19">
        <v>0</v>
      </c>
      <c r="H344" s="19">
        <v>0</v>
      </c>
      <c r="I344" s="62" t="s">
        <v>162</v>
      </c>
      <c r="J344" s="42">
        <f t="shared" si="13"/>
        <v>0</v>
      </c>
    </row>
    <row r="345" spans="1:10" outlineLevel="1" x14ac:dyDescent="0.2">
      <c r="D345" s="62" t="s">
        <v>167</v>
      </c>
      <c r="E345" s="64"/>
      <c r="F345" s="19">
        <v>0</v>
      </c>
      <c r="G345" s="19">
        <v>0</v>
      </c>
      <c r="H345" s="19">
        <v>0</v>
      </c>
      <c r="I345" s="62" t="s">
        <v>162</v>
      </c>
      <c r="J345" s="42">
        <f t="shared" si="13"/>
        <v>0</v>
      </c>
    </row>
    <row r="346" spans="1:10" outlineLevel="1" x14ac:dyDescent="0.2">
      <c r="D346" s="62" t="s">
        <v>168</v>
      </c>
      <c r="E346" s="64"/>
      <c r="F346" s="19">
        <v>0</v>
      </c>
      <c r="G346" s="19">
        <v>0</v>
      </c>
      <c r="H346" s="19">
        <v>0</v>
      </c>
      <c r="I346" s="62" t="s">
        <v>162</v>
      </c>
      <c r="J346" s="42">
        <f t="shared" si="13"/>
        <v>0</v>
      </c>
    </row>
    <row r="347" spans="1:10" outlineLevel="1" x14ac:dyDescent="0.2">
      <c r="D347" s="62" t="s">
        <v>169</v>
      </c>
      <c r="E347" s="64"/>
      <c r="F347" s="19">
        <v>0</v>
      </c>
      <c r="G347" s="19">
        <v>0</v>
      </c>
      <c r="H347" s="19">
        <v>0</v>
      </c>
      <c r="I347" s="62" t="s">
        <v>162</v>
      </c>
      <c r="J347" s="42">
        <f t="shared" si="13"/>
        <v>0</v>
      </c>
    </row>
    <row r="348" spans="1:10" outlineLevel="1" x14ac:dyDescent="0.2">
      <c r="D348" s="62" t="s">
        <v>170</v>
      </c>
      <c r="E348" s="64"/>
      <c r="F348" s="19">
        <v>0</v>
      </c>
      <c r="G348" s="19">
        <v>0</v>
      </c>
      <c r="H348" s="19">
        <v>0</v>
      </c>
      <c r="I348" s="62" t="s">
        <v>162</v>
      </c>
      <c r="J348" s="42">
        <f t="shared" si="13"/>
        <v>0</v>
      </c>
    </row>
    <row r="349" spans="1:10" outlineLevel="1" x14ac:dyDescent="0.2">
      <c r="D349" s="62" t="s">
        <v>171</v>
      </c>
      <c r="E349" s="64"/>
      <c r="F349" s="19">
        <v>0</v>
      </c>
      <c r="G349" s="19">
        <v>0</v>
      </c>
      <c r="H349" s="19">
        <v>0</v>
      </c>
      <c r="I349" s="62" t="s">
        <v>162</v>
      </c>
      <c r="J349" s="42">
        <f t="shared" si="13"/>
        <v>0</v>
      </c>
    </row>
    <row r="350" spans="1:10" outlineLevel="1" x14ac:dyDescent="0.2">
      <c r="D350" s="62" t="s">
        <v>172</v>
      </c>
      <c r="E350" s="64"/>
      <c r="F350" s="19">
        <v>0</v>
      </c>
      <c r="G350" s="19">
        <v>0</v>
      </c>
      <c r="H350" s="19">
        <v>0</v>
      </c>
      <c r="I350" s="62" t="s">
        <v>162</v>
      </c>
      <c r="J350" s="42">
        <f t="shared" si="13"/>
        <v>0</v>
      </c>
    </row>
    <row r="351" spans="1:10" outlineLevel="1" x14ac:dyDescent="0.2">
      <c r="D351" s="55" t="str">
        <f>Lang_Error_Check_Flags_If_Input_Econ_Cost_Is_Less_Than_Fin_Cost</f>
        <v>ERROR CHECK (FLAGS IF INPUT ECONOMIC COST IS LESS THAN FINANCIAL COST)</v>
      </c>
      <c r="J351" s="43">
        <f>IF(ISERROR(SUM(J341:J350)),1,MIN(SUM(J341:J350),1))</f>
        <v>0</v>
      </c>
    </row>
    <row r="352" spans="1:10" outlineLevel="1" x14ac:dyDescent="0.2"/>
    <row r="353" spans="1:10" outlineLevel="1" x14ac:dyDescent="0.2">
      <c r="D353" s="47" t="str">
        <f>Lang_GoTo&amp;" "&amp;HL_LVL2_ACTV_20_Out_A</f>
        <v>Go to Microplanning Activity #4 (Not in Use) Allowances - Outputs</v>
      </c>
    </row>
    <row r="355" spans="1:10" s="13" customFormat="1" x14ac:dyDescent="0.2">
      <c r="A355" s="6" t="s">
        <v>127</v>
      </c>
      <c r="B355" s="13" t="str">
        <f>C357</f>
        <v>Microplanning Activity #4 (Not in Use) - Detailed Supply and Material Cost Assumptions</v>
      </c>
    </row>
    <row r="356" spans="1:10" outlineLevel="1" x14ac:dyDescent="0.2"/>
    <row r="357" spans="1:10" outlineLevel="1" x14ac:dyDescent="0.2">
      <c r="C357" s="18" t="str">
        <f>HL_LVL2_ACTV_20_Name&amp;" - "&amp;Lang_Detailed_Supply_And_Material_Cost_Assumptions</f>
        <v>Microplanning Activity #4 (Not in Use) - Detailed Supply and Material Cost Assumptions</v>
      </c>
    </row>
    <row r="358" spans="1:10" ht="48" outlineLevel="1" x14ac:dyDescent="0.2">
      <c r="D358" s="55" t="str">
        <f>Lang_Supply_Type</f>
        <v>Supply Type</v>
      </c>
      <c r="E358" s="85" t="str">
        <f>Lang_Supply_Unit_Each_Dozen_100_Pack</f>
        <v>Supply Unit (e.g. Each, Dozen, 100-pack,etc.)</v>
      </c>
      <c r="F358" s="85" t="str">
        <f>Lang_Number_Of_Supply_Units_Required</f>
        <v>Number of Supply Units Required</v>
      </c>
      <c r="G358" s="63" t="str">
        <f ca="1">MICRO_Lu!$D$135&amp;" "&amp;Lang_Cost_Per_Activity_Unit&amp;" ("&amp;OFFSET(MICRO_Lu!$D$114,DD_LVL2_ACTV_20_Currency_Selected,0)&amp;")"</f>
        <v>Financial Cost per Activity Unit (USD)</v>
      </c>
      <c r="H358" s="63" t="str">
        <f ca="1">MICRO_Lu!$D$136&amp;" "&amp;Lang_Cost_Per_Activity_Unit&amp;" ("&amp;OFFSET(MICRO_Lu!$D$114,DD_LVL2_ACTV_20_Currency_Selected,0)&amp;")"</f>
        <v>Economic Cost per Activity Unit (USD)</v>
      </c>
      <c r="I358" s="87" t="str">
        <f>Lang_Evidence_For_Using_This_Cost_Information_Source_Or_Notes</f>
        <v>Evidence for Using this Cost Information (source or notes)</v>
      </c>
    </row>
    <row r="359" spans="1:10" outlineLevel="1" x14ac:dyDescent="0.2">
      <c r="D359" s="62" t="s">
        <v>173</v>
      </c>
      <c r="E359" s="64"/>
      <c r="F359" s="19">
        <v>0</v>
      </c>
      <c r="G359" s="19">
        <v>0</v>
      </c>
      <c r="H359" s="19">
        <v>0</v>
      </c>
      <c r="I359" s="62" t="s">
        <v>162</v>
      </c>
      <c r="J359" s="42">
        <f t="shared" ref="J359:J368" si="14">IF(H359&lt;G359,1,0)</f>
        <v>0</v>
      </c>
    </row>
    <row r="360" spans="1:10" outlineLevel="1" x14ac:dyDescent="0.2">
      <c r="D360" s="62" t="s">
        <v>174</v>
      </c>
      <c r="E360" s="64"/>
      <c r="F360" s="19">
        <v>0</v>
      </c>
      <c r="G360" s="19">
        <v>0</v>
      </c>
      <c r="H360" s="19">
        <v>0</v>
      </c>
      <c r="I360" s="62" t="s">
        <v>162</v>
      </c>
      <c r="J360" s="42">
        <f t="shared" si="14"/>
        <v>0</v>
      </c>
    </row>
    <row r="361" spans="1:10" outlineLevel="1" x14ac:dyDescent="0.2">
      <c r="D361" s="62" t="s">
        <v>175</v>
      </c>
      <c r="E361" s="64"/>
      <c r="F361" s="19">
        <v>0</v>
      </c>
      <c r="G361" s="19">
        <v>0</v>
      </c>
      <c r="H361" s="19">
        <v>0</v>
      </c>
      <c r="I361" s="62" t="s">
        <v>162</v>
      </c>
      <c r="J361" s="42">
        <f t="shared" si="14"/>
        <v>0</v>
      </c>
    </row>
    <row r="362" spans="1:10" outlineLevel="1" x14ac:dyDescent="0.2">
      <c r="D362" s="62" t="s">
        <v>176</v>
      </c>
      <c r="E362" s="64"/>
      <c r="F362" s="19">
        <v>0</v>
      </c>
      <c r="G362" s="19">
        <v>0</v>
      </c>
      <c r="H362" s="19">
        <v>0</v>
      </c>
      <c r="I362" s="62" t="s">
        <v>162</v>
      </c>
      <c r="J362" s="42">
        <f t="shared" si="14"/>
        <v>0</v>
      </c>
    </row>
    <row r="363" spans="1:10" outlineLevel="1" x14ac:dyDescent="0.2">
      <c r="D363" s="62" t="s">
        <v>177</v>
      </c>
      <c r="E363" s="64"/>
      <c r="F363" s="19">
        <v>0</v>
      </c>
      <c r="G363" s="19">
        <v>0</v>
      </c>
      <c r="H363" s="19">
        <v>0</v>
      </c>
      <c r="I363" s="62" t="s">
        <v>162</v>
      </c>
      <c r="J363" s="42">
        <f t="shared" si="14"/>
        <v>0</v>
      </c>
    </row>
    <row r="364" spans="1:10" outlineLevel="1" x14ac:dyDescent="0.2">
      <c r="D364" s="62" t="s">
        <v>178</v>
      </c>
      <c r="E364" s="64"/>
      <c r="F364" s="19">
        <v>0</v>
      </c>
      <c r="G364" s="19">
        <v>0</v>
      </c>
      <c r="H364" s="19">
        <v>0</v>
      </c>
      <c r="I364" s="62" t="s">
        <v>162</v>
      </c>
      <c r="J364" s="42">
        <f t="shared" si="14"/>
        <v>0</v>
      </c>
    </row>
    <row r="365" spans="1:10" outlineLevel="1" x14ac:dyDescent="0.2">
      <c r="D365" s="62" t="s">
        <v>179</v>
      </c>
      <c r="E365" s="64"/>
      <c r="F365" s="19">
        <v>0</v>
      </c>
      <c r="G365" s="19">
        <v>0</v>
      </c>
      <c r="H365" s="19">
        <v>0</v>
      </c>
      <c r="I365" s="62" t="s">
        <v>162</v>
      </c>
      <c r="J365" s="42">
        <f t="shared" si="14"/>
        <v>0</v>
      </c>
    </row>
    <row r="366" spans="1:10" outlineLevel="1" x14ac:dyDescent="0.2">
      <c r="D366" s="62" t="s">
        <v>180</v>
      </c>
      <c r="E366" s="64"/>
      <c r="F366" s="19">
        <v>0</v>
      </c>
      <c r="G366" s="19">
        <v>0</v>
      </c>
      <c r="H366" s="19">
        <v>0</v>
      </c>
      <c r="I366" s="62" t="s">
        <v>162</v>
      </c>
      <c r="J366" s="42">
        <f t="shared" si="14"/>
        <v>0</v>
      </c>
    </row>
    <row r="367" spans="1:10" outlineLevel="1" x14ac:dyDescent="0.2">
      <c r="D367" s="62" t="s">
        <v>181</v>
      </c>
      <c r="E367" s="64"/>
      <c r="F367" s="19">
        <v>0</v>
      </c>
      <c r="G367" s="19">
        <v>0</v>
      </c>
      <c r="H367" s="19">
        <v>0</v>
      </c>
      <c r="I367" s="62" t="s">
        <v>162</v>
      </c>
      <c r="J367" s="42">
        <f t="shared" si="14"/>
        <v>0</v>
      </c>
    </row>
    <row r="368" spans="1:10" outlineLevel="1" x14ac:dyDescent="0.2">
      <c r="D368" s="62" t="s">
        <v>182</v>
      </c>
      <c r="E368" s="64"/>
      <c r="F368" s="19">
        <v>0</v>
      </c>
      <c r="G368" s="19">
        <v>0</v>
      </c>
      <c r="H368" s="19">
        <v>0</v>
      </c>
      <c r="I368" s="62" t="s">
        <v>162</v>
      </c>
      <c r="J368" s="42">
        <f t="shared" si="14"/>
        <v>0</v>
      </c>
    </row>
    <row r="369" spans="1:10" outlineLevel="1" x14ac:dyDescent="0.2">
      <c r="D369" s="55" t="str">
        <f>Lang_Error_Check_Flags_If_Input_Econ_Cost_Is_Less_Than_Fin_Cost</f>
        <v>ERROR CHECK (FLAGS IF INPUT ECONOMIC COST IS LESS THAN FINANCIAL COST)</v>
      </c>
      <c r="J369" s="43">
        <f>IF(ISERROR(SUM(J359:J368)),1,MIN(SUM(J359:J368),1))</f>
        <v>0</v>
      </c>
    </row>
    <row r="370" spans="1:10" outlineLevel="1" x14ac:dyDescent="0.2"/>
    <row r="371" spans="1:10" outlineLevel="1" x14ac:dyDescent="0.2">
      <c r="D371" s="47" t="str">
        <f>Lang_GoTo&amp;" "&amp;HL_LVL2_ACTV_20_Supplies_and_Materials_Outputs</f>
        <v>Go to Microplanning Activity #4 (Not in Use) Supplies and Materials - Outputs</v>
      </c>
    </row>
    <row r="373" spans="1:10" s="13" customFormat="1" x14ac:dyDescent="0.2">
      <c r="A373" s="6" t="s">
        <v>127</v>
      </c>
      <c r="B373" s="13" t="str">
        <f>C375</f>
        <v>Microplanning Activity #4 (Not in Use) - Detailed Other Direct Cost Assumptions</v>
      </c>
    </row>
    <row r="374" spans="1:10" outlineLevel="1" x14ac:dyDescent="0.2"/>
    <row r="375" spans="1:10" outlineLevel="1" x14ac:dyDescent="0.2">
      <c r="C375" s="18" t="str">
        <f>HL_LVL2_ACTV_20_Name&amp;" - "&amp;Lang_Detailed_Other_Direct_Cost_Assumptions</f>
        <v>Microplanning Activity #4 (Not in Use) - Detailed Other Direct Cost Assumptions</v>
      </c>
    </row>
    <row r="376" spans="1:10" ht="48" outlineLevel="1" x14ac:dyDescent="0.2">
      <c r="D376" s="55" t="str">
        <f>Lang_Other_Direct_Cost_ODC_Type</f>
        <v>Other Direct Cost (ODC) Type</v>
      </c>
      <c r="E376" s="85" t="str">
        <f>Lang_ODC_Unit_Each_Dozen_100_Pack</f>
        <v>ODC Unit (e.g. Each, Dozen, 100-pack,etc.)</v>
      </c>
      <c r="F376" s="85" t="str">
        <f>Lang_Number_Of_ODC_Units_Required</f>
        <v>Number of ODC Units Required</v>
      </c>
      <c r="G376" s="63" t="str">
        <f ca="1">MICRO_Lu!$D$135&amp;" "&amp;Lang_Cost_Per_Activity_Unit&amp;" ("&amp;OFFSET(MICRO_Lu!$D$114,DD_LVL2_ACTV_20_Currency_Selected,0)&amp;")"</f>
        <v>Financial Cost per Activity Unit (USD)</v>
      </c>
      <c r="H376" s="63" t="str">
        <f ca="1">MICRO_Lu!$D$136&amp;" "&amp;Lang_Cost_Per_Activity_Unit&amp;" ("&amp;OFFSET(MICRO_Lu!$D$114,DD_LVL2_ACTV_20_Currency_Selected,0)&amp;")"</f>
        <v>Economic Cost per Activity Unit (USD)</v>
      </c>
      <c r="I376" s="87" t="str">
        <f>Lang_Evidence_For_Using_This_Cost_Information_Source_Or_Notes</f>
        <v>Evidence for Using this Cost Information (source or notes)</v>
      </c>
    </row>
    <row r="377" spans="1:10" outlineLevel="1" x14ac:dyDescent="0.2">
      <c r="D377" s="62" t="s">
        <v>183</v>
      </c>
      <c r="E377" s="64"/>
      <c r="F377" s="19">
        <v>0</v>
      </c>
      <c r="G377" s="19">
        <v>0</v>
      </c>
      <c r="H377" s="19">
        <v>0</v>
      </c>
      <c r="I377" s="62" t="s">
        <v>162</v>
      </c>
      <c r="J377" s="42">
        <f t="shared" ref="J377:J386" si="15">IF(H377&lt;G377,1,0)</f>
        <v>0</v>
      </c>
    </row>
    <row r="378" spans="1:10" outlineLevel="1" x14ac:dyDescent="0.2">
      <c r="D378" s="62" t="s">
        <v>184</v>
      </c>
      <c r="E378" s="64"/>
      <c r="F378" s="19">
        <v>0</v>
      </c>
      <c r="G378" s="19">
        <v>0</v>
      </c>
      <c r="H378" s="19">
        <v>0</v>
      </c>
      <c r="I378" s="62" t="s">
        <v>162</v>
      </c>
      <c r="J378" s="42">
        <f t="shared" si="15"/>
        <v>0</v>
      </c>
    </row>
    <row r="379" spans="1:10" outlineLevel="1" x14ac:dyDescent="0.2">
      <c r="D379" s="62" t="s">
        <v>185</v>
      </c>
      <c r="E379" s="64"/>
      <c r="F379" s="19">
        <v>0</v>
      </c>
      <c r="G379" s="19">
        <v>0</v>
      </c>
      <c r="H379" s="19">
        <v>0</v>
      </c>
      <c r="I379" s="62" t="s">
        <v>162</v>
      </c>
      <c r="J379" s="42">
        <f t="shared" si="15"/>
        <v>0</v>
      </c>
    </row>
    <row r="380" spans="1:10" outlineLevel="1" x14ac:dyDescent="0.2">
      <c r="D380" s="62" t="s">
        <v>186</v>
      </c>
      <c r="E380" s="64"/>
      <c r="F380" s="19">
        <v>0</v>
      </c>
      <c r="G380" s="19">
        <v>0</v>
      </c>
      <c r="H380" s="19">
        <v>0</v>
      </c>
      <c r="I380" s="62" t="s">
        <v>162</v>
      </c>
      <c r="J380" s="42">
        <f t="shared" si="15"/>
        <v>0</v>
      </c>
    </row>
    <row r="381" spans="1:10" outlineLevel="1" x14ac:dyDescent="0.2">
      <c r="D381" s="62" t="s">
        <v>187</v>
      </c>
      <c r="E381" s="64"/>
      <c r="F381" s="19">
        <v>0</v>
      </c>
      <c r="G381" s="19">
        <v>0</v>
      </c>
      <c r="H381" s="19">
        <v>0</v>
      </c>
      <c r="I381" s="62" t="s">
        <v>162</v>
      </c>
      <c r="J381" s="42">
        <f t="shared" si="15"/>
        <v>0</v>
      </c>
    </row>
    <row r="382" spans="1:10" outlineLevel="1" x14ac:dyDescent="0.2">
      <c r="D382" s="62" t="s">
        <v>188</v>
      </c>
      <c r="E382" s="64"/>
      <c r="F382" s="19">
        <v>0</v>
      </c>
      <c r="G382" s="19">
        <v>0</v>
      </c>
      <c r="H382" s="19">
        <v>0</v>
      </c>
      <c r="I382" s="62" t="s">
        <v>162</v>
      </c>
      <c r="J382" s="42">
        <f t="shared" si="15"/>
        <v>0</v>
      </c>
    </row>
    <row r="383" spans="1:10" outlineLevel="1" x14ac:dyDescent="0.2">
      <c r="D383" s="62" t="s">
        <v>189</v>
      </c>
      <c r="E383" s="64"/>
      <c r="F383" s="19">
        <v>0</v>
      </c>
      <c r="G383" s="19">
        <v>0</v>
      </c>
      <c r="H383" s="19">
        <v>0</v>
      </c>
      <c r="I383" s="62" t="s">
        <v>162</v>
      </c>
      <c r="J383" s="42">
        <f t="shared" si="15"/>
        <v>0</v>
      </c>
    </row>
    <row r="384" spans="1:10" outlineLevel="1" x14ac:dyDescent="0.2">
      <c r="D384" s="62" t="s">
        <v>190</v>
      </c>
      <c r="E384" s="64"/>
      <c r="F384" s="19">
        <v>0</v>
      </c>
      <c r="G384" s="19">
        <v>0</v>
      </c>
      <c r="H384" s="19">
        <v>0</v>
      </c>
      <c r="I384" s="62" t="s">
        <v>162</v>
      </c>
      <c r="J384" s="42">
        <f t="shared" si="15"/>
        <v>0</v>
      </c>
    </row>
    <row r="385" spans="4:10" outlineLevel="1" x14ac:dyDescent="0.2">
      <c r="D385" s="62" t="s">
        <v>191</v>
      </c>
      <c r="E385" s="64"/>
      <c r="F385" s="19">
        <v>0</v>
      </c>
      <c r="G385" s="19">
        <v>0</v>
      </c>
      <c r="H385" s="19">
        <v>0</v>
      </c>
      <c r="I385" s="62" t="s">
        <v>162</v>
      </c>
      <c r="J385" s="42">
        <f t="shared" si="15"/>
        <v>0</v>
      </c>
    </row>
    <row r="386" spans="4:10" outlineLevel="1" x14ac:dyDescent="0.2">
      <c r="D386" s="62" t="s">
        <v>192</v>
      </c>
      <c r="E386" s="64"/>
      <c r="F386" s="19">
        <v>0</v>
      </c>
      <c r="G386" s="19">
        <v>0</v>
      </c>
      <c r="H386" s="19">
        <v>0</v>
      </c>
      <c r="I386" s="62" t="s">
        <v>162</v>
      </c>
      <c r="J386" s="42">
        <f t="shared" si="15"/>
        <v>0</v>
      </c>
    </row>
    <row r="387" spans="4:10" outlineLevel="1" x14ac:dyDescent="0.2">
      <c r="D387" s="55" t="str">
        <f>Lang_Error_Check_Flags_If_Input_Econ_Cost_Is_Less_Than_Fin_Cost</f>
        <v>ERROR CHECK (FLAGS IF INPUT ECONOMIC COST IS LESS THAN FINANCIAL COST)</v>
      </c>
      <c r="J387" s="43">
        <f>IF(ISERROR(SUM(J377:J386)),1,MIN(SUM(J377:J386),1))</f>
        <v>0</v>
      </c>
    </row>
    <row r="388" spans="4:10" outlineLevel="1" x14ac:dyDescent="0.2"/>
    <row r="389" spans="4:10" outlineLevel="1" x14ac:dyDescent="0.2">
      <c r="D389" s="47" t="str">
        <f>Lang_GoTo&amp;" "&amp;HL_LVL2_ACTV_20_Other_Direct_Costs_Outputs</f>
        <v>Go to Microplanning Activity #4 (Not in Use) Other Direct Costs - Outputs</v>
      </c>
    </row>
  </sheetData>
  <sortState xmlns:xlrd2="http://schemas.microsoft.com/office/spreadsheetml/2017/richdata2" ref="D28">
    <sortCondition ref="D28"/>
  </sortState>
  <conditionalFormatting sqref="G28:H37 G46:H55 G64:H73 G82:H91">
    <cfRule type="expression" dxfId="201" priority="4">
      <formula>$E$15=1</formula>
    </cfRule>
  </conditionalFormatting>
  <conditionalFormatting sqref="G120:H134 G143:H152 G161:H170 G179:H188">
    <cfRule type="expression" dxfId="200" priority="3">
      <formula>$E$107=1</formula>
    </cfRule>
  </conditionalFormatting>
  <conditionalFormatting sqref="G219:H233 G242:H251 G260:H269 G278:H287">
    <cfRule type="expression" dxfId="199" priority="2">
      <formula>$E$206=1</formula>
    </cfRule>
  </conditionalFormatting>
  <conditionalFormatting sqref="G318:H332 G341:H350 G359:H368 G377:H386">
    <cfRule type="expression" dxfId="198" priority="1">
      <formula>$E$305=1</formula>
    </cfRule>
  </conditionalFormatting>
  <conditionalFormatting sqref="J28:J38">
    <cfRule type="cellIs" dxfId="197" priority="97" operator="notEqual">
      <formula>0</formula>
    </cfRule>
  </conditionalFormatting>
  <conditionalFormatting sqref="J46:J56">
    <cfRule type="cellIs" dxfId="196" priority="96" operator="notEqual">
      <formula>0</formula>
    </cfRule>
  </conditionalFormatting>
  <conditionalFormatting sqref="J64:J74">
    <cfRule type="cellIs" dxfId="195" priority="95" operator="notEqual">
      <formula>0</formula>
    </cfRule>
  </conditionalFormatting>
  <conditionalFormatting sqref="J82:J92">
    <cfRule type="cellIs" dxfId="194" priority="94" operator="notEqual">
      <formula>0</formula>
    </cfRule>
  </conditionalFormatting>
  <conditionalFormatting sqref="J120:J135">
    <cfRule type="cellIs" dxfId="193" priority="84" operator="notEqual">
      <formula>0</formula>
    </cfRule>
  </conditionalFormatting>
  <conditionalFormatting sqref="J143:J153">
    <cfRule type="cellIs" dxfId="192" priority="93" operator="notEqual">
      <formula>0</formula>
    </cfRule>
  </conditionalFormatting>
  <conditionalFormatting sqref="J161:J171">
    <cfRule type="cellIs" dxfId="191" priority="92" operator="notEqual">
      <formula>0</formula>
    </cfRule>
  </conditionalFormatting>
  <conditionalFormatting sqref="J179:J189">
    <cfRule type="cellIs" dxfId="190" priority="91" operator="notEqual">
      <formula>0</formula>
    </cfRule>
  </conditionalFormatting>
  <conditionalFormatting sqref="J219:J234">
    <cfRule type="cellIs" dxfId="189" priority="83" operator="notEqual">
      <formula>0</formula>
    </cfRule>
  </conditionalFormatting>
  <conditionalFormatting sqref="J242:J252">
    <cfRule type="cellIs" dxfId="188" priority="90" operator="notEqual">
      <formula>0</formula>
    </cfRule>
  </conditionalFormatting>
  <conditionalFormatting sqref="J260:J270">
    <cfRule type="cellIs" dxfId="187" priority="89" operator="notEqual">
      <formula>0</formula>
    </cfRule>
  </conditionalFormatting>
  <conditionalFormatting sqref="J278:J288">
    <cfRule type="cellIs" dxfId="186" priority="88" operator="notEqual">
      <formula>0</formula>
    </cfRule>
  </conditionalFormatting>
  <conditionalFormatting sqref="J318:J333">
    <cfRule type="cellIs" dxfId="185" priority="82" operator="notEqual">
      <formula>0</formula>
    </cfRule>
  </conditionalFormatting>
  <conditionalFormatting sqref="J341:J351">
    <cfRule type="cellIs" dxfId="184" priority="87" operator="notEqual">
      <formula>0</formula>
    </cfRule>
  </conditionalFormatting>
  <conditionalFormatting sqref="J359:J369">
    <cfRule type="cellIs" dxfId="183" priority="86" operator="notEqual">
      <formula>0</formula>
    </cfRule>
  </conditionalFormatting>
  <conditionalFormatting sqref="J377:J387">
    <cfRule type="cellIs" dxfId="182" priority="85" operator="notEqual">
      <formula>0</formula>
    </cfRule>
  </conditionalFormatting>
  <dataValidations count="5">
    <dataValidation type="custom" showErrorMessage="1" errorTitle="Invalid Assumption" error="Assumption must be a number." sqref="F219:H233 F46:H55 F64:H73 F82:H91 F278:H287 F120:H134 F242:H251 F260:H269 F318:H332 E22 F28:H37 F179:H188 F161:H170 F143:H152 E114 E213 E312 F377:H386 F359:H368 F341:H350" xr:uid="{00000000-0002-0000-2000-000000000000}">
      <formula1>NOT(ISERROR(E22/1))</formula1>
    </dataValidation>
    <dataValidation type="whole" showDropDown="1" showErrorMessage="1" errorTitle="Drop Down Box Cell Link" error="The value in a drop down box cell link must be a whole number within the control's lookup range rows." sqref="E15" xr:uid="{00000000-0002-0000-2000-000001000000}">
      <formula1>1</formula1>
      <formula2>ROWS(LU_TOP_ACTV_Currencies)</formula2>
    </dataValidation>
    <dataValidation type="whole" showDropDown="1" showErrorMessage="1" errorTitle="Drop Down Box Cell Link" error="The value in a drop down box cell link must be a whole number within the control's lookup range rows." sqref="E206" xr:uid="{00000000-0002-0000-2000-000002000000}">
      <formula1>1</formula1>
      <formula2>ROWS(LU_LVL2_ACTV_Currencies)</formula2>
    </dataValidation>
    <dataValidation type="whole" showDropDown="1" showErrorMessage="1" errorTitle="Drop Down Box Cell Link" error="The value in a drop down box cell link must be a whole number within the control's lookup range rows." sqref="E107" xr:uid="{00000000-0002-0000-2000-000003000000}">
      <formula1>1</formula1>
      <formula2>ROWS(LU_TOP_ACTV_7_Currencies)</formula2>
    </dataValidation>
    <dataValidation type="whole" showDropDown="1" showErrorMessage="1" errorTitle="Drop Down Box Cell Link" error="The value in a drop down box cell link must be a whole number within the control's lookup range rows." sqref="E305" xr:uid="{00000000-0002-0000-2000-000004000000}">
      <formula1>1</formula1>
      <formula2>ROWS(LU_LVL2_ACTV_20_Currencies)</formula2>
    </dataValidation>
  </dataValidations>
  <hyperlinks>
    <hyperlink ref="A4" location="HL_TOP_ACTV_Ass_B" tooltip="Click to follow hyperlink." display="HL_TOP_ACTV_Ass_B" xr:uid="{00000000-0004-0000-2000-000000000000}"/>
    <hyperlink ref="A12" location="HL_TOP_ACTV_Personnel_Assumptions" tooltip="Click to follow hyperlink." display="HL_TOP_ACTV_Personnel_Assumptions" xr:uid="{00000000-0004-0000-2000-000001000000}"/>
    <hyperlink ref="D40" location="HL_TOP_ACTV_Personnel_Outputs" tooltip="Click to follow hyperlink." display="HL_TOP_ACTV_Personnel_Outputs" xr:uid="{00000000-0004-0000-2000-000002000000}"/>
    <hyperlink ref="D58" location="HL_TOP_ACTV_Out_A" tooltip="Click to follow hyperlink." display="HL_TOP_ACTV_Out_A" xr:uid="{00000000-0004-0000-2000-000003000000}"/>
    <hyperlink ref="D76" location="HL_TOP_ACTV_Supplies_and_Materials_Outputs" tooltip="Click to follow hyperlink." display="HL_TOP_ACTV_Supplies_and_Materials_Outputs" xr:uid="{00000000-0004-0000-2000-000004000000}"/>
    <hyperlink ref="D94" location="HL_TOP_ACTV_Other_Direct_Costs_Outputs" tooltip="Click to follow hyperlink." display="HL_TOP_ACTV_Other_Direct_Costs_Outputs" xr:uid="{00000000-0004-0000-2000-000005000000}"/>
    <hyperlink ref="D290" location="HL_LVL2_ACTV_Other_Direct_Costs_Outputs" tooltip="Click to follow hyperlink." display="HL_LVL2_ACTV_Other_Direct_Costs_Outputs" xr:uid="{00000000-0004-0000-2000-000006000000}"/>
    <hyperlink ref="D272" location="HL_LVL2_ACTV_Supplies_and_Materials_Outputs" tooltip="Click to follow hyperlink." display="HL_LVL2_ACTV_Supplies_and_Materials_Outputs" xr:uid="{00000000-0004-0000-2000-000007000000}"/>
    <hyperlink ref="D254" location="HL_LVL2_ACTV_Out_A" tooltip="Click to follow hyperlink." display="HL_LVL2_ACTV_Out_A" xr:uid="{00000000-0004-0000-2000-000008000000}"/>
    <hyperlink ref="D236" location="HL_LVL2_ACTV_Personnel_Outputs" tooltip="Click to follow hyperlink." display="HL_LVL2_ACTV_Personnel_Outputs" xr:uid="{00000000-0004-0000-2000-000009000000}"/>
    <hyperlink ref="A202" location="HL_LVL2_ACTV_Personnel_Assumptions" tooltip="Click to follow hyperlink." display="HL_LVL2_ACTV_Personnel_Assumptions" xr:uid="{00000000-0004-0000-2000-00000A000000}"/>
    <hyperlink ref="A193" location="HL_LVL2_ACTV_Ass_B" tooltip="Click to follow hyperlink." display="HL_LVL2_ACTV_Ass_B" xr:uid="{00000000-0004-0000-2000-00000B000000}"/>
    <hyperlink ref="A96" location="HL_TOP_ACTV_7_Ass_B" tooltip="Click to follow hyperlink." display="HL_TOP_ACTV_7_Ass_B" xr:uid="{00000000-0004-0000-2000-00000C000000}"/>
    <hyperlink ref="A104" location="HL_TOP_ACTV_7_Personnel_Assumptions" tooltip="Click to follow hyperlink." display="HL_TOP_ACTV_7_Personnel_Assumptions" xr:uid="{00000000-0004-0000-2000-00000D000000}"/>
    <hyperlink ref="D137" location="HL_TOP_ACTV_7_Personnel_Outputs" tooltip="Click to follow hyperlink." display="HL_TOP_ACTV_7_Personnel_Outputs" xr:uid="{00000000-0004-0000-2000-00000E000000}"/>
    <hyperlink ref="D155" location="HL_TOP_ACTV_7_Out_A" tooltip="Click to follow hyperlink." display="HL_TOP_ACTV_7_Out_A" xr:uid="{00000000-0004-0000-2000-00000F000000}"/>
    <hyperlink ref="D173" location="HL_TOP_ACTV_7_Supplies_and_Materials_Outputs" tooltip="Click to follow hyperlink." display="HL_TOP_ACTV_7_Supplies_and_Materials_Outputs" xr:uid="{00000000-0004-0000-2000-000010000000}"/>
    <hyperlink ref="D191" location="HL_TOP_ACTV_7_Other_Direct_Costs_Outputs" tooltip="Click to follow hyperlink." display="HL_TOP_ACTV_7_Other_Direct_Costs_Outputs" xr:uid="{00000000-0004-0000-2000-000011000000}"/>
    <hyperlink ref="A292" location="HL_LVL2_ACTV_20_Ass_B" tooltip="Click to follow hyperlink." display="HL_LVL2_ACTV_20_Ass_B" xr:uid="{00000000-0004-0000-2000-000012000000}"/>
    <hyperlink ref="A301" location="HL_LVL2_ACTV_20_Personnel_Assumptions" tooltip="Click to follow hyperlink." display="HL_LVL2_ACTV_20_Personnel_Assumptions" xr:uid="{00000000-0004-0000-2000-000013000000}"/>
    <hyperlink ref="D335" location="HL_LVL2_ACTV_20_Personnel_Outputs" tooltip="Click to follow hyperlink." display="HL_LVL2_ACTV_20_Personnel_Outputs" xr:uid="{00000000-0004-0000-2000-000014000000}"/>
    <hyperlink ref="D353" location="HL_LVL2_ACTV_20_Out_A" tooltip="Click to follow hyperlink." display="HL_LVL2_ACTV_20_Out_A" xr:uid="{00000000-0004-0000-2000-000015000000}"/>
    <hyperlink ref="D371" location="HL_LVL2_ACTV_20_Supplies_and_Materials_Outputs" tooltip="Click to follow hyperlink." display="HL_LVL2_ACTV_20_Supplies_and_Materials_Outputs" xr:uid="{00000000-0004-0000-2000-000016000000}"/>
    <hyperlink ref="D389" location="HL_LVL2_ACTV_20_Other_Direct_Costs_Outputs" tooltip="Click to follow hyperlink." display="HL_LVL2_ACTV_20_Other_Direct_Costs_Outputs" xr:uid="{00000000-0004-0000-2000-000017000000}"/>
    <hyperlink ref="A1" location="Contents!A1" tooltip="Go to Table of Contents" display="±" xr:uid="{00000000-0004-0000-2000-000018000000}"/>
  </hyperlinks>
  <pageMargins left="0.7" right="0.7" top="0.75" bottom="0.75" header="0.3" footer="0.3"/>
  <pageSetup scale="70" fitToHeight="0" orientation="landscape" r:id="rId1"/>
  <headerFooter>
    <oddFooter>&amp;L&amp;B Confidential&amp;B&amp;C&amp;D&amp;RPage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1025" r:id="rId4" name="bpmDropDownTOP_ACTV5">
              <controlPr defaultSize="0" autoFill="0" autoPict="0">
                <anchor moveWithCells="1" sizeWithCells="1">
                  <from>
                    <xdr:col>4</xdr:col>
                    <xdr:colOff>0</xdr:colOff>
                    <xdr:row>14</xdr:row>
                    <xdr:rowOff>0</xdr:rowOff>
                  </from>
                  <to>
                    <xdr:col>5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34" r:id="rId5" name="bpmDropDownLVL2_ACTV1">
              <controlPr defaultSize="0" autoFill="0" autoPict="0">
                <anchor moveWithCells="1" sizeWithCells="1">
                  <from>
                    <xdr:col>4</xdr:col>
                    <xdr:colOff>0</xdr:colOff>
                    <xdr:row>205</xdr:row>
                    <xdr:rowOff>0</xdr:rowOff>
                  </from>
                  <to>
                    <xdr:col>5</xdr:col>
                    <xdr:colOff>0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44" r:id="rId6" name="bpmDropDownTOP_ACTV_71">
              <controlPr defaultSize="0" autoFill="0" autoPict="0">
                <anchor moveWithCells="1" sizeWithCells="1">
                  <from>
                    <xdr:col>4</xdr:col>
                    <xdr:colOff>0</xdr:colOff>
                    <xdr:row>106</xdr:row>
                    <xdr:rowOff>0</xdr:rowOff>
                  </from>
                  <to>
                    <xdr:col>5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59" r:id="rId7" name="bpmDropDownLVL2_ACTV_201">
              <controlPr defaultSize="0" autoFill="0" autoPict="0">
                <anchor moveWithCells="1" sizeWithCells="1">
                  <from>
                    <xdr:col>4</xdr:col>
                    <xdr:colOff>0</xdr:colOff>
                    <xdr:row>304</xdr:row>
                    <xdr:rowOff>0</xdr:rowOff>
                  </from>
                  <to>
                    <xdr:col>5</xdr:col>
                    <xdr:colOff>0</xdr:colOff>
                    <xdr:row>305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1">
    <tabColor rgb="FFFFC000"/>
    <pageSetUpPr autoPageBreaks="0" fitToPage="1"/>
  </sheetPr>
  <dimension ref="A1:R396"/>
  <sheetViews>
    <sheetView showGridLines="0" zoomScaleNormal="100" workbookViewId="0">
      <pane xSplit="1" ySplit="2" topLeftCell="B3" activePane="bottomRight" state="frozen"/>
      <selection activeCell="I511" sqref="I511"/>
      <selection pane="topRight" activeCell="I511" sqref="I511"/>
      <selection pane="bottomLeft" activeCell="I511" sqref="I511"/>
      <selection pane="bottomRight" activeCell="E15" sqref="E15"/>
    </sheetView>
  </sheetViews>
  <sheetFormatPr defaultColWidth="0" defaultRowHeight="15" customHeight="1" outlineLevelRow="1" x14ac:dyDescent="0.2"/>
  <cols>
    <col min="1" max="3" width="3.7109375" customWidth="1"/>
    <col min="4" max="4" width="30.7109375" customWidth="1"/>
    <col min="5" max="5" width="20.7109375" customWidth="1"/>
    <col min="6" max="8" width="11.7109375" customWidth="1"/>
    <col min="9" max="9" width="30.7109375" customWidth="1"/>
    <col min="10" max="15" width="11.7109375" customWidth="1"/>
    <col min="16" max="16384" width="11.7109375" hidden="1"/>
  </cols>
  <sheetData>
    <row r="1" spans="1:5" x14ac:dyDescent="0.2">
      <c r="A1" s="35" t="s">
        <v>128</v>
      </c>
      <c r="B1" s="31" t="str">
        <f>Lang_Training_Detailed_Costing_Worksheets_Optional</f>
        <v>Training - Detailed Costing Worksheets (OPTIONAL)</v>
      </c>
    </row>
    <row r="2" spans="1:5" ht="12.75" x14ac:dyDescent="0.2">
      <c r="A2" s="36"/>
      <c r="B2" s="45" t="str">
        <f ca="1">Model_Name</f>
        <v>Cervical Cancer Prevention and Control Costing (C4P) Tool (Cost Projection)</v>
      </c>
    </row>
    <row r="3" spans="1:5" s="10" customFormat="1" ht="12" x14ac:dyDescent="0.2"/>
    <row r="4" spans="1:5" s="13" customFormat="1" ht="12" x14ac:dyDescent="0.2">
      <c r="A4" s="12" t="s">
        <v>125</v>
      </c>
      <c r="B4" s="13" t="str">
        <f>C6</f>
        <v>Training Activity #1 (Not in Use) -  Detailed Activity Costing Worksheet - Instructions</v>
      </c>
    </row>
    <row r="5" spans="1:5" s="10" customFormat="1" ht="12" outlineLevel="1" x14ac:dyDescent="0.2"/>
    <row r="6" spans="1:5" s="10" customFormat="1" ht="12" outlineLevel="1" x14ac:dyDescent="0.2">
      <c r="C6" s="71" t="str">
        <f>HL_TOP_ACTV_2_Name&amp;" -  "&amp;Lang_Detailed_Activity_Costing_Worksheet_Instructions</f>
        <v>Training Activity #1 (Not in Use) -  Detailed Activity Costing Worksheet - Instructions</v>
      </c>
    </row>
    <row r="7" spans="1:5" s="10" customFormat="1" ht="12" outlineLevel="1" x14ac:dyDescent="0.2"/>
    <row r="8" spans="1:5" s="10" customFormat="1" ht="12" outlineLevel="1" x14ac:dyDescent="0.2">
      <c r="D8" s="50" t="str">
        <f>Lang_Detailed_Costing_Worksheets_Notes_1</f>
        <v>This detailed costing worksheet can be used to document the types and amounts of resources required to complete a single instance of an activity.</v>
      </c>
    </row>
    <row r="9" spans="1:5" s="10" customFormat="1" ht="12" outlineLevel="1" x14ac:dyDescent="0.2">
      <c r="D9" s="50" t="str">
        <f>Lang_Detailed_Costing_Worksheets_Notes_2</f>
        <v>When completed, it will automatically provide a single activity cost in the general assumption worksheet.</v>
      </c>
    </row>
    <row r="10" spans="1:5" s="10" customFormat="1" ht="12" outlineLevel="1" x14ac:dyDescent="0.2">
      <c r="D10" s="50" t="str">
        <f>Lang_Detailed_Costing_Worksheets_Notes_3</f>
        <v>The user may then choose to use the results of the detailed costing in the model, or override the detailed costing and insert alternate cost estimates.</v>
      </c>
    </row>
    <row r="11" spans="1:5" s="10" customFormat="1" ht="12" x14ac:dyDescent="0.2"/>
    <row r="12" spans="1:5" s="13" customFormat="1" ht="12" x14ac:dyDescent="0.2">
      <c r="A12" s="12" t="s">
        <v>125</v>
      </c>
      <c r="B12" s="13" t="str">
        <f>C14</f>
        <v>Training Activity #1 (Not in Use) - Detailed Activity Costing Worksheet - Currency Selection</v>
      </c>
    </row>
    <row r="13" spans="1:5" s="10" customFormat="1" ht="12" outlineLevel="1" x14ac:dyDescent="0.2"/>
    <row r="14" spans="1:5" s="10" customFormat="1" ht="12" outlineLevel="1" x14ac:dyDescent="0.2">
      <c r="C14" s="71" t="str">
        <f>HL_TOP_ACTV_2_Name&amp;" - "&amp;Lang_Detailed_Activity_Costing_Worksheet_Currency_Selection</f>
        <v>Training Activity #1 (Not in Use) - Detailed Activity Costing Worksheet - Currency Selection</v>
      </c>
    </row>
    <row r="15" spans="1:5" s="10" customFormat="1" ht="12" outlineLevel="1" x14ac:dyDescent="0.2">
      <c r="D15" s="55" t="str">
        <f>Lang_Currency_Used_For_Cost_Inputs</f>
        <v>Currency Used for Cost Inputs</v>
      </c>
      <c r="E15" s="72">
        <v>1</v>
      </c>
    </row>
    <row r="16" spans="1:5" s="10" customFormat="1" ht="12" outlineLevel="1" x14ac:dyDescent="0.2"/>
    <row r="17" spans="1:10" s="10" customFormat="1" ht="12" outlineLevel="1" x14ac:dyDescent="0.2"/>
    <row r="18" spans="1:10" s="10" customFormat="1" ht="12" outlineLevel="1" x14ac:dyDescent="0.2">
      <c r="D18" s="54" t="str">
        <f>Lang_Imported_From_Econ_Module</f>
        <v>Imported from Econ Module</v>
      </c>
    </row>
    <row r="19" spans="1:10" s="10" customFormat="1" ht="12" outlineLevel="1" x14ac:dyDescent="0.2">
      <c r="D19" s="49" t="str">
        <f>ECONOMICS!F7</f>
        <v>USD</v>
      </c>
    </row>
    <row r="20" spans="1:10" s="10" customFormat="1" ht="12" outlineLevel="1" x14ac:dyDescent="0.2">
      <c r="D20" s="49" t="str">
        <f>ECONOMICS!F8</f>
        <v>LCU</v>
      </c>
      <c r="H20" s="10" t="s">
        <v>39</v>
      </c>
    </row>
    <row r="21" spans="1:10" s="10" customFormat="1" ht="12" outlineLevel="1" x14ac:dyDescent="0.2"/>
    <row r="22" spans="1:10" s="10" customFormat="1" ht="12" outlineLevel="1" x14ac:dyDescent="0.2">
      <c r="D22" s="50" t="str">
        <f>Lang_Exchange_Rate_From_Econ</f>
        <v>Exchange Rate (from Economics)</v>
      </c>
      <c r="E22" s="41">
        <f>ECONOMICS!E13</f>
        <v>1234.5</v>
      </c>
    </row>
    <row r="23" spans="1:10" s="10" customFormat="1" ht="12" x14ac:dyDescent="0.2"/>
    <row r="24" spans="1:10" s="13" customFormat="1" ht="12" x14ac:dyDescent="0.2">
      <c r="A24" s="12" t="s">
        <v>127</v>
      </c>
      <c r="B24" s="13" t="str">
        <f>C26</f>
        <v>Training Activity #1 (Not in Use) - Detailed Personnel Cost Assumptions</v>
      </c>
    </row>
    <row r="25" spans="1:10" s="10" customFormat="1" ht="12" outlineLevel="1" x14ac:dyDescent="0.2"/>
    <row r="26" spans="1:10" s="10" customFormat="1" ht="12" outlineLevel="1" x14ac:dyDescent="0.2">
      <c r="C26" s="71" t="str">
        <f>HL_TOP_ACTV_2_Name&amp;" - "&amp;Lang_Detailed_Personnel_Cost_Assumptions</f>
        <v>Training Activity #1 (Not in Use) - Detailed Personnel Cost Assumptions</v>
      </c>
    </row>
    <row r="27" spans="1:10" s="10" customFormat="1" ht="48" outlineLevel="1" x14ac:dyDescent="0.2">
      <c r="D27" s="55" t="str">
        <f>Lang_Personnel_Cadre_Type</f>
        <v>Personnel Cadre Type</v>
      </c>
      <c r="E27" s="85" t="str">
        <f>Lang_Activity_Unit_Day_Hour_Minute</f>
        <v>Activity Unit (e.g. Day, Hour, Minute)</v>
      </c>
      <c r="F27" s="85" t="str">
        <f>Lang_Number_Of_Activity_Units_Required</f>
        <v>Number of Activity Units Required</v>
      </c>
      <c r="G27" s="86" t="str">
        <f ca="1">TRAIN_Lu!$D$30&amp;" "&amp;Lang_Cost_Per_Activity_Unit&amp;" ("&amp;OFFSET(TRAIN_Lu!$D$9,DD_TOP_ACTV_2_Detailed_Currency_Used,0)&amp;")"</f>
        <v>Financial Cost per Activity Unit (USD)</v>
      </c>
      <c r="H27" s="86" t="str">
        <f ca="1">TRAIN_Lu!$D$31&amp;" "&amp;Lang_Cost_Per_Activity_Unit&amp;" ("&amp;OFFSET(TRAIN_Lu!$D$9,DD_TOP_ACTV_2_Detailed_Currency_Used,0)&amp;")"</f>
        <v>Economic Cost per Activity Unit (USD)</v>
      </c>
      <c r="I27" s="87" t="str">
        <f>Lang_Evidence_For_Using_This_Cost_Information_Source_Or_Notes</f>
        <v>Evidence for Using this Cost Information (source or notes)</v>
      </c>
    </row>
    <row r="28" spans="1:10" s="10" customFormat="1" ht="12" outlineLevel="1" x14ac:dyDescent="0.2">
      <c r="D28" s="75" t="s">
        <v>152</v>
      </c>
      <c r="E28" s="75"/>
      <c r="F28" s="80">
        <v>0</v>
      </c>
      <c r="G28" s="80">
        <v>0</v>
      </c>
      <c r="H28" s="80">
        <v>0</v>
      </c>
      <c r="I28" s="75" t="s">
        <v>162</v>
      </c>
      <c r="J28" s="42">
        <f t="shared" ref="J28:J42" si="0">IF(H28&lt;G28,1,0)</f>
        <v>0</v>
      </c>
    </row>
    <row r="29" spans="1:10" s="10" customFormat="1" ht="12" outlineLevel="1" x14ac:dyDescent="0.2">
      <c r="D29" s="75" t="s">
        <v>153</v>
      </c>
      <c r="E29" s="75"/>
      <c r="F29" s="80">
        <v>0</v>
      </c>
      <c r="G29" s="80">
        <v>0</v>
      </c>
      <c r="H29" s="80">
        <v>0</v>
      </c>
      <c r="I29" s="75" t="s">
        <v>162</v>
      </c>
      <c r="J29" s="42">
        <f t="shared" si="0"/>
        <v>0</v>
      </c>
    </row>
    <row r="30" spans="1:10" s="10" customFormat="1" ht="12" outlineLevel="1" x14ac:dyDescent="0.2">
      <c r="D30" s="75" t="s">
        <v>154</v>
      </c>
      <c r="E30" s="75"/>
      <c r="F30" s="80">
        <v>0</v>
      </c>
      <c r="G30" s="80">
        <v>0</v>
      </c>
      <c r="H30" s="80">
        <v>0</v>
      </c>
      <c r="I30" s="75" t="s">
        <v>162</v>
      </c>
      <c r="J30" s="42">
        <f t="shared" si="0"/>
        <v>0</v>
      </c>
    </row>
    <row r="31" spans="1:10" s="10" customFormat="1" ht="12" outlineLevel="1" x14ac:dyDescent="0.2">
      <c r="D31" s="75" t="s">
        <v>155</v>
      </c>
      <c r="E31" s="75"/>
      <c r="F31" s="80">
        <v>0</v>
      </c>
      <c r="G31" s="80">
        <v>0</v>
      </c>
      <c r="H31" s="80">
        <v>0</v>
      </c>
      <c r="I31" s="75" t="s">
        <v>162</v>
      </c>
      <c r="J31" s="42">
        <f t="shared" si="0"/>
        <v>0</v>
      </c>
    </row>
    <row r="32" spans="1:10" s="10" customFormat="1" ht="12" outlineLevel="1" x14ac:dyDescent="0.2">
      <c r="D32" s="75" t="s">
        <v>156</v>
      </c>
      <c r="E32" s="75"/>
      <c r="F32" s="80">
        <v>0</v>
      </c>
      <c r="G32" s="80">
        <v>0</v>
      </c>
      <c r="H32" s="80">
        <v>0</v>
      </c>
      <c r="I32" s="75" t="s">
        <v>162</v>
      </c>
      <c r="J32" s="42">
        <f t="shared" si="0"/>
        <v>0</v>
      </c>
    </row>
    <row r="33" spans="1:18" s="10" customFormat="1" ht="12" outlineLevel="1" x14ac:dyDescent="0.2">
      <c r="D33" s="75" t="s">
        <v>157</v>
      </c>
      <c r="E33" s="75"/>
      <c r="F33" s="80">
        <v>0</v>
      </c>
      <c r="G33" s="80">
        <v>0</v>
      </c>
      <c r="H33" s="80">
        <v>0</v>
      </c>
      <c r="I33" s="75" t="s">
        <v>162</v>
      </c>
      <c r="J33" s="42">
        <f t="shared" si="0"/>
        <v>0</v>
      </c>
      <c r="R33" s="13" t="s">
        <v>39</v>
      </c>
    </row>
    <row r="34" spans="1:18" s="10" customFormat="1" ht="12" outlineLevel="1" x14ac:dyDescent="0.2">
      <c r="D34" s="75" t="s">
        <v>158</v>
      </c>
      <c r="E34" s="88"/>
      <c r="F34" s="80">
        <v>0</v>
      </c>
      <c r="G34" s="80">
        <v>0</v>
      </c>
      <c r="H34" s="80">
        <v>0</v>
      </c>
      <c r="I34" s="75" t="s">
        <v>162</v>
      </c>
      <c r="J34" s="42">
        <f t="shared" si="0"/>
        <v>0</v>
      </c>
    </row>
    <row r="35" spans="1:18" s="10" customFormat="1" ht="12" outlineLevel="1" x14ac:dyDescent="0.2">
      <c r="D35" s="75" t="s">
        <v>159</v>
      </c>
      <c r="E35" s="88"/>
      <c r="F35" s="80">
        <v>0</v>
      </c>
      <c r="G35" s="80">
        <v>0</v>
      </c>
      <c r="H35" s="80">
        <v>0</v>
      </c>
      <c r="I35" s="75" t="s">
        <v>162</v>
      </c>
      <c r="J35" s="42">
        <f t="shared" si="0"/>
        <v>0</v>
      </c>
    </row>
    <row r="36" spans="1:18" s="10" customFormat="1" ht="12" outlineLevel="1" x14ac:dyDescent="0.2">
      <c r="D36" s="75" t="s">
        <v>160</v>
      </c>
      <c r="E36" s="88"/>
      <c r="F36" s="80">
        <v>0</v>
      </c>
      <c r="G36" s="80">
        <v>0</v>
      </c>
      <c r="H36" s="80">
        <v>0</v>
      </c>
      <c r="I36" s="75" t="s">
        <v>162</v>
      </c>
      <c r="J36" s="42">
        <f t="shared" si="0"/>
        <v>0</v>
      </c>
    </row>
    <row r="37" spans="1:18" s="10" customFormat="1" ht="12" outlineLevel="1" x14ac:dyDescent="0.2">
      <c r="D37" s="75" t="s">
        <v>161</v>
      </c>
      <c r="E37" s="88"/>
      <c r="F37" s="80">
        <v>0</v>
      </c>
      <c r="G37" s="80">
        <v>0</v>
      </c>
      <c r="H37" s="80">
        <v>0</v>
      </c>
      <c r="I37" s="75" t="s">
        <v>162</v>
      </c>
      <c r="J37" s="42">
        <f t="shared" si="0"/>
        <v>0</v>
      </c>
    </row>
    <row r="38" spans="1:18" s="10" customFormat="1" ht="12" outlineLevel="1" x14ac:dyDescent="0.2">
      <c r="D38" s="75" t="s">
        <v>393</v>
      </c>
      <c r="E38" s="88"/>
      <c r="F38" s="80">
        <v>0</v>
      </c>
      <c r="G38" s="80">
        <v>0</v>
      </c>
      <c r="H38" s="80">
        <v>0</v>
      </c>
      <c r="I38" s="75" t="s">
        <v>162</v>
      </c>
      <c r="J38" s="42">
        <f t="shared" si="0"/>
        <v>0</v>
      </c>
    </row>
    <row r="39" spans="1:18" s="10" customFormat="1" ht="12" outlineLevel="1" x14ac:dyDescent="0.2">
      <c r="D39" s="75" t="s">
        <v>394</v>
      </c>
      <c r="E39" s="88"/>
      <c r="F39" s="80">
        <v>0</v>
      </c>
      <c r="G39" s="80">
        <v>0</v>
      </c>
      <c r="H39" s="80">
        <v>0</v>
      </c>
      <c r="I39" s="75" t="s">
        <v>162</v>
      </c>
      <c r="J39" s="42">
        <f t="shared" si="0"/>
        <v>0</v>
      </c>
    </row>
    <row r="40" spans="1:18" s="10" customFormat="1" ht="12" outlineLevel="1" x14ac:dyDescent="0.2">
      <c r="D40" s="75" t="s">
        <v>395</v>
      </c>
      <c r="E40" s="88"/>
      <c r="F40" s="80">
        <v>0</v>
      </c>
      <c r="G40" s="80">
        <v>0</v>
      </c>
      <c r="H40" s="80">
        <v>0</v>
      </c>
      <c r="I40" s="75" t="s">
        <v>162</v>
      </c>
      <c r="J40" s="42">
        <f t="shared" si="0"/>
        <v>0</v>
      </c>
    </row>
    <row r="41" spans="1:18" s="10" customFormat="1" ht="12" outlineLevel="1" x14ac:dyDescent="0.2">
      <c r="D41" s="75" t="s">
        <v>396</v>
      </c>
      <c r="E41" s="88"/>
      <c r="F41" s="80">
        <v>0</v>
      </c>
      <c r="G41" s="80">
        <v>0</v>
      </c>
      <c r="H41" s="80">
        <v>0</v>
      </c>
      <c r="I41" s="75" t="s">
        <v>162</v>
      </c>
      <c r="J41" s="42">
        <f t="shared" si="0"/>
        <v>0</v>
      </c>
    </row>
    <row r="42" spans="1:18" s="10" customFormat="1" ht="12" outlineLevel="1" x14ac:dyDescent="0.2">
      <c r="D42" s="75" t="s">
        <v>397</v>
      </c>
      <c r="E42" s="88"/>
      <c r="F42" s="80">
        <v>0</v>
      </c>
      <c r="G42" s="80">
        <v>0</v>
      </c>
      <c r="H42" s="80">
        <v>0</v>
      </c>
      <c r="I42" s="75" t="s">
        <v>162</v>
      </c>
      <c r="J42" s="42">
        <f t="shared" si="0"/>
        <v>0</v>
      </c>
    </row>
    <row r="43" spans="1:18" s="10" customFormat="1" ht="12" outlineLevel="1" x14ac:dyDescent="0.2">
      <c r="D43" s="55" t="str">
        <f>Lang_Error_Check_Flags_If_Input_Econ_Cost_Is_Less_Than_Fin_Cost</f>
        <v>ERROR CHECK (FLAGS IF INPUT ECONOMIC COST IS LESS THAN FINANCIAL COST)</v>
      </c>
      <c r="J43" s="43">
        <f>IF(ISERROR(SUM(J28:J42)),1,MIN(SUM(J28:J42),1))</f>
        <v>0</v>
      </c>
    </row>
    <row r="44" spans="1:18" s="10" customFormat="1" ht="12" outlineLevel="1" x14ac:dyDescent="0.2"/>
    <row r="45" spans="1:18" s="10" customFormat="1" ht="12" outlineLevel="1" x14ac:dyDescent="0.2">
      <c r="D45" s="76" t="str">
        <f>Lang_GoTo&amp;" "&amp;HL_TOP_ACTV_2_Personnel_Outputs</f>
        <v>Go to Training Activity #1 (Not in Use) Personnel - Outputs</v>
      </c>
    </row>
    <row r="46" spans="1:18" s="10" customFormat="1" ht="12" x14ac:dyDescent="0.2"/>
    <row r="47" spans="1:18" s="13" customFormat="1" ht="12" x14ac:dyDescent="0.2">
      <c r="A47" s="12" t="s">
        <v>127</v>
      </c>
      <c r="B47" s="13" t="str">
        <f>C49</f>
        <v>Training Activity #1 (Not in Use) - Detailed Allowance Cost Assumptions</v>
      </c>
    </row>
    <row r="48" spans="1:18" s="10" customFormat="1" ht="12" outlineLevel="1" x14ac:dyDescent="0.2"/>
    <row r="49" spans="3:10" s="10" customFormat="1" ht="12" outlineLevel="1" x14ac:dyDescent="0.2">
      <c r="C49" s="71" t="str">
        <f>HL_TOP_ACTV_2_Name&amp;" - "&amp;Lang_Detailed_Allowance_Cost_Assumptions</f>
        <v>Training Activity #1 (Not in Use) - Detailed Allowance Cost Assumptions</v>
      </c>
    </row>
    <row r="50" spans="3:10" s="10" customFormat="1" ht="48" outlineLevel="1" x14ac:dyDescent="0.2">
      <c r="D50" s="55" t="str">
        <f>Lang_Allowance_Type</f>
        <v>Allowance Type</v>
      </c>
      <c r="E50" s="85" t="str">
        <f>Lang_Allowance_Unit_Per_Day_Round_Trip_Travel</f>
        <v>Allowance Unit (e.g. Per Day, Round-trip Travel,etc.)</v>
      </c>
      <c r="F50" s="85" t="str">
        <f>Lang_Number_Of_Allowance_Units_Required</f>
        <v>Number of Allowance Units Required</v>
      </c>
      <c r="G50" s="86" t="str">
        <f ca="1">TRAIN_Lu!$D$30&amp;" "&amp;Lang_Cost_Per_Activity_Unit&amp;" ("&amp;OFFSET(TRAIN_Lu!$D$9,DD_TOP_ACTV_2_Detailed_Currency_Used,0)&amp;")"</f>
        <v>Financial Cost per Activity Unit (USD)</v>
      </c>
      <c r="H50" s="86" t="str">
        <f ca="1">TRAIN_Lu!$D$31&amp;" "&amp;Lang_Cost_Per_Activity_Unit&amp;" ("&amp;OFFSET(TRAIN_Lu!$D$9,DD_TOP_ACTV_2_Detailed_Currency_Used,0)&amp;")"</f>
        <v>Economic Cost per Activity Unit (USD)</v>
      </c>
      <c r="I50" s="87" t="str">
        <f>Lang_Evidence_For_Using_This_Cost_Information_Source_Or_Notes</f>
        <v>Evidence for Using this Cost Information (source or notes)</v>
      </c>
    </row>
    <row r="51" spans="3:10" s="10" customFormat="1" ht="12" outlineLevel="1" x14ac:dyDescent="0.2">
      <c r="D51" s="75" t="s">
        <v>163</v>
      </c>
      <c r="E51" s="75"/>
      <c r="F51" s="80">
        <v>0</v>
      </c>
      <c r="G51" s="80">
        <v>0</v>
      </c>
      <c r="H51" s="80">
        <v>0</v>
      </c>
      <c r="I51" s="75" t="s">
        <v>162</v>
      </c>
      <c r="J51" s="42">
        <f t="shared" ref="J51:J60" si="1">IF(H51&lt;G51,1,0)</f>
        <v>0</v>
      </c>
    </row>
    <row r="52" spans="3:10" s="10" customFormat="1" ht="12" outlineLevel="1" x14ac:dyDescent="0.2">
      <c r="D52" s="75" t="s">
        <v>164</v>
      </c>
      <c r="E52" s="75"/>
      <c r="F52" s="80">
        <v>0</v>
      </c>
      <c r="G52" s="80">
        <v>0</v>
      </c>
      <c r="H52" s="80">
        <v>0</v>
      </c>
      <c r="I52" s="75" t="s">
        <v>162</v>
      </c>
      <c r="J52" s="42">
        <f t="shared" si="1"/>
        <v>0</v>
      </c>
    </row>
    <row r="53" spans="3:10" s="10" customFormat="1" ht="12" outlineLevel="1" x14ac:dyDescent="0.2">
      <c r="D53" s="75" t="s">
        <v>165</v>
      </c>
      <c r="E53" s="75"/>
      <c r="F53" s="80">
        <v>0</v>
      </c>
      <c r="G53" s="80">
        <v>0</v>
      </c>
      <c r="H53" s="80">
        <v>0</v>
      </c>
      <c r="I53" s="75" t="s">
        <v>162</v>
      </c>
      <c r="J53" s="42">
        <f t="shared" si="1"/>
        <v>0</v>
      </c>
    </row>
    <row r="54" spans="3:10" s="10" customFormat="1" ht="12" outlineLevel="1" x14ac:dyDescent="0.2">
      <c r="D54" s="75" t="s">
        <v>166</v>
      </c>
      <c r="E54" s="75"/>
      <c r="F54" s="80">
        <v>0</v>
      </c>
      <c r="G54" s="80">
        <v>0</v>
      </c>
      <c r="H54" s="80">
        <v>0</v>
      </c>
      <c r="I54" s="75" t="s">
        <v>162</v>
      </c>
      <c r="J54" s="42">
        <f t="shared" si="1"/>
        <v>0</v>
      </c>
    </row>
    <row r="55" spans="3:10" s="10" customFormat="1" ht="12" outlineLevel="1" x14ac:dyDescent="0.2">
      <c r="D55" s="75" t="s">
        <v>167</v>
      </c>
      <c r="E55" s="75"/>
      <c r="F55" s="80">
        <v>0</v>
      </c>
      <c r="G55" s="80">
        <v>0</v>
      </c>
      <c r="H55" s="80">
        <v>0</v>
      </c>
      <c r="I55" s="75" t="s">
        <v>162</v>
      </c>
      <c r="J55" s="42">
        <f t="shared" si="1"/>
        <v>0</v>
      </c>
    </row>
    <row r="56" spans="3:10" s="10" customFormat="1" ht="12" outlineLevel="1" x14ac:dyDescent="0.2">
      <c r="D56" s="75" t="s">
        <v>168</v>
      </c>
      <c r="E56" s="75"/>
      <c r="F56" s="80">
        <v>0</v>
      </c>
      <c r="G56" s="80">
        <v>0</v>
      </c>
      <c r="H56" s="80">
        <v>0</v>
      </c>
      <c r="I56" s="75" t="s">
        <v>162</v>
      </c>
      <c r="J56" s="42">
        <f t="shared" si="1"/>
        <v>0</v>
      </c>
    </row>
    <row r="57" spans="3:10" s="10" customFormat="1" ht="12" outlineLevel="1" x14ac:dyDescent="0.2">
      <c r="D57" s="75" t="s">
        <v>169</v>
      </c>
      <c r="E57" s="88"/>
      <c r="F57" s="80">
        <v>0</v>
      </c>
      <c r="G57" s="80">
        <v>0</v>
      </c>
      <c r="H57" s="80">
        <v>0</v>
      </c>
      <c r="I57" s="75" t="s">
        <v>162</v>
      </c>
      <c r="J57" s="42">
        <f t="shared" si="1"/>
        <v>0</v>
      </c>
    </row>
    <row r="58" spans="3:10" s="10" customFormat="1" ht="12" outlineLevel="1" x14ac:dyDescent="0.2">
      <c r="D58" s="75" t="s">
        <v>170</v>
      </c>
      <c r="E58" s="88"/>
      <c r="F58" s="80">
        <v>0</v>
      </c>
      <c r="G58" s="80">
        <v>0</v>
      </c>
      <c r="H58" s="80">
        <v>0</v>
      </c>
      <c r="I58" s="75" t="s">
        <v>162</v>
      </c>
      <c r="J58" s="42">
        <f t="shared" si="1"/>
        <v>0</v>
      </c>
    </row>
    <row r="59" spans="3:10" s="10" customFormat="1" ht="12" outlineLevel="1" x14ac:dyDescent="0.2">
      <c r="D59" s="75" t="s">
        <v>171</v>
      </c>
      <c r="E59" s="88"/>
      <c r="F59" s="80">
        <v>0</v>
      </c>
      <c r="G59" s="80">
        <v>0</v>
      </c>
      <c r="H59" s="80">
        <v>0</v>
      </c>
      <c r="I59" s="75" t="s">
        <v>162</v>
      </c>
      <c r="J59" s="42">
        <f t="shared" si="1"/>
        <v>0</v>
      </c>
    </row>
    <row r="60" spans="3:10" s="10" customFormat="1" ht="12" outlineLevel="1" x14ac:dyDescent="0.2">
      <c r="D60" s="75" t="s">
        <v>172</v>
      </c>
      <c r="E60" s="88"/>
      <c r="F60" s="80">
        <v>0</v>
      </c>
      <c r="G60" s="80">
        <v>0</v>
      </c>
      <c r="H60" s="80">
        <v>0</v>
      </c>
      <c r="I60" s="75" t="s">
        <v>162</v>
      </c>
      <c r="J60" s="42">
        <f t="shared" si="1"/>
        <v>0</v>
      </c>
    </row>
    <row r="61" spans="3:10" s="10" customFormat="1" ht="12" outlineLevel="1" x14ac:dyDescent="0.2">
      <c r="D61" s="55" t="str">
        <f>Lang_Error_Check_Flags_If_Input_Econ_Cost_Is_Less_Than_Fin_Cost</f>
        <v>ERROR CHECK (FLAGS IF INPUT ECONOMIC COST IS LESS THAN FINANCIAL COST)</v>
      </c>
      <c r="J61" s="43">
        <f>IF(ISERROR(SUM(J51:J60)),1,MIN(SUM(J51:J60),1))</f>
        <v>0</v>
      </c>
    </row>
    <row r="62" spans="3:10" s="10" customFormat="1" ht="12" outlineLevel="1" x14ac:dyDescent="0.2"/>
    <row r="63" spans="3:10" s="10" customFormat="1" ht="12" outlineLevel="1" x14ac:dyDescent="0.2">
      <c r="D63" s="76" t="str">
        <f>Lang_GoTo&amp;" "&amp;HL_TOP_ACTV_2_Out_A</f>
        <v>Go to Training Activity #1 (Not in Use) Allowances - Outputs</v>
      </c>
    </row>
    <row r="64" spans="3:10" s="10" customFormat="1" ht="12" x14ac:dyDescent="0.2"/>
    <row r="65" spans="1:10" s="13" customFormat="1" ht="12" x14ac:dyDescent="0.2">
      <c r="A65" s="12" t="s">
        <v>127</v>
      </c>
      <c r="B65" s="13" t="str">
        <f>C67</f>
        <v>Training Activity #1 (Not in Use) - Detailed Supply and Material Cost Assumptions</v>
      </c>
    </row>
    <row r="66" spans="1:10" s="10" customFormat="1" ht="12" outlineLevel="1" x14ac:dyDescent="0.2"/>
    <row r="67" spans="1:10" s="10" customFormat="1" ht="12" outlineLevel="1" x14ac:dyDescent="0.2">
      <c r="C67" s="71" t="str">
        <f>HL_TOP_ACTV_2_Name&amp;" - "&amp;Lang_Detailed_Supply_And_Material_Cost_Assumptions</f>
        <v>Training Activity #1 (Not in Use) - Detailed Supply and Material Cost Assumptions</v>
      </c>
    </row>
    <row r="68" spans="1:10" s="10" customFormat="1" ht="48" outlineLevel="1" x14ac:dyDescent="0.2">
      <c r="D68" s="55" t="str">
        <f>Lang_Supply_Type</f>
        <v>Supply Type</v>
      </c>
      <c r="E68" s="85" t="str">
        <f>Lang_Supply_Unit_Each_Dozen_100_Pack</f>
        <v>Supply Unit (e.g. Each, Dozen, 100-pack,etc.)</v>
      </c>
      <c r="F68" s="85" t="str">
        <f>Lang_Number_Of_Supply_Units_Required</f>
        <v>Number of Supply Units Required</v>
      </c>
      <c r="G68" s="86" t="str">
        <f ca="1">TRAIN_Lu!$D$30&amp;" "&amp;Lang_Cost_Per_Activity_Unit&amp;" ("&amp;OFFSET(TRAIN_Lu!$D$9,DD_TOP_ACTV_2_Detailed_Currency_Used,0)&amp;")"</f>
        <v>Financial Cost per Activity Unit (USD)</v>
      </c>
      <c r="H68" s="86" t="str">
        <f ca="1">TRAIN_Lu!$D$31&amp;" "&amp;Lang_Cost_Per_Activity_Unit&amp;" ("&amp;OFFSET(TRAIN_Lu!$D$9,DD_TOP_ACTV_2_Detailed_Currency_Used,0)&amp;")"</f>
        <v>Economic Cost per Activity Unit (USD)</v>
      </c>
      <c r="I68" s="87" t="str">
        <f>Lang_Evidence_For_Using_This_Cost_Information_Source_Or_Notes</f>
        <v>Evidence for Using this Cost Information (source or notes)</v>
      </c>
    </row>
    <row r="69" spans="1:10" s="10" customFormat="1" ht="12" outlineLevel="1" x14ac:dyDescent="0.2">
      <c r="D69" s="75" t="s">
        <v>173</v>
      </c>
      <c r="E69" s="75"/>
      <c r="F69" s="80">
        <v>0</v>
      </c>
      <c r="G69" s="80">
        <v>0</v>
      </c>
      <c r="H69" s="80">
        <v>0</v>
      </c>
      <c r="I69" s="75" t="s">
        <v>162</v>
      </c>
      <c r="J69" s="42">
        <f t="shared" ref="J69:J78" si="2">IF(H69&lt;G69,1,0)</f>
        <v>0</v>
      </c>
    </row>
    <row r="70" spans="1:10" s="10" customFormat="1" ht="12" outlineLevel="1" x14ac:dyDescent="0.2">
      <c r="D70" s="75" t="s">
        <v>174</v>
      </c>
      <c r="E70" s="88"/>
      <c r="F70" s="80">
        <v>0</v>
      </c>
      <c r="G70" s="80">
        <v>0</v>
      </c>
      <c r="H70" s="80">
        <v>0</v>
      </c>
      <c r="I70" s="75" t="s">
        <v>162</v>
      </c>
      <c r="J70" s="42">
        <f t="shared" si="2"/>
        <v>0</v>
      </c>
    </row>
    <row r="71" spans="1:10" s="10" customFormat="1" ht="12" outlineLevel="1" x14ac:dyDescent="0.2">
      <c r="D71" s="75" t="s">
        <v>175</v>
      </c>
      <c r="E71" s="88"/>
      <c r="F71" s="80">
        <v>0</v>
      </c>
      <c r="G71" s="80">
        <v>0</v>
      </c>
      <c r="H71" s="80">
        <v>0</v>
      </c>
      <c r="I71" s="75" t="s">
        <v>162</v>
      </c>
      <c r="J71" s="42">
        <f t="shared" si="2"/>
        <v>0</v>
      </c>
    </row>
    <row r="72" spans="1:10" s="10" customFormat="1" ht="12" outlineLevel="1" x14ac:dyDescent="0.2">
      <c r="D72" s="75" t="s">
        <v>176</v>
      </c>
      <c r="E72" s="88"/>
      <c r="F72" s="80">
        <v>0</v>
      </c>
      <c r="G72" s="80">
        <v>0</v>
      </c>
      <c r="H72" s="80">
        <v>0</v>
      </c>
      <c r="I72" s="75" t="s">
        <v>162</v>
      </c>
      <c r="J72" s="42">
        <f t="shared" si="2"/>
        <v>0</v>
      </c>
    </row>
    <row r="73" spans="1:10" s="10" customFormat="1" ht="12" outlineLevel="1" x14ac:dyDescent="0.2">
      <c r="D73" s="75" t="s">
        <v>177</v>
      </c>
      <c r="E73" s="88"/>
      <c r="F73" s="80">
        <v>0</v>
      </c>
      <c r="G73" s="80">
        <v>0</v>
      </c>
      <c r="H73" s="80">
        <v>0</v>
      </c>
      <c r="I73" s="75" t="s">
        <v>162</v>
      </c>
      <c r="J73" s="42">
        <f t="shared" si="2"/>
        <v>0</v>
      </c>
    </row>
    <row r="74" spans="1:10" s="10" customFormat="1" ht="12" outlineLevel="1" x14ac:dyDescent="0.2">
      <c r="D74" s="75" t="s">
        <v>178</v>
      </c>
      <c r="E74" s="88"/>
      <c r="F74" s="80">
        <v>0</v>
      </c>
      <c r="G74" s="80">
        <v>0</v>
      </c>
      <c r="H74" s="80">
        <v>0</v>
      </c>
      <c r="I74" s="75" t="s">
        <v>162</v>
      </c>
      <c r="J74" s="42">
        <f t="shared" si="2"/>
        <v>0</v>
      </c>
    </row>
    <row r="75" spans="1:10" s="10" customFormat="1" ht="12" outlineLevel="1" x14ac:dyDescent="0.2">
      <c r="D75" s="75" t="s">
        <v>179</v>
      </c>
      <c r="E75" s="88"/>
      <c r="F75" s="80">
        <v>0</v>
      </c>
      <c r="G75" s="80">
        <v>0</v>
      </c>
      <c r="H75" s="80">
        <v>0</v>
      </c>
      <c r="I75" s="75" t="s">
        <v>162</v>
      </c>
      <c r="J75" s="42">
        <f t="shared" si="2"/>
        <v>0</v>
      </c>
    </row>
    <row r="76" spans="1:10" s="10" customFormat="1" ht="12" outlineLevel="1" x14ac:dyDescent="0.2">
      <c r="D76" s="75" t="s">
        <v>180</v>
      </c>
      <c r="E76" s="88"/>
      <c r="F76" s="80">
        <v>0</v>
      </c>
      <c r="G76" s="80">
        <v>0</v>
      </c>
      <c r="H76" s="80">
        <v>0</v>
      </c>
      <c r="I76" s="75" t="s">
        <v>162</v>
      </c>
      <c r="J76" s="42">
        <f t="shared" si="2"/>
        <v>0</v>
      </c>
    </row>
    <row r="77" spans="1:10" s="10" customFormat="1" ht="12" outlineLevel="1" x14ac:dyDescent="0.2">
      <c r="D77" s="75" t="s">
        <v>181</v>
      </c>
      <c r="E77" s="88"/>
      <c r="F77" s="80">
        <v>0</v>
      </c>
      <c r="G77" s="80">
        <v>0</v>
      </c>
      <c r="H77" s="80">
        <v>0</v>
      </c>
      <c r="I77" s="75" t="s">
        <v>162</v>
      </c>
      <c r="J77" s="42">
        <f t="shared" si="2"/>
        <v>0</v>
      </c>
    </row>
    <row r="78" spans="1:10" s="10" customFormat="1" ht="12" outlineLevel="1" x14ac:dyDescent="0.2">
      <c r="D78" s="75" t="s">
        <v>182</v>
      </c>
      <c r="E78" s="88"/>
      <c r="F78" s="80">
        <v>0</v>
      </c>
      <c r="G78" s="80">
        <v>0</v>
      </c>
      <c r="H78" s="80">
        <v>0</v>
      </c>
      <c r="I78" s="75" t="s">
        <v>162</v>
      </c>
      <c r="J78" s="42">
        <f t="shared" si="2"/>
        <v>0</v>
      </c>
    </row>
    <row r="79" spans="1:10" s="10" customFormat="1" ht="12" outlineLevel="1" x14ac:dyDescent="0.2">
      <c r="D79" s="55" t="str">
        <f>Lang_Error_Check_Flags_If_Input_Econ_Cost_Is_Less_Than_Fin_Cost</f>
        <v>ERROR CHECK (FLAGS IF INPUT ECONOMIC COST IS LESS THAN FINANCIAL COST)</v>
      </c>
      <c r="J79" s="43">
        <f>IF(ISERROR(SUM(J69:J78)),1,MIN(SUM(J69:J78),1))</f>
        <v>0</v>
      </c>
    </row>
    <row r="80" spans="1:10" s="10" customFormat="1" ht="12" outlineLevel="1" x14ac:dyDescent="0.2"/>
    <row r="81" spans="1:10" s="10" customFormat="1" ht="12" outlineLevel="1" x14ac:dyDescent="0.2">
      <c r="D81" s="76" t="str">
        <f>Lang_GoTo&amp;" "&amp;HL_TOP_ACTV_2_Supplies_and_Materials_Outputs</f>
        <v>Go to Training Activity #1 (Not in Use) Supplies and Materials - Outputs</v>
      </c>
    </row>
    <row r="82" spans="1:10" s="10" customFormat="1" ht="12" x14ac:dyDescent="0.2"/>
    <row r="83" spans="1:10" s="13" customFormat="1" ht="12" x14ac:dyDescent="0.2">
      <c r="A83" s="12" t="s">
        <v>127</v>
      </c>
      <c r="B83" s="13" t="str">
        <f>C85</f>
        <v>Training Activity #1 (Not in Use) - Detailed Other Direct Cost Assumptions</v>
      </c>
    </row>
    <row r="84" spans="1:10" s="10" customFormat="1" ht="12" outlineLevel="1" x14ac:dyDescent="0.2"/>
    <row r="85" spans="1:10" s="10" customFormat="1" ht="12" outlineLevel="1" x14ac:dyDescent="0.2">
      <c r="C85" s="71" t="str">
        <f>HL_TOP_ACTV_2_Name&amp;" - "&amp;Lang_Detailed_Other_Direct_Cost_Assumptions</f>
        <v>Training Activity #1 (Not in Use) - Detailed Other Direct Cost Assumptions</v>
      </c>
    </row>
    <row r="86" spans="1:10" s="10" customFormat="1" ht="48" outlineLevel="1" x14ac:dyDescent="0.2">
      <c r="D86" s="55" t="str">
        <f>Lang_Other_Direct_Cost_ODC_Type</f>
        <v>Other Direct Cost (ODC) Type</v>
      </c>
      <c r="E86" s="85" t="str">
        <f>Lang_ODC_Unit_Each_Dozen_100_Pack</f>
        <v>ODC Unit (e.g. Each, Dozen, 100-pack,etc.)</v>
      </c>
      <c r="F86" s="85" t="str">
        <f>Lang_Number_Of_ODC_Units_Required</f>
        <v>Number of ODC Units Required</v>
      </c>
      <c r="G86" s="86" t="str">
        <f ca="1">TRAIN_Lu!$D$30&amp;" "&amp;Lang_Cost_Per_Activity_Unit&amp;" ("&amp;OFFSET(TRAIN_Lu!$D$9,DD_TOP_ACTV_2_Detailed_Currency_Used,0)&amp;")"</f>
        <v>Financial Cost per Activity Unit (USD)</v>
      </c>
      <c r="H86" s="86" t="str">
        <f ca="1">TRAIN_Lu!$D$31&amp;" "&amp;Lang_Cost_Per_Activity_Unit&amp;" ("&amp;OFFSET(TRAIN_Lu!$D$9,DD_TOP_ACTV_2_Detailed_Currency_Used,0)&amp;")"</f>
        <v>Economic Cost per Activity Unit (USD)</v>
      </c>
      <c r="I86" s="87" t="str">
        <f>Lang_Evidence_For_Using_This_Cost_Information_Source_Or_Notes</f>
        <v>Evidence for Using this Cost Information (source or notes)</v>
      </c>
    </row>
    <row r="87" spans="1:10" s="10" customFormat="1" ht="12" outlineLevel="1" x14ac:dyDescent="0.2">
      <c r="D87" s="75" t="s">
        <v>183</v>
      </c>
      <c r="E87" s="75"/>
      <c r="F87" s="80">
        <v>0</v>
      </c>
      <c r="G87" s="80">
        <v>0</v>
      </c>
      <c r="H87" s="80">
        <v>0</v>
      </c>
      <c r="I87" s="75" t="s">
        <v>162</v>
      </c>
      <c r="J87" s="42">
        <f t="shared" ref="J87:J96" si="3">IF(H87&lt;G87,1,0)</f>
        <v>0</v>
      </c>
    </row>
    <row r="88" spans="1:10" s="10" customFormat="1" ht="12" outlineLevel="1" x14ac:dyDescent="0.2">
      <c r="D88" s="75" t="s">
        <v>184</v>
      </c>
      <c r="E88" s="75"/>
      <c r="F88" s="80">
        <v>0</v>
      </c>
      <c r="G88" s="80">
        <v>0</v>
      </c>
      <c r="H88" s="80">
        <v>0</v>
      </c>
      <c r="I88" s="75" t="s">
        <v>162</v>
      </c>
      <c r="J88" s="42">
        <f t="shared" si="3"/>
        <v>0</v>
      </c>
    </row>
    <row r="89" spans="1:10" s="10" customFormat="1" ht="12" outlineLevel="1" x14ac:dyDescent="0.2">
      <c r="D89" s="75" t="s">
        <v>185</v>
      </c>
      <c r="E89" s="75"/>
      <c r="F89" s="80">
        <v>0</v>
      </c>
      <c r="G89" s="80">
        <v>0</v>
      </c>
      <c r="H89" s="80">
        <v>0</v>
      </c>
      <c r="I89" s="75" t="s">
        <v>162</v>
      </c>
      <c r="J89" s="42">
        <f t="shared" si="3"/>
        <v>0</v>
      </c>
    </row>
    <row r="90" spans="1:10" s="10" customFormat="1" ht="12" outlineLevel="1" x14ac:dyDescent="0.2">
      <c r="D90" s="75" t="s">
        <v>186</v>
      </c>
      <c r="E90" s="75"/>
      <c r="F90" s="80">
        <v>0</v>
      </c>
      <c r="G90" s="80">
        <v>0</v>
      </c>
      <c r="H90" s="80">
        <v>0</v>
      </c>
      <c r="I90" s="75" t="s">
        <v>162</v>
      </c>
      <c r="J90" s="42">
        <f t="shared" si="3"/>
        <v>0</v>
      </c>
    </row>
    <row r="91" spans="1:10" s="10" customFormat="1" ht="12" outlineLevel="1" x14ac:dyDescent="0.2">
      <c r="D91" s="75" t="s">
        <v>187</v>
      </c>
      <c r="E91" s="88"/>
      <c r="F91" s="80">
        <v>0</v>
      </c>
      <c r="G91" s="80">
        <v>0</v>
      </c>
      <c r="H91" s="80">
        <v>0</v>
      </c>
      <c r="I91" s="75" t="s">
        <v>162</v>
      </c>
      <c r="J91" s="42">
        <f t="shared" si="3"/>
        <v>0</v>
      </c>
    </row>
    <row r="92" spans="1:10" s="10" customFormat="1" ht="12" outlineLevel="1" x14ac:dyDescent="0.2">
      <c r="D92" s="75" t="s">
        <v>188</v>
      </c>
      <c r="E92" s="88"/>
      <c r="F92" s="80">
        <v>0</v>
      </c>
      <c r="G92" s="80">
        <v>0</v>
      </c>
      <c r="H92" s="80">
        <v>0</v>
      </c>
      <c r="I92" s="75" t="s">
        <v>162</v>
      </c>
      <c r="J92" s="42">
        <f t="shared" si="3"/>
        <v>0</v>
      </c>
    </row>
    <row r="93" spans="1:10" s="10" customFormat="1" ht="12" outlineLevel="1" x14ac:dyDescent="0.2">
      <c r="D93" s="75" t="s">
        <v>189</v>
      </c>
      <c r="E93" s="88"/>
      <c r="F93" s="80">
        <v>0</v>
      </c>
      <c r="G93" s="80">
        <v>0</v>
      </c>
      <c r="H93" s="80">
        <v>0</v>
      </c>
      <c r="I93" s="75" t="s">
        <v>162</v>
      </c>
      <c r="J93" s="42">
        <f t="shared" si="3"/>
        <v>0</v>
      </c>
    </row>
    <row r="94" spans="1:10" s="10" customFormat="1" ht="12" outlineLevel="1" x14ac:dyDescent="0.2">
      <c r="D94" s="75" t="s">
        <v>190</v>
      </c>
      <c r="E94" s="88"/>
      <c r="F94" s="80">
        <v>0</v>
      </c>
      <c r="G94" s="80">
        <v>0</v>
      </c>
      <c r="H94" s="80">
        <v>0</v>
      </c>
      <c r="I94" s="75" t="s">
        <v>162</v>
      </c>
      <c r="J94" s="42">
        <f t="shared" si="3"/>
        <v>0</v>
      </c>
    </row>
    <row r="95" spans="1:10" s="10" customFormat="1" ht="12" outlineLevel="1" x14ac:dyDescent="0.2">
      <c r="D95" s="75" t="s">
        <v>191</v>
      </c>
      <c r="E95" s="88"/>
      <c r="F95" s="80">
        <v>0</v>
      </c>
      <c r="G95" s="80">
        <v>0</v>
      </c>
      <c r="H95" s="80">
        <v>0</v>
      </c>
      <c r="I95" s="75" t="s">
        <v>162</v>
      </c>
      <c r="J95" s="42">
        <f t="shared" si="3"/>
        <v>0</v>
      </c>
    </row>
    <row r="96" spans="1:10" s="10" customFormat="1" ht="12" outlineLevel="1" x14ac:dyDescent="0.2">
      <c r="D96" s="75" t="s">
        <v>192</v>
      </c>
      <c r="E96" s="88"/>
      <c r="F96" s="80">
        <v>0</v>
      </c>
      <c r="G96" s="80">
        <v>0</v>
      </c>
      <c r="H96" s="80">
        <v>0</v>
      </c>
      <c r="I96" s="75" t="s">
        <v>162</v>
      </c>
      <c r="J96" s="42">
        <f t="shared" si="3"/>
        <v>0</v>
      </c>
    </row>
    <row r="97" spans="1:10" s="10" customFormat="1" ht="12" outlineLevel="1" x14ac:dyDescent="0.2">
      <c r="D97" s="55" t="str">
        <f>Lang_Error_Check_Flags_If_Input_Econ_Cost_Is_Less_Than_Fin_Cost</f>
        <v>ERROR CHECK (FLAGS IF INPUT ECONOMIC COST IS LESS THAN FINANCIAL COST)</v>
      </c>
      <c r="J97" s="43">
        <f>IF(ISERROR(SUM(J87:J96)),1,MIN(SUM(J87:J96),1))</f>
        <v>0</v>
      </c>
    </row>
    <row r="98" spans="1:10" s="10" customFormat="1" ht="12" outlineLevel="1" x14ac:dyDescent="0.2"/>
    <row r="99" spans="1:10" s="10" customFormat="1" ht="12" outlineLevel="1" x14ac:dyDescent="0.2">
      <c r="D99" s="76" t="str">
        <f>Lang_GoTo&amp;" "&amp;HL_TOP_ACTV_2_Other_Direct_Costs_Outputs</f>
        <v>Go to Training Activity #1 (Not in Use) Other Direct Costs - Outputs</v>
      </c>
    </row>
    <row r="100" spans="1:10" s="10" customFormat="1" ht="12" x14ac:dyDescent="0.2"/>
    <row r="101" spans="1:10" s="13" customFormat="1" ht="12" x14ac:dyDescent="0.2">
      <c r="A101" s="12" t="s">
        <v>125</v>
      </c>
      <c r="B101" s="13" t="str">
        <f>C103</f>
        <v>Training Activity #2 (Not in Use) -  Detailed Activity Costing Worksheet - Instructions</v>
      </c>
    </row>
    <row r="102" spans="1:10" s="10" customFormat="1" ht="12" outlineLevel="1" x14ac:dyDescent="0.2"/>
    <row r="103" spans="1:10" s="10" customFormat="1" ht="12" outlineLevel="1" x14ac:dyDescent="0.2">
      <c r="C103" s="71" t="str">
        <f>HL_TOP_ACTV_13_Name&amp;" -  "&amp;Lang_Detailed_Activity_Costing_Worksheet_Instructions</f>
        <v>Training Activity #2 (Not in Use) -  Detailed Activity Costing Worksheet - Instructions</v>
      </c>
    </row>
    <row r="104" spans="1:10" s="10" customFormat="1" ht="12" outlineLevel="1" x14ac:dyDescent="0.2"/>
    <row r="105" spans="1:10" s="10" customFormat="1" ht="12" outlineLevel="1" x14ac:dyDescent="0.2">
      <c r="D105" s="50" t="str">
        <f>Lang_Detailed_Costing_Worksheets_Notes_1</f>
        <v>This detailed costing worksheet can be used to document the types and amounts of resources required to complete a single instance of an activity.</v>
      </c>
    </row>
    <row r="106" spans="1:10" s="10" customFormat="1" ht="12" outlineLevel="1" x14ac:dyDescent="0.2">
      <c r="D106" s="50" t="str">
        <f>Lang_Detailed_Costing_Worksheets_Notes_2</f>
        <v>When completed, it will automatically provide a single activity cost in the general assumption worksheet.</v>
      </c>
    </row>
    <row r="107" spans="1:10" s="10" customFormat="1" ht="12" outlineLevel="1" x14ac:dyDescent="0.2">
      <c r="D107" s="50" t="str">
        <f>Lang_Detailed_Costing_Worksheets_Notes_3</f>
        <v>The user may then choose to use the results of the detailed costing in the model, or override the detailed costing and insert alternate cost estimates.</v>
      </c>
    </row>
    <row r="108" spans="1:10" s="10" customFormat="1" ht="12" x14ac:dyDescent="0.2"/>
    <row r="109" spans="1:10" s="13" customFormat="1" ht="12" x14ac:dyDescent="0.2">
      <c r="A109" s="12" t="s">
        <v>125</v>
      </c>
      <c r="B109" s="13" t="str">
        <f>C111</f>
        <v>Training Activity #2 (Not in Use) - Detailed Activity Costing Worksheet - Currency Selection</v>
      </c>
    </row>
    <row r="110" spans="1:10" s="10" customFormat="1" ht="12" outlineLevel="1" x14ac:dyDescent="0.2"/>
    <row r="111" spans="1:10" s="10" customFormat="1" ht="12" outlineLevel="1" x14ac:dyDescent="0.2">
      <c r="C111" s="71" t="str">
        <f>HL_TOP_ACTV_13_Name&amp;" - "&amp;Lang_Detailed_Activity_Costing_Worksheet_Currency_Selection</f>
        <v>Training Activity #2 (Not in Use) - Detailed Activity Costing Worksheet - Currency Selection</v>
      </c>
    </row>
    <row r="112" spans="1:10" s="10" customFormat="1" ht="12" outlineLevel="1" x14ac:dyDescent="0.2">
      <c r="D112" s="55" t="str">
        <f>Lang_Currency_Used_For_Cost_Inputs</f>
        <v>Currency Used for Cost Inputs</v>
      </c>
      <c r="E112" s="72">
        <v>1</v>
      </c>
    </row>
    <row r="113" spans="1:13" s="10" customFormat="1" ht="12" outlineLevel="1" x14ac:dyDescent="0.2"/>
    <row r="114" spans="1:13" s="10" customFormat="1" ht="12" outlineLevel="1" x14ac:dyDescent="0.2"/>
    <row r="115" spans="1:13" s="10" customFormat="1" ht="12" outlineLevel="1" x14ac:dyDescent="0.2">
      <c r="D115" s="54" t="str">
        <f>Lang_Imported_From_Econ_Module</f>
        <v>Imported from Econ Module</v>
      </c>
    </row>
    <row r="116" spans="1:13" s="10" customFormat="1" ht="12" outlineLevel="1" x14ac:dyDescent="0.2">
      <c r="D116" s="49" t="str">
        <f>ECONOMICS!F7</f>
        <v>USD</v>
      </c>
    </row>
    <row r="117" spans="1:13" s="10" customFormat="1" ht="12" outlineLevel="1" x14ac:dyDescent="0.2">
      <c r="D117" s="49" t="str">
        <f>ECONOMICS!F8</f>
        <v>LCU</v>
      </c>
    </row>
    <row r="118" spans="1:13" s="10" customFormat="1" ht="12" outlineLevel="1" x14ac:dyDescent="0.2"/>
    <row r="119" spans="1:13" s="10" customFormat="1" ht="12" outlineLevel="1" x14ac:dyDescent="0.2">
      <c r="D119" s="50" t="str">
        <f>Lang_Exchange_Rate_From_Econ</f>
        <v>Exchange Rate (from Economics)</v>
      </c>
      <c r="E119" s="41">
        <f>ECONOMICS!E13</f>
        <v>1234.5</v>
      </c>
    </row>
    <row r="120" spans="1:13" s="10" customFormat="1" ht="12" x14ac:dyDescent="0.2"/>
    <row r="121" spans="1:13" s="13" customFormat="1" ht="12" x14ac:dyDescent="0.2">
      <c r="A121" s="12" t="s">
        <v>127</v>
      </c>
      <c r="B121" s="13" t="str">
        <f>C123</f>
        <v>Training Activity #2 (Not in Use) - Detailed Personnel Cost Assumptions</v>
      </c>
    </row>
    <row r="122" spans="1:13" s="10" customFormat="1" ht="12" outlineLevel="1" x14ac:dyDescent="0.2">
      <c r="L122"/>
    </row>
    <row r="123" spans="1:13" s="10" customFormat="1" ht="12" outlineLevel="1" x14ac:dyDescent="0.2">
      <c r="C123" s="71" t="str">
        <f>HL_TOP_ACTV_13_Name&amp;" - "&amp;Lang_Detailed_Personnel_Cost_Assumptions</f>
        <v>Training Activity #2 (Not in Use) - Detailed Personnel Cost Assumptions</v>
      </c>
      <c r="L123"/>
      <c r="M123"/>
    </row>
    <row r="124" spans="1:13" s="10" customFormat="1" ht="48" outlineLevel="1" x14ac:dyDescent="0.2">
      <c r="D124" s="55" t="str">
        <f>Lang_Personnel_Cadre_Type</f>
        <v>Personnel Cadre Type</v>
      </c>
      <c r="E124" s="85" t="str">
        <f>Lang_Activity_Unit_Day_Hour_Minute</f>
        <v>Activity Unit (e.g. Day, Hour, Minute)</v>
      </c>
      <c r="F124" s="85" t="str">
        <f>Lang_Number_Of_Activity_Units_Required</f>
        <v>Number of Activity Units Required</v>
      </c>
      <c r="G124" s="86" t="str">
        <f ca="1">TRAIN_Lu!$D$65&amp;" "&amp;Lang_Cost_Per_Activity_Unit&amp;" ("&amp;OFFSET(TRAIN_Lu!$D$44,DD_TOP_ACTV_13_Detailed_Currency_Used,0)&amp;")"</f>
        <v>Financial Cost per Activity Unit (USD)</v>
      </c>
      <c r="H124" s="86" t="str">
        <f ca="1">TRAIN_Lu!$D$66&amp;" "&amp;Lang_Cost_Per_Activity_Unit&amp;" ("&amp;OFFSET(TRAIN_Lu!$D$44,DD_TOP_ACTV_13_Detailed_Currency_Used,0)&amp;")"</f>
        <v>Economic Cost per Activity Unit (USD)</v>
      </c>
      <c r="I124" s="87" t="str">
        <f>Lang_Evidence_For_Using_This_Cost_Information_Source_Or_Notes</f>
        <v>Evidence for Using this Cost Information (source or notes)</v>
      </c>
      <c r="L124"/>
      <c r="M124"/>
    </row>
    <row r="125" spans="1:13" s="10" customFormat="1" ht="12" outlineLevel="1" x14ac:dyDescent="0.2">
      <c r="D125" s="75" t="s">
        <v>152</v>
      </c>
      <c r="E125" s="75"/>
      <c r="F125" s="80">
        <v>0</v>
      </c>
      <c r="G125" s="80">
        <v>0</v>
      </c>
      <c r="H125" s="80">
        <v>0</v>
      </c>
      <c r="I125" s="75" t="s">
        <v>162</v>
      </c>
      <c r="J125" s="42">
        <f t="shared" ref="J125:J139" si="4">IF(H125&lt;G125,1,0)</f>
        <v>0</v>
      </c>
    </row>
    <row r="126" spans="1:13" s="10" customFormat="1" ht="12" outlineLevel="1" x14ac:dyDescent="0.2">
      <c r="D126" s="75" t="s">
        <v>153</v>
      </c>
      <c r="E126" s="75"/>
      <c r="F126" s="80">
        <v>0</v>
      </c>
      <c r="G126" s="80">
        <v>0</v>
      </c>
      <c r="H126" s="80">
        <v>0</v>
      </c>
      <c r="I126" s="75" t="s">
        <v>162</v>
      </c>
      <c r="J126" s="42">
        <f t="shared" si="4"/>
        <v>0</v>
      </c>
    </row>
    <row r="127" spans="1:13" s="10" customFormat="1" ht="12" outlineLevel="1" x14ac:dyDescent="0.2">
      <c r="D127" s="75" t="s">
        <v>154</v>
      </c>
      <c r="E127" s="75"/>
      <c r="F127" s="80">
        <v>0</v>
      </c>
      <c r="G127" s="80">
        <v>0</v>
      </c>
      <c r="H127" s="80">
        <v>0</v>
      </c>
      <c r="I127" s="75" t="s">
        <v>162</v>
      </c>
      <c r="J127" s="42">
        <f t="shared" si="4"/>
        <v>0</v>
      </c>
    </row>
    <row r="128" spans="1:13" s="10" customFormat="1" ht="12" outlineLevel="1" x14ac:dyDescent="0.2">
      <c r="D128" s="75" t="s">
        <v>155</v>
      </c>
      <c r="E128" s="75"/>
      <c r="F128" s="80">
        <v>0</v>
      </c>
      <c r="G128" s="80">
        <v>0</v>
      </c>
      <c r="H128" s="80">
        <v>0</v>
      </c>
      <c r="I128" s="75" t="s">
        <v>162</v>
      </c>
      <c r="J128" s="42">
        <f t="shared" si="4"/>
        <v>0</v>
      </c>
    </row>
    <row r="129" spans="1:10" s="10" customFormat="1" ht="12" outlineLevel="1" x14ac:dyDescent="0.2">
      <c r="D129" s="75" t="s">
        <v>156</v>
      </c>
      <c r="E129" s="88"/>
      <c r="F129" s="80">
        <v>0</v>
      </c>
      <c r="G129" s="80">
        <v>0</v>
      </c>
      <c r="H129" s="80">
        <v>0</v>
      </c>
      <c r="I129" s="75" t="s">
        <v>162</v>
      </c>
      <c r="J129" s="42">
        <f t="shared" si="4"/>
        <v>0</v>
      </c>
    </row>
    <row r="130" spans="1:10" s="10" customFormat="1" ht="12" outlineLevel="1" x14ac:dyDescent="0.2">
      <c r="D130" s="75" t="s">
        <v>157</v>
      </c>
      <c r="E130" s="88"/>
      <c r="F130" s="80">
        <v>0</v>
      </c>
      <c r="G130" s="80">
        <v>0</v>
      </c>
      <c r="H130" s="80">
        <v>0</v>
      </c>
      <c r="I130" s="75" t="s">
        <v>162</v>
      </c>
      <c r="J130" s="42">
        <f t="shared" si="4"/>
        <v>0</v>
      </c>
    </row>
    <row r="131" spans="1:10" s="10" customFormat="1" ht="12" outlineLevel="1" x14ac:dyDescent="0.2">
      <c r="D131" s="75" t="s">
        <v>158</v>
      </c>
      <c r="E131" s="88"/>
      <c r="F131" s="80">
        <v>0</v>
      </c>
      <c r="G131" s="80">
        <v>0</v>
      </c>
      <c r="H131" s="80">
        <v>0</v>
      </c>
      <c r="I131" s="75" t="s">
        <v>162</v>
      </c>
      <c r="J131" s="42">
        <f t="shared" si="4"/>
        <v>0</v>
      </c>
    </row>
    <row r="132" spans="1:10" s="10" customFormat="1" ht="12" outlineLevel="1" x14ac:dyDescent="0.2">
      <c r="D132" s="75" t="s">
        <v>159</v>
      </c>
      <c r="E132" s="88"/>
      <c r="F132" s="80">
        <v>0</v>
      </c>
      <c r="G132" s="80">
        <v>0</v>
      </c>
      <c r="H132" s="80">
        <v>0</v>
      </c>
      <c r="I132" s="75" t="s">
        <v>162</v>
      </c>
      <c r="J132" s="42">
        <f t="shared" si="4"/>
        <v>0</v>
      </c>
    </row>
    <row r="133" spans="1:10" s="10" customFormat="1" ht="12" outlineLevel="1" x14ac:dyDescent="0.2">
      <c r="D133" s="75" t="s">
        <v>160</v>
      </c>
      <c r="E133" s="88"/>
      <c r="F133" s="80">
        <v>0</v>
      </c>
      <c r="G133" s="80">
        <v>0</v>
      </c>
      <c r="H133" s="80">
        <v>0</v>
      </c>
      <c r="I133" s="75" t="s">
        <v>162</v>
      </c>
      <c r="J133" s="42">
        <f t="shared" si="4"/>
        <v>0</v>
      </c>
    </row>
    <row r="134" spans="1:10" s="10" customFormat="1" ht="12" outlineLevel="1" x14ac:dyDescent="0.2">
      <c r="D134" s="75" t="s">
        <v>161</v>
      </c>
      <c r="E134" s="88"/>
      <c r="F134" s="80">
        <v>0</v>
      </c>
      <c r="G134" s="80">
        <v>0</v>
      </c>
      <c r="H134" s="80">
        <v>0</v>
      </c>
      <c r="I134" s="75" t="s">
        <v>162</v>
      </c>
      <c r="J134" s="42">
        <f t="shared" si="4"/>
        <v>0</v>
      </c>
    </row>
    <row r="135" spans="1:10" s="10" customFormat="1" ht="12" outlineLevel="1" x14ac:dyDescent="0.2">
      <c r="D135" s="75" t="s">
        <v>393</v>
      </c>
      <c r="E135" s="88"/>
      <c r="F135" s="80">
        <v>0</v>
      </c>
      <c r="G135" s="80">
        <v>0</v>
      </c>
      <c r="H135" s="80">
        <v>0</v>
      </c>
      <c r="I135" s="75" t="s">
        <v>162</v>
      </c>
      <c r="J135" s="42">
        <f t="shared" si="4"/>
        <v>0</v>
      </c>
    </row>
    <row r="136" spans="1:10" s="10" customFormat="1" ht="12" outlineLevel="1" x14ac:dyDescent="0.2">
      <c r="D136" s="75" t="s">
        <v>394</v>
      </c>
      <c r="E136" s="88"/>
      <c r="F136" s="80">
        <v>0</v>
      </c>
      <c r="G136" s="80">
        <v>0</v>
      </c>
      <c r="H136" s="80">
        <v>0</v>
      </c>
      <c r="I136" s="75" t="s">
        <v>162</v>
      </c>
      <c r="J136" s="42">
        <f t="shared" si="4"/>
        <v>0</v>
      </c>
    </row>
    <row r="137" spans="1:10" s="10" customFormat="1" ht="12" outlineLevel="1" x14ac:dyDescent="0.2">
      <c r="D137" s="75" t="s">
        <v>395</v>
      </c>
      <c r="E137" s="88"/>
      <c r="F137" s="80">
        <v>0</v>
      </c>
      <c r="G137" s="80">
        <v>0</v>
      </c>
      <c r="H137" s="80">
        <v>0</v>
      </c>
      <c r="I137" s="75" t="s">
        <v>162</v>
      </c>
      <c r="J137" s="42">
        <f t="shared" si="4"/>
        <v>0</v>
      </c>
    </row>
    <row r="138" spans="1:10" s="10" customFormat="1" ht="12" outlineLevel="1" x14ac:dyDescent="0.2">
      <c r="D138" s="75" t="s">
        <v>396</v>
      </c>
      <c r="E138" s="88"/>
      <c r="F138" s="80">
        <v>0</v>
      </c>
      <c r="G138" s="80">
        <v>0</v>
      </c>
      <c r="H138" s="80">
        <v>0</v>
      </c>
      <c r="I138" s="75" t="s">
        <v>162</v>
      </c>
      <c r="J138" s="42">
        <f t="shared" si="4"/>
        <v>0</v>
      </c>
    </row>
    <row r="139" spans="1:10" s="10" customFormat="1" ht="12" outlineLevel="1" x14ac:dyDescent="0.2">
      <c r="D139" s="75" t="s">
        <v>397</v>
      </c>
      <c r="E139" s="88"/>
      <c r="F139" s="80">
        <v>0</v>
      </c>
      <c r="G139" s="80">
        <v>0</v>
      </c>
      <c r="H139" s="80">
        <v>0</v>
      </c>
      <c r="I139" s="75" t="s">
        <v>162</v>
      </c>
      <c r="J139" s="42">
        <f t="shared" si="4"/>
        <v>0</v>
      </c>
    </row>
    <row r="140" spans="1:10" s="10" customFormat="1" ht="12" outlineLevel="1" x14ac:dyDescent="0.2">
      <c r="D140" s="55" t="str">
        <f>Lang_Error_Check_Flags_If_Input_Econ_Cost_Is_Less_Than_Fin_Cost</f>
        <v>ERROR CHECK (FLAGS IF INPUT ECONOMIC COST IS LESS THAN FINANCIAL COST)</v>
      </c>
      <c r="J140" s="43">
        <f>IF(ISERROR(SUM(J125:J139)),1,MIN(SUM(J125:J139),1))</f>
        <v>0</v>
      </c>
    </row>
    <row r="141" spans="1:10" s="10" customFormat="1" ht="12" outlineLevel="1" x14ac:dyDescent="0.2"/>
    <row r="142" spans="1:10" s="10" customFormat="1" ht="12" outlineLevel="1" x14ac:dyDescent="0.2">
      <c r="D142" s="76" t="str">
        <f>Lang_GoTo&amp;" "&amp;HL_TOP_ACTV_13_Personnel_Outputs</f>
        <v>Go to Training Activity #2 (Not in Use) Personnel - Outputs</v>
      </c>
    </row>
    <row r="143" spans="1:10" s="10" customFormat="1" ht="12" x14ac:dyDescent="0.2"/>
    <row r="144" spans="1:10" s="13" customFormat="1" ht="12" x14ac:dyDescent="0.2">
      <c r="A144" s="12" t="s">
        <v>127</v>
      </c>
      <c r="B144" s="13" t="str">
        <f>C146</f>
        <v>Training Activity #2 (Not in Use) - Detailed Allowance Cost Assumptions</v>
      </c>
    </row>
    <row r="145" spans="3:12" s="10" customFormat="1" ht="12" outlineLevel="1" x14ac:dyDescent="0.2"/>
    <row r="146" spans="3:12" s="10" customFormat="1" ht="12" outlineLevel="1" x14ac:dyDescent="0.2">
      <c r="C146" s="71" t="str">
        <f>HL_TOP_ACTV_13_Name&amp;" - "&amp;Lang_Detailed_Allowance_Cost_Assumptions</f>
        <v>Training Activity #2 (Not in Use) - Detailed Allowance Cost Assumptions</v>
      </c>
    </row>
    <row r="147" spans="3:12" s="10" customFormat="1" ht="48" outlineLevel="1" x14ac:dyDescent="0.2">
      <c r="D147" s="55" t="str">
        <f>Lang_Allowance_Type</f>
        <v>Allowance Type</v>
      </c>
      <c r="E147" s="85" t="str">
        <f>Lang_Allowance_Unit_Per_Day_Round_Trip_Travel</f>
        <v>Allowance Unit (e.g. Per Day, Round-trip Travel,etc.)</v>
      </c>
      <c r="F147" s="85" t="str">
        <f>Lang_Number_Of_Allowance_Units_Required</f>
        <v>Number of Allowance Units Required</v>
      </c>
      <c r="G147" s="86" t="str">
        <f ca="1">TRAIN_Lu!$D$65&amp;" "&amp;Lang_Cost_Per_Activity_Unit&amp;" ("&amp;OFFSET(TRAIN_Lu!$D$44,DD_TOP_ACTV_13_Detailed_Currency_Used,0)&amp;")"</f>
        <v>Financial Cost per Activity Unit (USD)</v>
      </c>
      <c r="H147" s="86" t="str">
        <f ca="1">TRAIN_Lu!$D$66&amp;" "&amp;Lang_Cost_Per_Activity_Unit&amp;" ("&amp;OFFSET(TRAIN_Lu!$D$44,DD_TOP_ACTV_13_Detailed_Currency_Used,0)&amp;")"</f>
        <v>Economic Cost per Activity Unit (USD)</v>
      </c>
      <c r="I147" s="87" t="str">
        <f>Lang_Evidence_For_Using_This_Cost_Information_Source_Or_Notes</f>
        <v>Evidence for Using this Cost Information (source or notes)</v>
      </c>
    </row>
    <row r="148" spans="3:12" s="10" customFormat="1" ht="12" outlineLevel="1" x14ac:dyDescent="0.2">
      <c r="D148" s="75" t="s">
        <v>163</v>
      </c>
      <c r="E148" s="75"/>
      <c r="F148" s="80">
        <v>0</v>
      </c>
      <c r="G148" s="80">
        <v>0</v>
      </c>
      <c r="H148" s="80">
        <v>0</v>
      </c>
      <c r="I148" s="75" t="s">
        <v>162</v>
      </c>
      <c r="J148" s="42">
        <f t="shared" ref="J148:J157" si="5">IF(H148&lt;G148,1,0)</f>
        <v>0</v>
      </c>
      <c r="K148"/>
      <c r="L148"/>
    </row>
    <row r="149" spans="3:12" s="10" customFormat="1" ht="12" outlineLevel="1" x14ac:dyDescent="0.2">
      <c r="D149" s="75" t="s">
        <v>164</v>
      </c>
      <c r="E149" s="75"/>
      <c r="F149" s="80">
        <v>0</v>
      </c>
      <c r="G149" s="80">
        <v>0</v>
      </c>
      <c r="H149" s="80">
        <v>0</v>
      </c>
      <c r="I149" s="75" t="s">
        <v>162</v>
      </c>
      <c r="J149" s="42">
        <f t="shared" si="5"/>
        <v>0</v>
      </c>
      <c r="K149"/>
      <c r="L149"/>
    </row>
    <row r="150" spans="3:12" s="10" customFormat="1" ht="12" outlineLevel="1" x14ac:dyDescent="0.2">
      <c r="D150" s="75" t="s">
        <v>165</v>
      </c>
      <c r="E150" s="75"/>
      <c r="F150" s="80">
        <v>0</v>
      </c>
      <c r="G150" s="80">
        <v>0</v>
      </c>
      <c r="H150" s="80">
        <v>0</v>
      </c>
      <c r="I150" s="75" t="s">
        <v>162</v>
      </c>
      <c r="J150" s="42">
        <f t="shared" si="5"/>
        <v>0</v>
      </c>
      <c r="K150"/>
      <c r="L150"/>
    </row>
    <row r="151" spans="3:12" s="10" customFormat="1" ht="12" outlineLevel="1" x14ac:dyDescent="0.2">
      <c r="D151" s="75" t="s">
        <v>166</v>
      </c>
      <c r="E151" s="75"/>
      <c r="F151" s="80">
        <v>0</v>
      </c>
      <c r="G151" s="80">
        <v>0</v>
      </c>
      <c r="H151" s="80">
        <v>0</v>
      </c>
      <c r="I151" s="75" t="s">
        <v>162</v>
      </c>
      <c r="J151" s="42">
        <f t="shared" si="5"/>
        <v>0</v>
      </c>
      <c r="K151"/>
      <c r="L151"/>
    </row>
    <row r="152" spans="3:12" s="10" customFormat="1" ht="12" outlineLevel="1" x14ac:dyDescent="0.2">
      <c r="D152" s="75" t="s">
        <v>167</v>
      </c>
      <c r="E152" s="88"/>
      <c r="F152" s="80">
        <v>0</v>
      </c>
      <c r="G152" s="80">
        <v>0</v>
      </c>
      <c r="H152" s="80">
        <v>0</v>
      </c>
      <c r="I152" s="75" t="s">
        <v>162</v>
      </c>
      <c r="J152" s="42">
        <f t="shared" si="5"/>
        <v>0</v>
      </c>
      <c r="K152"/>
      <c r="L152"/>
    </row>
    <row r="153" spans="3:12" s="10" customFormat="1" ht="12" outlineLevel="1" x14ac:dyDescent="0.2">
      <c r="D153" s="75" t="s">
        <v>168</v>
      </c>
      <c r="E153" s="88"/>
      <c r="F153" s="80">
        <v>0</v>
      </c>
      <c r="G153" s="80">
        <v>0</v>
      </c>
      <c r="H153" s="80">
        <v>0</v>
      </c>
      <c r="I153" s="75" t="s">
        <v>162</v>
      </c>
      <c r="J153" s="42">
        <f t="shared" si="5"/>
        <v>0</v>
      </c>
      <c r="K153"/>
      <c r="L153"/>
    </row>
    <row r="154" spans="3:12" s="10" customFormat="1" ht="12" outlineLevel="1" x14ac:dyDescent="0.2">
      <c r="D154" s="75" t="s">
        <v>169</v>
      </c>
      <c r="E154" s="88"/>
      <c r="F154" s="80">
        <v>0</v>
      </c>
      <c r="G154" s="80">
        <v>0</v>
      </c>
      <c r="H154" s="80">
        <v>0</v>
      </c>
      <c r="I154" s="75" t="s">
        <v>162</v>
      </c>
      <c r="J154" s="42">
        <f t="shared" si="5"/>
        <v>0</v>
      </c>
      <c r="K154"/>
      <c r="L154"/>
    </row>
    <row r="155" spans="3:12" s="10" customFormat="1" ht="12" outlineLevel="1" x14ac:dyDescent="0.2">
      <c r="D155" s="75" t="s">
        <v>170</v>
      </c>
      <c r="E155" s="88"/>
      <c r="F155" s="80">
        <v>0</v>
      </c>
      <c r="G155" s="80">
        <v>0</v>
      </c>
      <c r="H155" s="80">
        <v>0</v>
      </c>
      <c r="I155" s="75" t="s">
        <v>162</v>
      </c>
      <c r="J155" s="42">
        <f t="shared" si="5"/>
        <v>0</v>
      </c>
      <c r="K155"/>
      <c r="L155"/>
    </row>
    <row r="156" spans="3:12" s="10" customFormat="1" ht="12" outlineLevel="1" x14ac:dyDescent="0.2">
      <c r="D156" s="75" t="s">
        <v>171</v>
      </c>
      <c r="E156" s="88"/>
      <c r="F156" s="80">
        <v>0</v>
      </c>
      <c r="G156" s="80">
        <v>0</v>
      </c>
      <c r="H156" s="80">
        <v>0</v>
      </c>
      <c r="I156" s="75" t="s">
        <v>162</v>
      </c>
      <c r="J156" s="42">
        <f t="shared" si="5"/>
        <v>0</v>
      </c>
      <c r="K156"/>
      <c r="L156"/>
    </row>
    <row r="157" spans="3:12" s="10" customFormat="1" ht="12" outlineLevel="1" x14ac:dyDescent="0.2">
      <c r="D157" s="75" t="s">
        <v>172</v>
      </c>
      <c r="E157" s="88"/>
      <c r="F157" s="80">
        <v>0</v>
      </c>
      <c r="G157" s="80">
        <v>0</v>
      </c>
      <c r="H157" s="80">
        <v>0</v>
      </c>
      <c r="I157" s="75" t="s">
        <v>162</v>
      </c>
      <c r="J157" s="42">
        <f t="shared" si="5"/>
        <v>0</v>
      </c>
      <c r="K157"/>
      <c r="L157"/>
    </row>
    <row r="158" spans="3:12" s="10" customFormat="1" ht="12" outlineLevel="1" x14ac:dyDescent="0.2">
      <c r="D158" s="55" t="str">
        <f>Lang_Error_Check_Flags_If_Input_Econ_Cost_Is_Less_Than_Fin_Cost</f>
        <v>ERROR CHECK (FLAGS IF INPUT ECONOMIC COST IS LESS THAN FINANCIAL COST)</v>
      </c>
      <c r="J158" s="43">
        <f>IF(ISERROR(SUM(J148:J157)),1,MIN(SUM(J148:J157),1))</f>
        <v>0</v>
      </c>
    </row>
    <row r="159" spans="3:12" s="10" customFormat="1" ht="12" outlineLevel="1" x14ac:dyDescent="0.2"/>
    <row r="160" spans="3:12" s="10" customFormat="1" ht="12" outlineLevel="1" x14ac:dyDescent="0.2">
      <c r="D160" s="76" t="str">
        <f>Lang_GoTo&amp;" "&amp;HL_TOP_ACTV_13_Out_A</f>
        <v>Go to Training Activity #2 (Not in Use) Allowances - Outputs</v>
      </c>
    </row>
    <row r="161" spans="1:10" s="10" customFormat="1" ht="12" x14ac:dyDescent="0.2"/>
    <row r="162" spans="1:10" s="13" customFormat="1" ht="12" x14ac:dyDescent="0.2">
      <c r="A162" s="12" t="s">
        <v>127</v>
      </c>
      <c r="B162" s="13" t="str">
        <f>C164</f>
        <v>Training Activity #2 (Not in Use) - Detailed Supply and Material Cost Assumptions</v>
      </c>
    </row>
    <row r="163" spans="1:10" s="10" customFormat="1" ht="12" outlineLevel="1" x14ac:dyDescent="0.2"/>
    <row r="164" spans="1:10" s="10" customFormat="1" ht="12" outlineLevel="1" x14ac:dyDescent="0.2">
      <c r="C164" s="71" t="str">
        <f>HL_TOP_ACTV_13_Name&amp;" - "&amp;Lang_Detailed_Supply_And_Material_Cost_Assumptions</f>
        <v>Training Activity #2 (Not in Use) - Detailed Supply and Material Cost Assumptions</v>
      </c>
    </row>
    <row r="165" spans="1:10" s="10" customFormat="1" ht="48" outlineLevel="1" x14ac:dyDescent="0.2">
      <c r="D165" s="55" t="str">
        <f>Lang_Supply_Type</f>
        <v>Supply Type</v>
      </c>
      <c r="E165" s="85" t="str">
        <f>Lang_Supply_Unit_Each_Dozen_100_Pack</f>
        <v>Supply Unit (e.g. Each, Dozen, 100-pack,etc.)</v>
      </c>
      <c r="F165" s="85" t="str">
        <f>Lang_Number_Of_Supply_Units_Required</f>
        <v>Number of Supply Units Required</v>
      </c>
      <c r="G165" s="86" t="str">
        <f ca="1">TRAIN_Lu!$D$65&amp;" "&amp;Lang_Cost_Per_Activity_Unit&amp;" ("&amp;OFFSET(TRAIN_Lu!$D$44,DD_TOP_ACTV_13_Detailed_Currency_Used,0)&amp;")"</f>
        <v>Financial Cost per Activity Unit (USD)</v>
      </c>
      <c r="H165" s="86" t="str">
        <f ca="1">TRAIN_Lu!$D$66&amp;" "&amp;Lang_Cost_Per_Activity_Unit&amp;" ("&amp;OFFSET(TRAIN_Lu!$D$44,DD_TOP_ACTV_13_Detailed_Currency_Used,0)&amp;")"</f>
        <v>Economic Cost per Activity Unit (USD)</v>
      </c>
      <c r="I165" s="87" t="str">
        <f>Lang_Evidence_For_Using_This_Cost_Information_Source_Or_Notes</f>
        <v>Evidence for Using this Cost Information (source or notes)</v>
      </c>
    </row>
    <row r="166" spans="1:10" s="10" customFormat="1" ht="12" outlineLevel="1" x14ac:dyDescent="0.2">
      <c r="D166" s="75" t="s">
        <v>173</v>
      </c>
      <c r="E166" s="75"/>
      <c r="F166" s="80">
        <v>0</v>
      </c>
      <c r="G166" s="80">
        <v>0</v>
      </c>
      <c r="H166" s="80">
        <v>0</v>
      </c>
      <c r="I166" s="75" t="s">
        <v>162</v>
      </c>
      <c r="J166" s="42">
        <f t="shared" ref="J166:J175" si="6">IF(H166&lt;G166,1,0)</f>
        <v>0</v>
      </c>
    </row>
    <row r="167" spans="1:10" s="10" customFormat="1" ht="12" outlineLevel="1" x14ac:dyDescent="0.2">
      <c r="D167" s="75" t="s">
        <v>174</v>
      </c>
      <c r="E167" s="88"/>
      <c r="F167" s="80">
        <v>0</v>
      </c>
      <c r="G167" s="80">
        <v>0</v>
      </c>
      <c r="H167" s="80">
        <v>0</v>
      </c>
      <c r="I167" s="75" t="s">
        <v>162</v>
      </c>
      <c r="J167" s="42">
        <f t="shared" si="6"/>
        <v>0</v>
      </c>
    </row>
    <row r="168" spans="1:10" s="10" customFormat="1" ht="12" outlineLevel="1" x14ac:dyDescent="0.2">
      <c r="D168" s="75" t="s">
        <v>175</v>
      </c>
      <c r="E168" s="88"/>
      <c r="F168" s="80">
        <v>0</v>
      </c>
      <c r="G168" s="80">
        <v>0</v>
      </c>
      <c r="H168" s="80">
        <v>0</v>
      </c>
      <c r="I168" s="75" t="s">
        <v>162</v>
      </c>
      <c r="J168" s="42">
        <f t="shared" si="6"/>
        <v>0</v>
      </c>
    </row>
    <row r="169" spans="1:10" s="10" customFormat="1" ht="12" outlineLevel="1" x14ac:dyDescent="0.2">
      <c r="D169" s="75" t="s">
        <v>176</v>
      </c>
      <c r="E169" s="88"/>
      <c r="F169" s="80">
        <v>0</v>
      </c>
      <c r="G169" s="80">
        <v>0</v>
      </c>
      <c r="H169" s="80">
        <v>0</v>
      </c>
      <c r="I169" s="75" t="s">
        <v>162</v>
      </c>
      <c r="J169" s="42">
        <f t="shared" si="6"/>
        <v>0</v>
      </c>
    </row>
    <row r="170" spans="1:10" s="10" customFormat="1" ht="12" outlineLevel="1" x14ac:dyDescent="0.2">
      <c r="D170" s="75" t="s">
        <v>177</v>
      </c>
      <c r="E170" s="88"/>
      <c r="F170" s="80">
        <v>0</v>
      </c>
      <c r="G170" s="80">
        <v>0</v>
      </c>
      <c r="H170" s="80">
        <v>0</v>
      </c>
      <c r="I170" s="75" t="s">
        <v>162</v>
      </c>
      <c r="J170" s="42">
        <f t="shared" si="6"/>
        <v>0</v>
      </c>
    </row>
    <row r="171" spans="1:10" s="10" customFormat="1" ht="12" outlineLevel="1" x14ac:dyDescent="0.2">
      <c r="D171" s="75" t="s">
        <v>178</v>
      </c>
      <c r="E171" s="88"/>
      <c r="F171" s="80">
        <v>0</v>
      </c>
      <c r="G171" s="80">
        <v>0</v>
      </c>
      <c r="H171" s="80">
        <v>0</v>
      </c>
      <c r="I171" s="75" t="s">
        <v>162</v>
      </c>
      <c r="J171" s="42">
        <f t="shared" si="6"/>
        <v>0</v>
      </c>
    </row>
    <row r="172" spans="1:10" s="10" customFormat="1" ht="12" outlineLevel="1" x14ac:dyDescent="0.2">
      <c r="D172" s="75" t="s">
        <v>179</v>
      </c>
      <c r="E172" s="88"/>
      <c r="F172" s="80">
        <v>0</v>
      </c>
      <c r="G172" s="80">
        <v>0</v>
      </c>
      <c r="H172" s="80">
        <v>0</v>
      </c>
      <c r="I172" s="75" t="s">
        <v>162</v>
      </c>
      <c r="J172" s="42">
        <f t="shared" si="6"/>
        <v>0</v>
      </c>
    </row>
    <row r="173" spans="1:10" s="10" customFormat="1" ht="12" outlineLevel="1" x14ac:dyDescent="0.2">
      <c r="D173" s="75" t="s">
        <v>180</v>
      </c>
      <c r="E173" s="88"/>
      <c r="F173" s="80">
        <v>0</v>
      </c>
      <c r="G173" s="80">
        <v>0</v>
      </c>
      <c r="H173" s="80">
        <v>0</v>
      </c>
      <c r="I173" s="75" t="s">
        <v>162</v>
      </c>
      <c r="J173" s="42">
        <f t="shared" si="6"/>
        <v>0</v>
      </c>
    </row>
    <row r="174" spans="1:10" s="10" customFormat="1" ht="12" outlineLevel="1" x14ac:dyDescent="0.2">
      <c r="D174" s="75" t="s">
        <v>181</v>
      </c>
      <c r="E174" s="88"/>
      <c r="F174" s="80">
        <v>0</v>
      </c>
      <c r="G174" s="80">
        <v>0</v>
      </c>
      <c r="H174" s="80">
        <v>0</v>
      </c>
      <c r="I174" s="75" t="s">
        <v>162</v>
      </c>
      <c r="J174" s="42">
        <f t="shared" si="6"/>
        <v>0</v>
      </c>
    </row>
    <row r="175" spans="1:10" s="10" customFormat="1" ht="12" outlineLevel="1" x14ac:dyDescent="0.2">
      <c r="D175" s="75" t="s">
        <v>182</v>
      </c>
      <c r="E175" s="88"/>
      <c r="F175" s="80">
        <v>0</v>
      </c>
      <c r="G175" s="80">
        <v>0</v>
      </c>
      <c r="H175" s="80">
        <v>0</v>
      </c>
      <c r="I175" s="75" t="s">
        <v>162</v>
      </c>
      <c r="J175" s="42">
        <f t="shared" si="6"/>
        <v>0</v>
      </c>
    </row>
    <row r="176" spans="1:10" s="10" customFormat="1" ht="12" outlineLevel="1" x14ac:dyDescent="0.2">
      <c r="D176" s="55" t="str">
        <f>Lang_Error_Check_Flags_If_Input_Econ_Cost_Is_Less_Than_Fin_Cost</f>
        <v>ERROR CHECK (FLAGS IF INPUT ECONOMIC COST IS LESS THAN FINANCIAL COST)</v>
      </c>
      <c r="J176" s="43">
        <f>IF(ISERROR(SUM(J166:J175)),1,MIN(SUM(J166:J175),1))</f>
        <v>0</v>
      </c>
    </row>
    <row r="177" spans="1:10" s="10" customFormat="1" ht="12" outlineLevel="1" x14ac:dyDescent="0.2"/>
    <row r="178" spans="1:10" s="10" customFormat="1" ht="12" outlineLevel="1" x14ac:dyDescent="0.2">
      <c r="D178" s="76" t="str">
        <f>Lang_GoTo&amp;" "&amp;HL_TOP_ACTV_13_Supplies_and_Materials_Outputs</f>
        <v>Go to Training Activity #2 (Not in Use) Supplies and Materials - Outputs</v>
      </c>
    </row>
    <row r="179" spans="1:10" s="10" customFormat="1" ht="12" x14ac:dyDescent="0.2"/>
    <row r="180" spans="1:10" s="13" customFormat="1" ht="12" x14ac:dyDescent="0.2">
      <c r="A180" s="12" t="s">
        <v>127</v>
      </c>
      <c r="B180" s="13" t="str">
        <f>C182</f>
        <v>Training Activity #2 (Not in Use) - Detailed Other Direct Cost Assumptions</v>
      </c>
    </row>
    <row r="181" spans="1:10" s="10" customFormat="1" ht="12" outlineLevel="1" x14ac:dyDescent="0.2"/>
    <row r="182" spans="1:10" s="10" customFormat="1" ht="12" outlineLevel="1" x14ac:dyDescent="0.2">
      <c r="C182" s="71" t="str">
        <f>HL_TOP_ACTV_13_Name&amp;" - "&amp;Lang_Detailed_Other_Direct_Cost_Assumptions</f>
        <v>Training Activity #2 (Not in Use) - Detailed Other Direct Cost Assumptions</v>
      </c>
    </row>
    <row r="183" spans="1:10" s="10" customFormat="1" ht="48" outlineLevel="1" x14ac:dyDescent="0.2">
      <c r="D183" s="55" t="str">
        <f>Lang_Other_Direct_Cost_ODC_Type</f>
        <v>Other Direct Cost (ODC) Type</v>
      </c>
      <c r="E183" s="85" t="str">
        <f>Lang_ODC_Unit_Each_Dozen_100_Pack</f>
        <v>ODC Unit (e.g. Each, Dozen, 100-pack,etc.)</v>
      </c>
      <c r="F183" s="85" t="str">
        <f>Lang_Number_Of_ODC_Units_Required</f>
        <v>Number of ODC Units Required</v>
      </c>
      <c r="G183" s="86" t="str">
        <f ca="1">TRAIN_Lu!$D$65&amp;" "&amp;Lang_Cost_Per_Activity_Unit&amp;" ("&amp;OFFSET(TRAIN_Lu!$D$44,DD_TOP_ACTV_13_Detailed_Currency_Used,0)&amp;")"</f>
        <v>Financial Cost per Activity Unit (USD)</v>
      </c>
      <c r="H183" s="86" t="str">
        <f ca="1">TRAIN_Lu!$D$66&amp;" "&amp;Lang_Cost_Per_Activity_Unit&amp;" ("&amp;OFFSET(TRAIN_Lu!$D$44,DD_TOP_ACTV_13_Detailed_Currency_Used,0)&amp;")"</f>
        <v>Economic Cost per Activity Unit (USD)</v>
      </c>
      <c r="I183" s="87" t="str">
        <f>Lang_Evidence_For_Using_This_Cost_Information_Source_Or_Notes</f>
        <v>Evidence for Using this Cost Information (source or notes)</v>
      </c>
    </row>
    <row r="184" spans="1:10" s="10" customFormat="1" ht="12" outlineLevel="1" x14ac:dyDescent="0.2">
      <c r="D184" s="75" t="s">
        <v>183</v>
      </c>
      <c r="E184" s="75"/>
      <c r="F184" s="80">
        <v>0</v>
      </c>
      <c r="G184" s="80">
        <v>0</v>
      </c>
      <c r="H184" s="80">
        <v>0</v>
      </c>
      <c r="I184" s="75" t="s">
        <v>162</v>
      </c>
      <c r="J184" s="42">
        <f t="shared" ref="J184:J193" si="7">IF(H184&lt;G184,1,0)</f>
        <v>0</v>
      </c>
    </row>
    <row r="185" spans="1:10" s="10" customFormat="1" ht="12" outlineLevel="1" x14ac:dyDescent="0.2">
      <c r="D185" s="75" t="s">
        <v>184</v>
      </c>
      <c r="E185" s="75"/>
      <c r="F185" s="80">
        <v>0</v>
      </c>
      <c r="G185" s="80">
        <v>0</v>
      </c>
      <c r="H185" s="80">
        <v>0</v>
      </c>
      <c r="I185" s="75" t="s">
        <v>162</v>
      </c>
      <c r="J185" s="42">
        <f t="shared" si="7"/>
        <v>0</v>
      </c>
    </row>
    <row r="186" spans="1:10" s="10" customFormat="1" ht="12" outlineLevel="1" x14ac:dyDescent="0.2">
      <c r="D186" s="75" t="s">
        <v>185</v>
      </c>
      <c r="E186" s="75"/>
      <c r="F186" s="80">
        <v>0</v>
      </c>
      <c r="G186" s="80">
        <v>0</v>
      </c>
      <c r="H186" s="80">
        <v>0</v>
      </c>
      <c r="I186" s="75" t="s">
        <v>162</v>
      </c>
      <c r="J186" s="42">
        <f t="shared" si="7"/>
        <v>0</v>
      </c>
    </row>
    <row r="187" spans="1:10" s="10" customFormat="1" ht="12" outlineLevel="1" x14ac:dyDescent="0.2">
      <c r="D187" s="75" t="s">
        <v>186</v>
      </c>
      <c r="E187" s="75"/>
      <c r="F187" s="80">
        <v>0</v>
      </c>
      <c r="G187" s="80">
        <v>0</v>
      </c>
      <c r="H187" s="80">
        <v>0</v>
      </c>
      <c r="I187" s="75" t="s">
        <v>162</v>
      </c>
      <c r="J187" s="42">
        <f t="shared" si="7"/>
        <v>0</v>
      </c>
    </row>
    <row r="188" spans="1:10" s="10" customFormat="1" ht="12" outlineLevel="1" x14ac:dyDescent="0.2">
      <c r="D188" s="75" t="s">
        <v>187</v>
      </c>
      <c r="E188" s="88"/>
      <c r="F188" s="80">
        <v>0</v>
      </c>
      <c r="G188" s="80">
        <v>0</v>
      </c>
      <c r="H188" s="80">
        <v>0</v>
      </c>
      <c r="I188" s="75" t="s">
        <v>162</v>
      </c>
      <c r="J188" s="42">
        <f t="shared" si="7"/>
        <v>0</v>
      </c>
    </row>
    <row r="189" spans="1:10" s="10" customFormat="1" ht="12" outlineLevel="1" x14ac:dyDescent="0.2">
      <c r="D189" s="75" t="s">
        <v>188</v>
      </c>
      <c r="E189" s="88"/>
      <c r="F189" s="80">
        <v>0</v>
      </c>
      <c r="G189" s="80">
        <v>0</v>
      </c>
      <c r="H189" s="80">
        <v>0</v>
      </c>
      <c r="I189" s="75" t="s">
        <v>162</v>
      </c>
      <c r="J189" s="42">
        <f t="shared" si="7"/>
        <v>0</v>
      </c>
    </row>
    <row r="190" spans="1:10" s="10" customFormat="1" ht="12" outlineLevel="1" x14ac:dyDescent="0.2">
      <c r="D190" s="75" t="s">
        <v>189</v>
      </c>
      <c r="E190" s="88"/>
      <c r="F190" s="80">
        <v>0</v>
      </c>
      <c r="G190" s="80">
        <v>0</v>
      </c>
      <c r="H190" s="80">
        <v>0</v>
      </c>
      <c r="I190" s="75" t="s">
        <v>162</v>
      </c>
      <c r="J190" s="42">
        <f t="shared" si="7"/>
        <v>0</v>
      </c>
    </row>
    <row r="191" spans="1:10" s="10" customFormat="1" ht="12" outlineLevel="1" x14ac:dyDescent="0.2">
      <c r="D191" s="75" t="s">
        <v>190</v>
      </c>
      <c r="E191" s="88"/>
      <c r="F191" s="80">
        <v>0</v>
      </c>
      <c r="G191" s="80">
        <v>0</v>
      </c>
      <c r="H191" s="80">
        <v>0</v>
      </c>
      <c r="I191" s="75" t="s">
        <v>162</v>
      </c>
      <c r="J191" s="42">
        <f t="shared" si="7"/>
        <v>0</v>
      </c>
    </row>
    <row r="192" spans="1:10" s="10" customFormat="1" ht="12" outlineLevel="1" x14ac:dyDescent="0.2">
      <c r="D192" s="75" t="s">
        <v>191</v>
      </c>
      <c r="E192" s="88"/>
      <c r="F192" s="80">
        <v>0</v>
      </c>
      <c r="G192" s="80">
        <v>0</v>
      </c>
      <c r="H192" s="80">
        <v>0</v>
      </c>
      <c r="I192" s="75" t="s">
        <v>162</v>
      </c>
      <c r="J192" s="42">
        <f t="shared" si="7"/>
        <v>0</v>
      </c>
    </row>
    <row r="193" spans="1:10" s="10" customFormat="1" ht="12" outlineLevel="1" x14ac:dyDescent="0.2">
      <c r="D193" s="75" t="s">
        <v>192</v>
      </c>
      <c r="E193" s="88"/>
      <c r="F193" s="80">
        <v>0</v>
      </c>
      <c r="G193" s="80">
        <v>0</v>
      </c>
      <c r="H193" s="80">
        <v>0</v>
      </c>
      <c r="I193" s="75" t="s">
        <v>162</v>
      </c>
      <c r="J193" s="42">
        <f t="shared" si="7"/>
        <v>0</v>
      </c>
    </row>
    <row r="194" spans="1:10" s="10" customFormat="1" ht="12" outlineLevel="1" x14ac:dyDescent="0.2">
      <c r="D194" s="55" t="str">
        <f>Lang_Error_Check_Flags_If_Input_Econ_Cost_Is_Less_Than_Fin_Cost</f>
        <v>ERROR CHECK (FLAGS IF INPUT ECONOMIC COST IS LESS THAN FINANCIAL COST)</v>
      </c>
      <c r="J194" s="43">
        <f>IF(ISERROR(SUM(J184:J193)),1,MIN(SUM(J184:J193),1))</f>
        <v>0</v>
      </c>
    </row>
    <row r="195" spans="1:10" s="10" customFormat="1" ht="12" outlineLevel="1" x14ac:dyDescent="0.2"/>
    <row r="196" spans="1:10" s="10" customFormat="1" ht="12" outlineLevel="1" x14ac:dyDescent="0.2">
      <c r="D196" s="76" t="str">
        <f>Lang_GoTo&amp;" "&amp;HL_TOP_ACTV_13_Other_Direct_Costs_Outputs</f>
        <v>Go to Training Activity #2 (Not in Use) Other Direct Costs - Outputs</v>
      </c>
    </row>
    <row r="197" spans="1:10" s="10" customFormat="1" ht="12" x14ac:dyDescent="0.2"/>
    <row r="198" spans="1:10" s="13" customFormat="1" ht="12" x14ac:dyDescent="0.2">
      <c r="A198" s="12" t="s">
        <v>125</v>
      </c>
      <c r="B198" s="13" t="str">
        <f>C200</f>
        <v>Training Activity #3 (Not in Use) -  Detailed Activity Costing Worksheet - Instructions</v>
      </c>
    </row>
    <row r="199" spans="1:10" s="10" customFormat="1" ht="12" outlineLevel="1" x14ac:dyDescent="0.2"/>
    <row r="200" spans="1:10" s="10" customFormat="1" ht="12" outlineLevel="1" x14ac:dyDescent="0.2">
      <c r="C200" s="71" t="str">
        <f>HL_TOP_ACTV_14_Name&amp;" -  "&amp;Lang_Detailed_Activity_Costing_Worksheet_Instructions</f>
        <v>Training Activity #3 (Not in Use) -  Detailed Activity Costing Worksheet - Instructions</v>
      </c>
    </row>
    <row r="201" spans="1:10" s="10" customFormat="1" ht="12" outlineLevel="1" x14ac:dyDescent="0.2"/>
    <row r="202" spans="1:10" s="10" customFormat="1" ht="12" outlineLevel="1" x14ac:dyDescent="0.2">
      <c r="D202" s="50" t="str">
        <f>Lang_Detailed_Costing_Worksheets_Notes_1</f>
        <v>This detailed costing worksheet can be used to document the types and amounts of resources required to complete a single instance of an activity.</v>
      </c>
    </row>
    <row r="203" spans="1:10" s="10" customFormat="1" ht="12" outlineLevel="1" x14ac:dyDescent="0.2">
      <c r="D203" s="50" t="str">
        <f>Lang_Detailed_Costing_Worksheets_Notes_2</f>
        <v>When completed, it will automatically provide a single activity cost in the general assumption worksheet.</v>
      </c>
    </row>
    <row r="204" spans="1:10" s="10" customFormat="1" ht="12" outlineLevel="1" x14ac:dyDescent="0.2">
      <c r="D204" s="50" t="str">
        <f>Lang_Detailed_Costing_Worksheets_Notes_3</f>
        <v>The user may then choose to use the results of the detailed costing in the model, or override the detailed costing and insert alternate cost estimates.</v>
      </c>
    </row>
    <row r="205" spans="1:10" s="10" customFormat="1" ht="12" x14ac:dyDescent="0.2"/>
    <row r="206" spans="1:10" s="13" customFormat="1" ht="12" x14ac:dyDescent="0.2">
      <c r="A206" s="12" t="s">
        <v>125</v>
      </c>
      <c r="B206" s="13" t="str">
        <f>C208</f>
        <v>Training Activity #3 (Not in Use) - Detailed Activity Costing Worksheet - Currency Selection</v>
      </c>
    </row>
    <row r="207" spans="1:10" s="10" customFormat="1" ht="12" outlineLevel="1" x14ac:dyDescent="0.2"/>
    <row r="208" spans="1:10" s="10" customFormat="1" ht="12" outlineLevel="1" x14ac:dyDescent="0.2">
      <c r="C208" s="71" t="str">
        <f>HL_TOP_ACTV_14_Name&amp;" - "&amp;Lang_Detailed_Activity_Costing_Worksheet_Currency_Selection</f>
        <v>Training Activity #3 (Not in Use) - Detailed Activity Costing Worksheet - Currency Selection</v>
      </c>
    </row>
    <row r="209" spans="1:10" s="10" customFormat="1" ht="12" outlineLevel="1" x14ac:dyDescent="0.2">
      <c r="D209" s="55" t="str">
        <f>Lang_Currency_Used_For_Cost_Inputs</f>
        <v>Currency Used for Cost Inputs</v>
      </c>
      <c r="E209" s="72">
        <v>1</v>
      </c>
    </row>
    <row r="210" spans="1:10" s="10" customFormat="1" ht="12" outlineLevel="1" x14ac:dyDescent="0.2"/>
    <row r="211" spans="1:10" s="10" customFormat="1" ht="12" outlineLevel="1" x14ac:dyDescent="0.2"/>
    <row r="212" spans="1:10" s="10" customFormat="1" ht="12" outlineLevel="1" x14ac:dyDescent="0.2">
      <c r="D212" s="54" t="str">
        <f>Lang_Imported_From_Econ_Module</f>
        <v>Imported from Econ Module</v>
      </c>
    </row>
    <row r="213" spans="1:10" s="10" customFormat="1" ht="12" outlineLevel="1" x14ac:dyDescent="0.2">
      <c r="D213" s="49" t="str">
        <f>ECONOMICS!F7</f>
        <v>USD</v>
      </c>
    </row>
    <row r="214" spans="1:10" s="10" customFormat="1" ht="12" outlineLevel="1" x14ac:dyDescent="0.2">
      <c r="D214" s="49" t="str">
        <f>ECONOMICS!F8</f>
        <v>LCU</v>
      </c>
    </row>
    <row r="215" spans="1:10" s="10" customFormat="1" ht="12" outlineLevel="1" x14ac:dyDescent="0.2"/>
    <row r="216" spans="1:10" s="10" customFormat="1" ht="12" outlineLevel="1" x14ac:dyDescent="0.2">
      <c r="D216" s="50" t="str">
        <f>Lang_Exchange_Rate_From_Econ</f>
        <v>Exchange Rate (from Economics)</v>
      </c>
      <c r="E216" s="41">
        <f>ECONOMICS!E13</f>
        <v>1234.5</v>
      </c>
    </row>
    <row r="217" spans="1:10" s="10" customFormat="1" ht="12" x14ac:dyDescent="0.2"/>
    <row r="218" spans="1:10" s="13" customFormat="1" ht="12" x14ac:dyDescent="0.2">
      <c r="A218" s="12" t="s">
        <v>127</v>
      </c>
      <c r="B218" s="13" t="str">
        <f>C220</f>
        <v>Training Activity #3 (Not in Use) - Detailed Personnel Cost Assumptions</v>
      </c>
    </row>
    <row r="219" spans="1:10" s="10" customFormat="1" ht="12" outlineLevel="1" x14ac:dyDescent="0.2"/>
    <row r="220" spans="1:10" s="10" customFormat="1" ht="12" outlineLevel="1" x14ac:dyDescent="0.2">
      <c r="C220" s="71" t="str">
        <f>HL_TOP_ACTV_14_Name&amp;" - "&amp;Lang_Detailed_Personnel_Cost_Assumptions</f>
        <v>Training Activity #3 (Not in Use) - Detailed Personnel Cost Assumptions</v>
      </c>
    </row>
    <row r="221" spans="1:10" s="10" customFormat="1" ht="48" outlineLevel="1" x14ac:dyDescent="0.2">
      <c r="D221" s="55" t="str">
        <f>Lang_Personnel_Cadre_Type</f>
        <v>Personnel Cadre Type</v>
      </c>
      <c r="E221" s="85" t="str">
        <f>Lang_Activity_Unit_Day_Hour_Minute</f>
        <v>Activity Unit (e.g. Day, Hour, Minute)</v>
      </c>
      <c r="F221" s="85" t="str">
        <f>Lang_Number_Of_Activity_Units_Required</f>
        <v>Number of Activity Units Required</v>
      </c>
      <c r="G221" s="86" t="str">
        <f ca="1">TRAIN_Lu!$D$100&amp;" "&amp;Lang_Cost_Per_Activity_Unit&amp;" ("&amp;OFFSET(TRAIN_Lu!$D$79,DD_TOP_ACTV_14_Detailed_Currency_Used,0)&amp;")"</f>
        <v>Financial Cost per Activity Unit (USD)</v>
      </c>
      <c r="H221" s="86" t="str">
        <f ca="1">TRAIN_Lu!$D$101&amp;" "&amp;Lang_Cost_Per_Activity_Unit&amp;" ("&amp;OFFSET(TRAIN_Lu!$D$79,DD_TOP_ACTV_14_Detailed_Currency_Used,0)&amp;")"</f>
        <v>Economic Cost per Activity Unit (USD)</v>
      </c>
      <c r="I221" s="87" t="str">
        <f>Lang_Evidence_For_Using_This_Cost_Information_Source_Or_Notes</f>
        <v>Evidence for Using this Cost Information (source or notes)</v>
      </c>
    </row>
    <row r="222" spans="1:10" s="10" customFormat="1" ht="12" outlineLevel="1" x14ac:dyDescent="0.2">
      <c r="D222" s="75" t="s">
        <v>152</v>
      </c>
      <c r="E222" s="88"/>
      <c r="F222" s="80">
        <v>0</v>
      </c>
      <c r="G222" s="80">
        <v>0</v>
      </c>
      <c r="H222" s="80">
        <v>0</v>
      </c>
      <c r="I222" s="75" t="s">
        <v>162</v>
      </c>
      <c r="J222" s="42">
        <f t="shared" ref="J222:J236" si="8">IF(H222&lt;G222,1,0)</f>
        <v>0</v>
      </c>
    </row>
    <row r="223" spans="1:10" s="10" customFormat="1" ht="12" outlineLevel="1" x14ac:dyDescent="0.2">
      <c r="D223" s="75" t="s">
        <v>153</v>
      </c>
      <c r="E223" s="88"/>
      <c r="F223" s="80">
        <v>0</v>
      </c>
      <c r="G223" s="80">
        <v>0</v>
      </c>
      <c r="H223" s="80">
        <v>0</v>
      </c>
      <c r="I223" s="75" t="s">
        <v>162</v>
      </c>
      <c r="J223" s="42">
        <f t="shared" si="8"/>
        <v>0</v>
      </c>
    </row>
    <row r="224" spans="1:10" s="10" customFormat="1" ht="12" outlineLevel="1" x14ac:dyDescent="0.2">
      <c r="D224" s="75" t="s">
        <v>154</v>
      </c>
      <c r="E224" s="88"/>
      <c r="F224" s="80">
        <v>0</v>
      </c>
      <c r="G224" s="80">
        <v>0</v>
      </c>
      <c r="H224" s="80">
        <v>0</v>
      </c>
      <c r="I224" s="75" t="s">
        <v>162</v>
      </c>
      <c r="J224" s="42">
        <f t="shared" si="8"/>
        <v>0</v>
      </c>
    </row>
    <row r="225" spans="4:10" s="10" customFormat="1" ht="12" outlineLevel="1" x14ac:dyDescent="0.2">
      <c r="D225" s="75" t="s">
        <v>155</v>
      </c>
      <c r="E225" s="88"/>
      <c r="F225" s="80">
        <v>0</v>
      </c>
      <c r="G225" s="80">
        <v>0</v>
      </c>
      <c r="H225" s="80">
        <v>0</v>
      </c>
      <c r="I225" s="75" t="s">
        <v>162</v>
      </c>
      <c r="J225" s="42">
        <f t="shared" si="8"/>
        <v>0</v>
      </c>
    </row>
    <row r="226" spans="4:10" s="10" customFormat="1" ht="12" outlineLevel="1" x14ac:dyDescent="0.2">
      <c r="D226" s="75" t="s">
        <v>156</v>
      </c>
      <c r="E226" s="88"/>
      <c r="F226" s="80">
        <v>0</v>
      </c>
      <c r="G226" s="80">
        <v>0</v>
      </c>
      <c r="H226" s="80">
        <v>0</v>
      </c>
      <c r="I226" s="75" t="s">
        <v>162</v>
      </c>
      <c r="J226" s="42">
        <f t="shared" si="8"/>
        <v>0</v>
      </c>
    </row>
    <row r="227" spans="4:10" s="10" customFormat="1" ht="12" outlineLevel="1" x14ac:dyDescent="0.2">
      <c r="D227" s="75" t="s">
        <v>157</v>
      </c>
      <c r="E227" s="88"/>
      <c r="F227" s="80">
        <v>0</v>
      </c>
      <c r="G227" s="80">
        <v>0</v>
      </c>
      <c r="H227" s="80">
        <v>0</v>
      </c>
      <c r="I227" s="75" t="s">
        <v>162</v>
      </c>
      <c r="J227" s="42">
        <f t="shared" si="8"/>
        <v>0</v>
      </c>
    </row>
    <row r="228" spans="4:10" ht="12" outlineLevel="1" x14ac:dyDescent="0.2">
      <c r="D228" s="62" t="s">
        <v>158</v>
      </c>
      <c r="E228" s="64"/>
      <c r="F228" s="19">
        <v>0</v>
      </c>
      <c r="G228" s="19">
        <v>0</v>
      </c>
      <c r="H228" s="19">
        <v>0</v>
      </c>
      <c r="I228" s="62" t="s">
        <v>162</v>
      </c>
      <c r="J228" s="42">
        <f t="shared" si="8"/>
        <v>0</v>
      </c>
    </row>
    <row r="229" spans="4:10" ht="12" outlineLevel="1" x14ac:dyDescent="0.2">
      <c r="D229" s="62" t="s">
        <v>159</v>
      </c>
      <c r="E229" s="64"/>
      <c r="F229" s="19">
        <v>0</v>
      </c>
      <c r="G229" s="19">
        <v>0</v>
      </c>
      <c r="H229" s="19">
        <v>0</v>
      </c>
      <c r="I229" s="62" t="s">
        <v>162</v>
      </c>
      <c r="J229" s="42">
        <f t="shared" si="8"/>
        <v>0</v>
      </c>
    </row>
    <row r="230" spans="4:10" ht="12" outlineLevel="1" x14ac:dyDescent="0.2">
      <c r="D230" s="62" t="s">
        <v>160</v>
      </c>
      <c r="E230" s="64"/>
      <c r="F230" s="19">
        <v>0</v>
      </c>
      <c r="G230" s="19">
        <v>0</v>
      </c>
      <c r="H230" s="19">
        <v>0</v>
      </c>
      <c r="I230" s="62" t="s">
        <v>162</v>
      </c>
      <c r="J230" s="42">
        <f t="shared" si="8"/>
        <v>0</v>
      </c>
    </row>
    <row r="231" spans="4:10" ht="12" outlineLevel="1" x14ac:dyDescent="0.2">
      <c r="D231" s="62" t="s">
        <v>161</v>
      </c>
      <c r="E231" s="64"/>
      <c r="F231" s="19">
        <v>0</v>
      </c>
      <c r="G231" s="19">
        <v>0</v>
      </c>
      <c r="H231" s="19">
        <v>0</v>
      </c>
      <c r="I231" s="62" t="s">
        <v>162</v>
      </c>
      <c r="J231" s="42">
        <f t="shared" si="8"/>
        <v>0</v>
      </c>
    </row>
    <row r="232" spans="4:10" ht="12" outlineLevel="1" x14ac:dyDescent="0.2">
      <c r="D232" s="62" t="s">
        <v>393</v>
      </c>
      <c r="E232" s="64"/>
      <c r="F232" s="19">
        <v>0</v>
      </c>
      <c r="G232" s="19">
        <v>0</v>
      </c>
      <c r="H232" s="19">
        <v>0</v>
      </c>
      <c r="I232" s="62" t="s">
        <v>162</v>
      </c>
      <c r="J232" s="42">
        <f t="shared" si="8"/>
        <v>0</v>
      </c>
    </row>
    <row r="233" spans="4:10" s="10" customFormat="1" ht="12" outlineLevel="1" x14ac:dyDescent="0.2">
      <c r="D233" s="75" t="s">
        <v>394</v>
      </c>
      <c r="E233" s="88"/>
      <c r="F233" s="80">
        <v>0</v>
      </c>
      <c r="G233" s="80">
        <v>0</v>
      </c>
      <c r="H233" s="80">
        <v>0</v>
      </c>
      <c r="I233" s="75" t="s">
        <v>162</v>
      </c>
      <c r="J233" s="42">
        <f t="shared" si="8"/>
        <v>0</v>
      </c>
    </row>
    <row r="234" spans="4:10" s="10" customFormat="1" ht="12" outlineLevel="1" x14ac:dyDescent="0.2">
      <c r="D234" s="75" t="s">
        <v>395</v>
      </c>
      <c r="E234" s="88"/>
      <c r="F234" s="80">
        <v>0</v>
      </c>
      <c r="G234" s="80">
        <v>0</v>
      </c>
      <c r="H234" s="80">
        <v>0</v>
      </c>
      <c r="I234" s="75" t="s">
        <v>162</v>
      </c>
      <c r="J234" s="42">
        <f t="shared" si="8"/>
        <v>0</v>
      </c>
    </row>
    <row r="235" spans="4:10" s="10" customFormat="1" ht="12" outlineLevel="1" x14ac:dyDescent="0.2">
      <c r="D235" s="75" t="s">
        <v>396</v>
      </c>
      <c r="E235" s="88"/>
      <c r="F235" s="80">
        <v>0</v>
      </c>
      <c r="G235" s="80">
        <v>0</v>
      </c>
      <c r="H235" s="80">
        <v>0</v>
      </c>
      <c r="I235" s="75" t="s">
        <v>162</v>
      </c>
      <c r="J235" s="42">
        <f t="shared" si="8"/>
        <v>0</v>
      </c>
    </row>
    <row r="236" spans="4:10" s="10" customFormat="1" ht="12" outlineLevel="1" x14ac:dyDescent="0.2">
      <c r="D236" s="75" t="s">
        <v>397</v>
      </c>
      <c r="E236" s="88"/>
      <c r="F236" s="80">
        <v>0</v>
      </c>
      <c r="G236" s="80">
        <v>0</v>
      </c>
      <c r="H236" s="80">
        <v>0</v>
      </c>
      <c r="I236" s="75" t="s">
        <v>162</v>
      </c>
      <c r="J236" s="42">
        <f t="shared" si="8"/>
        <v>0</v>
      </c>
    </row>
    <row r="237" spans="4:10" s="10" customFormat="1" ht="12" outlineLevel="1" x14ac:dyDescent="0.2">
      <c r="D237" s="55" t="str">
        <f>Lang_Error_Check_Flags_If_Input_Econ_Cost_Is_Less_Than_Fin_Cost</f>
        <v>ERROR CHECK (FLAGS IF INPUT ECONOMIC COST IS LESS THAN FINANCIAL COST)</v>
      </c>
      <c r="J237" s="43">
        <f>IF(ISERROR(SUM(J222:J236)),1,MIN(SUM(J222:J236),1))</f>
        <v>0</v>
      </c>
    </row>
    <row r="238" spans="4:10" s="10" customFormat="1" ht="12" outlineLevel="1" x14ac:dyDescent="0.2"/>
    <row r="239" spans="4:10" s="10" customFormat="1" ht="12" outlineLevel="1" x14ac:dyDescent="0.2">
      <c r="D239" s="76" t="str">
        <f>Lang_GoTo&amp;" "&amp;HL_TOP_ACTV_14_Personnel_Outputs</f>
        <v>Go to Training Activity #3 (Not in Use) Personnel - Outputs</v>
      </c>
    </row>
    <row r="240" spans="4:10" s="10" customFormat="1" ht="12" x14ac:dyDescent="0.2"/>
    <row r="241" spans="1:10" s="13" customFormat="1" ht="12" x14ac:dyDescent="0.2">
      <c r="A241" s="12" t="s">
        <v>127</v>
      </c>
      <c r="B241" s="13" t="str">
        <f>C243</f>
        <v>Training Activity #3 (Not in Use) - Detailed Allowance Cost Assumptions</v>
      </c>
    </row>
    <row r="242" spans="1:10" s="10" customFormat="1" ht="12" outlineLevel="1" x14ac:dyDescent="0.2"/>
    <row r="243" spans="1:10" s="10" customFormat="1" ht="12" outlineLevel="1" x14ac:dyDescent="0.2">
      <c r="C243" s="71" t="str">
        <f>HL_TOP_ACTV_14_Name&amp;" - "&amp;Lang_Detailed_Allowance_Cost_Assumptions</f>
        <v>Training Activity #3 (Not in Use) - Detailed Allowance Cost Assumptions</v>
      </c>
    </row>
    <row r="244" spans="1:10" s="10" customFormat="1" ht="48" outlineLevel="1" x14ac:dyDescent="0.2">
      <c r="D244" s="55" t="str">
        <f>Lang_Allowance_Type</f>
        <v>Allowance Type</v>
      </c>
      <c r="E244" s="85" t="str">
        <f>Lang_Allowance_Unit_Per_Day_Round_Trip_Travel</f>
        <v>Allowance Unit (e.g. Per Day, Round-trip Travel,etc.)</v>
      </c>
      <c r="F244" s="85" t="str">
        <f>Lang_Number_Of_Allowance_Units_Required</f>
        <v>Number of Allowance Units Required</v>
      </c>
      <c r="G244" s="86" t="str">
        <f ca="1">TRAIN_Lu!$D$100&amp;" "&amp;Lang_Cost_Per_Activity_Unit&amp;" ("&amp;OFFSET(TRAIN_Lu!$D$79,DD_TOP_ACTV_14_Detailed_Currency_Used,0)&amp;")"</f>
        <v>Financial Cost per Activity Unit (USD)</v>
      </c>
      <c r="H244" s="86" t="str">
        <f ca="1">TRAIN_Lu!$D$101&amp;" "&amp;Lang_Cost_Per_Activity_Unit&amp;" ("&amp;OFFSET(TRAIN_Lu!$D$79,DD_TOP_ACTV_14_Detailed_Currency_Used,0)&amp;")"</f>
        <v>Economic Cost per Activity Unit (USD)</v>
      </c>
      <c r="I244" s="87" t="str">
        <f>Lang_Evidence_For_Using_This_Cost_Information_Source_Or_Notes</f>
        <v>Evidence for Using this Cost Information (source or notes)</v>
      </c>
    </row>
    <row r="245" spans="1:10" s="10" customFormat="1" ht="12" outlineLevel="1" x14ac:dyDescent="0.2">
      <c r="D245" s="75" t="s">
        <v>163</v>
      </c>
      <c r="E245" s="88"/>
      <c r="F245" s="80">
        <v>0</v>
      </c>
      <c r="G245" s="80">
        <v>0</v>
      </c>
      <c r="H245" s="80">
        <v>0</v>
      </c>
      <c r="I245" s="75" t="s">
        <v>162</v>
      </c>
      <c r="J245" s="42">
        <f t="shared" ref="J245:J254" si="9">IF(H245&lt;G245,1,0)</f>
        <v>0</v>
      </c>
    </row>
    <row r="246" spans="1:10" s="10" customFormat="1" ht="12" outlineLevel="1" x14ac:dyDescent="0.2">
      <c r="D246" s="75" t="s">
        <v>164</v>
      </c>
      <c r="E246" s="88"/>
      <c r="F246" s="80">
        <v>0</v>
      </c>
      <c r="G246" s="80">
        <v>0</v>
      </c>
      <c r="H246" s="80">
        <v>0</v>
      </c>
      <c r="I246" s="75" t="s">
        <v>162</v>
      </c>
      <c r="J246" s="42">
        <f t="shared" si="9"/>
        <v>0</v>
      </c>
    </row>
    <row r="247" spans="1:10" s="10" customFormat="1" ht="12" outlineLevel="1" x14ac:dyDescent="0.2">
      <c r="D247" s="75" t="s">
        <v>165</v>
      </c>
      <c r="E247" s="88"/>
      <c r="F247" s="80">
        <v>0</v>
      </c>
      <c r="G247" s="80">
        <v>0</v>
      </c>
      <c r="H247" s="80">
        <v>0</v>
      </c>
      <c r="I247" s="75" t="s">
        <v>162</v>
      </c>
      <c r="J247" s="42">
        <f t="shared" si="9"/>
        <v>0</v>
      </c>
    </row>
    <row r="248" spans="1:10" s="10" customFormat="1" ht="12" outlineLevel="1" x14ac:dyDescent="0.2">
      <c r="D248" s="75" t="s">
        <v>166</v>
      </c>
      <c r="E248" s="88"/>
      <c r="F248" s="80">
        <v>0</v>
      </c>
      <c r="G248" s="80">
        <v>0</v>
      </c>
      <c r="H248" s="80">
        <v>0</v>
      </c>
      <c r="I248" s="75" t="s">
        <v>162</v>
      </c>
      <c r="J248" s="42">
        <f t="shared" si="9"/>
        <v>0</v>
      </c>
    </row>
    <row r="249" spans="1:10" s="10" customFormat="1" ht="12" outlineLevel="1" x14ac:dyDescent="0.2">
      <c r="D249" s="75" t="s">
        <v>167</v>
      </c>
      <c r="E249" s="88"/>
      <c r="F249" s="80">
        <v>0</v>
      </c>
      <c r="G249" s="80">
        <v>0</v>
      </c>
      <c r="H249" s="80">
        <v>0</v>
      </c>
      <c r="I249" s="75" t="s">
        <v>162</v>
      </c>
      <c r="J249" s="42">
        <f t="shared" si="9"/>
        <v>0</v>
      </c>
    </row>
    <row r="250" spans="1:10" s="10" customFormat="1" ht="12" outlineLevel="1" x14ac:dyDescent="0.2">
      <c r="D250" s="75" t="s">
        <v>168</v>
      </c>
      <c r="E250" s="88"/>
      <c r="F250" s="80">
        <v>0</v>
      </c>
      <c r="G250" s="80">
        <v>0</v>
      </c>
      <c r="H250" s="80">
        <v>0</v>
      </c>
      <c r="I250" s="75" t="s">
        <v>162</v>
      </c>
      <c r="J250" s="42">
        <f t="shared" si="9"/>
        <v>0</v>
      </c>
    </row>
    <row r="251" spans="1:10" s="10" customFormat="1" ht="12" outlineLevel="1" x14ac:dyDescent="0.2">
      <c r="D251" s="75" t="s">
        <v>169</v>
      </c>
      <c r="E251" s="88"/>
      <c r="F251" s="80">
        <v>0</v>
      </c>
      <c r="G251" s="80">
        <v>0</v>
      </c>
      <c r="H251" s="80">
        <v>0</v>
      </c>
      <c r="I251" s="75" t="s">
        <v>162</v>
      </c>
      <c r="J251" s="42">
        <f t="shared" si="9"/>
        <v>0</v>
      </c>
    </row>
    <row r="252" spans="1:10" s="10" customFormat="1" ht="12" outlineLevel="1" x14ac:dyDescent="0.2">
      <c r="D252" s="75" t="s">
        <v>170</v>
      </c>
      <c r="E252" s="88"/>
      <c r="F252" s="80">
        <v>0</v>
      </c>
      <c r="G252" s="80">
        <v>0</v>
      </c>
      <c r="H252" s="80">
        <v>0</v>
      </c>
      <c r="I252" s="75" t="s">
        <v>162</v>
      </c>
      <c r="J252" s="42">
        <f t="shared" si="9"/>
        <v>0</v>
      </c>
    </row>
    <row r="253" spans="1:10" s="10" customFormat="1" ht="12" outlineLevel="1" x14ac:dyDescent="0.2">
      <c r="D253" s="75" t="s">
        <v>171</v>
      </c>
      <c r="E253" s="88"/>
      <c r="F253" s="80">
        <v>0</v>
      </c>
      <c r="G253" s="80">
        <v>0</v>
      </c>
      <c r="H253" s="80">
        <v>0</v>
      </c>
      <c r="I253" s="75" t="s">
        <v>162</v>
      </c>
      <c r="J253" s="42">
        <f t="shared" si="9"/>
        <v>0</v>
      </c>
    </row>
    <row r="254" spans="1:10" s="10" customFormat="1" ht="12" outlineLevel="1" x14ac:dyDescent="0.2">
      <c r="D254" s="75" t="s">
        <v>172</v>
      </c>
      <c r="E254" s="88"/>
      <c r="F254" s="80">
        <v>0</v>
      </c>
      <c r="G254" s="80">
        <v>0</v>
      </c>
      <c r="H254" s="80">
        <v>0</v>
      </c>
      <c r="I254" s="75" t="s">
        <v>162</v>
      </c>
      <c r="J254" s="42">
        <f t="shared" si="9"/>
        <v>0</v>
      </c>
    </row>
    <row r="255" spans="1:10" s="10" customFormat="1" ht="12" outlineLevel="1" x14ac:dyDescent="0.2">
      <c r="D255" s="55" t="str">
        <f>Lang_Error_Check_Flags_If_Input_Econ_Cost_Is_Less_Than_Fin_Cost</f>
        <v>ERROR CHECK (FLAGS IF INPUT ECONOMIC COST IS LESS THAN FINANCIAL COST)</v>
      </c>
      <c r="J255" s="43">
        <f>IF(ISERROR(SUM(J245:J254)),1,MIN(SUM(J245:J254),1))</f>
        <v>0</v>
      </c>
    </row>
    <row r="256" spans="1:10" s="10" customFormat="1" ht="12" outlineLevel="1" x14ac:dyDescent="0.2"/>
    <row r="257" spans="1:10" s="10" customFormat="1" ht="12" outlineLevel="1" x14ac:dyDescent="0.2">
      <c r="D257" s="76" t="str">
        <f>Lang_GoTo&amp;" "&amp;HL_TOP_ACTV_14_Out_A</f>
        <v>Go to Training Activity #3 (Not in Use) Allowances - Outputs</v>
      </c>
    </row>
    <row r="258" spans="1:10" s="10" customFormat="1" ht="12" x14ac:dyDescent="0.2"/>
    <row r="259" spans="1:10" s="13" customFormat="1" ht="12" x14ac:dyDescent="0.2">
      <c r="A259" s="12" t="s">
        <v>127</v>
      </c>
      <c r="B259" s="13" t="str">
        <f>C261</f>
        <v>Training Activity #3 (Not in Use) - Detailed Supply and Material Cost Assumptions</v>
      </c>
    </row>
    <row r="260" spans="1:10" s="10" customFormat="1" ht="12" outlineLevel="1" x14ac:dyDescent="0.2"/>
    <row r="261" spans="1:10" s="10" customFormat="1" ht="12" outlineLevel="1" x14ac:dyDescent="0.2">
      <c r="C261" s="71" t="str">
        <f>HL_TOP_ACTV_14_Name&amp;" - "&amp;Lang_Detailed_Supply_And_Material_Cost_Assumptions</f>
        <v>Training Activity #3 (Not in Use) - Detailed Supply and Material Cost Assumptions</v>
      </c>
    </row>
    <row r="262" spans="1:10" s="10" customFormat="1" ht="48" outlineLevel="1" x14ac:dyDescent="0.2">
      <c r="D262" s="55" t="str">
        <f>Lang_Supply_Type</f>
        <v>Supply Type</v>
      </c>
      <c r="E262" s="85" t="str">
        <f>Lang_Supply_Unit_Each_Dozen_100_Pack</f>
        <v>Supply Unit (e.g. Each, Dozen, 100-pack,etc.)</v>
      </c>
      <c r="F262" s="85" t="str">
        <f>Lang_Number_Of_Supply_Units_Required</f>
        <v>Number of Supply Units Required</v>
      </c>
      <c r="G262" s="86" t="str">
        <f ca="1">TRAIN_Lu!$D$100&amp;" "&amp;Lang_Cost_Per_Activity_Unit&amp;" ("&amp;OFFSET(TRAIN_Lu!$D$79,DD_TOP_ACTV_14_Detailed_Currency_Used,0)&amp;")"</f>
        <v>Financial Cost per Activity Unit (USD)</v>
      </c>
      <c r="H262" s="86" t="str">
        <f ca="1">TRAIN_Lu!$D$101&amp;" "&amp;Lang_Cost_Per_Activity_Unit&amp;" ("&amp;OFFSET(TRAIN_Lu!$D$79,DD_TOP_ACTV_14_Detailed_Currency_Used,0)&amp;")"</f>
        <v>Economic Cost per Activity Unit (USD)</v>
      </c>
      <c r="I262" s="87" t="str">
        <f>Lang_Evidence_For_Using_This_Cost_Information_Source_Or_Notes</f>
        <v>Evidence for Using this Cost Information (source or notes)</v>
      </c>
    </row>
    <row r="263" spans="1:10" s="10" customFormat="1" ht="12" outlineLevel="1" x14ac:dyDescent="0.2">
      <c r="D263" s="75" t="s">
        <v>173</v>
      </c>
      <c r="E263" s="88"/>
      <c r="F263" s="80">
        <v>0</v>
      </c>
      <c r="G263" s="80">
        <v>0</v>
      </c>
      <c r="H263" s="80">
        <v>0</v>
      </c>
      <c r="I263" s="75" t="s">
        <v>162</v>
      </c>
      <c r="J263" s="42">
        <f t="shared" ref="J263:J272" si="10">IF(H263&lt;G263,1,0)</f>
        <v>0</v>
      </c>
    </row>
    <row r="264" spans="1:10" s="10" customFormat="1" ht="12" outlineLevel="1" x14ac:dyDescent="0.2">
      <c r="D264" s="75" t="s">
        <v>174</v>
      </c>
      <c r="E264" s="88"/>
      <c r="F264" s="80">
        <v>0</v>
      </c>
      <c r="G264" s="80">
        <v>0</v>
      </c>
      <c r="H264" s="80">
        <v>0</v>
      </c>
      <c r="I264" s="75" t="s">
        <v>162</v>
      </c>
      <c r="J264" s="42">
        <f t="shared" si="10"/>
        <v>0</v>
      </c>
    </row>
    <row r="265" spans="1:10" s="10" customFormat="1" ht="12" outlineLevel="1" x14ac:dyDescent="0.2">
      <c r="D265" s="75" t="s">
        <v>175</v>
      </c>
      <c r="E265" s="88"/>
      <c r="F265" s="80">
        <v>0</v>
      </c>
      <c r="G265" s="80">
        <v>0</v>
      </c>
      <c r="H265" s="80">
        <v>0</v>
      </c>
      <c r="I265" s="75" t="s">
        <v>162</v>
      </c>
      <c r="J265" s="42">
        <f t="shared" si="10"/>
        <v>0</v>
      </c>
    </row>
    <row r="266" spans="1:10" s="10" customFormat="1" ht="12" outlineLevel="1" x14ac:dyDescent="0.2">
      <c r="D266" s="75" t="s">
        <v>176</v>
      </c>
      <c r="E266" s="88"/>
      <c r="F266" s="80">
        <v>0</v>
      </c>
      <c r="G266" s="80">
        <v>0</v>
      </c>
      <c r="H266" s="80">
        <v>0</v>
      </c>
      <c r="I266" s="75" t="s">
        <v>162</v>
      </c>
      <c r="J266" s="42">
        <f t="shared" si="10"/>
        <v>0</v>
      </c>
    </row>
    <row r="267" spans="1:10" s="10" customFormat="1" ht="12" outlineLevel="1" x14ac:dyDescent="0.2">
      <c r="D267" s="75" t="s">
        <v>177</v>
      </c>
      <c r="E267" s="88"/>
      <c r="F267" s="80">
        <v>0</v>
      </c>
      <c r="G267" s="80">
        <v>0</v>
      </c>
      <c r="H267" s="80">
        <v>0</v>
      </c>
      <c r="I267" s="75" t="s">
        <v>162</v>
      </c>
      <c r="J267" s="42">
        <f t="shared" si="10"/>
        <v>0</v>
      </c>
    </row>
    <row r="268" spans="1:10" s="10" customFormat="1" ht="12" outlineLevel="1" x14ac:dyDescent="0.2">
      <c r="D268" s="75" t="s">
        <v>178</v>
      </c>
      <c r="E268" s="88"/>
      <c r="F268" s="80">
        <v>0</v>
      </c>
      <c r="G268" s="80">
        <v>0</v>
      </c>
      <c r="H268" s="80">
        <v>0</v>
      </c>
      <c r="I268" s="75" t="s">
        <v>162</v>
      </c>
      <c r="J268" s="42">
        <f t="shared" si="10"/>
        <v>0</v>
      </c>
    </row>
    <row r="269" spans="1:10" s="10" customFormat="1" ht="12" outlineLevel="1" x14ac:dyDescent="0.2">
      <c r="D269" s="75" t="s">
        <v>179</v>
      </c>
      <c r="E269" s="88"/>
      <c r="F269" s="80">
        <v>0</v>
      </c>
      <c r="G269" s="80">
        <v>0</v>
      </c>
      <c r="H269" s="80">
        <v>0</v>
      </c>
      <c r="I269" s="75" t="s">
        <v>162</v>
      </c>
      <c r="J269" s="42">
        <f t="shared" si="10"/>
        <v>0</v>
      </c>
    </row>
    <row r="270" spans="1:10" s="10" customFormat="1" ht="12" outlineLevel="1" x14ac:dyDescent="0.2">
      <c r="D270" s="75" t="s">
        <v>180</v>
      </c>
      <c r="E270" s="88"/>
      <c r="F270" s="80">
        <v>0</v>
      </c>
      <c r="G270" s="80">
        <v>0</v>
      </c>
      <c r="H270" s="80">
        <v>0</v>
      </c>
      <c r="I270" s="75" t="s">
        <v>162</v>
      </c>
      <c r="J270" s="42">
        <f t="shared" si="10"/>
        <v>0</v>
      </c>
    </row>
    <row r="271" spans="1:10" s="10" customFormat="1" ht="12" outlineLevel="1" x14ac:dyDescent="0.2">
      <c r="D271" s="75" t="s">
        <v>181</v>
      </c>
      <c r="E271" s="88"/>
      <c r="F271" s="80">
        <v>0</v>
      </c>
      <c r="G271" s="80">
        <v>0</v>
      </c>
      <c r="H271" s="80">
        <v>0</v>
      </c>
      <c r="I271" s="75" t="s">
        <v>162</v>
      </c>
      <c r="J271" s="42">
        <f t="shared" si="10"/>
        <v>0</v>
      </c>
    </row>
    <row r="272" spans="1:10" s="10" customFormat="1" ht="12" outlineLevel="1" x14ac:dyDescent="0.2">
      <c r="D272" s="75" t="s">
        <v>182</v>
      </c>
      <c r="E272" s="88"/>
      <c r="F272" s="80">
        <v>0</v>
      </c>
      <c r="G272" s="80">
        <v>0</v>
      </c>
      <c r="H272" s="80">
        <v>0</v>
      </c>
      <c r="I272" s="75" t="s">
        <v>162</v>
      </c>
      <c r="J272" s="42">
        <f t="shared" si="10"/>
        <v>0</v>
      </c>
    </row>
    <row r="273" spans="1:10" s="10" customFormat="1" ht="12" outlineLevel="1" x14ac:dyDescent="0.2">
      <c r="D273" s="55" t="str">
        <f>Lang_Error_Check_Flags_If_Input_Econ_Cost_Is_Less_Than_Fin_Cost</f>
        <v>ERROR CHECK (FLAGS IF INPUT ECONOMIC COST IS LESS THAN FINANCIAL COST)</v>
      </c>
      <c r="J273" s="43">
        <f>IF(ISERROR(SUM(J263:J272)),1,MIN(SUM(J263:J272),1))</f>
        <v>0</v>
      </c>
    </row>
    <row r="274" spans="1:10" s="10" customFormat="1" ht="12" outlineLevel="1" x14ac:dyDescent="0.2"/>
    <row r="275" spans="1:10" s="10" customFormat="1" ht="12" outlineLevel="1" x14ac:dyDescent="0.2">
      <c r="D275" s="76" t="str">
        <f>Lang_GoTo&amp;" "&amp;HL_TOP_ACTV_14_Supplies_and_Materials_Outputs</f>
        <v>Go to Training Activity #3 (Not in Use) Supplies and Materials - Outputs</v>
      </c>
    </row>
    <row r="276" spans="1:10" s="10" customFormat="1" ht="12" x14ac:dyDescent="0.2"/>
    <row r="277" spans="1:10" s="13" customFormat="1" ht="12" x14ac:dyDescent="0.2">
      <c r="A277" s="12" t="s">
        <v>127</v>
      </c>
      <c r="B277" s="13" t="str">
        <f>C279</f>
        <v>Training Activity #3 (Not in Use) - Detailed Other Direct Cost Assumptions</v>
      </c>
    </row>
    <row r="278" spans="1:10" s="10" customFormat="1" ht="12" outlineLevel="1" x14ac:dyDescent="0.2"/>
    <row r="279" spans="1:10" s="10" customFormat="1" ht="12" outlineLevel="1" x14ac:dyDescent="0.2">
      <c r="C279" s="71" t="str">
        <f>HL_TOP_ACTV_14_Name&amp;" - "&amp;Lang_Detailed_Other_Direct_Cost_Assumptions</f>
        <v>Training Activity #3 (Not in Use) - Detailed Other Direct Cost Assumptions</v>
      </c>
    </row>
    <row r="280" spans="1:10" s="10" customFormat="1" ht="48" outlineLevel="1" x14ac:dyDescent="0.2">
      <c r="D280" s="55" t="str">
        <f>Lang_Other_Direct_Cost_ODC_Type</f>
        <v>Other Direct Cost (ODC) Type</v>
      </c>
      <c r="E280" s="85" t="str">
        <f>Lang_ODC_Unit_Each_Dozen_100_Pack</f>
        <v>ODC Unit (e.g. Each, Dozen, 100-pack,etc.)</v>
      </c>
      <c r="F280" s="85" t="str">
        <f>Lang_Number_Of_ODC_Units_Required</f>
        <v>Number of ODC Units Required</v>
      </c>
      <c r="G280" s="86" t="str">
        <f ca="1">TRAIN_Lu!$D$100&amp;" "&amp;Lang_Cost_Per_Activity_Unit&amp;" ("&amp;OFFSET(TRAIN_Lu!$D$79,DD_TOP_ACTV_14_Detailed_Currency_Used,0)&amp;")"</f>
        <v>Financial Cost per Activity Unit (USD)</v>
      </c>
      <c r="H280" s="86" t="str">
        <f ca="1">TRAIN_Lu!$D$101&amp;" "&amp;Lang_Cost_Per_Activity_Unit&amp;" ("&amp;OFFSET(TRAIN_Lu!$D$79,DD_TOP_ACTV_14_Detailed_Currency_Used,0)&amp;")"</f>
        <v>Economic Cost per Activity Unit (USD)</v>
      </c>
      <c r="I280" s="87" t="str">
        <f>Lang_Evidence_For_Using_This_Cost_Information_Source_Or_Notes</f>
        <v>Evidence for Using this Cost Information (source or notes)</v>
      </c>
    </row>
    <row r="281" spans="1:10" s="10" customFormat="1" ht="12" outlineLevel="1" x14ac:dyDescent="0.2">
      <c r="D281" s="75" t="s">
        <v>183</v>
      </c>
      <c r="E281" s="88"/>
      <c r="F281" s="80">
        <v>0</v>
      </c>
      <c r="G281" s="80">
        <v>0</v>
      </c>
      <c r="H281" s="80">
        <v>0</v>
      </c>
      <c r="I281" s="75" t="s">
        <v>162</v>
      </c>
      <c r="J281" s="42">
        <f t="shared" ref="J281:J290" si="11">IF(H281&lt;G281,1,0)</f>
        <v>0</v>
      </c>
    </row>
    <row r="282" spans="1:10" s="10" customFormat="1" ht="12" outlineLevel="1" x14ac:dyDescent="0.2">
      <c r="D282" s="75" t="s">
        <v>184</v>
      </c>
      <c r="E282" s="88"/>
      <c r="F282" s="80">
        <v>0</v>
      </c>
      <c r="G282" s="80">
        <v>0</v>
      </c>
      <c r="H282" s="80">
        <v>0</v>
      </c>
      <c r="I282" s="75" t="s">
        <v>162</v>
      </c>
      <c r="J282" s="42">
        <f t="shared" si="11"/>
        <v>0</v>
      </c>
    </row>
    <row r="283" spans="1:10" s="10" customFormat="1" ht="12" outlineLevel="1" x14ac:dyDescent="0.2">
      <c r="D283" s="75" t="s">
        <v>185</v>
      </c>
      <c r="E283" s="88"/>
      <c r="F283" s="80">
        <v>0</v>
      </c>
      <c r="G283" s="80">
        <v>0</v>
      </c>
      <c r="H283" s="80">
        <v>0</v>
      </c>
      <c r="I283" s="75" t="s">
        <v>162</v>
      </c>
      <c r="J283" s="42">
        <f t="shared" si="11"/>
        <v>0</v>
      </c>
    </row>
    <row r="284" spans="1:10" s="10" customFormat="1" ht="12" outlineLevel="1" x14ac:dyDescent="0.2">
      <c r="D284" s="75" t="s">
        <v>186</v>
      </c>
      <c r="E284" s="88"/>
      <c r="F284" s="80">
        <v>0</v>
      </c>
      <c r="G284" s="80">
        <v>0</v>
      </c>
      <c r="H284" s="80">
        <v>0</v>
      </c>
      <c r="I284" s="75" t="s">
        <v>162</v>
      </c>
      <c r="J284" s="42">
        <f t="shared" si="11"/>
        <v>0</v>
      </c>
    </row>
    <row r="285" spans="1:10" s="10" customFormat="1" ht="12" outlineLevel="1" x14ac:dyDescent="0.2">
      <c r="D285" s="75" t="s">
        <v>187</v>
      </c>
      <c r="E285" s="88"/>
      <c r="F285" s="80">
        <v>0</v>
      </c>
      <c r="G285" s="80">
        <v>0</v>
      </c>
      <c r="H285" s="80">
        <v>0</v>
      </c>
      <c r="I285" s="75" t="s">
        <v>162</v>
      </c>
      <c r="J285" s="42">
        <f t="shared" si="11"/>
        <v>0</v>
      </c>
    </row>
    <row r="286" spans="1:10" s="10" customFormat="1" ht="12" outlineLevel="1" x14ac:dyDescent="0.2">
      <c r="D286" s="75" t="s">
        <v>188</v>
      </c>
      <c r="E286" s="88"/>
      <c r="F286" s="80">
        <v>0</v>
      </c>
      <c r="G286" s="80">
        <v>0</v>
      </c>
      <c r="H286" s="80">
        <v>0</v>
      </c>
      <c r="I286" s="75" t="s">
        <v>162</v>
      </c>
      <c r="J286" s="42">
        <f t="shared" si="11"/>
        <v>0</v>
      </c>
    </row>
    <row r="287" spans="1:10" s="10" customFormat="1" ht="12" outlineLevel="1" x14ac:dyDescent="0.2">
      <c r="D287" s="75" t="s">
        <v>189</v>
      </c>
      <c r="E287" s="88"/>
      <c r="F287" s="80">
        <v>0</v>
      </c>
      <c r="G287" s="80">
        <v>0</v>
      </c>
      <c r="H287" s="80">
        <v>0</v>
      </c>
      <c r="I287" s="75" t="s">
        <v>162</v>
      </c>
      <c r="J287" s="42">
        <f t="shared" si="11"/>
        <v>0</v>
      </c>
    </row>
    <row r="288" spans="1:10" s="10" customFormat="1" ht="12" outlineLevel="1" x14ac:dyDescent="0.2">
      <c r="D288" s="75" t="s">
        <v>190</v>
      </c>
      <c r="E288" s="88"/>
      <c r="F288" s="80">
        <v>0</v>
      </c>
      <c r="G288" s="80">
        <v>0</v>
      </c>
      <c r="H288" s="80">
        <v>0</v>
      </c>
      <c r="I288" s="75" t="s">
        <v>162</v>
      </c>
      <c r="J288" s="42">
        <f t="shared" si="11"/>
        <v>0</v>
      </c>
    </row>
    <row r="289" spans="1:10" s="10" customFormat="1" ht="12" outlineLevel="1" x14ac:dyDescent="0.2">
      <c r="D289" s="75" t="s">
        <v>191</v>
      </c>
      <c r="E289" s="88"/>
      <c r="F289" s="80">
        <v>0</v>
      </c>
      <c r="G289" s="80">
        <v>0</v>
      </c>
      <c r="H289" s="80">
        <v>0</v>
      </c>
      <c r="I289" s="75" t="s">
        <v>162</v>
      </c>
      <c r="J289" s="42">
        <f t="shared" si="11"/>
        <v>0</v>
      </c>
    </row>
    <row r="290" spans="1:10" s="10" customFormat="1" ht="12" outlineLevel="1" x14ac:dyDescent="0.2">
      <c r="D290" s="75" t="s">
        <v>192</v>
      </c>
      <c r="E290" s="88"/>
      <c r="F290" s="80">
        <v>0</v>
      </c>
      <c r="G290" s="80">
        <v>0</v>
      </c>
      <c r="H290" s="80">
        <v>0</v>
      </c>
      <c r="I290" s="75" t="s">
        <v>162</v>
      </c>
      <c r="J290" s="42">
        <f t="shared" si="11"/>
        <v>0</v>
      </c>
    </row>
    <row r="291" spans="1:10" s="10" customFormat="1" ht="12" outlineLevel="1" x14ac:dyDescent="0.2">
      <c r="D291" s="55" t="str">
        <f>Lang_Error_Check_Flags_If_Input_Econ_Cost_Is_Less_Than_Fin_Cost</f>
        <v>ERROR CHECK (FLAGS IF INPUT ECONOMIC COST IS LESS THAN FINANCIAL COST)</v>
      </c>
      <c r="J291" s="43">
        <f>IF(ISERROR(SUM(J281:J290)),1,MIN(SUM(J281:J290),1))</f>
        <v>0</v>
      </c>
    </row>
    <row r="292" spans="1:10" s="10" customFormat="1" ht="12" outlineLevel="1" x14ac:dyDescent="0.2"/>
    <row r="293" spans="1:10" s="10" customFormat="1" ht="12" outlineLevel="1" x14ac:dyDescent="0.2">
      <c r="D293" s="76" t="str">
        <f>Lang_GoTo&amp;" "&amp;HL_TOP_ACTV_14_Other_Direct_Costs_Outputs</f>
        <v>Go to Training Activity #3 (Not in Use) Other Direct Costs - Outputs</v>
      </c>
    </row>
    <row r="294" spans="1:10" s="10" customFormat="1" ht="12" x14ac:dyDescent="0.2"/>
    <row r="295" spans="1:10" s="13" customFormat="1" ht="12" x14ac:dyDescent="0.2">
      <c r="A295" s="12" t="s">
        <v>125</v>
      </c>
      <c r="B295" s="13" t="str">
        <f>C297</f>
        <v>Training Activity #4 (Not in Use) -  Detailed Activity Costing Worksheet - Instructions</v>
      </c>
    </row>
    <row r="296" spans="1:10" s="10" customFormat="1" ht="12" outlineLevel="1" x14ac:dyDescent="0.2"/>
    <row r="297" spans="1:10" s="10" customFormat="1" ht="12" outlineLevel="1" x14ac:dyDescent="0.2">
      <c r="C297" s="71" t="str">
        <f>HL_LVL2_ACTV_2_Name&amp;" -  "&amp;Lang_Detailed_Activity_Costing_Worksheet_Instructions</f>
        <v>Training Activity #4 (Not in Use) -  Detailed Activity Costing Worksheet - Instructions</v>
      </c>
    </row>
    <row r="298" spans="1:10" s="10" customFormat="1" ht="12" outlineLevel="1" x14ac:dyDescent="0.2"/>
    <row r="299" spans="1:10" s="10" customFormat="1" ht="12" outlineLevel="1" x14ac:dyDescent="0.2">
      <c r="D299" s="50" t="str">
        <f>Lang_Detailed_Costing_Worksheets_Notes_1</f>
        <v>This detailed costing worksheet can be used to document the types and amounts of resources required to complete a single instance of an activity.</v>
      </c>
    </row>
    <row r="300" spans="1:10" s="10" customFormat="1" ht="12" outlineLevel="1" x14ac:dyDescent="0.2">
      <c r="D300" s="50" t="str">
        <f>Lang_Detailed_Costing_Worksheets_Notes_2</f>
        <v>When completed, it will automatically provide a single activity cost in the general assumption worksheet.</v>
      </c>
    </row>
    <row r="301" spans="1:10" s="10" customFormat="1" ht="12" outlineLevel="1" x14ac:dyDescent="0.2">
      <c r="D301" s="50" t="str">
        <f>Lang_Detailed_Costing_Worksheets_Notes_3</f>
        <v>The user may then choose to use the results of the detailed costing in the model, or override the detailed costing and insert alternate cost estimates.</v>
      </c>
    </row>
    <row r="302" spans="1:10" s="10" customFormat="1" ht="12" outlineLevel="1" x14ac:dyDescent="0.2"/>
    <row r="303" spans="1:10" s="10" customFormat="1" ht="12" x14ac:dyDescent="0.2"/>
    <row r="304" spans="1:10" s="13" customFormat="1" ht="12" x14ac:dyDescent="0.2">
      <c r="A304" s="12" t="s">
        <v>125</v>
      </c>
      <c r="B304" s="13" t="str">
        <f>C306</f>
        <v>Training Activity #4 (Not in Use) - Detailed Activity Costing Worksheet - Currency Selection</v>
      </c>
    </row>
    <row r="305" spans="1:9" s="10" customFormat="1" ht="12" outlineLevel="1" x14ac:dyDescent="0.2"/>
    <row r="306" spans="1:9" s="10" customFormat="1" ht="12" outlineLevel="1" x14ac:dyDescent="0.2">
      <c r="C306" s="71" t="str">
        <f>HL_LVL2_ACTV_2_Name&amp;" - "&amp;Lang_Detailed_Activity_Costing_Worksheet_Currency_Selection</f>
        <v>Training Activity #4 (Not in Use) - Detailed Activity Costing Worksheet - Currency Selection</v>
      </c>
    </row>
    <row r="307" spans="1:9" s="10" customFormat="1" ht="12" outlineLevel="1" x14ac:dyDescent="0.2"/>
    <row r="308" spans="1:9" s="10" customFormat="1" ht="12" outlineLevel="1" x14ac:dyDescent="0.2">
      <c r="D308" s="55" t="str">
        <f>Lang_Currency_Used_For_Cost_Inputs</f>
        <v>Currency Used for Cost Inputs</v>
      </c>
      <c r="E308" s="72">
        <v>1</v>
      </c>
    </row>
    <row r="309" spans="1:9" s="10" customFormat="1" ht="12" outlineLevel="1" x14ac:dyDescent="0.2"/>
    <row r="310" spans="1:9" s="10" customFormat="1" ht="12" outlineLevel="1" x14ac:dyDescent="0.2"/>
    <row r="311" spans="1:9" s="10" customFormat="1" ht="12" outlineLevel="1" x14ac:dyDescent="0.2">
      <c r="D311" s="54" t="str">
        <f>Lang_Imported_From_Econ_Module</f>
        <v>Imported from Econ Module</v>
      </c>
    </row>
    <row r="312" spans="1:9" s="10" customFormat="1" ht="12" outlineLevel="1" x14ac:dyDescent="0.2">
      <c r="D312" s="49" t="str">
        <f>ECONOMICS!F7</f>
        <v>USD</v>
      </c>
    </row>
    <row r="313" spans="1:9" s="10" customFormat="1" ht="12" outlineLevel="1" x14ac:dyDescent="0.2">
      <c r="D313" s="49" t="str">
        <f>ECONOMICS!F8</f>
        <v>LCU</v>
      </c>
    </row>
    <row r="314" spans="1:9" s="10" customFormat="1" ht="12" outlineLevel="1" x14ac:dyDescent="0.2"/>
    <row r="315" spans="1:9" s="10" customFormat="1" ht="12" outlineLevel="1" x14ac:dyDescent="0.2">
      <c r="D315" s="50" t="str">
        <f>Lang_Exchange_Rate_From_Econ</f>
        <v>Exchange Rate (from Economics)</v>
      </c>
      <c r="E315" s="41">
        <f>ECONOMICS!E13</f>
        <v>1234.5</v>
      </c>
    </row>
    <row r="316" spans="1:9" s="10" customFormat="1" ht="12" x14ac:dyDescent="0.2"/>
    <row r="317" spans="1:9" s="13" customFormat="1" ht="12" x14ac:dyDescent="0.2">
      <c r="A317" s="12" t="s">
        <v>127</v>
      </c>
      <c r="B317" s="13" t="str">
        <f>C319</f>
        <v>Training Activity #4 (Not in Use) - Detailed Personnel Cost Assumptions</v>
      </c>
    </row>
    <row r="318" spans="1:9" s="10" customFormat="1" ht="12" outlineLevel="1" x14ac:dyDescent="0.2"/>
    <row r="319" spans="1:9" s="10" customFormat="1" ht="12" outlineLevel="1" x14ac:dyDescent="0.2">
      <c r="C319" s="71" t="str">
        <f>HL_LVL2_ACTV_2_Name&amp;" - "&amp;Lang_Detailed_Personnel_Cost_Assumptions</f>
        <v>Training Activity #4 (Not in Use) - Detailed Personnel Cost Assumptions</v>
      </c>
    </row>
    <row r="320" spans="1:9" s="10" customFormat="1" ht="48" outlineLevel="1" x14ac:dyDescent="0.2">
      <c r="D320" s="55" t="str">
        <f>Lang_Personnel_Cadre_Type</f>
        <v>Personnel Cadre Type</v>
      </c>
      <c r="E320" s="85" t="str">
        <f>Lang_Activity_Unit_Day_Hour_Minute</f>
        <v>Activity Unit (e.g. Day, Hour, Minute)</v>
      </c>
      <c r="F320" s="85" t="str">
        <f>Lang_Number_Of_Activity_Units_Required</f>
        <v>Number of Activity Units Required</v>
      </c>
      <c r="G320" s="86" t="str">
        <f ca="1">TRAIN_Lu!$D$135&amp;" "&amp;Lang_Cost_Per_Activity_Unit&amp;" ("&amp;OFFSET(TRAIN_Lu!$D$114,DD_LVL2_ACTV_2_Currency_Selected,0)&amp;")"</f>
        <v>Financial Cost per Activity Unit (USD)</v>
      </c>
      <c r="H320" s="86" t="str">
        <f ca="1">TRAIN_Lu!$D$136&amp;" "&amp;Lang_Cost_Per_Activity_Unit&amp;" ("&amp;OFFSET(TRAIN_Lu!$D$114,DD_LVL2_ACTV_2_Currency_Selected,0)&amp;")"</f>
        <v>Economic Cost per Activity Unit (USD)</v>
      </c>
      <c r="I320" s="87" t="str">
        <f>Lang_Evidence_For_Using_This_Cost_Information_Source_Or_Notes</f>
        <v>Evidence for Using this Cost Information (source or notes)</v>
      </c>
    </row>
    <row r="321" spans="4:10" s="10" customFormat="1" ht="12" outlineLevel="1" x14ac:dyDescent="0.2">
      <c r="D321" s="75" t="s">
        <v>152</v>
      </c>
      <c r="E321" s="75"/>
      <c r="F321" s="80">
        <v>0</v>
      </c>
      <c r="G321" s="80">
        <v>0</v>
      </c>
      <c r="H321" s="80">
        <v>0</v>
      </c>
      <c r="I321" s="75" t="s">
        <v>162</v>
      </c>
      <c r="J321" s="42">
        <f t="shared" ref="J321:J335" si="12">IF(H321&lt;G321,1,0)</f>
        <v>0</v>
      </c>
    </row>
    <row r="322" spans="4:10" s="10" customFormat="1" ht="12" outlineLevel="1" x14ac:dyDescent="0.2">
      <c r="D322" s="75" t="s">
        <v>153</v>
      </c>
      <c r="E322" s="75"/>
      <c r="F322" s="80">
        <v>0</v>
      </c>
      <c r="G322" s="80">
        <v>0</v>
      </c>
      <c r="H322" s="80">
        <v>0</v>
      </c>
      <c r="I322" s="75" t="s">
        <v>162</v>
      </c>
      <c r="J322" s="42">
        <f t="shared" si="12"/>
        <v>0</v>
      </c>
    </row>
    <row r="323" spans="4:10" s="10" customFormat="1" ht="12" outlineLevel="1" x14ac:dyDescent="0.2">
      <c r="D323" s="75" t="s">
        <v>154</v>
      </c>
      <c r="E323" s="75"/>
      <c r="F323" s="80">
        <v>0</v>
      </c>
      <c r="G323" s="80">
        <v>0</v>
      </c>
      <c r="H323" s="80">
        <v>0</v>
      </c>
      <c r="I323" s="75" t="s">
        <v>162</v>
      </c>
      <c r="J323" s="42">
        <f t="shared" si="12"/>
        <v>0</v>
      </c>
    </row>
    <row r="324" spans="4:10" s="10" customFormat="1" ht="12" outlineLevel="1" x14ac:dyDescent="0.2">
      <c r="D324" s="75" t="s">
        <v>155</v>
      </c>
      <c r="E324" s="75"/>
      <c r="F324" s="80">
        <v>0</v>
      </c>
      <c r="G324" s="80">
        <v>0</v>
      </c>
      <c r="H324" s="80">
        <v>0</v>
      </c>
      <c r="I324" s="75" t="s">
        <v>162</v>
      </c>
      <c r="J324" s="42">
        <f t="shared" si="12"/>
        <v>0</v>
      </c>
    </row>
    <row r="325" spans="4:10" s="10" customFormat="1" ht="12" outlineLevel="1" x14ac:dyDescent="0.2">
      <c r="D325" s="75" t="s">
        <v>156</v>
      </c>
      <c r="E325" s="88"/>
      <c r="F325" s="80">
        <v>0</v>
      </c>
      <c r="G325" s="80">
        <v>0</v>
      </c>
      <c r="H325" s="80">
        <v>0</v>
      </c>
      <c r="I325" s="75" t="s">
        <v>162</v>
      </c>
      <c r="J325" s="42">
        <f t="shared" si="12"/>
        <v>0</v>
      </c>
    </row>
    <row r="326" spans="4:10" s="10" customFormat="1" ht="12" outlineLevel="1" x14ac:dyDescent="0.2">
      <c r="D326" s="75" t="s">
        <v>157</v>
      </c>
      <c r="E326" s="88"/>
      <c r="F326" s="80">
        <v>0</v>
      </c>
      <c r="G326" s="80">
        <v>0</v>
      </c>
      <c r="H326" s="80">
        <v>0</v>
      </c>
      <c r="I326" s="75" t="s">
        <v>162</v>
      </c>
      <c r="J326" s="42">
        <f t="shared" si="12"/>
        <v>0</v>
      </c>
    </row>
    <row r="327" spans="4:10" s="10" customFormat="1" ht="12" outlineLevel="1" x14ac:dyDescent="0.2">
      <c r="D327" s="75" t="s">
        <v>158</v>
      </c>
      <c r="E327" s="88"/>
      <c r="F327" s="80">
        <v>0</v>
      </c>
      <c r="G327" s="80">
        <v>0</v>
      </c>
      <c r="H327" s="80">
        <v>0</v>
      </c>
      <c r="I327" s="75" t="s">
        <v>162</v>
      </c>
      <c r="J327" s="42">
        <f t="shared" si="12"/>
        <v>0</v>
      </c>
    </row>
    <row r="328" spans="4:10" s="10" customFormat="1" ht="12" outlineLevel="1" x14ac:dyDescent="0.2">
      <c r="D328" s="75" t="s">
        <v>159</v>
      </c>
      <c r="E328" s="88"/>
      <c r="F328" s="80">
        <v>0</v>
      </c>
      <c r="G328" s="80">
        <v>0</v>
      </c>
      <c r="H328" s="80">
        <v>0</v>
      </c>
      <c r="I328" s="75" t="s">
        <v>162</v>
      </c>
      <c r="J328" s="42">
        <f t="shared" si="12"/>
        <v>0</v>
      </c>
    </row>
    <row r="329" spans="4:10" ht="12" outlineLevel="1" x14ac:dyDescent="0.2">
      <c r="D329" s="62" t="s">
        <v>160</v>
      </c>
      <c r="E329" s="64"/>
      <c r="F329" s="19">
        <v>0</v>
      </c>
      <c r="G329" s="19">
        <v>0</v>
      </c>
      <c r="H329" s="19">
        <v>0</v>
      </c>
      <c r="I329" s="62" t="s">
        <v>162</v>
      </c>
      <c r="J329" s="42">
        <f t="shared" si="12"/>
        <v>0</v>
      </c>
    </row>
    <row r="330" spans="4:10" ht="12" outlineLevel="1" x14ac:dyDescent="0.2">
      <c r="D330" s="62" t="s">
        <v>161</v>
      </c>
      <c r="E330" s="64"/>
      <c r="F330" s="19">
        <v>0</v>
      </c>
      <c r="G330" s="19">
        <v>0</v>
      </c>
      <c r="H330" s="19">
        <v>0</v>
      </c>
      <c r="I330" s="62" t="s">
        <v>162</v>
      </c>
      <c r="J330" s="42">
        <f t="shared" si="12"/>
        <v>0</v>
      </c>
    </row>
    <row r="331" spans="4:10" ht="12" outlineLevel="1" x14ac:dyDescent="0.2">
      <c r="D331" s="62" t="s">
        <v>393</v>
      </c>
      <c r="E331" s="64"/>
      <c r="F331" s="19">
        <v>0</v>
      </c>
      <c r="G331" s="19">
        <v>0</v>
      </c>
      <c r="H331" s="19">
        <v>0</v>
      </c>
      <c r="I331" s="62" t="s">
        <v>162</v>
      </c>
      <c r="J331" s="42">
        <f t="shared" si="12"/>
        <v>0</v>
      </c>
    </row>
    <row r="332" spans="4:10" ht="12" outlineLevel="1" x14ac:dyDescent="0.2">
      <c r="D332" s="62" t="s">
        <v>394</v>
      </c>
      <c r="E332" s="64"/>
      <c r="F332" s="19">
        <v>0</v>
      </c>
      <c r="G332" s="19">
        <v>0</v>
      </c>
      <c r="H332" s="19">
        <v>0</v>
      </c>
      <c r="I332" s="62" t="s">
        <v>162</v>
      </c>
      <c r="J332" s="42">
        <f t="shared" si="12"/>
        <v>0</v>
      </c>
    </row>
    <row r="333" spans="4:10" ht="12" outlineLevel="1" x14ac:dyDescent="0.2">
      <c r="D333" s="62" t="s">
        <v>395</v>
      </c>
      <c r="E333" s="64"/>
      <c r="F333" s="19">
        <v>0</v>
      </c>
      <c r="G333" s="19">
        <v>0</v>
      </c>
      <c r="H333" s="19">
        <v>0</v>
      </c>
      <c r="I333" s="62" t="s">
        <v>162</v>
      </c>
      <c r="J333" s="42">
        <f t="shared" si="12"/>
        <v>0</v>
      </c>
    </row>
    <row r="334" spans="4:10" s="10" customFormat="1" ht="12" outlineLevel="1" x14ac:dyDescent="0.2">
      <c r="D334" s="75" t="s">
        <v>396</v>
      </c>
      <c r="E334" s="88"/>
      <c r="F334" s="80">
        <v>0</v>
      </c>
      <c r="G334" s="80">
        <v>0</v>
      </c>
      <c r="H334" s="80">
        <v>0</v>
      </c>
      <c r="I334" s="75" t="s">
        <v>162</v>
      </c>
      <c r="J334" s="42">
        <f t="shared" si="12"/>
        <v>0</v>
      </c>
    </row>
    <row r="335" spans="4:10" s="10" customFormat="1" ht="12" outlineLevel="1" x14ac:dyDescent="0.2">
      <c r="D335" s="75" t="s">
        <v>397</v>
      </c>
      <c r="E335" s="88"/>
      <c r="F335" s="80">
        <v>0</v>
      </c>
      <c r="G335" s="80">
        <v>0</v>
      </c>
      <c r="H335" s="80">
        <v>0</v>
      </c>
      <c r="I335" s="75" t="s">
        <v>162</v>
      </c>
      <c r="J335" s="42">
        <f t="shared" si="12"/>
        <v>0</v>
      </c>
    </row>
    <row r="336" spans="4:10" s="10" customFormat="1" ht="12" outlineLevel="1" x14ac:dyDescent="0.2">
      <c r="D336" s="55" t="str">
        <f>Lang_Error_Check_Flags_If_Input_Econ_Cost_Is_Less_Than_Fin_Cost</f>
        <v>ERROR CHECK (FLAGS IF INPUT ECONOMIC COST IS LESS THAN FINANCIAL COST)</v>
      </c>
      <c r="J336" s="43">
        <f>IF(ISERROR(SUM(J321:J335)),1,MIN(SUM(J321:J335),1))</f>
        <v>0</v>
      </c>
    </row>
    <row r="337" spans="1:10" s="10" customFormat="1" ht="12" outlineLevel="1" x14ac:dyDescent="0.2"/>
    <row r="338" spans="1:10" s="10" customFormat="1" ht="12" outlineLevel="1" x14ac:dyDescent="0.2">
      <c r="D338" s="76" t="str">
        <f>Lang_GoTo&amp;" "&amp;HL_LVL2_ACTV_2_Personnel_Outputs</f>
        <v>Go to Training Activity #4 (Not in Use) Personnel - Outputs</v>
      </c>
    </row>
    <row r="339" spans="1:10" s="10" customFormat="1" ht="12" x14ac:dyDescent="0.2"/>
    <row r="340" spans="1:10" s="13" customFormat="1" ht="12" x14ac:dyDescent="0.2">
      <c r="A340" s="12" t="s">
        <v>127</v>
      </c>
      <c r="B340" s="13" t="str">
        <f>C342</f>
        <v>Training Activity #4 (Not in Use) - Detailed Allowance Cost Assumptions</v>
      </c>
    </row>
    <row r="341" spans="1:10" s="10" customFormat="1" ht="12" outlineLevel="1" x14ac:dyDescent="0.2"/>
    <row r="342" spans="1:10" s="10" customFormat="1" ht="12" outlineLevel="1" x14ac:dyDescent="0.2">
      <c r="C342" s="71" t="str">
        <f>HL_LVL2_ACTV_2_Name&amp;" - "&amp;Lang_Detailed_Allowance_Cost_Assumptions</f>
        <v>Training Activity #4 (Not in Use) - Detailed Allowance Cost Assumptions</v>
      </c>
    </row>
    <row r="343" spans="1:10" s="10" customFormat="1" ht="48" outlineLevel="1" x14ac:dyDescent="0.2">
      <c r="D343" s="55" t="str">
        <f>Lang_Allowance_Type</f>
        <v>Allowance Type</v>
      </c>
      <c r="E343" s="85" t="str">
        <f>Lang_Allowance_Unit_Per_Day_Round_Trip_Travel</f>
        <v>Allowance Unit (e.g. Per Day, Round-trip Travel,etc.)</v>
      </c>
      <c r="F343" s="85" t="str">
        <f>Lang_Number_Of_Allowance_Units_Required</f>
        <v>Number of Allowance Units Required</v>
      </c>
      <c r="G343" s="86" t="str">
        <f ca="1">TRAIN_Lu!$D$135&amp;" "&amp;Lang_Cost_Per_Activity_Unit&amp;" ("&amp;OFFSET(TRAIN_Lu!$D$114,DD_LVL2_ACTV_2_Currency_Selected,0)&amp;")"</f>
        <v>Financial Cost per Activity Unit (USD)</v>
      </c>
      <c r="H343" s="86" t="str">
        <f ca="1">TRAIN_Lu!$D$136&amp;" "&amp;Lang_Cost_Per_Activity_Unit&amp;" ("&amp;OFFSET(TRAIN_Lu!$D$114,DD_LVL2_ACTV_2_Currency_Selected,0)&amp;")"</f>
        <v>Economic Cost per Activity Unit (USD)</v>
      </c>
      <c r="I343" s="87" t="str">
        <f>Lang_Evidence_For_Using_This_Cost_Information_Source_Or_Notes</f>
        <v>Evidence for Using this Cost Information (source or notes)</v>
      </c>
    </row>
    <row r="344" spans="1:10" s="10" customFormat="1" ht="12" outlineLevel="1" x14ac:dyDescent="0.2">
      <c r="D344" s="75" t="s">
        <v>163</v>
      </c>
      <c r="E344" s="75"/>
      <c r="F344" s="80">
        <v>0</v>
      </c>
      <c r="G344" s="80">
        <v>0</v>
      </c>
      <c r="H344" s="80">
        <v>0</v>
      </c>
      <c r="I344" s="75" t="s">
        <v>162</v>
      </c>
      <c r="J344" s="42">
        <f t="shared" ref="J344:J353" si="13">IF(H344&lt;G344,1,0)</f>
        <v>0</v>
      </c>
    </row>
    <row r="345" spans="1:10" s="10" customFormat="1" ht="12" outlineLevel="1" x14ac:dyDescent="0.2">
      <c r="D345" s="75" t="s">
        <v>164</v>
      </c>
      <c r="E345" s="75"/>
      <c r="F345" s="80">
        <v>0</v>
      </c>
      <c r="G345" s="80">
        <v>0</v>
      </c>
      <c r="H345" s="80">
        <v>0</v>
      </c>
      <c r="I345" s="75" t="s">
        <v>162</v>
      </c>
      <c r="J345" s="42">
        <f t="shared" si="13"/>
        <v>0</v>
      </c>
    </row>
    <row r="346" spans="1:10" s="10" customFormat="1" ht="12" outlineLevel="1" x14ac:dyDescent="0.2">
      <c r="D346" s="75" t="s">
        <v>165</v>
      </c>
      <c r="E346" s="75"/>
      <c r="F346" s="80">
        <v>0</v>
      </c>
      <c r="G346" s="80">
        <v>0</v>
      </c>
      <c r="H346" s="80">
        <v>0</v>
      </c>
      <c r="I346" s="75" t="s">
        <v>162</v>
      </c>
      <c r="J346" s="42">
        <f t="shared" si="13"/>
        <v>0</v>
      </c>
    </row>
    <row r="347" spans="1:10" s="10" customFormat="1" ht="12" outlineLevel="1" x14ac:dyDescent="0.2">
      <c r="D347" s="75" t="s">
        <v>166</v>
      </c>
      <c r="E347" s="88"/>
      <c r="F347" s="80">
        <v>0</v>
      </c>
      <c r="G347" s="80">
        <v>0</v>
      </c>
      <c r="H347" s="80">
        <v>0</v>
      </c>
      <c r="I347" s="75" t="s">
        <v>162</v>
      </c>
      <c r="J347" s="42">
        <f t="shared" si="13"/>
        <v>0</v>
      </c>
    </row>
    <row r="348" spans="1:10" s="10" customFormat="1" ht="12" outlineLevel="1" x14ac:dyDescent="0.2">
      <c r="D348" s="75" t="s">
        <v>167</v>
      </c>
      <c r="E348" s="88"/>
      <c r="F348" s="80">
        <v>0</v>
      </c>
      <c r="G348" s="80">
        <v>0</v>
      </c>
      <c r="H348" s="80">
        <v>0</v>
      </c>
      <c r="I348" s="75" t="s">
        <v>162</v>
      </c>
      <c r="J348" s="42">
        <f t="shared" si="13"/>
        <v>0</v>
      </c>
    </row>
    <row r="349" spans="1:10" s="10" customFormat="1" ht="12" outlineLevel="1" x14ac:dyDescent="0.2">
      <c r="D349" s="75" t="s">
        <v>168</v>
      </c>
      <c r="E349" s="88"/>
      <c r="F349" s="80">
        <v>0</v>
      </c>
      <c r="G349" s="80">
        <v>0</v>
      </c>
      <c r="H349" s="80">
        <v>0</v>
      </c>
      <c r="I349" s="75" t="s">
        <v>162</v>
      </c>
      <c r="J349" s="42">
        <f t="shared" si="13"/>
        <v>0</v>
      </c>
    </row>
    <row r="350" spans="1:10" s="10" customFormat="1" ht="12" outlineLevel="1" x14ac:dyDescent="0.2">
      <c r="D350" s="75" t="s">
        <v>169</v>
      </c>
      <c r="E350" s="88"/>
      <c r="F350" s="80">
        <v>0</v>
      </c>
      <c r="G350" s="80">
        <v>0</v>
      </c>
      <c r="H350" s="80">
        <v>0</v>
      </c>
      <c r="I350" s="75" t="s">
        <v>162</v>
      </c>
      <c r="J350" s="42">
        <f t="shared" si="13"/>
        <v>0</v>
      </c>
    </row>
    <row r="351" spans="1:10" s="10" customFormat="1" ht="12" outlineLevel="1" x14ac:dyDescent="0.2">
      <c r="D351" s="75" t="s">
        <v>170</v>
      </c>
      <c r="E351" s="88"/>
      <c r="F351" s="80">
        <v>0</v>
      </c>
      <c r="G351" s="80">
        <v>0</v>
      </c>
      <c r="H351" s="80">
        <v>0</v>
      </c>
      <c r="I351" s="75" t="s">
        <v>162</v>
      </c>
      <c r="J351" s="42">
        <f t="shared" si="13"/>
        <v>0</v>
      </c>
    </row>
    <row r="352" spans="1:10" s="10" customFormat="1" ht="12" outlineLevel="1" x14ac:dyDescent="0.2">
      <c r="D352" s="75" t="s">
        <v>171</v>
      </c>
      <c r="E352" s="88"/>
      <c r="F352" s="80">
        <v>0</v>
      </c>
      <c r="G352" s="80">
        <v>0</v>
      </c>
      <c r="H352" s="80">
        <v>0</v>
      </c>
      <c r="I352" s="75" t="s">
        <v>162</v>
      </c>
      <c r="J352" s="42">
        <f t="shared" si="13"/>
        <v>0</v>
      </c>
    </row>
    <row r="353" spans="1:10" s="10" customFormat="1" ht="12" outlineLevel="1" x14ac:dyDescent="0.2">
      <c r="D353" s="75" t="s">
        <v>172</v>
      </c>
      <c r="E353" s="88"/>
      <c r="F353" s="80">
        <v>0</v>
      </c>
      <c r="G353" s="80">
        <v>0</v>
      </c>
      <c r="H353" s="80">
        <v>0</v>
      </c>
      <c r="I353" s="75" t="s">
        <v>162</v>
      </c>
      <c r="J353" s="42">
        <f t="shared" si="13"/>
        <v>0</v>
      </c>
    </row>
    <row r="354" spans="1:10" s="10" customFormat="1" ht="12" outlineLevel="1" x14ac:dyDescent="0.2">
      <c r="D354" s="55" t="str">
        <f>Lang_Error_Check_Flags_If_Input_Econ_Cost_Is_Less_Than_Fin_Cost</f>
        <v>ERROR CHECK (FLAGS IF INPUT ECONOMIC COST IS LESS THAN FINANCIAL COST)</v>
      </c>
      <c r="J354" s="43">
        <f>IF(ISERROR(SUM(J344:J353)),1,MIN(SUM(J344:J353),1))</f>
        <v>0</v>
      </c>
    </row>
    <row r="355" spans="1:10" s="10" customFormat="1" ht="12" outlineLevel="1" x14ac:dyDescent="0.2"/>
    <row r="356" spans="1:10" s="10" customFormat="1" ht="12" outlineLevel="1" x14ac:dyDescent="0.2">
      <c r="D356" s="76" t="str">
        <f>Lang_GoTo&amp;" "&amp;HL_LVL2_ACTV_2_Out_A</f>
        <v>Go to Training Activity #4 (Not in Use) Allowances - Outputs</v>
      </c>
    </row>
    <row r="357" spans="1:10" s="10" customFormat="1" ht="12" x14ac:dyDescent="0.2"/>
    <row r="358" spans="1:10" s="13" customFormat="1" ht="12" x14ac:dyDescent="0.2">
      <c r="A358" s="12" t="s">
        <v>127</v>
      </c>
      <c r="B358" s="13" t="str">
        <f>C360</f>
        <v>Training Activity #4 (Not in Use) - Detailed Supply and Material Cost Assumptions</v>
      </c>
    </row>
    <row r="359" spans="1:10" s="10" customFormat="1" ht="12" outlineLevel="1" x14ac:dyDescent="0.2"/>
    <row r="360" spans="1:10" s="10" customFormat="1" ht="12" outlineLevel="1" x14ac:dyDescent="0.2">
      <c r="C360" s="71" t="str">
        <f>HL_LVL2_ACTV_2_Name&amp;" - "&amp;Lang_Detailed_Supply_And_Material_Cost_Assumptions</f>
        <v>Training Activity #4 (Not in Use) - Detailed Supply and Material Cost Assumptions</v>
      </c>
    </row>
    <row r="361" spans="1:10" s="10" customFormat="1" ht="48" outlineLevel="1" x14ac:dyDescent="0.2">
      <c r="D361" s="55" t="str">
        <f>Lang_Supply_Type</f>
        <v>Supply Type</v>
      </c>
      <c r="E361" s="85" t="str">
        <f>Lang_Supply_Unit_Each_Dozen_100_Pack</f>
        <v>Supply Unit (e.g. Each, Dozen, 100-pack,etc.)</v>
      </c>
      <c r="F361" s="85" t="str">
        <f>Lang_Number_Of_Supply_Units_Required</f>
        <v>Number of Supply Units Required</v>
      </c>
      <c r="G361" s="86" t="str">
        <f ca="1">TRAIN_Lu!$D$135&amp;" "&amp;Lang_Cost_Per_Activity_Unit&amp;" ("&amp;OFFSET(TRAIN_Lu!$D$114,DD_LVL2_ACTV_2_Currency_Selected,0)&amp;")"</f>
        <v>Financial Cost per Activity Unit (USD)</v>
      </c>
      <c r="H361" s="86" t="str">
        <f ca="1">TRAIN_Lu!$D$136&amp;" "&amp;Lang_Cost_Per_Activity_Unit&amp;" ("&amp;OFFSET(TRAIN_Lu!$D$114,DD_LVL2_ACTV_2_Currency_Selected,0)&amp;")"</f>
        <v>Economic Cost per Activity Unit (USD)</v>
      </c>
      <c r="I361" s="87" t="str">
        <f>Lang_Evidence_For_Using_This_Cost_Information_Source_Or_Notes</f>
        <v>Evidence for Using this Cost Information (source or notes)</v>
      </c>
    </row>
    <row r="362" spans="1:10" s="10" customFormat="1" ht="12" outlineLevel="1" x14ac:dyDescent="0.2">
      <c r="D362" s="75" t="s">
        <v>173</v>
      </c>
      <c r="E362" s="88"/>
      <c r="F362" s="80">
        <v>0</v>
      </c>
      <c r="G362" s="80">
        <v>0</v>
      </c>
      <c r="H362" s="80">
        <v>0</v>
      </c>
      <c r="I362" s="75" t="s">
        <v>162</v>
      </c>
      <c r="J362" s="42">
        <f t="shared" ref="J362:J371" si="14">IF(H362&lt;G362,1,0)</f>
        <v>0</v>
      </c>
    </row>
    <row r="363" spans="1:10" s="10" customFormat="1" ht="12" outlineLevel="1" x14ac:dyDescent="0.2">
      <c r="D363" s="75" t="s">
        <v>174</v>
      </c>
      <c r="E363" s="88"/>
      <c r="F363" s="80">
        <v>0</v>
      </c>
      <c r="G363" s="80">
        <v>0</v>
      </c>
      <c r="H363" s="80">
        <v>0</v>
      </c>
      <c r="I363" s="75" t="s">
        <v>162</v>
      </c>
      <c r="J363" s="42">
        <f t="shared" si="14"/>
        <v>0</v>
      </c>
    </row>
    <row r="364" spans="1:10" s="10" customFormat="1" ht="12" outlineLevel="1" x14ac:dyDescent="0.2">
      <c r="D364" s="75" t="s">
        <v>175</v>
      </c>
      <c r="E364" s="88"/>
      <c r="F364" s="80">
        <v>0</v>
      </c>
      <c r="G364" s="80">
        <v>0</v>
      </c>
      <c r="H364" s="80">
        <v>0</v>
      </c>
      <c r="I364" s="75" t="s">
        <v>162</v>
      </c>
      <c r="J364" s="42">
        <f t="shared" si="14"/>
        <v>0</v>
      </c>
    </row>
    <row r="365" spans="1:10" s="10" customFormat="1" ht="12" outlineLevel="1" x14ac:dyDescent="0.2">
      <c r="D365" s="75" t="s">
        <v>176</v>
      </c>
      <c r="E365" s="88"/>
      <c r="F365" s="80">
        <v>0</v>
      </c>
      <c r="G365" s="80">
        <v>0</v>
      </c>
      <c r="H365" s="80">
        <v>0</v>
      </c>
      <c r="I365" s="75" t="s">
        <v>162</v>
      </c>
      <c r="J365" s="42">
        <f t="shared" si="14"/>
        <v>0</v>
      </c>
    </row>
    <row r="366" spans="1:10" s="10" customFormat="1" ht="12" outlineLevel="1" x14ac:dyDescent="0.2">
      <c r="D366" s="75" t="s">
        <v>177</v>
      </c>
      <c r="E366" s="88"/>
      <c r="F366" s="80">
        <v>0</v>
      </c>
      <c r="G366" s="80">
        <v>0</v>
      </c>
      <c r="H366" s="80">
        <v>0</v>
      </c>
      <c r="I366" s="75" t="s">
        <v>162</v>
      </c>
      <c r="J366" s="42">
        <f t="shared" si="14"/>
        <v>0</v>
      </c>
    </row>
    <row r="367" spans="1:10" s="10" customFormat="1" ht="12" outlineLevel="1" x14ac:dyDescent="0.2">
      <c r="D367" s="75" t="s">
        <v>178</v>
      </c>
      <c r="E367" s="88"/>
      <c r="F367" s="80">
        <v>0</v>
      </c>
      <c r="G367" s="80">
        <v>0</v>
      </c>
      <c r="H367" s="80">
        <v>0</v>
      </c>
      <c r="I367" s="75" t="s">
        <v>162</v>
      </c>
      <c r="J367" s="42">
        <f t="shared" si="14"/>
        <v>0</v>
      </c>
    </row>
    <row r="368" spans="1:10" s="10" customFormat="1" ht="12" outlineLevel="1" x14ac:dyDescent="0.2">
      <c r="D368" s="75" t="s">
        <v>179</v>
      </c>
      <c r="E368" s="88"/>
      <c r="F368" s="80">
        <v>0</v>
      </c>
      <c r="G368" s="80">
        <v>0</v>
      </c>
      <c r="H368" s="80">
        <v>0</v>
      </c>
      <c r="I368" s="75" t="s">
        <v>162</v>
      </c>
      <c r="J368" s="42">
        <f t="shared" si="14"/>
        <v>0</v>
      </c>
    </row>
    <row r="369" spans="1:10" s="10" customFormat="1" ht="12" outlineLevel="1" x14ac:dyDescent="0.2">
      <c r="D369" s="75" t="s">
        <v>180</v>
      </c>
      <c r="E369" s="88"/>
      <c r="F369" s="80">
        <v>0</v>
      </c>
      <c r="G369" s="80">
        <v>0</v>
      </c>
      <c r="H369" s="80">
        <v>0</v>
      </c>
      <c r="I369" s="75" t="s">
        <v>162</v>
      </c>
      <c r="J369" s="42">
        <f t="shared" si="14"/>
        <v>0</v>
      </c>
    </row>
    <row r="370" spans="1:10" s="10" customFormat="1" ht="12" outlineLevel="1" x14ac:dyDescent="0.2">
      <c r="D370" s="75" t="s">
        <v>181</v>
      </c>
      <c r="E370" s="88"/>
      <c r="F370" s="80">
        <v>0</v>
      </c>
      <c r="G370" s="80">
        <v>0</v>
      </c>
      <c r="H370" s="80">
        <v>0</v>
      </c>
      <c r="I370" s="75" t="s">
        <v>162</v>
      </c>
      <c r="J370" s="42">
        <f t="shared" si="14"/>
        <v>0</v>
      </c>
    </row>
    <row r="371" spans="1:10" s="10" customFormat="1" ht="12" outlineLevel="1" x14ac:dyDescent="0.2">
      <c r="D371" s="75" t="s">
        <v>182</v>
      </c>
      <c r="E371" s="88"/>
      <c r="F371" s="80">
        <v>0</v>
      </c>
      <c r="G371" s="80">
        <v>0</v>
      </c>
      <c r="H371" s="80">
        <v>0</v>
      </c>
      <c r="I371" s="75" t="s">
        <v>162</v>
      </c>
      <c r="J371" s="42">
        <f t="shared" si="14"/>
        <v>0</v>
      </c>
    </row>
    <row r="372" spans="1:10" s="10" customFormat="1" ht="12" outlineLevel="1" x14ac:dyDescent="0.2">
      <c r="D372" s="55" t="str">
        <f>Lang_Error_Check_Flags_If_Input_Econ_Cost_Is_Less_Than_Fin_Cost</f>
        <v>ERROR CHECK (FLAGS IF INPUT ECONOMIC COST IS LESS THAN FINANCIAL COST)</v>
      </c>
      <c r="J372" s="43">
        <f>IF(ISERROR(SUM(J362:J371)),1,MIN(SUM(J362:J371),1))</f>
        <v>0</v>
      </c>
    </row>
    <row r="373" spans="1:10" s="10" customFormat="1" ht="12" outlineLevel="1" x14ac:dyDescent="0.2"/>
    <row r="374" spans="1:10" s="10" customFormat="1" ht="12" outlineLevel="1" x14ac:dyDescent="0.2">
      <c r="D374" s="76" t="str">
        <f>Lang_GoTo&amp;" "&amp;HL_LVL2_ACTV_2_Supplies_and_Materials_Outputs</f>
        <v>Go to Training Activity #4 (Not in Use) Supplies and Materials - Outputs</v>
      </c>
    </row>
    <row r="375" spans="1:10" s="10" customFormat="1" ht="12" x14ac:dyDescent="0.2"/>
    <row r="376" spans="1:10" s="13" customFormat="1" ht="12" x14ac:dyDescent="0.2">
      <c r="A376" s="12" t="s">
        <v>127</v>
      </c>
      <c r="B376" s="13" t="str">
        <f>C378</f>
        <v>Training Activity #4 (Not in Use) - Detailed Other Direct Cost Assumptions</v>
      </c>
    </row>
    <row r="377" spans="1:10" s="10" customFormat="1" ht="12" outlineLevel="1" x14ac:dyDescent="0.2"/>
    <row r="378" spans="1:10" s="10" customFormat="1" ht="12" outlineLevel="1" x14ac:dyDescent="0.2">
      <c r="C378" s="71" t="str">
        <f>HL_LVL2_ACTV_2_Name&amp;" - "&amp;Lang_Detailed_Other_Direct_Cost_Assumptions</f>
        <v>Training Activity #4 (Not in Use) - Detailed Other Direct Cost Assumptions</v>
      </c>
    </row>
    <row r="379" spans="1:10" s="10" customFormat="1" ht="48" outlineLevel="1" x14ac:dyDescent="0.2">
      <c r="D379" s="55" t="str">
        <f>Lang_Other_Direct_Cost_ODC_Type</f>
        <v>Other Direct Cost (ODC) Type</v>
      </c>
      <c r="E379" s="85" t="str">
        <f>Lang_ODC_Unit_Each_Dozen_100_Pack</f>
        <v>ODC Unit (e.g. Each, Dozen, 100-pack,etc.)</v>
      </c>
      <c r="F379" s="85" t="str">
        <f>Lang_Number_Of_ODC_Units_Required</f>
        <v>Number of ODC Units Required</v>
      </c>
      <c r="G379" s="86" t="str">
        <f ca="1">TRAIN_Lu!$D$135&amp;" "&amp;Lang_Cost_Per_Activity_Unit&amp;" ("&amp;OFFSET(TRAIN_Lu!$D$114,DD_LVL2_ACTV_2_Currency_Selected,0)&amp;")"</f>
        <v>Financial Cost per Activity Unit (USD)</v>
      </c>
      <c r="H379" s="86" t="str">
        <f ca="1">TRAIN_Lu!$D$136&amp;" "&amp;Lang_Cost_Per_Activity_Unit&amp;" ("&amp;OFFSET(TRAIN_Lu!$D$114,DD_LVL2_ACTV_2_Currency_Selected,0)&amp;")"</f>
        <v>Economic Cost per Activity Unit (USD)</v>
      </c>
      <c r="I379" s="87" t="str">
        <f>Lang_Evidence_For_Using_This_Cost_Information_Source_Or_Notes</f>
        <v>Evidence for Using this Cost Information (source or notes)</v>
      </c>
    </row>
    <row r="380" spans="1:10" s="10" customFormat="1" ht="12" outlineLevel="1" x14ac:dyDescent="0.2">
      <c r="D380" s="75" t="s">
        <v>183</v>
      </c>
      <c r="E380" s="88"/>
      <c r="F380" s="80">
        <v>0</v>
      </c>
      <c r="G380" s="80">
        <v>0</v>
      </c>
      <c r="H380" s="80">
        <v>0</v>
      </c>
      <c r="I380" s="75" t="s">
        <v>162</v>
      </c>
      <c r="J380" s="42">
        <f t="shared" ref="J380:J389" si="15">IF(H380&lt;G380,1,0)</f>
        <v>0</v>
      </c>
    </row>
    <row r="381" spans="1:10" s="10" customFormat="1" ht="12" outlineLevel="1" x14ac:dyDescent="0.2">
      <c r="D381" s="75" t="s">
        <v>184</v>
      </c>
      <c r="E381" s="88"/>
      <c r="F381" s="80">
        <v>0</v>
      </c>
      <c r="G381" s="80">
        <v>0</v>
      </c>
      <c r="H381" s="80">
        <v>0</v>
      </c>
      <c r="I381" s="75" t="s">
        <v>162</v>
      </c>
      <c r="J381" s="42">
        <f t="shared" si="15"/>
        <v>0</v>
      </c>
    </row>
    <row r="382" spans="1:10" s="10" customFormat="1" ht="12" outlineLevel="1" x14ac:dyDescent="0.2">
      <c r="D382" s="75" t="s">
        <v>185</v>
      </c>
      <c r="E382" s="88"/>
      <c r="F382" s="80">
        <v>0</v>
      </c>
      <c r="G382" s="80">
        <v>0</v>
      </c>
      <c r="H382" s="80">
        <v>0</v>
      </c>
      <c r="I382" s="75" t="s">
        <v>162</v>
      </c>
      <c r="J382" s="42">
        <f t="shared" si="15"/>
        <v>0</v>
      </c>
    </row>
    <row r="383" spans="1:10" s="10" customFormat="1" ht="12" outlineLevel="1" x14ac:dyDescent="0.2">
      <c r="D383" s="75" t="s">
        <v>186</v>
      </c>
      <c r="E383" s="88"/>
      <c r="F383" s="80">
        <v>0</v>
      </c>
      <c r="G383" s="80">
        <v>0</v>
      </c>
      <c r="H383" s="80">
        <v>0</v>
      </c>
      <c r="I383" s="75" t="s">
        <v>162</v>
      </c>
      <c r="J383" s="42">
        <f t="shared" si="15"/>
        <v>0</v>
      </c>
    </row>
    <row r="384" spans="1:10" s="10" customFormat="1" ht="12" outlineLevel="1" x14ac:dyDescent="0.2">
      <c r="D384" s="75" t="s">
        <v>187</v>
      </c>
      <c r="E384" s="88"/>
      <c r="F384" s="80">
        <v>0</v>
      </c>
      <c r="G384" s="80">
        <v>0</v>
      </c>
      <c r="H384" s="80">
        <v>0</v>
      </c>
      <c r="I384" s="75" t="s">
        <v>162</v>
      </c>
      <c r="J384" s="42">
        <f t="shared" si="15"/>
        <v>0</v>
      </c>
    </row>
    <row r="385" spans="4:10" s="10" customFormat="1" ht="12" outlineLevel="1" x14ac:dyDescent="0.2">
      <c r="D385" s="75" t="s">
        <v>188</v>
      </c>
      <c r="E385" s="88"/>
      <c r="F385" s="80">
        <v>0</v>
      </c>
      <c r="G385" s="80">
        <v>0</v>
      </c>
      <c r="H385" s="80">
        <v>0</v>
      </c>
      <c r="I385" s="75" t="s">
        <v>162</v>
      </c>
      <c r="J385" s="42">
        <f t="shared" si="15"/>
        <v>0</v>
      </c>
    </row>
    <row r="386" spans="4:10" s="10" customFormat="1" ht="12" outlineLevel="1" x14ac:dyDescent="0.2">
      <c r="D386" s="75" t="s">
        <v>189</v>
      </c>
      <c r="E386" s="88"/>
      <c r="F386" s="80">
        <v>0</v>
      </c>
      <c r="G386" s="80">
        <v>0</v>
      </c>
      <c r="H386" s="80">
        <v>0</v>
      </c>
      <c r="I386" s="75" t="s">
        <v>162</v>
      </c>
      <c r="J386" s="42">
        <f t="shared" si="15"/>
        <v>0</v>
      </c>
    </row>
    <row r="387" spans="4:10" s="10" customFormat="1" ht="12" outlineLevel="1" x14ac:dyDescent="0.2">
      <c r="D387" s="75" t="s">
        <v>190</v>
      </c>
      <c r="E387" s="88"/>
      <c r="F387" s="80">
        <v>0</v>
      </c>
      <c r="G387" s="80">
        <v>0</v>
      </c>
      <c r="H387" s="80">
        <v>0</v>
      </c>
      <c r="I387" s="75" t="s">
        <v>162</v>
      </c>
      <c r="J387" s="42">
        <f t="shared" si="15"/>
        <v>0</v>
      </c>
    </row>
    <row r="388" spans="4:10" s="10" customFormat="1" ht="12" outlineLevel="1" x14ac:dyDescent="0.2">
      <c r="D388" s="75" t="s">
        <v>191</v>
      </c>
      <c r="E388" s="88"/>
      <c r="F388" s="80">
        <v>0</v>
      </c>
      <c r="G388" s="80">
        <v>0</v>
      </c>
      <c r="H388" s="80">
        <v>0</v>
      </c>
      <c r="I388" s="75" t="s">
        <v>162</v>
      </c>
      <c r="J388" s="42">
        <f t="shared" si="15"/>
        <v>0</v>
      </c>
    </row>
    <row r="389" spans="4:10" s="10" customFormat="1" ht="12" outlineLevel="1" x14ac:dyDescent="0.2">
      <c r="D389" s="75" t="s">
        <v>192</v>
      </c>
      <c r="E389" s="88"/>
      <c r="F389" s="80">
        <v>0</v>
      </c>
      <c r="G389" s="80">
        <v>0</v>
      </c>
      <c r="H389" s="80">
        <v>0</v>
      </c>
      <c r="I389" s="75" t="s">
        <v>162</v>
      </c>
      <c r="J389" s="42">
        <f t="shared" si="15"/>
        <v>0</v>
      </c>
    </row>
    <row r="390" spans="4:10" s="10" customFormat="1" ht="12" outlineLevel="1" x14ac:dyDescent="0.2">
      <c r="D390" s="55" t="str">
        <f>Lang_Error_Check_Flags_If_Input_Econ_Cost_Is_Less_Than_Fin_Cost</f>
        <v>ERROR CHECK (FLAGS IF INPUT ECONOMIC COST IS LESS THAN FINANCIAL COST)</v>
      </c>
      <c r="J390" s="43">
        <f>IF(ISERROR(SUM(J380:J389)),1,MIN(SUM(J380:J389),1))</f>
        <v>0</v>
      </c>
    </row>
    <row r="391" spans="4:10" s="10" customFormat="1" ht="12" outlineLevel="1" x14ac:dyDescent="0.2"/>
    <row r="392" spans="4:10" s="10" customFormat="1" ht="12" outlineLevel="1" x14ac:dyDescent="0.2">
      <c r="D392" s="76" t="str">
        <f>Lang_GoTo&amp;" "&amp;HL_LVL2_ACTV_2_Other_Direct_Costs_Outputs</f>
        <v>Go to Training Activity #4 (Not in Use) Other Direct Costs - Outputs</v>
      </c>
    </row>
    <row r="393" spans="4:10" ht="12" x14ac:dyDescent="0.2"/>
    <row r="394" spans="4:10" ht="12" x14ac:dyDescent="0.2"/>
    <row r="395" spans="4:10" ht="12" x14ac:dyDescent="0.2"/>
    <row r="396" spans="4:10" ht="12" x14ac:dyDescent="0.2"/>
  </sheetData>
  <conditionalFormatting sqref="G28:H42 G51:H60 G69:H78 G87:H96">
    <cfRule type="expression" dxfId="181" priority="4">
      <formula>$E$15=1</formula>
    </cfRule>
  </conditionalFormatting>
  <conditionalFormatting sqref="G125:H139 G148:H157 G166:H175 G184:H193">
    <cfRule type="expression" dxfId="180" priority="3">
      <formula>$E$112=1</formula>
    </cfRule>
  </conditionalFormatting>
  <conditionalFormatting sqref="G222:H236 G245:H254 G263:H272 G281:H290">
    <cfRule type="expression" dxfId="179" priority="2">
      <formula>$E$209=1</formula>
    </cfRule>
  </conditionalFormatting>
  <conditionalFormatting sqref="G321:H335 G344:H353 G362:H371 G380:H389">
    <cfRule type="expression" dxfId="178" priority="1">
      <formula>$E$308=1</formula>
    </cfRule>
  </conditionalFormatting>
  <conditionalFormatting sqref="J28:J43">
    <cfRule type="cellIs" dxfId="177" priority="96" operator="notEqual">
      <formula>0</formula>
    </cfRule>
  </conditionalFormatting>
  <conditionalFormatting sqref="J51:J61">
    <cfRule type="cellIs" dxfId="176" priority="92" operator="notEqual">
      <formula>0</formula>
    </cfRule>
  </conditionalFormatting>
  <conditionalFormatting sqref="J69:J79">
    <cfRule type="cellIs" dxfId="175" priority="91" operator="notEqual">
      <formula>0</formula>
    </cfRule>
  </conditionalFormatting>
  <conditionalFormatting sqref="J87:J97">
    <cfRule type="cellIs" dxfId="174" priority="90" operator="notEqual">
      <formula>0</formula>
    </cfRule>
  </conditionalFormatting>
  <conditionalFormatting sqref="J125:J140">
    <cfRule type="cellIs" dxfId="173" priority="95" operator="notEqual">
      <formula>0</formula>
    </cfRule>
  </conditionalFormatting>
  <conditionalFormatting sqref="J148:J158">
    <cfRule type="cellIs" dxfId="172" priority="89" operator="notEqual">
      <formula>0</formula>
    </cfRule>
  </conditionalFormatting>
  <conditionalFormatting sqref="J166:J176">
    <cfRule type="cellIs" dxfId="171" priority="88" operator="notEqual">
      <formula>0</formula>
    </cfRule>
  </conditionalFormatting>
  <conditionalFormatting sqref="J184:J194">
    <cfRule type="cellIs" dxfId="170" priority="87" operator="notEqual">
      <formula>0</formula>
    </cfRule>
  </conditionalFormatting>
  <conditionalFormatting sqref="J222:J237">
    <cfRule type="cellIs" dxfId="169" priority="94" operator="notEqual">
      <formula>0</formula>
    </cfRule>
  </conditionalFormatting>
  <conditionalFormatting sqref="J245:J255">
    <cfRule type="cellIs" dxfId="168" priority="86" operator="notEqual">
      <formula>0</formula>
    </cfRule>
  </conditionalFormatting>
  <conditionalFormatting sqref="J263:J273">
    <cfRule type="cellIs" dxfId="167" priority="85" operator="notEqual">
      <formula>0</formula>
    </cfRule>
  </conditionalFormatting>
  <conditionalFormatting sqref="J281:J291">
    <cfRule type="cellIs" dxfId="166" priority="84" operator="notEqual">
      <formula>0</formula>
    </cfRule>
  </conditionalFormatting>
  <conditionalFormatting sqref="J321:J336">
    <cfRule type="cellIs" dxfId="165" priority="93" operator="notEqual">
      <formula>0</formula>
    </cfRule>
  </conditionalFormatting>
  <conditionalFormatting sqref="J344:J354">
    <cfRule type="cellIs" dxfId="164" priority="83" operator="notEqual">
      <formula>0</formula>
    </cfRule>
  </conditionalFormatting>
  <conditionalFormatting sqref="J362:J372">
    <cfRule type="cellIs" dxfId="163" priority="82" operator="notEqual">
      <formula>0</formula>
    </cfRule>
  </conditionalFormatting>
  <conditionalFormatting sqref="J380:J390">
    <cfRule type="cellIs" dxfId="162" priority="81" operator="notEqual">
      <formula>0</formula>
    </cfRule>
  </conditionalFormatting>
  <dataValidations count="5">
    <dataValidation type="custom" showErrorMessage="1" errorTitle="Invalid Assumption" error="Assumption must be a number." sqref="F125:H139 E216 F51:H60 F69:H78 F87:H96 F321:H335 F380:H389 F362:H371 F344:H353 F222:H236 F28:H42 F184:H193 F166:H175 F148:H157 E22 F281:H290 F263:H272 F245:H254 E119 E315" xr:uid="{00000000-0002-0000-2100-000000000000}">
      <formula1>NOT(ISERROR(E22/1))</formula1>
    </dataValidation>
    <dataValidation type="whole" showDropDown="1" showErrorMessage="1" errorTitle="Drop Down Box Cell Link" error="The value in a drop down box cell link must be a whole number within the control's lookup range rows." sqref="E15" xr:uid="{00000000-0002-0000-2100-000001000000}">
      <formula1>1</formula1>
      <formula2>ROWS(LU_TOP_ACTV_2_Currencies)</formula2>
    </dataValidation>
    <dataValidation type="whole" showDropDown="1" showErrorMessage="1" errorTitle="Drop Down Box Cell Link" error="The value in a drop down box cell link must be a whole number within the control's lookup range rows." sqref="E308" xr:uid="{00000000-0002-0000-2100-000002000000}">
      <formula1>1</formula1>
      <formula2>ROWS(LU_LVL2_ACTV_2_Currencies)</formula2>
    </dataValidation>
    <dataValidation type="whole" showDropDown="1" showErrorMessage="1" errorTitle="Drop Down Box Cell Link" error="The value in a drop down box cell link must be a whole number within the control's lookup range rows." sqref="E112" xr:uid="{00000000-0002-0000-2100-000003000000}">
      <formula1>1</formula1>
      <formula2>ROWS(LU_TOP_ACTV_13_Currencies)</formula2>
    </dataValidation>
    <dataValidation type="whole" showDropDown="1" showErrorMessage="1" errorTitle="Drop Down Box Cell Link" error="The value in a drop down box cell link must be a whole number within the control's lookup range rows." sqref="E209" xr:uid="{00000000-0002-0000-2100-000004000000}">
      <formula1>1</formula1>
      <formula2>ROWS(LU_TOP_ACTV_14_Currencies)</formula2>
    </dataValidation>
  </dataValidations>
  <hyperlinks>
    <hyperlink ref="A4" location="HL_TOP_ACTV_2_Ass_B" tooltip="Click to follow hyperlink." display="HL_TOP_ACTV_2_Ass_B" xr:uid="{00000000-0004-0000-2100-000000000000}"/>
    <hyperlink ref="A12" location="HL_TOP_ACTV_2_Personnel_Assumptions" tooltip="Click to follow hyperlink." display="HL_TOP_ACTV_2_Personnel_Assumptions" xr:uid="{00000000-0004-0000-2100-000001000000}"/>
    <hyperlink ref="D45" location="HL_TOP_ACTV_2_Personnel_Outputs" tooltip="Click to follow hyperlink." display="HL_TOP_ACTV_2_Personnel_Outputs" xr:uid="{00000000-0004-0000-2100-000002000000}"/>
    <hyperlink ref="D63" location="HL_TOP_ACTV_2_Out_A" tooltip="Click to follow hyperlink." display="HL_TOP_ACTV_2_Out_A" xr:uid="{00000000-0004-0000-2100-000003000000}"/>
    <hyperlink ref="D81" location="HL_TOP_ACTV_2_Supplies_and_Materials_Outputs" tooltip="Click to follow hyperlink." display="HL_TOP_ACTV_2_Supplies_and_Materials_Outputs" xr:uid="{00000000-0004-0000-2100-000004000000}"/>
    <hyperlink ref="D99" location="HL_TOP_ACTV_2_Other_Direct_Costs_Outputs" tooltip="Click to follow hyperlink." display="HL_TOP_ACTV_2_Other_Direct_Costs_Outputs" xr:uid="{00000000-0004-0000-2100-000005000000}"/>
    <hyperlink ref="A295" location="HL_LVL2_ACTV_2_Ass_B" tooltip="Click to follow hyperlink." display="HL_LVL2_ACTV_2_Ass_B" xr:uid="{00000000-0004-0000-2100-000006000000}"/>
    <hyperlink ref="A304" location="HL_LVL2_ACTV_2_Personnel_Assumptions" tooltip="Click to follow hyperlink." display="HL_LVL2_ACTV_2_Personnel_Assumptions" xr:uid="{00000000-0004-0000-2100-000007000000}"/>
    <hyperlink ref="D338" location="HL_LVL2_ACTV_2_Personnel_Outputs" tooltip="Click to follow hyperlink." display="HL_LVL2_ACTV_2_Personnel_Outputs" xr:uid="{00000000-0004-0000-2100-000008000000}"/>
    <hyperlink ref="D356" location="HL_LVL2_ACTV_2_Out_A" tooltip="Click to follow hyperlink." display="HL_LVL2_ACTV_2_Out_A" xr:uid="{00000000-0004-0000-2100-000009000000}"/>
    <hyperlink ref="D374" location="HL_LVL2_ACTV_2_Supplies_and_Materials_Outputs" tooltip="Click to follow hyperlink." display="HL_LVL2_ACTV_2_Supplies_and_Materials_Outputs" xr:uid="{00000000-0004-0000-2100-00000A000000}"/>
    <hyperlink ref="D392" location="HL_LVL2_ACTV_2_Other_Direct_Costs_Outputs" tooltip="Click to follow hyperlink." display="HL_LVL2_ACTV_2_Other_Direct_Costs_Outputs" xr:uid="{00000000-0004-0000-2100-00000B000000}"/>
    <hyperlink ref="A101" location="HL_TOP_ACTV_13_Ass_B" tooltip="Click to follow hyperlink." display="HL_TOP_ACTV_13_Ass_B" xr:uid="{00000000-0004-0000-2100-00000C000000}"/>
    <hyperlink ref="A109" location="HL_TOP_ACTV_13_Personnel_Assumptions" tooltip="Click to follow hyperlink." display="HL_TOP_ACTV_13_Personnel_Assumptions" xr:uid="{00000000-0004-0000-2100-00000D000000}"/>
    <hyperlink ref="D142" location="HL_TOP_ACTV_13_Personnel_Outputs" tooltip="Click to follow hyperlink." display="HL_TOP_ACTV_13_Personnel_Outputs" xr:uid="{00000000-0004-0000-2100-00000E000000}"/>
    <hyperlink ref="D160" location="HL_TOP_ACTV_13_Out_A" tooltip="Click to follow hyperlink." display="HL_TOP_ACTV_13_Out_A" xr:uid="{00000000-0004-0000-2100-00000F000000}"/>
    <hyperlink ref="D178" location="HL_TOP_ACTV_13_Supplies_and_Materials_Outputs" tooltip="Click to follow hyperlink." display="HL_TOP_ACTV_13_Supplies_and_Materials_Outputs" xr:uid="{00000000-0004-0000-2100-000010000000}"/>
    <hyperlink ref="D196" location="HL_TOP_ACTV_13_Other_Direct_Costs_Outputs" tooltip="Click to follow hyperlink." display="HL_TOP_ACTV_13_Other_Direct_Costs_Outputs" xr:uid="{00000000-0004-0000-2100-000011000000}"/>
    <hyperlink ref="A198" location="HL_TOP_ACTV_14_Ass_B" tooltip="Click to follow hyperlink." display="HL_TOP_ACTV_14_Ass_B" xr:uid="{00000000-0004-0000-2100-000012000000}"/>
    <hyperlink ref="A206" location="HL_TOP_ACTV_14_Personnel_Assumptions" tooltip="Click to follow hyperlink." display="HL_TOP_ACTV_14_Personnel_Assumptions" xr:uid="{00000000-0004-0000-2100-000013000000}"/>
    <hyperlink ref="D239" location="HL_TOP_ACTV_14_Personnel_Outputs" tooltip="Click to follow hyperlink." display="HL_TOP_ACTV_14_Personnel_Outputs" xr:uid="{00000000-0004-0000-2100-000014000000}"/>
    <hyperlink ref="D257" location="HL_TOP_ACTV_14_Out_A" tooltip="Click to follow hyperlink." display="HL_TOP_ACTV_14_Out_A" xr:uid="{00000000-0004-0000-2100-000015000000}"/>
    <hyperlink ref="D275" location="HL_TOP_ACTV_14_Supplies_and_Materials_Outputs" tooltip="Click to follow hyperlink." display="HL_TOP_ACTV_14_Supplies_and_Materials_Outputs" xr:uid="{00000000-0004-0000-2100-000016000000}"/>
    <hyperlink ref="D293" location="HL_TOP_ACTV_14_Other_Direct_Costs_Outputs" tooltip="Click to follow hyperlink." display="HL_TOP_ACTV_14_Other_Direct_Costs_Outputs" xr:uid="{00000000-0004-0000-2100-000017000000}"/>
    <hyperlink ref="A1" location="Contents!A1" tooltip="Go to Table of Contents" display="±" xr:uid="{00000000-0004-0000-2100-000018000000}"/>
  </hyperlinks>
  <pageMargins left="0.7" right="0.7" top="0.75" bottom="0.75" header="0.3" footer="0.3"/>
  <pageSetup scale="70" fitToHeight="0" orientation="landscape" r:id="rId1"/>
  <headerFooter>
    <oddFooter>&amp;L&amp;B Confidential&amp;B&amp;C&amp;D&amp;RPage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2049" r:id="rId4" name="bpmDropDownTOP_ACTV_21">
              <controlPr defaultSize="0" autoFill="0" autoPict="0">
                <anchor moveWithCells="1" sizeWithCells="1">
                  <from>
                    <xdr:col>4</xdr:col>
                    <xdr:colOff>0</xdr:colOff>
                    <xdr:row>14</xdr:row>
                    <xdr:rowOff>0</xdr:rowOff>
                  </from>
                  <to>
                    <xdr:col>5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063" r:id="rId5" name="bpmDropDownLVL2_ACTV_21">
              <controlPr defaultSize="0" autoFill="0" autoPict="0">
                <anchor moveWithCells="1" sizeWithCells="1">
                  <from>
                    <xdr:col>4</xdr:col>
                    <xdr:colOff>0</xdr:colOff>
                    <xdr:row>307</xdr:row>
                    <xdr:rowOff>0</xdr:rowOff>
                  </from>
                  <to>
                    <xdr:col>5</xdr:col>
                    <xdr:colOff>0</xdr:colOff>
                    <xdr:row>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068" r:id="rId6" name="bpmDropDownTOP_ACTV_131">
              <controlPr defaultSize="0" autoFill="0" autoPict="0">
                <anchor moveWithCells="1" sizeWithCells="1">
                  <from>
                    <xdr:col>4</xdr:col>
                    <xdr:colOff>0</xdr:colOff>
                    <xdr:row>111</xdr:row>
                    <xdr:rowOff>0</xdr:rowOff>
                  </from>
                  <to>
                    <xdr:col>5</xdr:col>
                    <xdr:colOff>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073" r:id="rId7" name="bpmDropDownTOP_ACTV_141">
              <controlPr defaultSize="0" autoFill="0" autoPict="0">
                <anchor moveWithCells="1" sizeWithCells="1">
                  <from>
                    <xdr:col>4</xdr:col>
                    <xdr:colOff>0</xdr:colOff>
                    <xdr:row>208</xdr:row>
                    <xdr:rowOff>0</xdr:rowOff>
                  </from>
                  <to>
                    <xdr:col>5</xdr:col>
                    <xdr:colOff>0</xdr:colOff>
                    <xdr:row>209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2">
    <tabColor rgb="FFFFC000"/>
    <pageSetUpPr autoPageBreaks="0" fitToPage="1"/>
  </sheetPr>
  <dimension ref="A1:R398"/>
  <sheetViews>
    <sheetView showGridLines="0" zoomScaleNormal="100" workbookViewId="0">
      <pane xSplit="1" ySplit="2" topLeftCell="B3" activePane="bottomRight" state="frozen"/>
      <selection activeCell="I511" sqref="I511"/>
      <selection pane="topRight" activeCell="I511" sqref="I511"/>
      <selection pane="bottomLeft" activeCell="I511" sqref="I511"/>
      <selection pane="bottomRight" activeCell="E17" sqref="E17"/>
    </sheetView>
  </sheetViews>
  <sheetFormatPr defaultColWidth="11.7109375" defaultRowHeight="12" outlineLevelRow="1" x14ac:dyDescent="0.2"/>
  <cols>
    <col min="1" max="3" width="3.7109375" customWidth="1"/>
    <col min="4" max="4" width="30.7109375" customWidth="1"/>
    <col min="5" max="5" width="20.7109375" customWidth="1"/>
    <col min="9" max="9" width="30.7109375" customWidth="1"/>
  </cols>
  <sheetData>
    <row r="1" spans="1:4" ht="15" x14ac:dyDescent="0.2">
      <c r="A1" s="35" t="s">
        <v>128</v>
      </c>
      <c r="B1" s="31" t="str">
        <f>Lang_Service_Delivery_Detailed_Costing_Worksheets_Optional</f>
        <v>Service Delivery  - Detailed Costing Worksheets (OPTIONAL)</v>
      </c>
    </row>
    <row r="2" spans="1:4" ht="12.75" x14ac:dyDescent="0.2">
      <c r="A2" s="36"/>
      <c r="B2" s="45" t="str">
        <f ca="1">Model_Name</f>
        <v>Cervical Cancer Prevention and Control Costing (C4P) Tool (Cost Projection)</v>
      </c>
    </row>
    <row r="3" spans="1:4" s="10" customFormat="1" x14ac:dyDescent="0.2"/>
    <row r="4" spans="1:4" s="13" customFormat="1" x14ac:dyDescent="0.2">
      <c r="A4" s="12" t="s">
        <v>125</v>
      </c>
      <c r="B4" s="13" t="str">
        <f>C6</f>
        <v>Single Vaccination Service Delivery Type 1 -  Detailed Activity Costing Worksheet - Instructions</v>
      </c>
    </row>
    <row r="5" spans="1:4" s="10" customFormat="1" outlineLevel="1" x14ac:dyDescent="0.2"/>
    <row r="6" spans="1:4" s="10" customFormat="1" outlineLevel="1" x14ac:dyDescent="0.2">
      <c r="C6" s="71" t="str">
        <f>HL_LVL2_ACTV_6_Name&amp;" -  "&amp;Lang_Detailed_Activity_Costing_Worksheet_Instructions</f>
        <v>Single Vaccination Service Delivery Type 1 -  Detailed Activity Costing Worksheet - Instructions</v>
      </c>
    </row>
    <row r="7" spans="1:4" s="10" customFormat="1" outlineLevel="1" x14ac:dyDescent="0.2"/>
    <row r="8" spans="1:4" s="10" customFormat="1" outlineLevel="1" x14ac:dyDescent="0.2">
      <c r="D8" s="50" t="str">
        <f>Lang_Detailed_Costing_Worksheets_Notes_1</f>
        <v>This detailed costing worksheet can be used to document the types and amounts of resources required to complete a single instance of an activity.</v>
      </c>
    </row>
    <row r="9" spans="1:4" s="10" customFormat="1" outlineLevel="1" x14ac:dyDescent="0.2">
      <c r="D9" s="50" t="str">
        <f>Lang_Detailed_Costing_Worksheets_Notes_2</f>
        <v>When completed, it will automatically provide a single activity cost in the general assumption worksheet.</v>
      </c>
    </row>
    <row r="10" spans="1:4" s="10" customFormat="1" outlineLevel="1" x14ac:dyDescent="0.2">
      <c r="D10" s="50" t="str">
        <f>Lang_Detailed_Costing_Worksheets_Notes_3</f>
        <v>The user may then choose to use the results of the detailed costing in the model, or override the detailed costing and insert alternate cost estimates.</v>
      </c>
    </row>
    <row r="11" spans="1:4" s="10" customFormat="1" outlineLevel="1" x14ac:dyDescent="0.2"/>
    <row r="12" spans="1:4" s="10" customFormat="1" x14ac:dyDescent="0.2"/>
    <row r="13" spans="1:4" s="13" customFormat="1" x14ac:dyDescent="0.2">
      <c r="A13" s="12" t="s">
        <v>125</v>
      </c>
      <c r="B13" s="13" t="str">
        <f>C15</f>
        <v>Single Vaccination Service Delivery Type 1 - Detailed Activity Costing Worksheet - Currency Selection</v>
      </c>
    </row>
    <row r="14" spans="1:4" s="10" customFormat="1" outlineLevel="1" x14ac:dyDescent="0.2"/>
    <row r="15" spans="1:4" s="10" customFormat="1" outlineLevel="1" x14ac:dyDescent="0.2">
      <c r="C15" s="71" t="str">
        <f>HL_LVL2_ACTV_6_Name&amp;" - "&amp;Lang_Detailed_Activity_Costing_Worksheet_Currency_Selection</f>
        <v>Single Vaccination Service Delivery Type 1 - Detailed Activity Costing Worksheet - Currency Selection</v>
      </c>
    </row>
    <row r="16" spans="1:4" s="10" customFormat="1" outlineLevel="1" x14ac:dyDescent="0.2"/>
    <row r="17" spans="1:10" s="10" customFormat="1" outlineLevel="1" x14ac:dyDescent="0.2">
      <c r="D17" s="55" t="str">
        <f>Lang_Currency_Used_For_Cost_Inputs</f>
        <v>Currency Used for Cost Inputs</v>
      </c>
      <c r="E17" s="72">
        <v>1</v>
      </c>
    </row>
    <row r="18" spans="1:10" s="10" customFormat="1" outlineLevel="1" x14ac:dyDescent="0.2"/>
    <row r="19" spans="1:10" s="10" customFormat="1" outlineLevel="1" x14ac:dyDescent="0.2"/>
    <row r="20" spans="1:10" s="10" customFormat="1" outlineLevel="1" x14ac:dyDescent="0.2">
      <c r="D20" s="54" t="str">
        <f>Lang_Imported_From_Econ_Module</f>
        <v>Imported from Econ Module</v>
      </c>
    </row>
    <row r="21" spans="1:10" s="10" customFormat="1" outlineLevel="1" x14ac:dyDescent="0.2">
      <c r="D21" s="49" t="str">
        <f>ECONOMICS!F7</f>
        <v>USD</v>
      </c>
    </row>
    <row r="22" spans="1:10" s="10" customFormat="1" outlineLevel="1" x14ac:dyDescent="0.2">
      <c r="D22" s="49" t="str">
        <f>ECONOMICS!F8</f>
        <v>LCU</v>
      </c>
    </row>
    <row r="23" spans="1:10" s="10" customFormat="1" outlineLevel="1" x14ac:dyDescent="0.2"/>
    <row r="24" spans="1:10" s="10" customFormat="1" outlineLevel="1" x14ac:dyDescent="0.2">
      <c r="D24" s="50" t="str">
        <f>Lang_Exchange_Rate_From_Econ</f>
        <v>Exchange Rate (from Economics)</v>
      </c>
      <c r="E24" s="41">
        <f>ECONOMICS!E13</f>
        <v>1234.5</v>
      </c>
    </row>
    <row r="25" spans="1:10" s="10" customFormat="1" x14ac:dyDescent="0.2"/>
    <row r="26" spans="1:10" s="13" customFormat="1" x14ac:dyDescent="0.2">
      <c r="A26" s="12" t="s">
        <v>127</v>
      </c>
      <c r="B26" s="13" t="str">
        <f>C28</f>
        <v>Single Vaccination Service Delivery Type 1 - Detailed Personnel Cost Assumptions</v>
      </c>
    </row>
    <row r="27" spans="1:10" s="10" customFormat="1" outlineLevel="1" x14ac:dyDescent="0.2"/>
    <row r="28" spans="1:10" s="10" customFormat="1" outlineLevel="1" x14ac:dyDescent="0.2">
      <c r="C28" s="71" t="str">
        <f>HL_LVL2_ACTV_6_Name&amp;" - "&amp;Lang_Detailed_Personnel_Cost_Assumptions</f>
        <v>Single Vaccination Service Delivery Type 1 - Detailed Personnel Cost Assumptions</v>
      </c>
    </row>
    <row r="29" spans="1:10" s="10" customFormat="1" ht="48" outlineLevel="1" x14ac:dyDescent="0.2">
      <c r="D29" s="55" t="str">
        <f>Lang_Personnel_Cadre_Type</f>
        <v>Personnel Cadre Type</v>
      </c>
      <c r="E29" s="85" t="str">
        <f>Lang_Activity_Unit_Day_Hour_Minute</f>
        <v>Activity Unit (e.g. Day, Hour, Minute)</v>
      </c>
      <c r="F29" s="85" t="str">
        <f>Lang_Number_Of_Activity_Units_Required</f>
        <v>Number of Activity Units Required</v>
      </c>
      <c r="G29" s="86" t="str">
        <f ca="1">SD_Lu!$D$32&amp;" "&amp;Lang_Cost_Per_Activity_Unit&amp;" ("&amp;OFFSET(SD_Lu!$D$11,DD_LVL2_ACTV_6_Currency_Selected,0)&amp;")"</f>
        <v>Financial Cost per Activity Unit (USD)</v>
      </c>
      <c r="H29" s="86" t="str">
        <f ca="1">SD_Lu!$D$33&amp;" "&amp;Lang_Cost_Per_Activity_Unit&amp;" ("&amp;OFFSET(SD_Lu!$D$11,DD_LVL2_ACTV_6_Currency_Selected,0)&amp;")"</f>
        <v>Economic Cost per Activity Unit (USD)</v>
      </c>
      <c r="I29" s="87" t="str">
        <f>Lang_Evidence_For_Using_This_Cost_Information_Source_Or_Notes</f>
        <v>Evidence for Using this Cost Information (source or notes)</v>
      </c>
    </row>
    <row r="30" spans="1:10" s="10" customFormat="1" outlineLevel="1" x14ac:dyDescent="0.2">
      <c r="D30" s="75" t="s">
        <v>152</v>
      </c>
      <c r="E30" s="75"/>
      <c r="F30" s="80">
        <v>0</v>
      </c>
      <c r="G30" s="80">
        <v>0</v>
      </c>
      <c r="H30" s="80">
        <v>0</v>
      </c>
      <c r="I30" s="323" t="s">
        <v>162</v>
      </c>
      <c r="J30" s="42">
        <f t="shared" ref="J30:J44" si="0">IF(H30&lt;G30,1,0)</f>
        <v>0</v>
      </c>
    </row>
    <row r="31" spans="1:10" s="10" customFormat="1" outlineLevel="1" x14ac:dyDescent="0.2">
      <c r="D31" s="75" t="s">
        <v>153</v>
      </c>
      <c r="E31" s="75"/>
      <c r="F31" s="80">
        <v>0</v>
      </c>
      <c r="G31" s="80">
        <v>0</v>
      </c>
      <c r="H31" s="80">
        <v>0</v>
      </c>
      <c r="I31" s="323" t="s">
        <v>162</v>
      </c>
      <c r="J31" s="42">
        <f t="shared" si="0"/>
        <v>0</v>
      </c>
    </row>
    <row r="32" spans="1:10" s="10" customFormat="1" outlineLevel="1" x14ac:dyDescent="0.2">
      <c r="D32" s="75" t="s">
        <v>154</v>
      </c>
      <c r="E32" s="75"/>
      <c r="F32" s="80">
        <v>0</v>
      </c>
      <c r="G32" s="80">
        <v>0</v>
      </c>
      <c r="H32" s="80">
        <v>0</v>
      </c>
      <c r="I32" s="323" t="s">
        <v>162</v>
      </c>
      <c r="J32" s="42">
        <f t="shared" si="0"/>
        <v>0</v>
      </c>
    </row>
    <row r="33" spans="4:18" s="10" customFormat="1" outlineLevel="1" x14ac:dyDescent="0.2">
      <c r="D33" s="75" t="s">
        <v>155</v>
      </c>
      <c r="E33" s="88"/>
      <c r="F33" s="80">
        <v>0</v>
      </c>
      <c r="G33" s="80">
        <v>0</v>
      </c>
      <c r="H33" s="80">
        <v>0</v>
      </c>
      <c r="I33" s="323" t="s">
        <v>162</v>
      </c>
      <c r="J33" s="42">
        <f t="shared" si="0"/>
        <v>0</v>
      </c>
      <c r="R33" s="10" t="s">
        <v>39</v>
      </c>
    </row>
    <row r="34" spans="4:18" s="10" customFormat="1" outlineLevel="1" x14ac:dyDescent="0.2">
      <c r="D34" s="75" t="s">
        <v>156</v>
      </c>
      <c r="E34" s="88"/>
      <c r="F34" s="80">
        <v>0</v>
      </c>
      <c r="G34" s="80">
        <v>0</v>
      </c>
      <c r="H34" s="80">
        <v>0</v>
      </c>
      <c r="I34" s="323" t="s">
        <v>162</v>
      </c>
      <c r="J34" s="42">
        <f t="shared" si="0"/>
        <v>0</v>
      </c>
    </row>
    <row r="35" spans="4:18" s="10" customFormat="1" outlineLevel="1" x14ac:dyDescent="0.2">
      <c r="D35" s="75" t="s">
        <v>157</v>
      </c>
      <c r="E35" s="88"/>
      <c r="F35" s="80">
        <v>0</v>
      </c>
      <c r="G35" s="80">
        <v>0</v>
      </c>
      <c r="H35" s="80">
        <v>0</v>
      </c>
      <c r="I35" s="323" t="s">
        <v>162</v>
      </c>
      <c r="J35" s="42">
        <f t="shared" si="0"/>
        <v>0</v>
      </c>
    </row>
    <row r="36" spans="4:18" s="10" customFormat="1" outlineLevel="1" x14ac:dyDescent="0.2">
      <c r="D36" s="75" t="s">
        <v>158</v>
      </c>
      <c r="E36" s="88"/>
      <c r="F36" s="80">
        <v>0</v>
      </c>
      <c r="G36" s="80">
        <v>0</v>
      </c>
      <c r="H36" s="80">
        <v>0</v>
      </c>
      <c r="I36" s="323" t="s">
        <v>162</v>
      </c>
      <c r="J36" s="42">
        <f t="shared" si="0"/>
        <v>0</v>
      </c>
    </row>
    <row r="37" spans="4:18" s="10" customFormat="1" outlineLevel="1" x14ac:dyDescent="0.2">
      <c r="D37" s="75" t="s">
        <v>159</v>
      </c>
      <c r="E37" s="88"/>
      <c r="F37" s="80">
        <v>0</v>
      </c>
      <c r="G37" s="80">
        <v>0</v>
      </c>
      <c r="H37" s="80">
        <v>0</v>
      </c>
      <c r="I37" s="323" t="s">
        <v>162</v>
      </c>
      <c r="J37" s="42">
        <f t="shared" si="0"/>
        <v>0</v>
      </c>
    </row>
    <row r="38" spans="4:18" s="10" customFormat="1" outlineLevel="1" x14ac:dyDescent="0.2">
      <c r="D38" s="75" t="s">
        <v>160</v>
      </c>
      <c r="E38" s="88"/>
      <c r="F38" s="80">
        <v>0</v>
      </c>
      <c r="G38" s="80">
        <v>0</v>
      </c>
      <c r="H38" s="80">
        <v>0</v>
      </c>
      <c r="I38" s="323" t="s">
        <v>162</v>
      </c>
      <c r="J38" s="42">
        <f t="shared" si="0"/>
        <v>0</v>
      </c>
    </row>
    <row r="39" spans="4:18" s="10" customFormat="1" outlineLevel="1" x14ac:dyDescent="0.2">
      <c r="D39" s="75" t="s">
        <v>161</v>
      </c>
      <c r="E39" s="88"/>
      <c r="F39" s="80">
        <v>0</v>
      </c>
      <c r="G39" s="80">
        <v>0</v>
      </c>
      <c r="H39" s="80">
        <v>0</v>
      </c>
      <c r="I39" s="323" t="s">
        <v>162</v>
      </c>
      <c r="J39" s="42">
        <f t="shared" si="0"/>
        <v>0</v>
      </c>
    </row>
    <row r="40" spans="4:18" s="10" customFormat="1" outlineLevel="1" x14ac:dyDescent="0.2">
      <c r="D40" s="75" t="s">
        <v>393</v>
      </c>
      <c r="E40" s="88"/>
      <c r="F40" s="80">
        <v>0</v>
      </c>
      <c r="G40" s="80">
        <v>0</v>
      </c>
      <c r="H40" s="80">
        <v>0</v>
      </c>
      <c r="I40" s="323" t="s">
        <v>162</v>
      </c>
      <c r="J40" s="42">
        <f t="shared" si="0"/>
        <v>0</v>
      </c>
    </row>
    <row r="41" spans="4:18" s="10" customFormat="1" outlineLevel="1" x14ac:dyDescent="0.2">
      <c r="D41" s="75" t="s">
        <v>394</v>
      </c>
      <c r="E41" s="88"/>
      <c r="F41" s="80">
        <v>0</v>
      </c>
      <c r="G41" s="80">
        <v>0</v>
      </c>
      <c r="H41" s="80">
        <v>0</v>
      </c>
      <c r="I41" s="323" t="s">
        <v>162</v>
      </c>
      <c r="J41" s="42">
        <f t="shared" si="0"/>
        <v>0</v>
      </c>
    </row>
    <row r="42" spans="4:18" s="10" customFormat="1" outlineLevel="1" x14ac:dyDescent="0.2">
      <c r="D42" s="75" t="s">
        <v>395</v>
      </c>
      <c r="E42" s="88"/>
      <c r="F42" s="80">
        <v>0</v>
      </c>
      <c r="G42" s="80">
        <v>0</v>
      </c>
      <c r="H42" s="80">
        <v>0</v>
      </c>
      <c r="I42" s="323" t="s">
        <v>162</v>
      </c>
      <c r="J42" s="42">
        <f t="shared" si="0"/>
        <v>0</v>
      </c>
    </row>
    <row r="43" spans="4:18" s="10" customFormat="1" outlineLevel="1" x14ac:dyDescent="0.2">
      <c r="D43" s="75" t="s">
        <v>396</v>
      </c>
      <c r="E43" s="88"/>
      <c r="F43" s="80">
        <v>0</v>
      </c>
      <c r="G43" s="80">
        <v>0</v>
      </c>
      <c r="H43" s="80">
        <v>0</v>
      </c>
      <c r="I43" s="323" t="s">
        <v>162</v>
      </c>
      <c r="J43" s="42">
        <f t="shared" si="0"/>
        <v>0</v>
      </c>
    </row>
    <row r="44" spans="4:18" s="10" customFormat="1" outlineLevel="1" x14ac:dyDescent="0.2">
      <c r="D44" s="75" t="s">
        <v>397</v>
      </c>
      <c r="E44" s="88"/>
      <c r="F44" s="80">
        <v>0</v>
      </c>
      <c r="G44" s="80">
        <v>0</v>
      </c>
      <c r="H44" s="80">
        <v>0</v>
      </c>
      <c r="I44" s="323" t="s">
        <v>162</v>
      </c>
      <c r="J44" s="42">
        <f t="shared" si="0"/>
        <v>0</v>
      </c>
    </row>
    <row r="45" spans="4:18" s="10" customFormat="1" outlineLevel="1" x14ac:dyDescent="0.2">
      <c r="D45" s="55" t="str">
        <f>Lang_Error_Check_Flags_If_Input_Econ_Cost_Is_Less_Than_Fin_Cost</f>
        <v>ERROR CHECK (FLAGS IF INPUT ECONOMIC COST IS LESS THAN FINANCIAL COST)</v>
      </c>
      <c r="J45" s="43">
        <f>IF(ISERROR(SUM(J30:J44)),1,MIN(SUM(J30:J44),1))</f>
        <v>0</v>
      </c>
    </row>
    <row r="46" spans="4:18" s="10" customFormat="1" outlineLevel="1" x14ac:dyDescent="0.2"/>
    <row r="47" spans="4:18" s="10" customFormat="1" outlineLevel="1" x14ac:dyDescent="0.2">
      <c r="D47" s="76" t="str">
        <f>Lang_GoTo&amp;" "&amp;HL_LVL2_ACTV_6_Personnel_Outputs</f>
        <v>Go to Single Vaccination Service Delivery Type 1 Personnel - Outputs</v>
      </c>
    </row>
    <row r="48" spans="4:18" s="10" customFormat="1" x14ac:dyDescent="0.2"/>
    <row r="49" spans="1:10" s="13" customFormat="1" x14ac:dyDescent="0.2">
      <c r="A49" s="12" t="s">
        <v>127</v>
      </c>
      <c r="B49" s="13" t="str">
        <f>C51</f>
        <v>Single Vaccination Service Delivery Type 1 - Detailed Allowance Cost Assumptions</v>
      </c>
    </row>
    <row r="50" spans="1:10" s="10" customFormat="1" outlineLevel="1" x14ac:dyDescent="0.2"/>
    <row r="51" spans="1:10" s="10" customFormat="1" outlineLevel="1" x14ac:dyDescent="0.2">
      <c r="C51" s="71" t="str">
        <f>HL_LVL2_ACTV_6_Name&amp;" - "&amp;Lang_Detailed_Allowance_Cost_Assumptions</f>
        <v>Single Vaccination Service Delivery Type 1 - Detailed Allowance Cost Assumptions</v>
      </c>
    </row>
    <row r="52" spans="1:10" s="10" customFormat="1" ht="48" outlineLevel="1" x14ac:dyDescent="0.2">
      <c r="D52" s="55" t="str">
        <f>Lang_Allowance_Type</f>
        <v>Allowance Type</v>
      </c>
      <c r="E52" s="85" t="str">
        <f>Lang_Allowance_Unit_Per_Day_Round_Trip_Travel</f>
        <v>Allowance Unit (e.g. Per Day, Round-trip Travel,etc.)</v>
      </c>
      <c r="F52" s="85" t="str">
        <f>Lang_Number_Of_Allowance_Units_Required</f>
        <v>Number of Allowance Units Required</v>
      </c>
      <c r="G52" s="86" t="str">
        <f ca="1">SD_Lu!$D$32&amp;" "&amp;Lang_Cost_Per_Activity_Unit&amp;" ("&amp;OFFSET(SD_Lu!$D$11,DD_LVL2_ACTV_6_Currency_Selected,0)&amp;")"</f>
        <v>Financial Cost per Activity Unit (USD)</v>
      </c>
      <c r="H52" s="86" t="str">
        <f ca="1">SD_Lu!$D$33&amp;" "&amp;Lang_Cost_Per_Activity_Unit&amp;" ("&amp;OFFSET(SD_Lu!$D$11,DD_LVL2_ACTV_6_Currency_Selected,0)&amp;")"</f>
        <v>Economic Cost per Activity Unit (USD)</v>
      </c>
      <c r="I52" s="87" t="str">
        <f>Lang_Evidence_For_Using_This_Cost_Information_Source_Or_Notes</f>
        <v>Evidence for Using this Cost Information (source or notes)</v>
      </c>
    </row>
    <row r="53" spans="1:10" s="10" customFormat="1" outlineLevel="1" x14ac:dyDescent="0.2">
      <c r="D53" s="75" t="s">
        <v>163</v>
      </c>
      <c r="E53" s="88"/>
      <c r="F53" s="80">
        <v>0</v>
      </c>
      <c r="G53" s="80">
        <v>0</v>
      </c>
      <c r="H53" s="80">
        <v>0</v>
      </c>
      <c r="I53" s="75" t="s">
        <v>162</v>
      </c>
      <c r="J53" s="42">
        <f t="shared" ref="J53:J62" si="1">IF(H53&lt;G53,1,0)</f>
        <v>0</v>
      </c>
    </row>
    <row r="54" spans="1:10" s="10" customFormat="1" outlineLevel="1" x14ac:dyDescent="0.2">
      <c r="D54" s="75" t="s">
        <v>164</v>
      </c>
      <c r="E54" s="88"/>
      <c r="F54" s="80">
        <v>0</v>
      </c>
      <c r="G54" s="80">
        <v>0</v>
      </c>
      <c r="H54" s="80">
        <v>0</v>
      </c>
      <c r="I54" s="75" t="s">
        <v>162</v>
      </c>
      <c r="J54" s="42">
        <f t="shared" si="1"/>
        <v>0</v>
      </c>
    </row>
    <row r="55" spans="1:10" s="10" customFormat="1" outlineLevel="1" x14ac:dyDescent="0.2">
      <c r="D55" s="75" t="s">
        <v>165</v>
      </c>
      <c r="E55" s="88"/>
      <c r="F55" s="80">
        <v>0</v>
      </c>
      <c r="G55" s="80">
        <v>0</v>
      </c>
      <c r="H55" s="80">
        <v>0</v>
      </c>
      <c r="I55" s="75" t="s">
        <v>162</v>
      </c>
      <c r="J55" s="42">
        <f t="shared" si="1"/>
        <v>0</v>
      </c>
    </row>
    <row r="56" spans="1:10" s="10" customFormat="1" outlineLevel="1" x14ac:dyDescent="0.2">
      <c r="D56" s="75" t="s">
        <v>166</v>
      </c>
      <c r="E56" s="88"/>
      <c r="F56" s="80">
        <v>0</v>
      </c>
      <c r="G56" s="80">
        <v>0</v>
      </c>
      <c r="H56" s="80">
        <v>0</v>
      </c>
      <c r="I56" s="75" t="s">
        <v>162</v>
      </c>
      <c r="J56" s="42">
        <f t="shared" si="1"/>
        <v>0</v>
      </c>
    </row>
    <row r="57" spans="1:10" s="10" customFormat="1" outlineLevel="1" x14ac:dyDescent="0.2">
      <c r="D57" s="75" t="s">
        <v>167</v>
      </c>
      <c r="E57" s="88"/>
      <c r="F57" s="80">
        <v>0</v>
      </c>
      <c r="G57" s="80">
        <v>0</v>
      </c>
      <c r="H57" s="80">
        <v>0</v>
      </c>
      <c r="I57" s="75" t="s">
        <v>162</v>
      </c>
      <c r="J57" s="42">
        <f t="shared" si="1"/>
        <v>0</v>
      </c>
    </row>
    <row r="58" spans="1:10" s="10" customFormat="1" outlineLevel="1" x14ac:dyDescent="0.2">
      <c r="D58" s="75" t="s">
        <v>168</v>
      </c>
      <c r="E58" s="88"/>
      <c r="F58" s="80">
        <v>0</v>
      </c>
      <c r="G58" s="80">
        <v>0</v>
      </c>
      <c r="H58" s="80">
        <v>0</v>
      </c>
      <c r="I58" s="75" t="s">
        <v>162</v>
      </c>
      <c r="J58" s="42">
        <f t="shared" si="1"/>
        <v>0</v>
      </c>
    </row>
    <row r="59" spans="1:10" s="10" customFormat="1" outlineLevel="1" x14ac:dyDescent="0.2">
      <c r="D59" s="75" t="s">
        <v>169</v>
      </c>
      <c r="E59" s="88"/>
      <c r="F59" s="80">
        <v>0</v>
      </c>
      <c r="G59" s="80">
        <v>0</v>
      </c>
      <c r="H59" s="80">
        <v>0</v>
      </c>
      <c r="I59" s="75" t="s">
        <v>162</v>
      </c>
      <c r="J59" s="42">
        <f t="shared" si="1"/>
        <v>0</v>
      </c>
    </row>
    <row r="60" spans="1:10" s="10" customFormat="1" outlineLevel="1" x14ac:dyDescent="0.2">
      <c r="D60" s="75" t="s">
        <v>170</v>
      </c>
      <c r="E60" s="88"/>
      <c r="F60" s="80">
        <v>0</v>
      </c>
      <c r="G60" s="80">
        <v>0</v>
      </c>
      <c r="H60" s="80">
        <v>0</v>
      </c>
      <c r="I60" s="75" t="s">
        <v>162</v>
      </c>
      <c r="J60" s="42">
        <f t="shared" si="1"/>
        <v>0</v>
      </c>
    </row>
    <row r="61" spans="1:10" s="10" customFormat="1" outlineLevel="1" x14ac:dyDescent="0.2">
      <c r="D61" s="75" t="s">
        <v>171</v>
      </c>
      <c r="E61" s="88"/>
      <c r="F61" s="80">
        <v>0</v>
      </c>
      <c r="G61" s="80">
        <v>0</v>
      </c>
      <c r="H61" s="80">
        <v>0</v>
      </c>
      <c r="I61" s="75" t="s">
        <v>162</v>
      </c>
      <c r="J61" s="42">
        <f t="shared" si="1"/>
        <v>0</v>
      </c>
    </row>
    <row r="62" spans="1:10" s="10" customFormat="1" outlineLevel="1" x14ac:dyDescent="0.2">
      <c r="D62" s="75" t="s">
        <v>172</v>
      </c>
      <c r="E62" s="88"/>
      <c r="F62" s="80">
        <v>0</v>
      </c>
      <c r="G62" s="80">
        <v>0</v>
      </c>
      <c r="H62" s="80">
        <v>0</v>
      </c>
      <c r="I62" s="75" t="s">
        <v>162</v>
      </c>
      <c r="J62" s="42">
        <f t="shared" si="1"/>
        <v>0</v>
      </c>
    </row>
    <row r="63" spans="1:10" s="10" customFormat="1" outlineLevel="1" x14ac:dyDescent="0.2">
      <c r="D63" s="55" t="str">
        <f>Lang_Error_Check_Flags_If_Input_Econ_Cost_Is_Less_Than_Fin_Cost</f>
        <v>ERROR CHECK (FLAGS IF INPUT ECONOMIC COST IS LESS THAN FINANCIAL COST)</v>
      </c>
      <c r="J63" s="43">
        <f>IF(ISERROR(SUM(J53:J62)),1,MIN(SUM(J53:J62),1))</f>
        <v>0</v>
      </c>
    </row>
    <row r="64" spans="1:10" s="10" customFormat="1" outlineLevel="1" x14ac:dyDescent="0.2"/>
    <row r="65" spans="1:10" s="10" customFormat="1" outlineLevel="1" x14ac:dyDescent="0.2">
      <c r="D65" s="76" t="str">
        <f>Lang_GoTo&amp;" "&amp;HL_LVL2_ACTV_6_Out_A</f>
        <v>Go to Single Vaccination Service Delivery Type 1 Allowances - Outputs</v>
      </c>
    </row>
    <row r="66" spans="1:10" s="10" customFormat="1" x14ac:dyDescent="0.2"/>
    <row r="67" spans="1:10" s="13" customFormat="1" x14ac:dyDescent="0.2">
      <c r="A67" s="12" t="s">
        <v>127</v>
      </c>
      <c r="B67" s="13" t="str">
        <f>C69</f>
        <v>Single Vaccination Service Delivery Type 1 - Detailed Supply and Material Cost Assumptions</v>
      </c>
    </row>
    <row r="68" spans="1:10" s="10" customFormat="1" outlineLevel="1" x14ac:dyDescent="0.2"/>
    <row r="69" spans="1:10" s="10" customFormat="1" outlineLevel="1" x14ac:dyDescent="0.2">
      <c r="C69" s="71" t="str">
        <f>HL_LVL2_ACTV_6_Name&amp;" - "&amp;Lang_Detailed_Supply_And_Material_Cost_Assumptions</f>
        <v>Single Vaccination Service Delivery Type 1 - Detailed Supply and Material Cost Assumptions</v>
      </c>
    </row>
    <row r="70" spans="1:10" s="10" customFormat="1" ht="48" outlineLevel="1" x14ac:dyDescent="0.2">
      <c r="D70" s="55" t="str">
        <f>Lang_Supply_Type</f>
        <v>Supply Type</v>
      </c>
      <c r="E70" s="85" t="str">
        <f>Lang_Supply_Unit_Each_Dozen_100_Pack</f>
        <v>Supply Unit (e.g. Each, Dozen, 100-pack,etc.)</v>
      </c>
      <c r="F70" s="85" t="str">
        <f>Lang_Number_Of_Supply_Units_Required</f>
        <v>Number of Supply Units Required</v>
      </c>
      <c r="G70" s="86" t="str">
        <f ca="1">SD_Lu!$D$32&amp;" "&amp;Lang_Cost_Per_Activity_Unit&amp;" ("&amp;OFFSET(SD_Lu!$D$11,DD_LVL2_ACTV_6_Currency_Selected,0)&amp;")"</f>
        <v>Financial Cost per Activity Unit (USD)</v>
      </c>
      <c r="H70" s="86" t="str">
        <f ca="1">SD_Lu!$D$33&amp;" "&amp;Lang_Cost_Per_Activity_Unit&amp;" ("&amp;OFFSET(SD_Lu!$D$11,DD_LVL2_ACTV_6_Currency_Selected,0)&amp;")"</f>
        <v>Economic Cost per Activity Unit (USD)</v>
      </c>
      <c r="I70" s="87" t="str">
        <f>Lang_Evidence_For_Using_This_Cost_Information_Source_Or_Notes</f>
        <v>Evidence for Using this Cost Information (source or notes)</v>
      </c>
    </row>
    <row r="71" spans="1:10" s="10" customFormat="1" outlineLevel="1" x14ac:dyDescent="0.2">
      <c r="D71" s="75" t="s">
        <v>173</v>
      </c>
      <c r="E71" s="75"/>
      <c r="F71" s="107">
        <v>0</v>
      </c>
      <c r="G71" s="80">
        <v>0</v>
      </c>
      <c r="H71" s="80">
        <v>0</v>
      </c>
      <c r="I71" s="323" t="s">
        <v>162</v>
      </c>
      <c r="J71" s="42">
        <f t="shared" ref="J71:J80" si="2">IF(H71&lt;G71,1,0)</f>
        <v>0</v>
      </c>
    </row>
    <row r="72" spans="1:10" s="10" customFormat="1" outlineLevel="1" x14ac:dyDescent="0.2">
      <c r="D72" s="75" t="s">
        <v>174</v>
      </c>
      <c r="E72" s="75"/>
      <c r="F72" s="107">
        <v>0</v>
      </c>
      <c r="G72" s="80">
        <v>0</v>
      </c>
      <c r="H72" s="80">
        <v>0</v>
      </c>
      <c r="I72" s="323" t="s">
        <v>162</v>
      </c>
      <c r="J72" s="42">
        <f t="shared" si="2"/>
        <v>0</v>
      </c>
    </row>
    <row r="73" spans="1:10" s="10" customFormat="1" outlineLevel="1" x14ac:dyDescent="0.2">
      <c r="D73" s="75" t="s">
        <v>175</v>
      </c>
      <c r="E73" s="75"/>
      <c r="F73" s="107">
        <v>0</v>
      </c>
      <c r="G73" s="80">
        <v>0</v>
      </c>
      <c r="H73" s="80">
        <v>0</v>
      </c>
      <c r="I73" s="323" t="s">
        <v>162</v>
      </c>
      <c r="J73" s="42">
        <f t="shared" si="2"/>
        <v>0</v>
      </c>
    </row>
    <row r="74" spans="1:10" s="10" customFormat="1" outlineLevel="1" x14ac:dyDescent="0.2">
      <c r="D74" s="75" t="s">
        <v>176</v>
      </c>
      <c r="E74" s="88"/>
      <c r="F74" s="107">
        <v>0</v>
      </c>
      <c r="G74" s="80">
        <v>0</v>
      </c>
      <c r="H74" s="80">
        <v>0</v>
      </c>
      <c r="I74" s="323" t="s">
        <v>162</v>
      </c>
      <c r="J74" s="42">
        <f t="shared" si="2"/>
        <v>0</v>
      </c>
    </row>
    <row r="75" spans="1:10" s="10" customFormat="1" outlineLevel="1" x14ac:dyDescent="0.2">
      <c r="D75" s="75" t="s">
        <v>177</v>
      </c>
      <c r="E75" s="88"/>
      <c r="F75" s="107">
        <v>0</v>
      </c>
      <c r="G75" s="80">
        <v>0</v>
      </c>
      <c r="H75" s="80">
        <v>0</v>
      </c>
      <c r="I75" s="323" t="s">
        <v>162</v>
      </c>
      <c r="J75" s="42">
        <f t="shared" si="2"/>
        <v>0</v>
      </c>
    </row>
    <row r="76" spans="1:10" s="10" customFormat="1" outlineLevel="1" x14ac:dyDescent="0.2">
      <c r="D76" s="75" t="s">
        <v>178</v>
      </c>
      <c r="E76" s="88"/>
      <c r="F76" s="107">
        <v>0</v>
      </c>
      <c r="G76" s="80">
        <v>0</v>
      </c>
      <c r="H76" s="80">
        <v>0</v>
      </c>
      <c r="I76" s="323" t="s">
        <v>162</v>
      </c>
      <c r="J76" s="42">
        <f t="shared" si="2"/>
        <v>0</v>
      </c>
    </row>
    <row r="77" spans="1:10" s="10" customFormat="1" outlineLevel="1" x14ac:dyDescent="0.2">
      <c r="D77" s="75" t="s">
        <v>179</v>
      </c>
      <c r="E77" s="88"/>
      <c r="F77" s="107">
        <v>0</v>
      </c>
      <c r="G77" s="80">
        <v>0</v>
      </c>
      <c r="H77" s="80">
        <v>0</v>
      </c>
      <c r="I77" s="323" t="s">
        <v>162</v>
      </c>
      <c r="J77" s="42">
        <f t="shared" si="2"/>
        <v>0</v>
      </c>
    </row>
    <row r="78" spans="1:10" s="10" customFormat="1" outlineLevel="1" x14ac:dyDescent="0.2">
      <c r="D78" s="75" t="s">
        <v>180</v>
      </c>
      <c r="E78" s="88"/>
      <c r="F78" s="107">
        <v>0</v>
      </c>
      <c r="G78" s="80">
        <v>0</v>
      </c>
      <c r="H78" s="80">
        <v>0</v>
      </c>
      <c r="I78" s="323" t="s">
        <v>162</v>
      </c>
      <c r="J78" s="42">
        <f t="shared" si="2"/>
        <v>0</v>
      </c>
    </row>
    <row r="79" spans="1:10" s="10" customFormat="1" outlineLevel="1" x14ac:dyDescent="0.2">
      <c r="D79" s="75" t="s">
        <v>181</v>
      </c>
      <c r="E79" s="88"/>
      <c r="F79" s="107">
        <v>0</v>
      </c>
      <c r="G79" s="80">
        <v>0</v>
      </c>
      <c r="H79" s="80">
        <v>0</v>
      </c>
      <c r="I79" s="323" t="s">
        <v>162</v>
      </c>
      <c r="J79" s="42">
        <f t="shared" si="2"/>
        <v>0</v>
      </c>
    </row>
    <row r="80" spans="1:10" s="10" customFormat="1" outlineLevel="1" x14ac:dyDescent="0.2">
      <c r="D80" s="75" t="s">
        <v>182</v>
      </c>
      <c r="E80" s="88"/>
      <c r="F80" s="107">
        <v>0</v>
      </c>
      <c r="G80" s="80">
        <v>0</v>
      </c>
      <c r="H80" s="80">
        <v>0</v>
      </c>
      <c r="I80" s="323" t="s">
        <v>162</v>
      </c>
      <c r="J80" s="42">
        <f t="shared" si="2"/>
        <v>0</v>
      </c>
    </row>
    <row r="81" spans="1:10" s="10" customFormat="1" outlineLevel="1" x14ac:dyDescent="0.2">
      <c r="D81" s="55" t="str">
        <f>Lang_Error_Check_Flags_If_Input_Econ_Cost_Is_Less_Than_Fin_Cost</f>
        <v>ERROR CHECK (FLAGS IF INPUT ECONOMIC COST IS LESS THAN FINANCIAL COST)</v>
      </c>
      <c r="J81" s="43">
        <f>IF(ISERROR(SUM(J71:J80)),1,MIN(SUM(J71:J80),1))</f>
        <v>0</v>
      </c>
    </row>
    <row r="82" spans="1:10" s="10" customFormat="1" outlineLevel="1" x14ac:dyDescent="0.2"/>
    <row r="83" spans="1:10" s="10" customFormat="1" outlineLevel="1" x14ac:dyDescent="0.2">
      <c r="D83" s="76" t="str">
        <f>Lang_GoTo&amp;" "&amp;HL_LVL2_ACTV_6_Supplies_and_Materials_Outputs</f>
        <v>Go to Single Vaccination Service Delivery Type 1 Supplies and Materials - Outputs</v>
      </c>
    </row>
    <row r="84" spans="1:10" s="10" customFormat="1" x14ac:dyDescent="0.2"/>
    <row r="85" spans="1:10" s="13" customFormat="1" x14ac:dyDescent="0.2">
      <c r="A85" s="12" t="s">
        <v>127</v>
      </c>
      <c r="B85" s="13" t="str">
        <f>C87</f>
        <v>Single Vaccination Service Delivery Type 1 - Detailed Other Direct Cost Assumptions</v>
      </c>
    </row>
    <row r="86" spans="1:10" s="10" customFormat="1" outlineLevel="1" x14ac:dyDescent="0.2"/>
    <row r="87" spans="1:10" s="10" customFormat="1" outlineLevel="1" x14ac:dyDescent="0.2">
      <c r="C87" s="71" t="str">
        <f>HL_LVL2_ACTV_6_Name&amp;" - "&amp;Lang_Detailed_Other_Direct_Cost_Assumptions</f>
        <v>Single Vaccination Service Delivery Type 1 - Detailed Other Direct Cost Assumptions</v>
      </c>
    </row>
    <row r="88" spans="1:10" s="10" customFormat="1" ht="48" outlineLevel="1" x14ac:dyDescent="0.2">
      <c r="D88" s="55" t="str">
        <f>Lang_Other_Direct_Cost_ODC_Type</f>
        <v>Other Direct Cost (ODC) Type</v>
      </c>
      <c r="E88" s="85" t="str">
        <f>Lang_ODC_Unit_Each_Dozen_100_Pack</f>
        <v>ODC Unit (e.g. Each, Dozen, 100-pack,etc.)</v>
      </c>
      <c r="F88" s="85" t="str">
        <f>Lang_Number_Of_ODC_Units_Required</f>
        <v>Number of ODC Units Required</v>
      </c>
      <c r="G88" s="86" t="str">
        <f ca="1">SD_Lu!$D$32&amp;" "&amp;Lang_Cost_Per_Activity_Unit&amp;" ("&amp;OFFSET(SD_Lu!$D$11,DD_LVL2_ACTV_6_Currency_Selected,0)&amp;")"</f>
        <v>Financial Cost per Activity Unit (USD)</v>
      </c>
      <c r="H88" s="86" t="str">
        <f ca="1">SD_Lu!$D$33&amp;" "&amp;Lang_Cost_Per_Activity_Unit&amp;" ("&amp;OFFSET(SD_Lu!$D$11,DD_LVL2_ACTV_6_Currency_Selected,0)&amp;")"</f>
        <v>Economic Cost per Activity Unit (USD)</v>
      </c>
      <c r="I88" s="87" t="str">
        <f>Lang_Evidence_For_Using_This_Cost_Information_Source_Or_Notes</f>
        <v>Evidence for Using this Cost Information (source or notes)</v>
      </c>
    </row>
    <row r="89" spans="1:10" s="10" customFormat="1" outlineLevel="1" x14ac:dyDescent="0.2">
      <c r="D89" s="75" t="s">
        <v>183</v>
      </c>
      <c r="E89" s="88"/>
      <c r="F89" s="80">
        <v>0</v>
      </c>
      <c r="G89" s="80">
        <v>0</v>
      </c>
      <c r="H89" s="80">
        <v>0</v>
      </c>
      <c r="I89" s="75" t="s">
        <v>162</v>
      </c>
      <c r="J89" s="42">
        <f t="shared" ref="J89:J98" si="3">IF(H89&lt;G89,1,0)</f>
        <v>0</v>
      </c>
    </row>
    <row r="90" spans="1:10" s="10" customFormat="1" outlineLevel="1" x14ac:dyDescent="0.2">
      <c r="D90" s="75" t="s">
        <v>184</v>
      </c>
      <c r="E90" s="88"/>
      <c r="F90" s="80">
        <v>0</v>
      </c>
      <c r="G90" s="80">
        <v>0</v>
      </c>
      <c r="H90" s="80">
        <v>0</v>
      </c>
      <c r="I90" s="75" t="s">
        <v>162</v>
      </c>
      <c r="J90" s="42">
        <f t="shared" si="3"/>
        <v>0</v>
      </c>
    </row>
    <row r="91" spans="1:10" s="10" customFormat="1" outlineLevel="1" x14ac:dyDescent="0.2">
      <c r="D91" s="75" t="s">
        <v>185</v>
      </c>
      <c r="E91" s="88"/>
      <c r="F91" s="80">
        <v>0</v>
      </c>
      <c r="G91" s="80">
        <v>0</v>
      </c>
      <c r="H91" s="80">
        <v>0</v>
      </c>
      <c r="I91" s="75" t="s">
        <v>162</v>
      </c>
      <c r="J91" s="42">
        <f t="shared" si="3"/>
        <v>0</v>
      </c>
    </row>
    <row r="92" spans="1:10" s="10" customFormat="1" outlineLevel="1" x14ac:dyDescent="0.2">
      <c r="D92" s="75" t="s">
        <v>186</v>
      </c>
      <c r="E92" s="88"/>
      <c r="F92" s="80">
        <v>0</v>
      </c>
      <c r="G92" s="80">
        <v>0</v>
      </c>
      <c r="H92" s="80">
        <v>0</v>
      </c>
      <c r="I92" s="75" t="s">
        <v>162</v>
      </c>
      <c r="J92" s="42">
        <f t="shared" si="3"/>
        <v>0</v>
      </c>
    </row>
    <row r="93" spans="1:10" s="10" customFormat="1" outlineLevel="1" x14ac:dyDescent="0.2">
      <c r="D93" s="75" t="s">
        <v>187</v>
      </c>
      <c r="E93" s="88"/>
      <c r="F93" s="80">
        <v>0</v>
      </c>
      <c r="G93" s="80">
        <v>0</v>
      </c>
      <c r="H93" s="80">
        <v>0</v>
      </c>
      <c r="I93" s="75" t="s">
        <v>162</v>
      </c>
      <c r="J93" s="42">
        <f t="shared" si="3"/>
        <v>0</v>
      </c>
    </row>
    <row r="94" spans="1:10" s="10" customFormat="1" outlineLevel="1" x14ac:dyDescent="0.2">
      <c r="D94" s="75" t="s">
        <v>188</v>
      </c>
      <c r="E94" s="88"/>
      <c r="F94" s="80">
        <v>0</v>
      </c>
      <c r="G94" s="80">
        <v>0</v>
      </c>
      <c r="H94" s="80">
        <v>0</v>
      </c>
      <c r="I94" s="75" t="s">
        <v>162</v>
      </c>
      <c r="J94" s="42">
        <f t="shared" si="3"/>
        <v>0</v>
      </c>
    </row>
    <row r="95" spans="1:10" s="10" customFormat="1" outlineLevel="1" x14ac:dyDescent="0.2">
      <c r="D95" s="75" t="s">
        <v>189</v>
      </c>
      <c r="E95" s="88"/>
      <c r="F95" s="80">
        <v>0</v>
      </c>
      <c r="G95" s="80">
        <v>0</v>
      </c>
      <c r="H95" s="80">
        <v>0</v>
      </c>
      <c r="I95" s="75" t="s">
        <v>162</v>
      </c>
      <c r="J95" s="42">
        <f t="shared" si="3"/>
        <v>0</v>
      </c>
    </row>
    <row r="96" spans="1:10" s="10" customFormat="1" outlineLevel="1" x14ac:dyDescent="0.2">
      <c r="D96" s="75" t="s">
        <v>190</v>
      </c>
      <c r="E96" s="88"/>
      <c r="F96" s="80">
        <v>0</v>
      </c>
      <c r="G96" s="80">
        <v>0</v>
      </c>
      <c r="H96" s="80">
        <v>0</v>
      </c>
      <c r="I96" s="75" t="s">
        <v>162</v>
      </c>
      <c r="J96" s="42">
        <f t="shared" si="3"/>
        <v>0</v>
      </c>
    </row>
    <row r="97" spans="1:10" s="10" customFormat="1" outlineLevel="1" x14ac:dyDescent="0.2">
      <c r="D97" s="75" t="s">
        <v>191</v>
      </c>
      <c r="E97" s="88"/>
      <c r="F97" s="80">
        <v>0</v>
      </c>
      <c r="G97" s="80">
        <v>0</v>
      </c>
      <c r="H97" s="80">
        <v>0</v>
      </c>
      <c r="I97" s="75" t="s">
        <v>162</v>
      </c>
      <c r="J97" s="42">
        <f t="shared" si="3"/>
        <v>0</v>
      </c>
    </row>
    <row r="98" spans="1:10" s="10" customFormat="1" outlineLevel="1" x14ac:dyDescent="0.2">
      <c r="D98" s="75" t="s">
        <v>192</v>
      </c>
      <c r="E98" s="88"/>
      <c r="F98" s="80">
        <v>0</v>
      </c>
      <c r="G98" s="80">
        <v>0</v>
      </c>
      <c r="H98" s="80">
        <v>0</v>
      </c>
      <c r="I98" s="75" t="s">
        <v>162</v>
      </c>
      <c r="J98" s="42">
        <f t="shared" si="3"/>
        <v>0</v>
      </c>
    </row>
    <row r="99" spans="1:10" s="10" customFormat="1" outlineLevel="1" x14ac:dyDescent="0.2">
      <c r="D99" s="55" t="str">
        <f>Lang_Error_Check_Flags_If_Input_Econ_Cost_Is_Less_Than_Fin_Cost</f>
        <v>ERROR CHECK (FLAGS IF INPUT ECONOMIC COST IS LESS THAN FINANCIAL COST)</v>
      </c>
      <c r="J99" s="43">
        <f>IF(ISERROR(SUM(J89:J98)),1,MIN(SUM(J89:J98),1))</f>
        <v>0</v>
      </c>
    </row>
    <row r="100" spans="1:10" s="10" customFormat="1" outlineLevel="1" x14ac:dyDescent="0.2"/>
    <row r="101" spans="1:10" s="10" customFormat="1" outlineLevel="1" x14ac:dyDescent="0.2">
      <c r="D101" s="76" t="str">
        <f>Lang_GoTo&amp;" "&amp;HL_LVL2_ACTV_6_Other_Direct_Costs_Outputs</f>
        <v>Go to Single Vaccination Service Delivery Type 1 Other Direct Costs - Outputs</v>
      </c>
    </row>
    <row r="102" spans="1:10" s="10" customFormat="1" x14ac:dyDescent="0.2"/>
    <row r="103" spans="1:10" s="13" customFormat="1" x14ac:dyDescent="0.2">
      <c r="A103" s="12" t="s">
        <v>125</v>
      </c>
      <c r="B103" s="13" t="str">
        <f>C105</f>
        <v>Single Vaccination Service Delivery Type 2 -  Detailed Activity Costing Worksheet - Instructions</v>
      </c>
    </row>
    <row r="104" spans="1:10" s="10" customFormat="1" outlineLevel="1" collapsed="1" x14ac:dyDescent="0.2"/>
    <row r="105" spans="1:10" s="10" customFormat="1" outlineLevel="1" x14ac:dyDescent="0.2">
      <c r="C105" s="71" t="str">
        <f>HL_LVL2_ACTV_12_Name&amp;" -  "&amp;Lang_Detailed_Activity_Costing_Worksheet_Instructions</f>
        <v>Single Vaccination Service Delivery Type 2 -  Detailed Activity Costing Worksheet - Instructions</v>
      </c>
    </row>
    <row r="106" spans="1:10" s="10" customFormat="1" outlineLevel="1" x14ac:dyDescent="0.2"/>
    <row r="107" spans="1:10" s="10" customFormat="1" outlineLevel="1" x14ac:dyDescent="0.2">
      <c r="D107" s="50" t="str">
        <f>Lang_Detailed_Costing_Worksheets_Notes_1</f>
        <v>This detailed costing worksheet can be used to document the types and amounts of resources required to complete a single instance of an activity.</v>
      </c>
    </row>
    <row r="108" spans="1:10" s="10" customFormat="1" outlineLevel="1" x14ac:dyDescent="0.2">
      <c r="D108" s="50" t="str">
        <f>Lang_Detailed_Costing_Worksheets_Notes_2</f>
        <v>When completed, it will automatically provide a single activity cost in the general assumption worksheet.</v>
      </c>
    </row>
    <row r="109" spans="1:10" s="10" customFormat="1" outlineLevel="1" x14ac:dyDescent="0.2">
      <c r="D109" s="50" t="str">
        <f>Lang_Detailed_Costing_Worksheets_Notes_3</f>
        <v>The user may then choose to use the results of the detailed costing in the model, or override the detailed costing and insert alternate cost estimates.</v>
      </c>
    </row>
    <row r="110" spans="1:10" s="10" customFormat="1" outlineLevel="1" x14ac:dyDescent="0.2"/>
    <row r="111" spans="1:10" s="10" customFormat="1" x14ac:dyDescent="0.2"/>
    <row r="112" spans="1:10" s="13" customFormat="1" x14ac:dyDescent="0.2">
      <c r="A112" s="12" t="s">
        <v>125</v>
      </c>
      <c r="B112" s="13" t="str">
        <f>C114</f>
        <v>Single Vaccination Service Delivery Type 2 - Detailed Activity Costing Worksheet - Currency Selection</v>
      </c>
    </row>
    <row r="113" spans="1:9" s="10" customFormat="1" outlineLevel="1" x14ac:dyDescent="0.2"/>
    <row r="114" spans="1:9" s="10" customFormat="1" outlineLevel="1" x14ac:dyDescent="0.2">
      <c r="C114" s="71" t="str">
        <f>HL_LVL2_ACTV_12_Name&amp;" - "&amp;Lang_Detailed_Activity_Costing_Worksheet_Currency_Selection</f>
        <v>Single Vaccination Service Delivery Type 2 - Detailed Activity Costing Worksheet - Currency Selection</v>
      </c>
    </row>
    <row r="115" spans="1:9" s="10" customFormat="1" outlineLevel="1" x14ac:dyDescent="0.2"/>
    <row r="116" spans="1:9" s="10" customFormat="1" outlineLevel="1" x14ac:dyDescent="0.2">
      <c r="D116" s="55" t="str">
        <f>Lang_Currency_Used_For_Cost_Inputs</f>
        <v>Currency Used for Cost Inputs</v>
      </c>
      <c r="E116" s="72">
        <v>1</v>
      </c>
    </row>
    <row r="117" spans="1:9" s="10" customFormat="1" outlineLevel="1" x14ac:dyDescent="0.2"/>
    <row r="118" spans="1:9" s="10" customFormat="1" outlineLevel="1" x14ac:dyDescent="0.2"/>
    <row r="119" spans="1:9" s="10" customFormat="1" outlineLevel="1" x14ac:dyDescent="0.2">
      <c r="D119" s="54" t="str">
        <f>Lang_Imported_From_Econ_Module</f>
        <v>Imported from Econ Module</v>
      </c>
    </row>
    <row r="120" spans="1:9" s="10" customFormat="1" outlineLevel="1" x14ac:dyDescent="0.2">
      <c r="D120" s="49" t="str">
        <f>ECONOMICS!F7</f>
        <v>USD</v>
      </c>
    </row>
    <row r="121" spans="1:9" s="10" customFormat="1" outlineLevel="1" x14ac:dyDescent="0.2">
      <c r="D121" s="49" t="str">
        <f>ECONOMICS!F8</f>
        <v>LCU</v>
      </c>
    </row>
    <row r="122" spans="1:9" s="10" customFormat="1" outlineLevel="1" x14ac:dyDescent="0.2"/>
    <row r="123" spans="1:9" s="10" customFormat="1" outlineLevel="1" x14ac:dyDescent="0.2">
      <c r="D123" s="50" t="str">
        <f>Lang_Exchange_Rate_From_Econ</f>
        <v>Exchange Rate (from Economics)</v>
      </c>
      <c r="E123" s="41">
        <f>ECONOMICS!E13</f>
        <v>1234.5</v>
      </c>
    </row>
    <row r="124" spans="1:9" s="10" customFormat="1" x14ac:dyDescent="0.2"/>
    <row r="125" spans="1:9" s="13" customFormat="1" x14ac:dyDescent="0.2">
      <c r="A125" s="12" t="s">
        <v>127</v>
      </c>
      <c r="B125" s="13" t="str">
        <f>C127</f>
        <v>Single Vaccination Service Delivery Type 2 - Detailed Personnel Cost Assumptions</v>
      </c>
    </row>
    <row r="126" spans="1:9" s="10" customFormat="1" outlineLevel="1" x14ac:dyDescent="0.2"/>
    <row r="127" spans="1:9" s="10" customFormat="1" outlineLevel="1" x14ac:dyDescent="0.2">
      <c r="C127" s="71" t="str">
        <f>HL_LVL2_ACTV_12_Name&amp;" - "&amp;Lang_Detailed_Personnel_Cost_Assumptions</f>
        <v>Single Vaccination Service Delivery Type 2 - Detailed Personnel Cost Assumptions</v>
      </c>
    </row>
    <row r="128" spans="1:9" s="10" customFormat="1" ht="48" outlineLevel="1" x14ac:dyDescent="0.2">
      <c r="D128" s="55" t="str">
        <f>Lang_Personnel_Cadre_Type</f>
        <v>Personnel Cadre Type</v>
      </c>
      <c r="E128" s="85" t="str">
        <f>Lang_Activity_Unit_Day_Hour_Minute</f>
        <v>Activity Unit (e.g. Day, Hour, Minute)</v>
      </c>
      <c r="F128" s="85" t="str">
        <f>Lang_Number_Of_Activity_Units_Required</f>
        <v>Number of Activity Units Required</v>
      </c>
      <c r="G128" s="86" t="str">
        <f ca="1">SD_Lu!$D$67&amp;" "&amp;Lang_Cost_Per_Activity_Unit&amp;" ("&amp;OFFSET(SD_Lu!$D$46,DD_LVL2_ACTV_12_Currency_Selected,0)&amp;")"</f>
        <v>Financial Cost per Activity Unit (USD)</v>
      </c>
      <c r="H128" s="86" t="str">
        <f ca="1">SD_Lu!$D$68&amp;" "&amp;Lang_Cost_Per_Activity_Unit&amp;" ("&amp;OFFSET(SD_Lu!$D$46,DD_LVL2_ACTV_12_Currency_Selected,0)&amp;")"</f>
        <v>Economic Cost per Activity Unit (USD)</v>
      </c>
      <c r="I128" s="87" t="str">
        <f>Lang_Evidence_For_Using_This_Cost_Information_Source_Or_Notes</f>
        <v>Evidence for Using this Cost Information (source or notes)</v>
      </c>
    </row>
    <row r="129" spans="4:10" s="10" customFormat="1" outlineLevel="1" x14ac:dyDescent="0.2">
      <c r="D129" s="75" t="s">
        <v>152</v>
      </c>
      <c r="E129" s="75"/>
      <c r="F129" s="80">
        <v>0</v>
      </c>
      <c r="G129" s="80">
        <v>0</v>
      </c>
      <c r="H129" s="80">
        <v>0</v>
      </c>
      <c r="I129" s="75" t="s">
        <v>162</v>
      </c>
      <c r="J129" s="42">
        <f t="shared" ref="J129:J143" si="4">IF(H129&lt;G129,1,0)</f>
        <v>0</v>
      </c>
    </row>
    <row r="130" spans="4:10" s="10" customFormat="1" outlineLevel="1" x14ac:dyDescent="0.2">
      <c r="D130" s="75" t="s">
        <v>153</v>
      </c>
      <c r="E130" s="88"/>
      <c r="F130" s="80">
        <v>0</v>
      </c>
      <c r="G130" s="80">
        <v>0</v>
      </c>
      <c r="H130" s="80">
        <v>0</v>
      </c>
      <c r="I130" s="75" t="s">
        <v>162</v>
      </c>
      <c r="J130" s="42">
        <f t="shared" si="4"/>
        <v>0</v>
      </c>
    </row>
    <row r="131" spans="4:10" s="10" customFormat="1" outlineLevel="1" x14ac:dyDescent="0.2">
      <c r="D131" s="75" t="s">
        <v>154</v>
      </c>
      <c r="E131" s="88"/>
      <c r="F131" s="80">
        <v>0</v>
      </c>
      <c r="G131" s="80">
        <v>0</v>
      </c>
      <c r="H131" s="80">
        <v>0</v>
      </c>
      <c r="I131" s="75" t="s">
        <v>162</v>
      </c>
      <c r="J131" s="42">
        <f t="shared" si="4"/>
        <v>0</v>
      </c>
    </row>
    <row r="132" spans="4:10" s="10" customFormat="1" outlineLevel="1" x14ac:dyDescent="0.2">
      <c r="D132" s="75" t="s">
        <v>155</v>
      </c>
      <c r="E132" s="88"/>
      <c r="F132" s="80">
        <v>0</v>
      </c>
      <c r="G132" s="80">
        <v>0</v>
      </c>
      <c r="H132" s="80">
        <v>0</v>
      </c>
      <c r="I132" s="75" t="s">
        <v>162</v>
      </c>
      <c r="J132" s="42">
        <f t="shared" si="4"/>
        <v>0</v>
      </c>
    </row>
    <row r="133" spans="4:10" s="10" customFormat="1" outlineLevel="1" x14ac:dyDescent="0.2">
      <c r="D133" s="75" t="s">
        <v>156</v>
      </c>
      <c r="E133" s="88"/>
      <c r="F133" s="80">
        <v>0</v>
      </c>
      <c r="G133" s="80">
        <v>0</v>
      </c>
      <c r="H133" s="80">
        <v>0</v>
      </c>
      <c r="I133" s="75" t="s">
        <v>162</v>
      </c>
      <c r="J133" s="42">
        <f t="shared" si="4"/>
        <v>0</v>
      </c>
    </row>
    <row r="134" spans="4:10" s="10" customFormat="1" outlineLevel="1" x14ac:dyDescent="0.2">
      <c r="D134" s="75" t="s">
        <v>157</v>
      </c>
      <c r="E134" s="88"/>
      <c r="F134" s="80">
        <v>0</v>
      </c>
      <c r="G134" s="80">
        <v>0</v>
      </c>
      <c r="H134" s="80">
        <v>0</v>
      </c>
      <c r="I134" s="75" t="s">
        <v>162</v>
      </c>
      <c r="J134" s="42">
        <f t="shared" si="4"/>
        <v>0</v>
      </c>
    </row>
    <row r="135" spans="4:10" s="10" customFormat="1" outlineLevel="1" x14ac:dyDescent="0.2">
      <c r="D135" s="75" t="s">
        <v>158</v>
      </c>
      <c r="E135" s="88"/>
      <c r="F135" s="80">
        <v>0</v>
      </c>
      <c r="G135" s="80">
        <v>0</v>
      </c>
      <c r="H135" s="80">
        <v>0</v>
      </c>
      <c r="I135" s="75" t="s">
        <v>162</v>
      </c>
      <c r="J135" s="42">
        <f t="shared" si="4"/>
        <v>0</v>
      </c>
    </row>
    <row r="136" spans="4:10" s="10" customFormat="1" outlineLevel="1" x14ac:dyDescent="0.2">
      <c r="D136" s="75" t="s">
        <v>159</v>
      </c>
      <c r="E136" s="88"/>
      <c r="F136" s="80">
        <v>0</v>
      </c>
      <c r="G136" s="80">
        <v>0</v>
      </c>
      <c r="H136" s="80">
        <v>0</v>
      </c>
      <c r="I136" s="75" t="s">
        <v>162</v>
      </c>
      <c r="J136" s="42">
        <f t="shared" si="4"/>
        <v>0</v>
      </c>
    </row>
    <row r="137" spans="4:10" s="10" customFormat="1" outlineLevel="1" x14ac:dyDescent="0.2">
      <c r="D137" s="75" t="s">
        <v>160</v>
      </c>
      <c r="E137" s="88"/>
      <c r="F137" s="80">
        <v>0</v>
      </c>
      <c r="G137" s="80">
        <v>0</v>
      </c>
      <c r="H137" s="80">
        <v>0</v>
      </c>
      <c r="I137" s="75" t="s">
        <v>162</v>
      </c>
      <c r="J137" s="42">
        <f t="shared" si="4"/>
        <v>0</v>
      </c>
    </row>
    <row r="138" spans="4:10" s="10" customFormat="1" outlineLevel="1" x14ac:dyDescent="0.2">
      <c r="D138" s="75" t="s">
        <v>161</v>
      </c>
      <c r="E138" s="88"/>
      <c r="F138" s="80">
        <v>0</v>
      </c>
      <c r="G138" s="80">
        <v>0</v>
      </c>
      <c r="H138" s="80">
        <v>0</v>
      </c>
      <c r="I138" s="75" t="s">
        <v>162</v>
      </c>
      <c r="J138" s="42">
        <f t="shared" si="4"/>
        <v>0</v>
      </c>
    </row>
    <row r="139" spans="4:10" s="10" customFormat="1" outlineLevel="1" x14ac:dyDescent="0.2">
      <c r="D139" s="75" t="s">
        <v>393</v>
      </c>
      <c r="E139" s="88"/>
      <c r="F139" s="80">
        <v>0</v>
      </c>
      <c r="G139" s="80">
        <v>0</v>
      </c>
      <c r="H139" s="80">
        <v>0</v>
      </c>
      <c r="I139" s="75" t="s">
        <v>162</v>
      </c>
      <c r="J139" s="42">
        <f t="shared" si="4"/>
        <v>0</v>
      </c>
    </row>
    <row r="140" spans="4:10" s="10" customFormat="1" outlineLevel="1" x14ac:dyDescent="0.2">
      <c r="D140" s="75" t="s">
        <v>394</v>
      </c>
      <c r="E140" s="88"/>
      <c r="F140" s="80">
        <v>0</v>
      </c>
      <c r="G140" s="80">
        <v>0</v>
      </c>
      <c r="H140" s="80">
        <v>0</v>
      </c>
      <c r="I140" s="75" t="s">
        <v>162</v>
      </c>
      <c r="J140" s="42">
        <f t="shared" si="4"/>
        <v>0</v>
      </c>
    </row>
    <row r="141" spans="4:10" s="10" customFormat="1" outlineLevel="1" x14ac:dyDescent="0.2">
      <c r="D141" s="75" t="s">
        <v>395</v>
      </c>
      <c r="E141" s="88"/>
      <c r="F141" s="80">
        <v>0</v>
      </c>
      <c r="G141" s="80">
        <v>0</v>
      </c>
      <c r="H141" s="80">
        <v>0</v>
      </c>
      <c r="I141" s="75" t="s">
        <v>162</v>
      </c>
      <c r="J141" s="42">
        <f t="shared" si="4"/>
        <v>0</v>
      </c>
    </row>
    <row r="142" spans="4:10" s="10" customFormat="1" outlineLevel="1" x14ac:dyDescent="0.2">
      <c r="D142" s="75" t="s">
        <v>396</v>
      </c>
      <c r="E142" s="88"/>
      <c r="F142" s="80">
        <v>0</v>
      </c>
      <c r="G142" s="80">
        <v>0</v>
      </c>
      <c r="H142" s="80">
        <v>0</v>
      </c>
      <c r="I142" s="75" t="s">
        <v>162</v>
      </c>
      <c r="J142" s="42">
        <f t="shared" si="4"/>
        <v>0</v>
      </c>
    </row>
    <row r="143" spans="4:10" s="10" customFormat="1" outlineLevel="1" x14ac:dyDescent="0.2">
      <c r="D143" s="75" t="s">
        <v>397</v>
      </c>
      <c r="E143" s="88"/>
      <c r="F143" s="80">
        <v>0</v>
      </c>
      <c r="G143" s="80">
        <v>0</v>
      </c>
      <c r="H143" s="80">
        <v>0</v>
      </c>
      <c r="I143" s="75" t="s">
        <v>162</v>
      </c>
      <c r="J143" s="42">
        <f t="shared" si="4"/>
        <v>0</v>
      </c>
    </row>
    <row r="144" spans="4:10" s="10" customFormat="1" outlineLevel="1" x14ac:dyDescent="0.2">
      <c r="D144" s="55" t="str">
        <f>Lang_Error_Check_Flags_If_Input_Econ_Cost_Is_Less_Than_Fin_Cost</f>
        <v>ERROR CHECK (FLAGS IF INPUT ECONOMIC COST IS LESS THAN FINANCIAL COST)</v>
      </c>
      <c r="J144" s="43">
        <f>IF(ISERROR(SUM(J129:J143)),1,MIN(SUM(J129:J143),1))</f>
        <v>0</v>
      </c>
    </row>
    <row r="145" spans="1:10" s="10" customFormat="1" outlineLevel="1" x14ac:dyDescent="0.2"/>
    <row r="146" spans="1:10" s="10" customFormat="1" outlineLevel="1" x14ac:dyDescent="0.2">
      <c r="D146" s="76" t="str">
        <f>Lang_GoTo&amp;" "&amp;HL_LVL2_ACTV_12_Personnel_Outputs</f>
        <v>Go to Single Vaccination Service Delivery Type 2 Personnel - Outputs</v>
      </c>
    </row>
    <row r="147" spans="1:10" s="10" customFormat="1" x14ac:dyDescent="0.2"/>
    <row r="148" spans="1:10" s="13" customFormat="1" x14ac:dyDescent="0.2">
      <c r="A148" s="12" t="s">
        <v>127</v>
      </c>
      <c r="B148" s="13" t="str">
        <f>C150</f>
        <v>Single Vaccination Service Delivery Type 2 - Detailed Allowance Cost Assumptions</v>
      </c>
    </row>
    <row r="149" spans="1:10" s="10" customFormat="1" outlineLevel="1" x14ac:dyDescent="0.2"/>
    <row r="150" spans="1:10" s="10" customFormat="1" outlineLevel="1" x14ac:dyDescent="0.2">
      <c r="C150" s="71" t="str">
        <f>HL_LVL2_ACTV_12_Name&amp;" - "&amp;Lang_Detailed_Allowance_Cost_Assumptions</f>
        <v>Single Vaccination Service Delivery Type 2 - Detailed Allowance Cost Assumptions</v>
      </c>
    </row>
    <row r="151" spans="1:10" s="10" customFormat="1" ht="48" outlineLevel="1" x14ac:dyDescent="0.2">
      <c r="D151" s="55" t="str">
        <f>Lang_Allowance_Type</f>
        <v>Allowance Type</v>
      </c>
      <c r="E151" s="85" t="str">
        <f>Lang_Allowance_Unit_Per_Day_Round_Trip_Travel</f>
        <v>Allowance Unit (e.g. Per Day, Round-trip Travel,etc.)</v>
      </c>
      <c r="F151" s="85" t="str">
        <f>Lang_Number_Of_Allowance_Units_Required</f>
        <v>Number of Allowance Units Required</v>
      </c>
      <c r="G151" s="86" t="str">
        <f ca="1">SD_Lu!$D$67&amp;" "&amp;Lang_Cost_Per_Activity_Unit&amp;" ("&amp;OFFSET(SD_Lu!$D$46,DD_LVL2_ACTV_12_Currency_Selected,0)&amp;")"</f>
        <v>Financial Cost per Activity Unit (USD)</v>
      </c>
      <c r="H151" s="86" t="str">
        <f ca="1">SD_Lu!$D$68&amp;" "&amp;Lang_Cost_Per_Activity_Unit&amp;" ("&amp;OFFSET(SD_Lu!$D$46,DD_LVL2_ACTV_12_Currency_Selected,0)&amp;")"</f>
        <v>Economic Cost per Activity Unit (USD)</v>
      </c>
      <c r="I151" s="87" t="str">
        <f>Lang_Evidence_For_Using_This_Cost_Information_Source_Or_Notes</f>
        <v>Evidence for Using this Cost Information (source or notes)</v>
      </c>
    </row>
    <row r="152" spans="1:10" s="10" customFormat="1" outlineLevel="1" x14ac:dyDescent="0.2">
      <c r="D152" s="75" t="s">
        <v>163</v>
      </c>
      <c r="E152" s="75"/>
      <c r="F152" s="80">
        <v>0</v>
      </c>
      <c r="G152" s="80">
        <v>0</v>
      </c>
      <c r="H152" s="80">
        <v>0</v>
      </c>
      <c r="I152" s="75" t="s">
        <v>162</v>
      </c>
      <c r="J152" s="42">
        <f t="shared" ref="J152:J161" si="5">IF(H152&lt;G152,1,0)</f>
        <v>0</v>
      </c>
    </row>
    <row r="153" spans="1:10" s="10" customFormat="1" outlineLevel="1" x14ac:dyDescent="0.2">
      <c r="D153" s="75" t="s">
        <v>164</v>
      </c>
      <c r="E153" s="75"/>
      <c r="F153" s="80">
        <v>0</v>
      </c>
      <c r="G153" s="80">
        <v>0</v>
      </c>
      <c r="H153" s="80">
        <v>0</v>
      </c>
      <c r="I153" s="75" t="s">
        <v>162</v>
      </c>
      <c r="J153" s="42">
        <f t="shared" si="5"/>
        <v>0</v>
      </c>
    </row>
    <row r="154" spans="1:10" s="10" customFormat="1" outlineLevel="1" x14ac:dyDescent="0.2">
      <c r="D154" s="75" t="s">
        <v>165</v>
      </c>
      <c r="E154" s="88"/>
      <c r="F154" s="80">
        <v>0</v>
      </c>
      <c r="G154" s="80">
        <v>0</v>
      </c>
      <c r="H154" s="80">
        <v>0</v>
      </c>
      <c r="I154" s="75" t="s">
        <v>162</v>
      </c>
      <c r="J154" s="42">
        <f t="shared" si="5"/>
        <v>0</v>
      </c>
    </row>
    <row r="155" spans="1:10" s="10" customFormat="1" outlineLevel="1" x14ac:dyDescent="0.2">
      <c r="D155" s="75" t="s">
        <v>166</v>
      </c>
      <c r="E155" s="88"/>
      <c r="F155" s="80">
        <v>0</v>
      </c>
      <c r="G155" s="80">
        <v>0</v>
      </c>
      <c r="H155" s="80">
        <v>0</v>
      </c>
      <c r="I155" s="75" t="s">
        <v>162</v>
      </c>
      <c r="J155" s="42">
        <f t="shared" si="5"/>
        <v>0</v>
      </c>
    </row>
    <row r="156" spans="1:10" s="10" customFormat="1" outlineLevel="1" x14ac:dyDescent="0.2">
      <c r="D156" s="75" t="s">
        <v>167</v>
      </c>
      <c r="E156" s="88"/>
      <c r="F156" s="80">
        <v>0</v>
      </c>
      <c r="G156" s="80">
        <v>0</v>
      </c>
      <c r="H156" s="80">
        <v>0</v>
      </c>
      <c r="I156" s="75" t="s">
        <v>162</v>
      </c>
      <c r="J156" s="42">
        <f t="shared" si="5"/>
        <v>0</v>
      </c>
    </row>
    <row r="157" spans="1:10" s="10" customFormat="1" outlineLevel="1" x14ac:dyDescent="0.2">
      <c r="D157" s="75" t="s">
        <v>168</v>
      </c>
      <c r="E157" s="88"/>
      <c r="F157" s="80">
        <v>0</v>
      </c>
      <c r="G157" s="80">
        <v>0</v>
      </c>
      <c r="H157" s="80">
        <v>0</v>
      </c>
      <c r="I157" s="75" t="s">
        <v>162</v>
      </c>
      <c r="J157" s="42">
        <f t="shared" si="5"/>
        <v>0</v>
      </c>
    </row>
    <row r="158" spans="1:10" s="10" customFormat="1" outlineLevel="1" x14ac:dyDescent="0.2">
      <c r="D158" s="75" t="s">
        <v>169</v>
      </c>
      <c r="E158" s="88"/>
      <c r="F158" s="80">
        <v>0</v>
      </c>
      <c r="G158" s="80">
        <v>0</v>
      </c>
      <c r="H158" s="80">
        <v>0</v>
      </c>
      <c r="I158" s="75" t="s">
        <v>162</v>
      </c>
      <c r="J158" s="42">
        <f t="shared" si="5"/>
        <v>0</v>
      </c>
    </row>
    <row r="159" spans="1:10" s="10" customFormat="1" outlineLevel="1" x14ac:dyDescent="0.2">
      <c r="D159" s="75" t="s">
        <v>170</v>
      </c>
      <c r="E159" s="88"/>
      <c r="F159" s="80">
        <v>0</v>
      </c>
      <c r="G159" s="80">
        <v>0</v>
      </c>
      <c r="H159" s="80">
        <v>0</v>
      </c>
      <c r="I159" s="75" t="s">
        <v>162</v>
      </c>
      <c r="J159" s="42">
        <f t="shared" si="5"/>
        <v>0</v>
      </c>
    </row>
    <row r="160" spans="1:10" s="10" customFormat="1" outlineLevel="1" x14ac:dyDescent="0.2">
      <c r="D160" s="75" t="s">
        <v>171</v>
      </c>
      <c r="E160" s="88"/>
      <c r="F160" s="80">
        <v>0</v>
      </c>
      <c r="G160" s="80">
        <v>0</v>
      </c>
      <c r="H160" s="80">
        <v>0</v>
      </c>
      <c r="I160" s="75" t="s">
        <v>162</v>
      </c>
      <c r="J160" s="42">
        <f t="shared" si="5"/>
        <v>0</v>
      </c>
    </row>
    <row r="161" spans="1:10" s="10" customFormat="1" outlineLevel="1" x14ac:dyDescent="0.2">
      <c r="D161" s="75" t="s">
        <v>172</v>
      </c>
      <c r="E161" s="88"/>
      <c r="F161" s="80">
        <v>0</v>
      </c>
      <c r="G161" s="80">
        <v>0</v>
      </c>
      <c r="H161" s="80">
        <v>0</v>
      </c>
      <c r="I161" s="75" t="s">
        <v>162</v>
      </c>
      <c r="J161" s="42">
        <f t="shared" si="5"/>
        <v>0</v>
      </c>
    </row>
    <row r="162" spans="1:10" s="10" customFormat="1" outlineLevel="1" x14ac:dyDescent="0.2">
      <c r="D162" s="55" t="str">
        <f>Lang_Error_Check_Flags_If_Input_Econ_Cost_Is_Less_Than_Fin_Cost</f>
        <v>ERROR CHECK (FLAGS IF INPUT ECONOMIC COST IS LESS THAN FINANCIAL COST)</v>
      </c>
      <c r="J162" s="43">
        <f>IF(ISERROR(SUM(J152:J161)),1,MIN(SUM(J152:J161),1))</f>
        <v>0</v>
      </c>
    </row>
    <row r="163" spans="1:10" s="10" customFormat="1" outlineLevel="1" x14ac:dyDescent="0.2"/>
    <row r="164" spans="1:10" s="10" customFormat="1" outlineLevel="1" x14ac:dyDescent="0.2">
      <c r="D164" s="76" t="str">
        <f>Lang_GoTo&amp;" "&amp;HL_LVL2_ACTV_12_Out_A</f>
        <v>Go to Single Vaccination Service Delivery Type 2 Allowances - Outputs</v>
      </c>
    </row>
    <row r="165" spans="1:10" s="10" customFormat="1" x14ac:dyDescent="0.2"/>
    <row r="166" spans="1:10" s="13" customFormat="1" x14ac:dyDescent="0.2">
      <c r="A166" s="12" t="s">
        <v>127</v>
      </c>
      <c r="B166" s="13" t="str">
        <f>C168</f>
        <v>Single Vaccination Service Delivery Type 2 - Detailed Supply and Material Cost Assumptions</v>
      </c>
    </row>
    <row r="167" spans="1:10" s="10" customFormat="1" outlineLevel="1" x14ac:dyDescent="0.2"/>
    <row r="168" spans="1:10" s="10" customFormat="1" outlineLevel="1" x14ac:dyDescent="0.2">
      <c r="C168" s="71" t="str">
        <f>HL_LVL2_ACTV_12_Name&amp;" - "&amp;Lang_Detailed_Supply_And_Material_Cost_Assumptions</f>
        <v>Single Vaccination Service Delivery Type 2 - Detailed Supply and Material Cost Assumptions</v>
      </c>
    </row>
    <row r="169" spans="1:10" s="10" customFormat="1" ht="48" outlineLevel="1" x14ac:dyDescent="0.2">
      <c r="D169" s="55" t="str">
        <f>Lang_Supply_Type</f>
        <v>Supply Type</v>
      </c>
      <c r="E169" s="85" t="str">
        <f>Lang_Supply_Unit_Each_Dozen_100_Pack</f>
        <v>Supply Unit (e.g. Each, Dozen, 100-pack,etc.)</v>
      </c>
      <c r="F169" s="85" t="str">
        <f>Lang_Number_Of_Supply_Units_Required</f>
        <v>Number of Supply Units Required</v>
      </c>
      <c r="G169" s="86" t="str">
        <f ca="1">SD_Lu!$D$67&amp;" "&amp;Lang_Cost_Per_Activity_Unit&amp;" ("&amp;OFFSET(SD_Lu!$D$46,DD_LVL2_ACTV_12_Currency_Selected,0)&amp;")"</f>
        <v>Financial Cost per Activity Unit (USD)</v>
      </c>
      <c r="H169" s="86" t="str">
        <f ca="1">SD_Lu!$D$68&amp;" "&amp;Lang_Cost_Per_Activity_Unit&amp;" ("&amp;OFFSET(SD_Lu!$D$46,DD_LVL2_ACTV_12_Currency_Selected,0)&amp;")"</f>
        <v>Economic Cost per Activity Unit (USD)</v>
      </c>
      <c r="I169" s="87" t="str">
        <f>Lang_Evidence_For_Using_This_Cost_Information_Source_Or_Notes</f>
        <v>Evidence for Using this Cost Information (source or notes)</v>
      </c>
    </row>
    <row r="170" spans="1:10" s="10" customFormat="1" outlineLevel="1" x14ac:dyDescent="0.2">
      <c r="D170" s="75" t="s">
        <v>173</v>
      </c>
      <c r="E170" s="88"/>
      <c r="F170" s="80">
        <v>0</v>
      </c>
      <c r="G170" s="80">
        <v>0</v>
      </c>
      <c r="H170" s="80">
        <v>0</v>
      </c>
      <c r="I170" s="75" t="s">
        <v>162</v>
      </c>
      <c r="J170" s="42">
        <f t="shared" ref="J170:J179" si="6">IF(H170&lt;G170,1,0)</f>
        <v>0</v>
      </c>
    </row>
    <row r="171" spans="1:10" s="10" customFormat="1" outlineLevel="1" x14ac:dyDescent="0.2">
      <c r="D171" s="75" t="s">
        <v>174</v>
      </c>
      <c r="E171" s="88"/>
      <c r="F171" s="80">
        <v>0</v>
      </c>
      <c r="G171" s="80">
        <v>0</v>
      </c>
      <c r="H171" s="80">
        <v>0</v>
      </c>
      <c r="I171" s="75" t="s">
        <v>162</v>
      </c>
      <c r="J171" s="42">
        <f t="shared" si="6"/>
        <v>0</v>
      </c>
    </row>
    <row r="172" spans="1:10" s="10" customFormat="1" outlineLevel="1" x14ac:dyDescent="0.2">
      <c r="D172" s="75" t="s">
        <v>175</v>
      </c>
      <c r="E172" s="88"/>
      <c r="F172" s="80">
        <v>0</v>
      </c>
      <c r="G172" s="80">
        <v>0</v>
      </c>
      <c r="H172" s="80">
        <v>0</v>
      </c>
      <c r="I172" s="75" t="s">
        <v>162</v>
      </c>
      <c r="J172" s="42">
        <f t="shared" si="6"/>
        <v>0</v>
      </c>
    </row>
    <row r="173" spans="1:10" s="10" customFormat="1" outlineLevel="1" x14ac:dyDescent="0.2">
      <c r="D173" s="75" t="s">
        <v>176</v>
      </c>
      <c r="E173" s="88"/>
      <c r="F173" s="80">
        <v>0</v>
      </c>
      <c r="G173" s="80">
        <v>0</v>
      </c>
      <c r="H173" s="80">
        <v>0</v>
      </c>
      <c r="I173" s="75" t="s">
        <v>162</v>
      </c>
      <c r="J173" s="42">
        <f t="shared" si="6"/>
        <v>0</v>
      </c>
    </row>
    <row r="174" spans="1:10" s="10" customFormat="1" outlineLevel="1" x14ac:dyDescent="0.2">
      <c r="D174" s="75" t="s">
        <v>177</v>
      </c>
      <c r="E174" s="88"/>
      <c r="F174" s="80">
        <v>0</v>
      </c>
      <c r="G174" s="80">
        <v>0</v>
      </c>
      <c r="H174" s="80">
        <v>0</v>
      </c>
      <c r="I174" s="75" t="s">
        <v>162</v>
      </c>
      <c r="J174" s="42">
        <f t="shared" si="6"/>
        <v>0</v>
      </c>
    </row>
    <row r="175" spans="1:10" s="10" customFormat="1" outlineLevel="1" x14ac:dyDescent="0.2">
      <c r="D175" s="75" t="s">
        <v>178</v>
      </c>
      <c r="E175" s="88"/>
      <c r="F175" s="80">
        <v>0</v>
      </c>
      <c r="G175" s="80">
        <v>0</v>
      </c>
      <c r="H175" s="80">
        <v>0</v>
      </c>
      <c r="I175" s="75" t="s">
        <v>162</v>
      </c>
      <c r="J175" s="42">
        <f t="shared" si="6"/>
        <v>0</v>
      </c>
    </row>
    <row r="176" spans="1:10" s="10" customFormat="1" outlineLevel="1" x14ac:dyDescent="0.2">
      <c r="D176" s="75" t="s">
        <v>179</v>
      </c>
      <c r="E176" s="88"/>
      <c r="F176" s="80">
        <v>0</v>
      </c>
      <c r="G176" s="80">
        <v>0</v>
      </c>
      <c r="H176" s="80">
        <v>0</v>
      </c>
      <c r="I176" s="75" t="s">
        <v>162</v>
      </c>
      <c r="J176" s="42">
        <f t="shared" si="6"/>
        <v>0</v>
      </c>
    </row>
    <row r="177" spans="1:10" s="10" customFormat="1" outlineLevel="1" x14ac:dyDescent="0.2">
      <c r="D177" s="75" t="s">
        <v>180</v>
      </c>
      <c r="E177" s="88"/>
      <c r="F177" s="80">
        <v>0</v>
      </c>
      <c r="G177" s="80">
        <v>0</v>
      </c>
      <c r="H177" s="80">
        <v>0</v>
      </c>
      <c r="I177" s="75" t="s">
        <v>162</v>
      </c>
      <c r="J177" s="42">
        <f t="shared" si="6"/>
        <v>0</v>
      </c>
    </row>
    <row r="178" spans="1:10" s="10" customFormat="1" outlineLevel="1" x14ac:dyDescent="0.2">
      <c r="D178" s="75" t="s">
        <v>181</v>
      </c>
      <c r="E178" s="88"/>
      <c r="F178" s="80">
        <v>0</v>
      </c>
      <c r="G178" s="80">
        <v>0</v>
      </c>
      <c r="H178" s="80">
        <v>0</v>
      </c>
      <c r="I178" s="75" t="s">
        <v>162</v>
      </c>
      <c r="J178" s="42">
        <f t="shared" si="6"/>
        <v>0</v>
      </c>
    </row>
    <row r="179" spans="1:10" s="10" customFormat="1" outlineLevel="1" x14ac:dyDescent="0.2">
      <c r="D179" s="75" t="s">
        <v>182</v>
      </c>
      <c r="E179" s="88"/>
      <c r="F179" s="80">
        <v>0</v>
      </c>
      <c r="G179" s="80">
        <v>0</v>
      </c>
      <c r="H179" s="80">
        <v>0</v>
      </c>
      <c r="I179" s="75" t="s">
        <v>162</v>
      </c>
      <c r="J179" s="42">
        <f t="shared" si="6"/>
        <v>0</v>
      </c>
    </row>
    <row r="180" spans="1:10" s="10" customFormat="1" outlineLevel="1" x14ac:dyDescent="0.2">
      <c r="D180" s="55" t="str">
        <f>Lang_Error_Check_Flags_If_Input_Econ_Cost_Is_Less_Than_Fin_Cost</f>
        <v>ERROR CHECK (FLAGS IF INPUT ECONOMIC COST IS LESS THAN FINANCIAL COST)</v>
      </c>
      <c r="J180" s="43">
        <f>IF(ISERROR(SUM(J170:J179)),1,MIN(SUM(J170:J179),1))</f>
        <v>0</v>
      </c>
    </row>
    <row r="181" spans="1:10" s="10" customFormat="1" outlineLevel="1" x14ac:dyDescent="0.2"/>
    <row r="182" spans="1:10" s="10" customFormat="1" outlineLevel="1" x14ac:dyDescent="0.2">
      <c r="D182" s="76" t="str">
        <f>Lang_GoTo&amp;" "&amp;HL_LVL2_ACTV_12_Supplies_and_Materials_Outputs</f>
        <v>Go to Single Vaccination Service Delivery Type 2 Supplies and Materials - Outputs</v>
      </c>
    </row>
    <row r="183" spans="1:10" s="10" customFormat="1" x14ac:dyDescent="0.2"/>
    <row r="184" spans="1:10" s="13" customFormat="1" x14ac:dyDescent="0.2">
      <c r="A184" s="12" t="s">
        <v>127</v>
      </c>
      <c r="B184" s="13" t="str">
        <f>C186</f>
        <v>Single Vaccination Service Delivery Type 2 - Detailed Other Direct Cost Assumptions</v>
      </c>
    </row>
    <row r="185" spans="1:10" s="10" customFormat="1" outlineLevel="1" x14ac:dyDescent="0.2"/>
    <row r="186" spans="1:10" s="10" customFormat="1" outlineLevel="1" x14ac:dyDescent="0.2">
      <c r="C186" s="71" t="str">
        <f>HL_LVL2_ACTV_12_Name&amp;" - "&amp;Lang_Detailed_Other_Direct_Cost_Assumptions</f>
        <v>Single Vaccination Service Delivery Type 2 - Detailed Other Direct Cost Assumptions</v>
      </c>
    </row>
    <row r="187" spans="1:10" s="10" customFormat="1" ht="48" outlineLevel="1" x14ac:dyDescent="0.2">
      <c r="D187" s="55" t="str">
        <f>Lang_Other_Direct_Cost_ODC_Type</f>
        <v>Other Direct Cost (ODC) Type</v>
      </c>
      <c r="E187" s="85" t="str">
        <f>Lang_ODC_Unit_Each_Dozen_100_Pack</f>
        <v>ODC Unit (e.g. Each, Dozen, 100-pack,etc.)</v>
      </c>
      <c r="F187" s="85" t="str">
        <f>Lang_Number_Of_ODC_Units_Required</f>
        <v>Number of ODC Units Required</v>
      </c>
      <c r="G187" s="86" t="str">
        <f ca="1">SD_Lu!$D$67&amp;" "&amp;Lang_Cost_Per_Activity_Unit&amp;" ("&amp;OFFSET(SD_Lu!$D$46,DD_LVL2_ACTV_12_Currency_Selected,0)&amp;")"</f>
        <v>Financial Cost per Activity Unit (USD)</v>
      </c>
      <c r="H187" s="86" t="str">
        <f ca="1">SD_Lu!$D$68&amp;" "&amp;Lang_Cost_Per_Activity_Unit&amp;" ("&amp;OFFSET(SD_Lu!$D$46,DD_LVL2_ACTV_12_Currency_Selected,0)&amp;")"</f>
        <v>Economic Cost per Activity Unit (USD)</v>
      </c>
      <c r="I187" s="87" t="str">
        <f>Lang_Evidence_For_Using_This_Cost_Information_Source_Or_Notes</f>
        <v>Evidence for Using this Cost Information (source or notes)</v>
      </c>
    </row>
    <row r="188" spans="1:10" s="10" customFormat="1" outlineLevel="1" x14ac:dyDescent="0.2">
      <c r="D188" s="75" t="s">
        <v>183</v>
      </c>
      <c r="E188" s="88"/>
      <c r="F188" s="80">
        <v>0</v>
      </c>
      <c r="G188" s="80">
        <v>0</v>
      </c>
      <c r="H188" s="80">
        <v>0</v>
      </c>
      <c r="I188" s="75" t="s">
        <v>162</v>
      </c>
      <c r="J188" s="42">
        <f t="shared" ref="J188:J197" si="7">IF(H188&lt;G188,1,0)</f>
        <v>0</v>
      </c>
    </row>
    <row r="189" spans="1:10" s="10" customFormat="1" outlineLevel="1" x14ac:dyDescent="0.2">
      <c r="D189" s="75" t="s">
        <v>184</v>
      </c>
      <c r="E189" s="88"/>
      <c r="F189" s="80">
        <v>0</v>
      </c>
      <c r="G189" s="80">
        <v>0</v>
      </c>
      <c r="H189" s="80">
        <v>0</v>
      </c>
      <c r="I189" s="75" t="s">
        <v>162</v>
      </c>
      <c r="J189" s="42">
        <f t="shared" si="7"/>
        <v>0</v>
      </c>
    </row>
    <row r="190" spans="1:10" s="10" customFormat="1" outlineLevel="1" x14ac:dyDescent="0.2">
      <c r="D190" s="75" t="s">
        <v>185</v>
      </c>
      <c r="E190" s="88"/>
      <c r="F190" s="80">
        <v>0</v>
      </c>
      <c r="G190" s="80">
        <v>0</v>
      </c>
      <c r="H190" s="80">
        <v>0</v>
      </c>
      <c r="I190" s="75" t="s">
        <v>162</v>
      </c>
      <c r="J190" s="42">
        <f t="shared" si="7"/>
        <v>0</v>
      </c>
    </row>
    <row r="191" spans="1:10" s="10" customFormat="1" outlineLevel="1" x14ac:dyDescent="0.2">
      <c r="D191" s="75" t="s">
        <v>186</v>
      </c>
      <c r="E191" s="88"/>
      <c r="F191" s="80">
        <v>0</v>
      </c>
      <c r="G191" s="80">
        <v>0</v>
      </c>
      <c r="H191" s="80">
        <v>0</v>
      </c>
      <c r="I191" s="75" t="s">
        <v>162</v>
      </c>
      <c r="J191" s="42">
        <f t="shared" si="7"/>
        <v>0</v>
      </c>
    </row>
    <row r="192" spans="1:10" s="10" customFormat="1" outlineLevel="1" x14ac:dyDescent="0.2">
      <c r="D192" s="75" t="s">
        <v>187</v>
      </c>
      <c r="E192" s="88"/>
      <c r="F192" s="80">
        <v>0</v>
      </c>
      <c r="G192" s="80">
        <v>0</v>
      </c>
      <c r="H192" s="80">
        <v>0</v>
      </c>
      <c r="I192" s="75" t="s">
        <v>162</v>
      </c>
      <c r="J192" s="42">
        <f t="shared" si="7"/>
        <v>0</v>
      </c>
    </row>
    <row r="193" spans="1:10" s="10" customFormat="1" outlineLevel="1" x14ac:dyDescent="0.2">
      <c r="D193" s="75" t="s">
        <v>188</v>
      </c>
      <c r="E193" s="88"/>
      <c r="F193" s="80">
        <v>0</v>
      </c>
      <c r="G193" s="80">
        <v>0</v>
      </c>
      <c r="H193" s="80">
        <v>0</v>
      </c>
      <c r="I193" s="75" t="s">
        <v>162</v>
      </c>
      <c r="J193" s="42">
        <f t="shared" si="7"/>
        <v>0</v>
      </c>
    </row>
    <row r="194" spans="1:10" s="10" customFormat="1" outlineLevel="1" x14ac:dyDescent="0.2">
      <c r="D194" s="75" t="s">
        <v>189</v>
      </c>
      <c r="E194" s="88"/>
      <c r="F194" s="80">
        <v>0</v>
      </c>
      <c r="G194" s="80">
        <v>0</v>
      </c>
      <c r="H194" s="80">
        <v>0</v>
      </c>
      <c r="I194" s="75" t="s">
        <v>162</v>
      </c>
      <c r="J194" s="42">
        <f t="shared" si="7"/>
        <v>0</v>
      </c>
    </row>
    <row r="195" spans="1:10" s="10" customFormat="1" outlineLevel="1" x14ac:dyDescent="0.2">
      <c r="D195" s="75" t="s">
        <v>190</v>
      </c>
      <c r="E195" s="88"/>
      <c r="F195" s="80">
        <v>0</v>
      </c>
      <c r="G195" s="80">
        <v>0</v>
      </c>
      <c r="H195" s="80">
        <v>0</v>
      </c>
      <c r="I195" s="75" t="s">
        <v>162</v>
      </c>
      <c r="J195" s="42">
        <f t="shared" si="7"/>
        <v>0</v>
      </c>
    </row>
    <row r="196" spans="1:10" s="10" customFormat="1" outlineLevel="1" x14ac:dyDescent="0.2">
      <c r="D196" s="75" t="s">
        <v>191</v>
      </c>
      <c r="E196" s="88"/>
      <c r="F196" s="80">
        <v>0</v>
      </c>
      <c r="G196" s="80">
        <v>0</v>
      </c>
      <c r="H196" s="80">
        <v>0</v>
      </c>
      <c r="I196" s="75" t="s">
        <v>162</v>
      </c>
      <c r="J196" s="42">
        <f t="shared" si="7"/>
        <v>0</v>
      </c>
    </row>
    <row r="197" spans="1:10" s="10" customFormat="1" outlineLevel="1" x14ac:dyDescent="0.2">
      <c r="D197" s="75" t="s">
        <v>192</v>
      </c>
      <c r="E197" s="88"/>
      <c r="F197" s="80">
        <v>0</v>
      </c>
      <c r="G197" s="80">
        <v>0</v>
      </c>
      <c r="H197" s="80">
        <v>0</v>
      </c>
      <c r="I197" s="75" t="s">
        <v>162</v>
      </c>
      <c r="J197" s="42">
        <f t="shared" si="7"/>
        <v>0</v>
      </c>
    </row>
    <row r="198" spans="1:10" s="10" customFormat="1" outlineLevel="1" x14ac:dyDescent="0.2">
      <c r="D198" s="55" t="str">
        <f>Lang_Error_Check_Flags_If_Input_Econ_Cost_Is_Less_Than_Fin_Cost</f>
        <v>ERROR CHECK (FLAGS IF INPUT ECONOMIC COST IS LESS THAN FINANCIAL COST)</v>
      </c>
      <c r="J198" s="43">
        <f>IF(ISERROR(SUM(J188:J197)),1,MIN(SUM(J188:J197),1))</f>
        <v>0</v>
      </c>
    </row>
    <row r="199" spans="1:10" s="10" customFormat="1" outlineLevel="1" x14ac:dyDescent="0.2"/>
    <row r="200" spans="1:10" s="10" customFormat="1" outlineLevel="1" x14ac:dyDescent="0.2">
      <c r="D200" s="76" t="str">
        <f>Lang_GoTo&amp;" "&amp;HL_LVL2_ACTV_12_Other_Direct_Costs_Outputs</f>
        <v>Go to Single Vaccination Service Delivery Type 2 Other Direct Costs - Outputs</v>
      </c>
    </row>
    <row r="201" spans="1:10" s="10" customFormat="1" x14ac:dyDescent="0.2"/>
    <row r="202" spans="1:10" s="13" customFormat="1" x14ac:dyDescent="0.2">
      <c r="A202" s="12" t="s">
        <v>125</v>
      </c>
      <c r="B202" s="13" t="str">
        <f>C204</f>
        <v>Small Group Vaccination Activity (30 people vaccinated) -  Detailed Activity Costing Worksheet - Instructions</v>
      </c>
    </row>
    <row r="203" spans="1:10" s="10" customFormat="1" outlineLevel="1" collapsed="1" x14ac:dyDescent="0.2"/>
    <row r="204" spans="1:10" s="10" customFormat="1" outlineLevel="1" x14ac:dyDescent="0.2">
      <c r="C204" s="71" t="str">
        <f>HL_LVL2_ACTV_13_Name&amp;" -  "&amp;Lang_Detailed_Activity_Costing_Worksheet_Instructions</f>
        <v>Small Group Vaccination Activity (30 people vaccinated) -  Detailed Activity Costing Worksheet - Instructions</v>
      </c>
    </row>
    <row r="205" spans="1:10" s="10" customFormat="1" outlineLevel="1" x14ac:dyDescent="0.2"/>
    <row r="206" spans="1:10" s="10" customFormat="1" outlineLevel="1" x14ac:dyDescent="0.2">
      <c r="D206" s="50" t="str">
        <f>Lang_Detailed_Costing_Worksheets_Notes_1</f>
        <v>This detailed costing worksheet can be used to document the types and amounts of resources required to complete a single instance of an activity.</v>
      </c>
    </row>
    <row r="207" spans="1:10" s="10" customFormat="1" outlineLevel="1" x14ac:dyDescent="0.2">
      <c r="D207" s="50" t="str">
        <f>Lang_Detailed_Costing_Worksheets_Notes_2</f>
        <v>When completed, it will automatically provide a single activity cost in the general assumption worksheet.</v>
      </c>
    </row>
    <row r="208" spans="1:10" s="10" customFormat="1" outlineLevel="1" x14ac:dyDescent="0.2">
      <c r="D208" s="50" t="str">
        <f>Lang_Detailed_Costing_Worksheets_Notes_3</f>
        <v>The user may then choose to use the results of the detailed costing in the model, or override the detailed costing and insert alternate cost estimates.</v>
      </c>
    </row>
    <row r="209" spans="1:5" s="10" customFormat="1" outlineLevel="1" x14ac:dyDescent="0.2"/>
    <row r="210" spans="1:5" s="10" customFormat="1" x14ac:dyDescent="0.2"/>
    <row r="211" spans="1:5" s="13" customFormat="1" x14ac:dyDescent="0.2">
      <c r="A211" s="12" t="s">
        <v>125</v>
      </c>
      <c r="B211" s="13" t="str">
        <f>C213</f>
        <v>Small Group Vaccination Activity (30 people vaccinated) - Detailed Activity Costing Worksheet - Currency Selection</v>
      </c>
    </row>
    <row r="212" spans="1:5" s="10" customFormat="1" outlineLevel="1" x14ac:dyDescent="0.2"/>
    <row r="213" spans="1:5" s="10" customFormat="1" outlineLevel="1" x14ac:dyDescent="0.2">
      <c r="C213" s="71" t="str">
        <f>HL_LVL2_ACTV_13_Name&amp;" - "&amp;Lang_Detailed_Activity_Costing_Worksheet_Currency_Selection</f>
        <v>Small Group Vaccination Activity (30 people vaccinated) - Detailed Activity Costing Worksheet - Currency Selection</v>
      </c>
    </row>
    <row r="214" spans="1:5" s="10" customFormat="1" outlineLevel="1" x14ac:dyDescent="0.2"/>
    <row r="215" spans="1:5" s="10" customFormat="1" outlineLevel="1" x14ac:dyDescent="0.2">
      <c r="D215" s="55" t="str">
        <f>Lang_Currency_Used_For_Cost_Inputs</f>
        <v>Currency Used for Cost Inputs</v>
      </c>
      <c r="E215" s="72">
        <v>1</v>
      </c>
    </row>
    <row r="216" spans="1:5" s="10" customFormat="1" outlineLevel="1" x14ac:dyDescent="0.2"/>
    <row r="217" spans="1:5" s="10" customFormat="1" outlineLevel="1" x14ac:dyDescent="0.2"/>
    <row r="218" spans="1:5" s="10" customFormat="1" outlineLevel="1" x14ac:dyDescent="0.2">
      <c r="D218" s="54" t="str">
        <f>Lang_Imported_From_Econ_Module</f>
        <v>Imported from Econ Module</v>
      </c>
    </row>
    <row r="219" spans="1:5" s="10" customFormat="1" outlineLevel="1" x14ac:dyDescent="0.2">
      <c r="D219" s="49" t="str">
        <f>ECONOMICS!F7</f>
        <v>USD</v>
      </c>
    </row>
    <row r="220" spans="1:5" s="10" customFormat="1" outlineLevel="1" x14ac:dyDescent="0.2">
      <c r="D220" s="49" t="str">
        <f>ECONOMICS!F8</f>
        <v>LCU</v>
      </c>
    </row>
    <row r="221" spans="1:5" s="10" customFormat="1" outlineLevel="1" x14ac:dyDescent="0.2"/>
    <row r="222" spans="1:5" s="10" customFormat="1" outlineLevel="1" x14ac:dyDescent="0.2">
      <c r="D222" s="50" t="str">
        <f>Lang_Exchange_Rate_From_Econ</f>
        <v>Exchange Rate (from Economics)</v>
      </c>
      <c r="E222" s="41">
        <f>ECONOMICS!E13</f>
        <v>1234.5</v>
      </c>
    </row>
    <row r="223" spans="1:5" s="10" customFormat="1" x14ac:dyDescent="0.2"/>
    <row r="224" spans="1:5" s="13" customFormat="1" x14ac:dyDescent="0.2">
      <c r="A224" s="12" t="s">
        <v>127</v>
      </c>
      <c r="B224" s="13" t="str">
        <f>C226</f>
        <v>Small Group Vaccination Activity (30 people vaccinated) - Detailed Personnel Cost Assumptions</v>
      </c>
    </row>
    <row r="225" spans="3:10" s="10" customFormat="1" outlineLevel="1" x14ac:dyDescent="0.2"/>
    <row r="226" spans="3:10" s="10" customFormat="1" outlineLevel="1" x14ac:dyDescent="0.2">
      <c r="C226" s="71" t="str">
        <f>HL_LVL2_ACTV_13_Name&amp;" - "&amp;Lang_Detailed_Personnel_Cost_Assumptions</f>
        <v>Small Group Vaccination Activity (30 people vaccinated) - Detailed Personnel Cost Assumptions</v>
      </c>
    </row>
    <row r="227" spans="3:10" s="10" customFormat="1" ht="48" outlineLevel="1" x14ac:dyDescent="0.2">
      <c r="D227" s="55" t="str">
        <f>Lang_Personnel_Cadre_Type</f>
        <v>Personnel Cadre Type</v>
      </c>
      <c r="E227" s="85" t="str">
        <f>Lang_Activity_Unit_Day_Hour_Minute</f>
        <v>Activity Unit (e.g. Day, Hour, Minute)</v>
      </c>
      <c r="F227" s="85" t="str">
        <f>Lang_Number_Of_Activity_Units_Required</f>
        <v>Number of Activity Units Required</v>
      </c>
      <c r="G227" s="86" t="str">
        <f ca="1">SD_Lu!$D$102&amp;" "&amp;Lang_Cost_Per_Activity_Unit&amp;" ("&amp;OFFSET(SD_Lu!$D$81,DD_LVL2_ACTV_13_Currency_Selected,0)&amp;")"</f>
        <v>Financial Cost per Activity Unit (USD)</v>
      </c>
      <c r="H227" s="86" t="str">
        <f ca="1">SD_Lu!$D$103&amp;" "&amp;Lang_Cost_Per_Activity_Unit&amp;" ("&amp;OFFSET(SD_Lu!$D$81,DD_LVL2_ACTV_13_Currency_Selected,0)&amp;")"</f>
        <v>Economic Cost per Activity Unit (USD)</v>
      </c>
      <c r="I227" s="87" t="str">
        <f>Lang_Evidence_For_Using_This_Cost_Information_Source_Or_Notes</f>
        <v>Evidence for Using this Cost Information (source or notes)</v>
      </c>
    </row>
    <row r="228" spans="3:10" s="10" customFormat="1" outlineLevel="1" x14ac:dyDescent="0.2">
      <c r="D228" s="75" t="s">
        <v>152</v>
      </c>
      <c r="E228" s="75"/>
      <c r="F228" s="80">
        <v>0</v>
      </c>
      <c r="G228" s="80">
        <v>0</v>
      </c>
      <c r="H228" s="80">
        <v>0</v>
      </c>
      <c r="I228" s="323" t="s">
        <v>162</v>
      </c>
      <c r="J228" s="42">
        <f t="shared" ref="J228:J242" si="8">IF(H228&lt;G228,1,0)</f>
        <v>0</v>
      </c>
    </row>
    <row r="229" spans="3:10" s="10" customFormat="1" outlineLevel="1" x14ac:dyDescent="0.2">
      <c r="D229" s="75" t="s">
        <v>153</v>
      </c>
      <c r="E229" s="75"/>
      <c r="F229" s="80">
        <v>0</v>
      </c>
      <c r="G229" s="80">
        <v>0</v>
      </c>
      <c r="H229" s="80">
        <v>0</v>
      </c>
      <c r="I229" s="323" t="s">
        <v>162</v>
      </c>
      <c r="J229" s="42">
        <f t="shared" si="8"/>
        <v>0</v>
      </c>
    </row>
    <row r="230" spans="3:10" s="10" customFormat="1" outlineLevel="1" x14ac:dyDescent="0.2">
      <c r="D230" s="75" t="s">
        <v>154</v>
      </c>
      <c r="E230" s="88"/>
      <c r="F230" s="80">
        <v>0</v>
      </c>
      <c r="G230" s="80">
        <v>0</v>
      </c>
      <c r="H230" s="80">
        <v>0</v>
      </c>
      <c r="I230" s="323" t="s">
        <v>162</v>
      </c>
      <c r="J230" s="42">
        <f t="shared" si="8"/>
        <v>0</v>
      </c>
    </row>
    <row r="231" spans="3:10" s="10" customFormat="1" outlineLevel="1" x14ac:dyDescent="0.2">
      <c r="D231" s="75" t="s">
        <v>155</v>
      </c>
      <c r="E231" s="88"/>
      <c r="F231" s="80">
        <v>0</v>
      </c>
      <c r="G231" s="80">
        <v>0</v>
      </c>
      <c r="H231" s="80">
        <v>0</v>
      </c>
      <c r="I231" s="323" t="s">
        <v>162</v>
      </c>
      <c r="J231" s="42">
        <f t="shared" si="8"/>
        <v>0</v>
      </c>
    </row>
    <row r="232" spans="3:10" s="10" customFormat="1" outlineLevel="1" x14ac:dyDescent="0.2">
      <c r="D232" s="75" t="s">
        <v>156</v>
      </c>
      <c r="E232" s="88"/>
      <c r="F232" s="80">
        <v>0</v>
      </c>
      <c r="G232" s="80">
        <v>0</v>
      </c>
      <c r="H232" s="80">
        <v>0</v>
      </c>
      <c r="I232" s="323" t="s">
        <v>162</v>
      </c>
      <c r="J232" s="42">
        <f t="shared" si="8"/>
        <v>0</v>
      </c>
    </row>
    <row r="233" spans="3:10" s="10" customFormat="1" outlineLevel="1" x14ac:dyDescent="0.2">
      <c r="D233" s="75" t="s">
        <v>157</v>
      </c>
      <c r="E233" s="88"/>
      <c r="F233" s="80">
        <v>0</v>
      </c>
      <c r="G233" s="80">
        <v>0</v>
      </c>
      <c r="H233" s="80">
        <v>0</v>
      </c>
      <c r="I233" s="323" t="s">
        <v>162</v>
      </c>
      <c r="J233" s="42">
        <f t="shared" si="8"/>
        <v>0</v>
      </c>
    </row>
    <row r="234" spans="3:10" s="10" customFormat="1" outlineLevel="1" x14ac:dyDescent="0.2">
      <c r="D234" s="75" t="s">
        <v>158</v>
      </c>
      <c r="E234" s="88"/>
      <c r="F234" s="80">
        <v>0</v>
      </c>
      <c r="G234" s="80">
        <v>0</v>
      </c>
      <c r="H234" s="80">
        <v>0</v>
      </c>
      <c r="I234" s="323" t="s">
        <v>162</v>
      </c>
      <c r="J234" s="42">
        <f t="shared" si="8"/>
        <v>0</v>
      </c>
    </row>
    <row r="235" spans="3:10" s="10" customFormat="1" outlineLevel="1" x14ac:dyDescent="0.2">
      <c r="D235" s="75" t="s">
        <v>159</v>
      </c>
      <c r="E235" s="88"/>
      <c r="F235" s="80">
        <v>0</v>
      </c>
      <c r="G235" s="80">
        <v>0</v>
      </c>
      <c r="H235" s="80">
        <v>0</v>
      </c>
      <c r="I235" s="323" t="s">
        <v>162</v>
      </c>
      <c r="J235" s="42">
        <f t="shared" si="8"/>
        <v>0</v>
      </c>
    </row>
    <row r="236" spans="3:10" s="10" customFormat="1" outlineLevel="1" x14ac:dyDescent="0.2">
      <c r="D236" s="75" t="s">
        <v>160</v>
      </c>
      <c r="E236" s="88"/>
      <c r="F236" s="80">
        <v>0</v>
      </c>
      <c r="G236" s="80">
        <v>0</v>
      </c>
      <c r="H236" s="80">
        <v>0</v>
      </c>
      <c r="I236" s="323" t="s">
        <v>162</v>
      </c>
      <c r="J236" s="42">
        <f t="shared" si="8"/>
        <v>0</v>
      </c>
    </row>
    <row r="237" spans="3:10" s="10" customFormat="1" outlineLevel="1" x14ac:dyDescent="0.2">
      <c r="D237" s="75" t="s">
        <v>161</v>
      </c>
      <c r="E237" s="88"/>
      <c r="F237" s="80">
        <v>0</v>
      </c>
      <c r="G237" s="80">
        <v>0</v>
      </c>
      <c r="H237" s="80">
        <v>0</v>
      </c>
      <c r="I237" s="323" t="s">
        <v>162</v>
      </c>
      <c r="J237" s="42">
        <f t="shared" si="8"/>
        <v>0</v>
      </c>
    </row>
    <row r="238" spans="3:10" s="10" customFormat="1" outlineLevel="1" x14ac:dyDescent="0.2">
      <c r="D238" s="75" t="s">
        <v>393</v>
      </c>
      <c r="E238" s="88"/>
      <c r="F238" s="80">
        <v>0</v>
      </c>
      <c r="G238" s="80">
        <v>0</v>
      </c>
      <c r="H238" s="80">
        <v>0</v>
      </c>
      <c r="I238" s="323" t="s">
        <v>162</v>
      </c>
      <c r="J238" s="42">
        <f t="shared" si="8"/>
        <v>0</v>
      </c>
    </row>
    <row r="239" spans="3:10" s="10" customFormat="1" outlineLevel="1" x14ac:dyDescent="0.2">
      <c r="D239" s="75" t="s">
        <v>394</v>
      </c>
      <c r="E239" s="88"/>
      <c r="F239" s="80">
        <v>0</v>
      </c>
      <c r="G239" s="80">
        <v>0</v>
      </c>
      <c r="H239" s="80">
        <v>0</v>
      </c>
      <c r="I239" s="323" t="s">
        <v>162</v>
      </c>
      <c r="J239" s="42">
        <f t="shared" si="8"/>
        <v>0</v>
      </c>
    </row>
    <row r="240" spans="3:10" s="10" customFormat="1" outlineLevel="1" x14ac:dyDescent="0.2">
      <c r="D240" s="75" t="s">
        <v>395</v>
      </c>
      <c r="E240" s="88"/>
      <c r="F240" s="80">
        <v>0</v>
      </c>
      <c r="G240" s="80">
        <v>0</v>
      </c>
      <c r="H240" s="80">
        <v>0</v>
      </c>
      <c r="I240" s="323" t="s">
        <v>162</v>
      </c>
      <c r="J240" s="42">
        <f t="shared" si="8"/>
        <v>0</v>
      </c>
    </row>
    <row r="241" spans="1:10" s="10" customFormat="1" outlineLevel="1" x14ac:dyDescent="0.2">
      <c r="D241" s="75" t="s">
        <v>396</v>
      </c>
      <c r="E241" s="88"/>
      <c r="F241" s="80">
        <v>0</v>
      </c>
      <c r="G241" s="80">
        <v>0</v>
      </c>
      <c r="H241" s="80">
        <v>0</v>
      </c>
      <c r="I241" s="323" t="s">
        <v>162</v>
      </c>
      <c r="J241" s="42">
        <f t="shared" si="8"/>
        <v>0</v>
      </c>
    </row>
    <row r="242" spans="1:10" s="10" customFormat="1" outlineLevel="1" x14ac:dyDescent="0.2">
      <c r="D242" s="75" t="s">
        <v>397</v>
      </c>
      <c r="E242" s="88"/>
      <c r="F242" s="80">
        <v>0</v>
      </c>
      <c r="G242" s="80">
        <v>0</v>
      </c>
      <c r="H242" s="80">
        <v>0</v>
      </c>
      <c r="I242" s="323" t="s">
        <v>162</v>
      </c>
      <c r="J242" s="42">
        <f t="shared" si="8"/>
        <v>0</v>
      </c>
    </row>
    <row r="243" spans="1:10" s="10" customFormat="1" outlineLevel="1" x14ac:dyDescent="0.2">
      <c r="D243" s="55" t="str">
        <f>Lang_Error_Check_Flags_If_Input_Econ_Cost_Is_Less_Than_Fin_Cost</f>
        <v>ERROR CHECK (FLAGS IF INPUT ECONOMIC COST IS LESS THAN FINANCIAL COST)</v>
      </c>
      <c r="J243" s="43">
        <f>IF(ISERROR(SUM(J228:J242)),1,MIN(SUM(J228:J242),1))</f>
        <v>0</v>
      </c>
    </row>
    <row r="244" spans="1:10" s="10" customFormat="1" outlineLevel="1" x14ac:dyDescent="0.2"/>
    <row r="245" spans="1:10" s="10" customFormat="1" outlineLevel="1" x14ac:dyDescent="0.2">
      <c r="D245" s="76" t="str">
        <f>Lang_GoTo&amp;" "&amp;HL_LVL2_ACTV_13_Personnel_Outputs</f>
        <v>Go to Small Group Vaccination Activity (30 people vaccinated) Personnel - Outputs</v>
      </c>
    </row>
    <row r="246" spans="1:10" s="10" customFormat="1" x14ac:dyDescent="0.2"/>
    <row r="247" spans="1:10" s="13" customFormat="1" x14ac:dyDescent="0.2">
      <c r="A247" s="12" t="s">
        <v>127</v>
      </c>
      <c r="B247" s="13" t="str">
        <f>C249</f>
        <v>Small Group Vaccination Activity (30 people vaccinated) - Detailed Allowance Cost Assumptions</v>
      </c>
    </row>
    <row r="248" spans="1:10" s="10" customFormat="1" outlineLevel="1" x14ac:dyDescent="0.2"/>
    <row r="249" spans="1:10" s="10" customFormat="1" outlineLevel="1" x14ac:dyDescent="0.2">
      <c r="C249" s="71" t="str">
        <f>HL_LVL2_ACTV_13_Name&amp;" - "&amp;Lang_Detailed_Allowance_Cost_Assumptions</f>
        <v>Small Group Vaccination Activity (30 people vaccinated) - Detailed Allowance Cost Assumptions</v>
      </c>
    </row>
    <row r="250" spans="1:10" s="10" customFormat="1" ht="48" outlineLevel="1" x14ac:dyDescent="0.2">
      <c r="D250" s="55" t="str">
        <f>Lang_Allowance_Type</f>
        <v>Allowance Type</v>
      </c>
      <c r="E250" s="85" t="str">
        <f>Lang_Allowance_Unit_Per_Day_Round_Trip_Travel</f>
        <v>Allowance Unit (e.g. Per Day, Round-trip Travel,etc.)</v>
      </c>
      <c r="F250" s="85" t="str">
        <f>Lang_Number_Of_Allowance_Units_Required</f>
        <v>Number of Allowance Units Required</v>
      </c>
      <c r="G250" s="86" t="str">
        <f ca="1">SD_Lu!$D$102&amp;" "&amp;Lang_Cost_Per_Activity_Unit&amp;" ("&amp;OFFSET(SD_Lu!$D$81,DD_LVL2_ACTV_13_Currency_Selected,0)&amp;")"</f>
        <v>Financial Cost per Activity Unit (USD)</v>
      </c>
      <c r="H250" s="86" t="str">
        <f ca="1">SD_Lu!$D$103&amp;" "&amp;Lang_Cost_Per_Activity_Unit&amp;" ("&amp;OFFSET(SD_Lu!$D$81,DD_LVL2_ACTV_13_Currency_Selected,0)&amp;")"</f>
        <v>Economic Cost per Activity Unit (USD)</v>
      </c>
      <c r="I250" s="87" t="str">
        <f>Lang_Evidence_For_Using_This_Cost_Information_Source_Or_Notes</f>
        <v>Evidence for Using this Cost Information (source or notes)</v>
      </c>
    </row>
    <row r="251" spans="1:10" s="10" customFormat="1" outlineLevel="1" x14ac:dyDescent="0.2">
      <c r="D251" s="75" t="s">
        <v>163</v>
      </c>
      <c r="E251" s="75"/>
      <c r="F251" s="80">
        <v>0</v>
      </c>
      <c r="G251" s="80">
        <v>0</v>
      </c>
      <c r="H251" s="80">
        <v>0</v>
      </c>
      <c r="I251" s="323" t="s">
        <v>162</v>
      </c>
      <c r="J251" s="42">
        <f t="shared" ref="J251:J260" si="9">IF(H251&lt;G251,1,0)</f>
        <v>0</v>
      </c>
    </row>
    <row r="252" spans="1:10" s="10" customFormat="1" outlineLevel="1" x14ac:dyDescent="0.2">
      <c r="D252" s="75" t="s">
        <v>164</v>
      </c>
      <c r="E252" s="75"/>
      <c r="F252" s="80">
        <v>0</v>
      </c>
      <c r="G252" s="80">
        <v>0</v>
      </c>
      <c r="H252" s="80">
        <v>0</v>
      </c>
      <c r="I252" s="323" t="s">
        <v>162</v>
      </c>
      <c r="J252" s="42">
        <f t="shared" si="9"/>
        <v>0</v>
      </c>
    </row>
    <row r="253" spans="1:10" s="10" customFormat="1" outlineLevel="1" x14ac:dyDescent="0.2">
      <c r="D253" s="75" t="s">
        <v>165</v>
      </c>
      <c r="E253" s="88"/>
      <c r="F253" s="80">
        <v>0</v>
      </c>
      <c r="G253" s="80">
        <v>0</v>
      </c>
      <c r="H253" s="80">
        <v>0</v>
      </c>
      <c r="I253" s="323" t="s">
        <v>162</v>
      </c>
      <c r="J253" s="42">
        <f t="shared" si="9"/>
        <v>0</v>
      </c>
    </row>
    <row r="254" spans="1:10" s="10" customFormat="1" outlineLevel="1" x14ac:dyDescent="0.2">
      <c r="D254" s="75" t="s">
        <v>166</v>
      </c>
      <c r="E254" s="88"/>
      <c r="F254" s="80">
        <v>0</v>
      </c>
      <c r="G254" s="80">
        <v>0</v>
      </c>
      <c r="H254" s="80">
        <v>0</v>
      </c>
      <c r="I254" s="323" t="s">
        <v>162</v>
      </c>
      <c r="J254" s="42">
        <f t="shared" si="9"/>
        <v>0</v>
      </c>
    </row>
    <row r="255" spans="1:10" s="10" customFormat="1" outlineLevel="1" x14ac:dyDescent="0.2">
      <c r="D255" s="75" t="s">
        <v>167</v>
      </c>
      <c r="E255" s="88"/>
      <c r="F255" s="80">
        <v>0</v>
      </c>
      <c r="G255" s="80">
        <v>0</v>
      </c>
      <c r="H255" s="80">
        <v>0</v>
      </c>
      <c r="I255" s="323" t="s">
        <v>162</v>
      </c>
      <c r="J255" s="42">
        <f t="shared" si="9"/>
        <v>0</v>
      </c>
    </row>
    <row r="256" spans="1:10" s="10" customFormat="1" outlineLevel="1" x14ac:dyDescent="0.2">
      <c r="D256" s="75" t="s">
        <v>168</v>
      </c>
      <c r="E256" s="88"/>
      <c r="F256" s="80">
        <v>0</v>
      </c>
      <c r="G256" s="80">
        <v>0</v>
      </c>
      <c r="H256" s="80">
        <v>0</v>
      </c>
      <c r="I256" s="323" t="s">
        <v>162</v>
      </c>
      <c r="J256" s="42">
        <f t="shared" si="9"/>
        <v>0</v>
      </c>
    </row>
    <row r="257" spans="1:10" s="10" customFormat="1" outlineLevel="1" x14ac:dyDescent="0.2">
      <c r="D257" s="75" t="s">
        <v>169</v>
      </c>
      <c r="E257" s="88"/>
      <c r="F257" s="80">
        <v>0</v>
      </c>
      <c r="G257" s="80">
        <v>0</v>
      </c>
      <c r="H257" s="80">
        <v>0</v>
      </c>
      <c r="I257" s="323" t="s">
        <v>162</v>
      </c>
      <c r="J257" s="42">
        <f t="shared" si="9"/>
        <v>0</v>
      </c>
    </row>
    <row r="258" spans="1:10" s="10" customFormat="1" outlineLevel="1" x14ac:dyDescent="0.2">
      <c r="D258" s="75" t="s">
        <v>170</v>
      </c>
      <c r="E258" s="88"/>
      <c r="F258" s="80">
        <v>0</v>
      </c>
      <c r="G258" s="80">
        <v>0</v>
      </c>
      <c r="H258" s="80">
        <v>0</v>
      </c>
      <c r="I258" s="323" t="s">
        <v>162</v>
      </c>
      <c r="J258" s="42">
        <f t="shared" si="9"/>
        <v>0</v>
      </c>
    </row>
    <row r="259" spans="1:10" s="10" customFormat="1" outlineLevel="1" x14ac:dyDescent="0.2">
      <c r="D259" s="75" t="s">
        <v>171</v>
      </c>
      <c r="E259" s="88"/>
      <c r="F259" s="80">
        <v>0</v>
      </c>
      <c r="G259" s="80">
        <v>0</v>
      </c>
      <c r="H259" s="80">
        <v>0</v>
      </c>
      <c r="I259" s="323" t="s">
        <v>162</v>
      </c>
      <c r="J259" s="42">
        <f t="shared" si="9"/>
        <v>0</v>
      </c>
    </row>
    <row r="260" spans="1:10" s="10" customFormat="1" outlineLevel="1" x14ac:dyDescent="0.2">
      <c r="D260" s="75" t="s">
        <v>172</v>
      </c>
      <c r="E260" s="88"/>
      <c r="F260" s="80">
        <v>0</v>
      </c>
      <c r="G260" s="80">
        <v>0</v>
      </c>
      <c r="H260" s="80">
        <v>0</v>
      </c>
      <c r="I260" s="323" t="s">
        <v>162</v>
      </c>
      <c r="J260" s="42">
        <f t="shared" si="9"/>
        <v>0</v>
      </c>
    </row>
    <row r="261" spans="1:10" s="10" customFormat="1" outlineLevel="1" x14ac:dyDescent="0.2">
      <c r="D261" s="55" t="str">
        <f>Lang_Error_Check_Flags_If_Input_Econ_Cost_Is_Less_Than_Fin_Cost</f>
        <v>ERROR CHECK (FLAGS IF INPUT ECONOMIC COST IS LESS THAN FINANCIAL COST)</v>
      </c>
      <c r="J261" s="43">
        <f>IF(ISERROR(SUM(J251:J260)),1,MIN(SUM(J251:J260),1))</f>
        <v>0</v>
      </c>
    </row>
    <row r="262" spans="1:10" s="10" customFormat="1" outlineLevel="1" x14ac:dyDescent="0.2"/>
    <row r="263" spans="1:10" s="10" customFormat="1" outlineLevel="1" x14ac:dyDescent="0.2">
      <c r="D263" s="76" t="str">
        <f>Lang_GoTo&amp;" "&amp;HL_LVL2_ACTV_13_Out_A</f>
        <v>Go to Small Group Vaccination Activity (30 people vaccinated) Allowances - Outputs</v>
      </c>
    </row>
    <row r="264" spans="1:10" s="10" customFormat="1" x14ac:dyDescent="0.2"/>
    <row r="265" spans="1:10" s="13" customFormat="1" x14ac:dyDescent="0.2">
      <c r="A265" s="12" t="s">
        <v>127</v>
      </c>
      <c r="B265" s="13" t="str">
        <f>C267</f>
        <v>Small Group Vaccination Activity (30 people vaccinated) - Detailed Supply and Material Cost Assumptions</v>
      </c>
    </row>
    <row r="266" spans="1:10" s="10" customFormat="1" outlineLevel="1" x14ac:dyDescent="0.2"/>
    <row r="267" spans="1:10" s="10" customFormat="1" outlineLevel="1" x14ac:dyDescent="0.2">
      <c r="C267" s="71" t="str">
        <f>HL_LVL2_ACTV_13_Name&amp;" - "&amp;Lang_Detailed_Supply_And_Material_Cost_Assumptions</f>
        <v>Small Group Vaccination Activity (30 people vaccinated) - Detailed Supply and Material Cost Assumptions</v>
      </c>
    </row>
    <row r="268" spans="1:10" s="10" customFormat="1" ht="48" outlineLevel="1" x14ac:dyDescent="0.2">
      <c r="D268" s="55" t="str">
        <f>Lang_Supply_Type</f>
        <v>Supply Type</v>
      </c>
      <c r="E268" s="85" t="str">
        <f>Lang_Supply_Unit_Each_Dozen_100_Pack</f>
        <v>Supply Unit (e.g. Each, Dozen, 100-pack,etc.)</v>
      </c>
      <c r="F268" s="85" t="str">
        <f>Lang_Number_Of_Supply_Units_Required</f>
        <v>Number of Supply Units Required</v>
      </c>
      <c r="G268" s="86" t="str">
        <f ca="1">SD_Lu!$D$102&amp;" "&amp;Lang_Cost_Per_Activity_Unit&amp;" ("&amp;OFFSET(SD_Lu!$D$81,DD_LVL2_ACTV_13_Currency_Selected,0)&amp;")"</f>
        <v>Financial Cost per Activity Unit (USD)</v>
      </c>
      <c r="H268" s="86" t="str">
        <f ca="1">SD_Lu!$D$103&amp;" "&amp;Lang_Cost_Per_Activity_Unit&amp;" ("&amp;OFFSET(SD_Lu!$D$81,DD_LVL2_ACTV_13_Currency_Selected,0)&amp;")"</f>
        <v>Economic Cost per Activity Unit (USD)</v>
      </c>
      <c r="I268" s="87" t="str">
        <f>Lang_Evidence_For_Using_This_Cost_Information_Source_Or_Notes</f>
        <v>Evidence for Using this Cost Information (source or notes)</v>
      </c>
    </row>
    <row r="269" spans="1:10" s="10" customFormat="1" outlineLevel="1" x14ac:dyDescent="0.2">
      <c r="D269" s="75" t="s">
        <v>173</v>
      </c>
      <c r="E269" s="75"/>
      <c r="F269" s="80">
        <v>0</v>
      </c>
      <c r="G269" s="80">
        <v>0</v>
      </c>
      <c r="H269" s="80">
        <v>0</v>
      </c>
      <c r="I269" s="323" t="s">
        <v>162</v>
      </c>
      <c r="J269" s="42">
        <f t="shared" ref="J269:J278" si="10">IF(H269&lt;G269,1,0)</f>
        <v>0</v>
      </c>
    </row>
    <row r="270" spans="1:10" s="10" customFormat="1" outlineLevel="1" x14ac:dyDescent="0.2">
      <c r="D270" s="75" t="s">
        <v>174</v>
      </c>
      <c r="E270" s="88"/>
      <c r="F270" s="80">
        <v>0</v>
      </c>
      <c r="G270" s="80">
        <v>0</v>
      </c>
      <c r="H270" s="80">
        <v>0</v>
      </c>
      <c r="I270" s="323" t="s">
        <v>162</v>
      </c>
      <c r="J270" s="42">
        <f t="shared" si="10"/>
        <v>0</v>
      </c>
    </row>
    <row r="271" spans="1:10" s="10" customFormat="1" outlineLevel="1" x14ac:dyDescent="0.2">
      <c r="D271" s="75" t="s">
        <v>175</v>
      </c>
      <c r="E271" s="88"/>
      <c r="F271" s="80">
        <v>0</v>
      </c>
      <c r="G271" s="80">
        <v>0</v>
      </c>
      <c r="H271" s="80">
        <v>0</v>
      </c>
      <c r="I271" s="323" t="s">
        <v>162</v>
      </c>
      <c r="J271" s="42">
        <f t="shared" si="10"/>
        <v>0</v>
      </c>
    </row>
    <row r="272" spans="1:10" s="10" customFormat="1" outlineLevel="1" x14ac:dyDescent="0.2">
      <c r="D272" s="75" t="s">
        <v>176</v>
      </c>
      <c r="E272" s="88"/>
      <c r="F272" s="80">
        <v>0</v>
      </c>
      <c r="G272" s="80">
        <v>0</v>
      </c>
      <c r="H272" s="80">
        <v>0</v>
      </c>
      <c r="I272" s="323" t="s">
        <v>162</v>
      </c>
      <c r="J272" s="42">
        <f t="shared" si="10"/>
        <v>0</v>
      </c>
    </row>
    <row r="273" spans="1:10" s="10" customFormat="1" outlineLevel="1" x14ac:dyDescent="0.2">
      <c r="D273" s="75" t="s">
        <v>177</v>
      </c>
      <c r="E273" s="88"/>
      <c r="F273" s="80">
        <v>0</v>
      </c>
      <c r="G273" s="80">
        <v>0</v>
      </c>
      <c r="H273" s="80">
        <v>0</v>
      </c>
      <c r="I273" s="323" t="s">
        <v>162</v>
      </c>
      <c r="J273" s="42">
        <f t="shared" si="10"/>
        <v>0</v>
      </c>
    </row>
    <row r="274" spans="1:10" s="10" customFormat="1" outlineLevel="1" x14ac:dyDescent="0.2">
      <c r="D274" s="75" t="s">
        <v>178</v>
      </c>
      <c r="E274" s="88"/>
      <c r="F274" s="80">
        <v>0</v>
      </c>
      <c r="G274" s="80">
        <v>0</v>
      </c>
      <c r="H274" s="80">
        <v>0</v>
      </c>
      <c r="I274" s="323" t="s">
        <v>162</v>
      </c>
      <c r="J274" s="42">
        <f t="shared" si="10"/>
        <v>0</v>
      </c>
    </row>
    <row r="275" spans="1:10" s="10" customFormat="1" outlineLevel="1" x14ac:dyDescent="0.2">
      <c r="D275" s="75" t="s">
        <v>179</v>
      </c>
      <c r="E275" s="88"/>
      <c r="F275" s="80">
        <v>0</v>
      </c>
      <c r="G275" s="80">
        <v>0</v>
      </c>
      <c r="H275" s="80">
        <v>0</v>
      </c>
      <c r="I275" s="323" t="s">
        <v>162</v>
      </c>
      <c r="J275" s="42">
        <f t="shared" si="10"/>
        <v>0</v>
      </c>
    </row>
    <row r="276" spans="1:10" s="10" customFormat="1" outlineLevel="1" x14ac:dyDescent="0.2">
      <c r="D276" s="75" t="s">
        <v>180</v>
      </c>
      <c r="E276" s="88"/>
      <c r="F276" s="80">
        <v>0</v>
      </c>
      <c r="G276" s="80">
        <v>0</v>
      </c>
      <c r="H276" s="80">
        <v>0</v>
      </c>
      <c r="I276" s="323" t="s">
        <v>162</v>
      </c>
      <c r="J276" s="42">
        <f t="shared" si="10"/>
        <v>0</v>
      </c>
    </row>
    <row r="277" spans="1:10" s="10" customFormat="1" outlineLevel="1" x14ac:dyDescent="0.2">
      <c r="D277" s="75" t="s">
        <v>181</v>
      </c>
      <c r="E277" s="88"/>
      <c r="F277" s="80">
        <v>0</v>
      </c>
      <c r="G277" s="80">
        <v>0</v>
      </c>
      <c r="H277" s="80">
        <v>0</v>
      </c>
      <c r="I277" s="323" t="s">
        <v>162</v>
      </c>
      <c r="J277" s="42">
        <f t="shared" si="10"/>
        <v>0</v>
      </c>
    </row>
    <row r="278" spans="1:10" s="10" customFormat="1" outlineLevel="1" x14ac:dyDescent="0.2">
      <c r="D278" s="75" t="s">
        <v>182</v>
      </c>
      <c r="E278" s="88"/>
      <c r="F278" s="80">
        <v>0</v>
      </c>
      <c r="G278" s="80">
        <v>0</v>
      </c>
      <c r="H278" s="80">
        <v>0</v>
      </c>
      <c r="I278" s="323" t="s">
        <v>162</v>
      </c>
      <c r="J278" s="42">
        <f t="shared" si="10"/>
        <v>0</v>
      </c>
    </row>
    <row r="279" spans="1:10" s="10" customFormat="1" outlineLevel="1" x14ac:dyDescent="0.2">
      <c r="D279" s="55" t="str">
        <f>Lang_Error_Check_Flags_If_Input_Econ_Cost_Is_Less_Than_Fin_Cost</f>
        <v>ERROR CHECK (FLAGS IF INPUT ECONOMIC COST IS LESS THAN FINANCIAL COST)</v>
      </c>
      <c r="J279" s="43">
        <f>IF(ISERROR(SUM(J269:J278)),1,MIN(SUM(J269:J278),1))</f>
        <v>0</v>
      </c>
    </row>
    <row r="280" spans="1:10" s="10" customFormat="1" outlineLevel="1" x14ac:dyDescent="0.2"/>
    <row r="281" spans="1:10" s="10" customFormat="1" outlineLevel="1" x14ac:dyDescent="0.2">
      <c r="D281" s="76" t="str">
        <f>Lang_GoTo&amp;" "&amp;HL_LVL2_ACTV_13_Supplies_and_Materials_Outputs</f>
        <v>Go to Small Group Vaccination Activity (30 people vaccinated) Supplies and Materials - Outputs</v>
      </c>
    </row>
    <row r="282" spans="1:10" s="10" customFormat="1" x14ac:dyDescent="0.2"/>
    <row r="283" spans="1:10" s="13" customFormat="1" x14ac:dyDescent="0.2">
      <c r="A283" s="12" t="s">
        <v>127</v>
      </c>
      <c r="B283" s="13" t="str">
        <f>C285</f>
        <v>Small Group Vaccination Activity (30 people vaccinated) - Detailed Other Direct Cost Assumptions</v>
      </c>
    </row>
    <row r="284" spans="1:10" s="10" customFormat="1" outlineLevel="1" x14ac:dyDescent="0.2"/>
    <row r="285" spans="1:10" s="10" customFormat="1" outlineLevel="1" x14ac:dyDescent="0.2">
      <c r="C285" s="71" t="str">
        <f>HL_LVL2_ACTV_13_Name&amp;" - "&amp;Lang_Detailed_Other_Direct_Cost_Assumptions</f>
        <v>Small Group Vaccination Activity (30 people vaccinated) - Detailed Other Direct Cost Assumptions</v>
      </c>
    </row>
    <row r="286" spans="1:10" s="10" customFormat="1" ht="48" outlineLevel="1" x14ac:dyDescent="0.2">
      <c r="D286" s="55" t="str">
        <f>Lang_Other_Direct_Cost_ODC_Type</f>
        <v>Other Direct Cost (ODC) Type</v>
      </c>
      <c r="E286" s="85" t="str">
        <f>Lang_ODC_Unit_Each_Dozen_100_Pack</f>
        <v>ODC Unit (e.g. Each, Dozen, 100-pack,etc.)</v>
      </c>
      <c r="F286" s="85" t="str">
        <f>Lang_Number_Of_ODC_Units_Required</f>
        <v>Number of ODC Units Required</v>
      </c>
      <c r="G286" s="86" t="str">
        <f ca="1">SD_Lu!$D$102&amp;" "&amp;Lang_Cost_Per_Activity_Unit&amp;" ("&amp;OFFSET(SD_Lu!$D$81,DD_LVL2_ACTV_13_Currency_Selected,0)&amp;")"</f>
        <v>Financial Cost per Activity Unit (USD)</v>
      </c>
      <c r="H286" s="86" t="str">
        <f ca="1">SD_Lu!$D$103&amp;" "&amp;Lang_Cost_Per_Activity_Unit&amp;" ("&amp;OFFSET(SD_Lu!$D$81,DD_LVL2_ACTV_13_Currency_Selected,0)&amp;")"</f>
        <v>Economic Cost per Activity Unit (USD)</v>
      </c>
      <c r="I286" s="87" t="str">
        <f>Lang_Evidence_For_Using_This_Cost_Information_Source_Or_Notes</f>
        <v>Evidence for Using this Cost Information (source or notes)</v>
      </c>
    </row>
    <row r="287" spans="1:10" s="10" customFormat="1" outlineLevel="1" x14ac:dyDescent="0.2">
      <c r="D287" s="75" t="s">
        <v>183</v>
      </c>
      <c r="E287" s="88"/>
      <c r="F287" s="80">
        <v>0</v>
      </c>
      <c r="G287" s="80">
        <v>0</v>
      </c>
      <c r="H287" s="80">
        <v>0</v>
      </c>
      <c r="I287" s="75" t="s">
        <v>162</v>
      </c>
      <c r="J287" s="42">
        <f t="shared" ref="J287:J296" si="11">IF(H287&lt;G287,1,0)</f>
        <v>0</v>
      </c>
    </row>
    <row r="288" spans="1:10" s="10" customFormat="1" outlineLevel="1" x14ac:dyDescent="0.2">
      <c r="D288" s="75" t="s">
        <v>184</v>
      </c>
      <c r="E288" s="88"/>
      <c r="F288" s="80">
        <v>0</v>
      </c>
      <c r="G288" s="80">
        <v>0</v>
      </c>
      <c r="H288" s="80">
        <v>0</v>
      </c>
      <c r="I288" s="75" t="s">
        <v>162</v>
      </c>
      <c r="J288" s="42">
        <f t="shared" si="11"/>
        <v>0</v>
      </c>
    </row>
    <row r="289" spans="1:10" s="10" customFormat="1" outlineLevel="1" x14ac:dyDescent="0.2">
      <c r="D289" s="75" t="s">
        <v>185</v>
      </c>
      <c r="E289" s="88"/>
      <c r="F289" s="80">
        <v>0</v>
      </c>
      <c r="G289" s="80">
        <v>0</v>
      </c>
      <c r="H289" s="80">
        <v>0</v>
      </c>
      <c r="I289" s="75" t="s">
        <v>162</v>
      </c>
      <c r="J289" s="42">
        <f t="shared" si="11"/>
        <v>0</v>
      </c>
    </row>
    <row r="290" spans="1:10" s="10" customFormat="1" outlineLevel="1" x14ac:dyDescent="0.2">
      <c r="D290" s="75" t="s">
        <v>186</v>
      </c>
      <c r="E290" s="88"/>
      <c r="F290" s="80">
        <v>0</v>
      </c>
      <c r="G290" s="80">
        <v>0</v>
      </c>
      <c r="H290" s="80">
        <v>0</v>
      </c>
      <c r="I290" s="75" t="s">
        <v>162</v>
      </c>
      <c r="J290" s="42">
        <f t="shared" si="11"/>
        <v>0</v>
      </c>
    </row>
    <row r="291" spans="1:10" s="10" customFormat="1" outlineLevel="1" x14ac:dyDescent="0.2">
      <c r="D291" s="75" t="s">
        <v>187</v>
      </c>
      <c r="E291" s="88"/>
      <c r="F291" s="80">
        <v>0</v>
      </c>
      <c r="G291" s="80">
        <v>0</v>
      </c>
      <c r="H291" s="80">
        <v>0</v>
      </c>
      <c r="I291" s="75" t="s">
        <v>162</v>
      </c>
      <c r="J291" s="42">
        <f t="shared" si="11"/>
        <v>0</v>
      </c>
    </row>
    <row r="292" spans="1:10" s="10" customFormat="1" outlineLevel="1" x14ac:dyDescent="0.2">
      <c r="D292" s="75" t="s">
        <v>188</v>
      </c>
      <c r="E292" s="88"/>
      <c r="F292" s="80">
        <v>0</v>
      </c>
      <c r="G292" s="80">
        <v>0</v>
      </c>
      <c r="H292" s="80">
        <v>0</v>
      </c>
      <c r="I292" s="75" t="s">
        <v>162</v>
      </c>
      <c r="J292" s="42">
        <f t="shared" si="11"/>
        <v>0</v>
      </c>
    </row>
    <row r="293" spans="1:10" s="10" customFormat="1" outlineLevel="1" x14ac:dyDescent="0.2">
      <c r="D293" s="75" t="s">
        <v>189</v>
      </c>
      <c r="E293" s="88"/>
      <c r="F293" s="80">
        <v>0</v>
      </c>
      <c r="G293" s="80">
        <v>0</v>
      </c>
      <c r="H293" s="80">
        <v>0</v>
      </c>
      <c r="I293" s="75" t="s">
        <v>162</v>
      </c>
      <c r="J293" s="42">
        <f t="shared" si="11"/>
        <v>0</v>
      </c>
    </row>
    <row r="294" spans="1:10" s="10" customFormat="1" outlineLevel="1" x14ac:dyDescent="0.2">
      <c r="D294" s="75" t="s">
        <v>190</v>
      </c>
      <c r="E294" s="88"/>
      <c r="F294" s="80">
        <v>0</v>
      </c>
      <c r="G294" s="80">
        <v>0</v>
      </c>
      <c r="H294" s="80">
        <v>0</v>
      </c>
      <c r="I294" s="75" t="s">
        <v>162</v>
      </c>
      <c r="J294" s="42">
        <f t="shared" si="11"/>
        <v>0</v>
      </c>
    </row>
    <row r="295" spans="1:10" s="10" customFormat="1" outlineLevel="1" x14ac:dyDescent="0.2">
      <c r="D295" s="75" t="s">
        <v>191</v>
      </c>
      <c r="E295" s="88"/>
      <c r="F295" s="80">
        <v>0</v>
      </c>
      <c r="G295" s="80">
        <v>0</v>
      </c>
      <c r="H295" s="80">
        <v>0</v>
      </c>
      <c r="I295" s="75" t="s">
        <v>162</v>
      </c>
      <c r="J295" s="42">
        <f t="shared" si="11"/>
        <v>0</v>
      </c>
    </row>
    <row r="296" spans="1:10" s="10" customFormat="1" outlineLevel="1" x14ac:dyDescent="0.2">
      <c r="D296" s="75" t="s">
        <v>192</v>
      </c>
      <c r="E296" s="88"/>
      <c r="F296" s="80">
        <v>0</v>
      </c>
      <c r="G296" s="80">
        <v>0</v>
      </c>
      <c r="H296" s="80">
        <v>0</v>
      </c>
      <c r="I296" s="75" t="s">
        <v>162</v>
      </c>
      <c r="J296" s="42">
        <f t="shared" si="11"/>
        <v>0</v>
      </c>
    </row>
    <row r="297" spans="1:10" s="10" customFormat="1" outlineLevel="1" x14ac:dyDescent="0.2">
      <c r="D297" s="55" t="str">
        <f>Lang_Error_Check_Flags_If_Input_Econ_Cost_Is_Less_Than_Fin_Cost</f>
        <v>ERROR CHECK (FLAGS IF INPUT ECONOMIC COST IS LESS THAN FINANCIAL COST)</v>
      </c>
      <c r="J297" s="43">
        <f>IF(ISERROR(SUM(J287:J296)),1,MIN(SUM(J287:J296),1))</f>
        <v>0</v>
      </c>
    </row>
    <row r="298" spans="1:10" s="10" customFormat="1" outlineLevel="1" x14ac:dyDescent="0.2"/>
    <row r="299" spans="1:10" s="10" customFormat="1" outlineLevel="1" x14ac:dyDescent="0.2">
      <c r="D299" s="76" t="str">
        <f>Lang_GoTo&amp;" "&amp;HL_LVL2_ACTV_13_Other_Direct_Costs_Outputs</f>
        <v>Go to Small Group Vaccination Activity (30 people vaccinated) Other Direct Costs - Outputs</v>
      </c>
    </row>
    <row r="300" spans="1:10" s="10" customFormat="1" x14ac:dyDescent="0.2"/>
    <row r="301" spans="1:10" s="13" customFormat="1" x14ac:dyDescent="0.2">
      <c r="A301" s="12" t="s">
        <v>125</v>
      </c>
      <c r="B301" s="13" t="str">
        <f>C303</f>
        <v>Large Group Vaccination Activity (100 people vaccinated) -  Detailed Activity Costing Worksheet - Instructions</v>
      </c>
    </row>
    <row r="302" spans="1:10" s="10" customFormat="1" outlineLevel="1" x14ac:dyDescent="0.2"/>
    <row r="303" spans="1:10" s="10" customFormat="1" outlineLevel="1" x14ac:dyDescent="0.2">
      <c r="C303" s="71" t="str">
        <f>HL_LVL2_ACTV_9_Name&amp;" -  "&amp;Lang_Detailed_Activity_Costing_Worksheet_Instructions</f>
        <v>Large Group Vaccination Activity (100 people vaccinated) -  Detailed Activity Costing Worksheet - Instructions</v>
      </c>
    </row>
    <row r="304" spans="1:10" s="10" customFormat="1" outlineLevel="1" x14ac:dyDescent="0.2"/>
    <row r="305" spans="1:5" s="10" customFormat="1" outlineLevel="1" x14ac:dyDescent="0.2">
      <c r="D305" s="50" t="str">
        <f>Lang_Detailed_Costing_Worksheets_Notes_1</f>
        <v>This detailed costing worksheet can be used to document the types and amounts of resources required to complete a single instance of an activity.</v>
      </c>
    </row>
    <row r="306" spans="1:5" s="10" customFormat="1" outlineLevel="1" x14ac:dyDescent="0.2">
      <c r="D306" s="50" t="str">
        <f>Lang_Detailed_Costing_Worksheets_Notes_2</f>
        <v>When completed, it will automatically provide a single activity cost in the general assumption worksheet.</v>
      </c>
    </row>
    <row r="307" spans="1:5" s="10" customFormat="1" outlineLevel="1" x14ac:dyDescent="0.2">
      <c r="D307" s="50" t="str">
        <f>Lang_Detailed_Costing_Worksheets_Notes_3</f>
        <v>The user may then choose to use the results of the detailed costing in the model, or override the detailed costing and insert alternate cost estimates.</v>
      </c>
    </row>
    <row r="308" spans="1:5" s="10" customFormat="1" outlineLevel="1" x14ac:dyDescent="0.2"/>
    <row r="309" spans="1:5" s="10" customFormat="1" x14ac:dyDescent="0.2"/>
    <row r="310" spans="1:5" s="13" customFormat="1" x14ac:dyDescent="0.2">
      <c r="A310" s="12" t="s">
        <v>125</v>
      </c>
      <c r="B310" s="13" t="str">
        <f>C312</f>
        <v>Large Group Vaccination Activity (100 people vaccinated) - Detailed Activity Costing Worksheet - Currency Selection</v>
      </c>
    </row>
    <row r="311" spans="1:5" s="10" customFormat="1" outlineLevel="1" x14ac:dyDescent="0.2"/>
    <row r="312" spans="1:5" s="10" customFormat="1" outlineLevel="1" x14ac:dyDescent="0.2">
      <c r="C312" s="71" t="str">
        <f>HL_LVL2_ACTV_9_Name&amp;" - "&amp;Lang_Detailed_Activity_Costing_Worksheet_Currency_Selection</f>
        <v>Large Group Vaccination Activity (100 people vaccinated) - Detailed Activity Costing Worksheet - Currency Selection</v>
      </c>
    </row>
    <row r="313" spans="1:5" s="10" customFormat="1" outlineLevel="1" x14ac:dyDescent="0.2"/>
    <row r="314" spans="1:5" s="10" customFormat="1" outlineLevel="1" x14ac:dyDescent="0.2">
      <c r="D314" s="55" t="str">
        <f>Lang_Currency_Used_For_Cost_Inputs</f>
        <v>Currency Used for Cost Inputs</v>
      </c>
      <c r="E314" s="72">
        <v>1</v>
      </c>
    </row>
    <row r="315" spans="1:5" s="10" customFormat="1" outlineLevel="1" x14ac:dyDescent="0.2"/>
    <row r="316" spans="1:5" s="10" customFormat="1" outlineLevel="1" x14ac:dyDescent="0.2"/>
    <row r="317" spans="1:5" s="10" customFormat="1" outlineLevel="1" x14ac:dyDescent="0.2">
      <c r="D317" s="54" t="str">
        <f>Lang_Imported_From_Econ_Module</f>
        <v>Imported from Econ Module</v>
      </c>
    </row>
    <row r="318" spans="1:5" s="10" customFormat="1" outlineLevel="1" x14ac:dyDescent="0.2">
      <c r="D318" s="49" t="str">
        <f>ECONOMICS!F7</f>
        <v>USD</v>
      </c>
    </row>
    <row r="319" spans="1:5" s="10" customFormat="1" outlineLevel="1" x14ac:dyDescent="0.2">
      <c r="D319" s="49" t="str">
        <f>ECONOMICS!F8</f>
        <v>LCU</v>
      </c>
    </row>
    <row r="320" spans="1:5" s="10" customFormat="1" outlineLevel="1" x14ac:dyDescent="0.2"/>
    <row r="321" spans="1:10" s="10" customFormat="1" outlineLevel="1" x14ac:dyDescent="0.2">
      <c r="D321" s="50" t="str">
        <f>Lang_Exchange_Rate_From_Econ</f>
        <v>Exchange Rate (from Economics)</v>
      </c>
      <c r="E321" s="41">
        <f>ECONOMICS!E13</f>
        <v>1234.5</v>
      </c>
    </row>
    <row r="322" spans="1:10" s="10" customFormat="1" x14ac:dyDescent="0.2"/>
    <row r="323" spans="1:10" s="13" customFormat="1" x14ac:dyDescent="0.2">
      <c r="A323" s="12" t="s">
        <v>127</v>
      </c>
      <c r="B323" s="13" t="str">
        <f>C325</f>
        <v>Large Group Vaccination Activity (100 people vaccinated) - Detailed Personnel Cost Assumptions</v>
      </c>
    </row>
    <row r="324" spans="1:10" s="10" customFormat="1" outlineLevel="1" x14ac:dyDescent="0.2"/>
    <row r="325" spans="1:10" s="10" customFormat="1" outlineLevel="1" x14ac:dyDescent="0.2">
      <c r="C325" s="71" t="str">
        <f>HL_LVL2_ACTV_9_Name&amp;" - "&amp;Lang_Detailed_Personnel_Cost_Assumptions</f>
        <v>Large Group Vaccination Activity (100 people vaccinated) - Detailed Personnel Cost Assumptions</v>
      </c>
    </row>
    <row r="326" spans="1:10" s="10" customFormat="1" ht="48" outlineLevel="1" x14ac:dyDescent="0.2">
      <c r="D326" s="55" t="str">
        <f>Lang_Personnel_Cadre_Type</f>
        <v>Personnel Cadre Type</v>
      </c>
      <c r="E326" s="85" t="str">
        <f>Lang_Activity_Unit_Day_Hour_Minute</f>
        <v>Activity Unit (e.g. Day, Hour, Minute)</v>
      </c>
      <c r="F326" s="85" t="str">
        <f>Lang_Number_Of_Activity_Units_Required</f>
        <v>Number of Activity Units Required</v>
      </c>
      <c r="G326" s="86" t="str">
        <f ca="1">SD_Lu!$D$137&amp;" "&amp;Lang_Cost_Per_Activity_Unit&amp;" ("&amp;OFFSET(SD_Lu!$D$116,DD_LVL2_ACTV_9_Currency_Selected,0)&amp;")"</f>
        <v>Financial Cost per Activity Unit (USD)</v>
      </c>
      <c r="H326" s="86" t="str">
        <f ca="1">SD_Lu!$D$138&amp;" "&amp;Lang_Cost_Per_Activity_Unit&amp;" ("&amp;OFFSET(SD_Lu!$D$116,DD_LVL2_ACTV_9_Currency_Selected,0)&amp;")"</f>
        <v>Economic Cost per Activity Unit (USD)</v>
      </c>
      <c r="I326" s="87" t="str">
        <f>Lang_Evidence_For_Using_This_Cost_Information_Source_Or_Notes</f>
        <v>Evidence for Using this Cost Information (source or notes)</v>
      </c>
    </row>
    <row r="327" spans="1:10" s="10" customFormat="1" outlineLevel="1" x14ac:dyDescent="0.2">
      <c r="D327" s="75" t="s">
        <v>152</v>
      </c>
      <c r="E327" s="75"/>
      <c r="F327" s="80">
        <v>0</v>
      </c>
      <c r="G327" s="80">
        <v>0</v>
      </c>
      <c r="H327" s="80">
        <v>0</v>
      </c>
      <c r="I327" s="323" t="s">
        <v>162</v>
      </c>
      <c r="J327" s="42">
        <f t="shared" ref="J327:J341" si="12">IF(H327&lt;G327,1,0)</f>
        <v>0</v>
      </c>
    </row>
    <row r="328" spans="1:10" s="10" customFormat="1" outlineLevel="1" x14ac:dyDescent="0.2">
      <c r="D328" s="75" t="s">
        <v>153</v>
      </c>
      <c r="E328" s="88"/>
      <c r="F328" s="80">
        <v>0</v>
      </c>
      <c r="G328" s="80">
        <v>0</v>
      </c>
      <c r="H328" s="80">
        <v>0</v>
      </c>
      <c r="I328" s="323" t="s">
        <v>162</v>
      </c>
      <c r="J328" s="42">
        <f t="shared" si="12"/>
        <v>0</v>
      </c>
    </row>
    <row r="329" spans="1:10" s="10" customFormat="1" outlineLevel="1" x14ac:dyDescent="0.2">
      <c r="D329" s="75" t="s">
        <v>154</v>
      </c>
      <c r="E329" s="88"/>
      <c r="F329" s="80">
        <v>0</v>
      </c>
      <c r="G329" s="80">
        <v>0</v>
      </c>
      <c r="H329" s="80">
        <v>0</v>
      </c>
      <c r="I329" s="323" t="s">
        <v>162</v>
      </c>
      <c r="J329" s="42">
        <f t="shared" si="12"/>
        <v>0</v>
      </c>
    </row>
    <row r="330" spans="1:10" s="10" customFormat="1" outlineLevel="1" x14ac:dyDescent="0.2">
      <c r="D330" s="75" t="s">
        <v>155</v>
      </c>
      <c r="E330" s="88"/>
      <c r="F330" s="80">
        <v>0</v>
      </c>
      <c r="G330" s="80">
        <v>0</v>
      </c>
      <c r="H330" s="80">
        <v>0</v>
      </c>
      <c r="I330" s="323" t="s">
        <v>162</v>
      </c>
      <c r="J330" s="42">
        <f t="shared" si="12"/>
        <v>0</v>
      </c>
    </row>
    <row r="331" spans="1:10" s="10" customFormat="1" outlineLevel="1" x14ac:dyDescent="0.2">
      <c r="D331" s="75" t="s">
        <v>156</v>
      </c>
      <c r="E331" s="88"/>
      <c r="F331" s="80">
        <v>0</v>
      </c>
      <c r="G331" s="80">
        <v>0</v>
      </c>
      <c r="H331" s="80">
        <v>0</v>
      </c>
      <c r="I331" s="323" t="s">
        <v>162</v>
      </c>
      <c r="J331" s="42">
        <f t="shared" si="12"/>
        <v>0</v>
      </c>
    </row>
    <row r="332" spans="1:10" s="10" customFormat="1" outlineLevel="1" x14ac:dyDescent="0.2">
      <c r="D332" s="75" t="s">
        <v>157</v>
      </c>
      <c r="E332" s="88"/>
      <c r="F332" s="80">
        <v>0</v>
      </c>
      <c r="G332" s="80">
        <v>0</v>
      </c>
      <c r="H332" s="80">
        <v>0</v>
      </c>
      <c r="I332" s="323" t="s">
        <v>162</v>
      </c>
      <c r="J332" s="42">
        <f t="shared" si="12"/>
        <v>0</v>
      </c>
    </row>
    <row r="333" spans="1:10" s="10" customFormat="1" outlineLevel="1" x14ac:dyDescent="0.2">
      <c r="D333" s="75" t="s">
        <v>158</v>
      </c>
      <c r="E333" s="88"/>
      <c r="F333" s="80">
        <v>0</v>
      </c>
      <c r="G333" s="80">
        <v>0</v>
      </c>
      <c r="H333" s="80">
        <v>0</v>
      </c>
      <c r="I333" s="323" t="s">
        <v>162</v>
      </c>
      <c r="J333" s="42">
        <f t="shared" si="12"/>
        <v>0</v>
      </c>
    </row>
    <row r="334" spans="1:10" s="10" customFormat="1" outlineLevel="1" x14ac:dyDescent="0.2">
      <c r="D334" s="75" t="s">
        <v>159</v>
      </c>
      <c r="E334" s="88"/>
      <c r="F334" s="80">
        <v>0</v>
      </c>
      <c r="G334" s="80">
        <v>0</v>
      </c>
      <c r="H334" s="80">
        <v>0</v>
      </c>
      <c r="I334" s="323" t="s">
        <v>162</v>
      </c>
      <c r="J334" s="42">
        <f t="shared" si="12"/>
        <v>0</v>
      </c>
    </row>
    <row r="335" spans="1:10" s="10" customFormat="1" outlineLevel="1" x14ac:dyDescent="0.2">
      <c r="D335" s="75" t="s">
        <v>160</v>
      </c>
      <c r="E335" s="88"/>
      <c r="F335" s="80">
        <v>0</v>
      </c>
      <c r="G335" s="80">
        <v>0</v>
      </c>
      <c r="H335" s="80">
        <v>0</v>
      </c>
      <c r="I335" s="323" t="s">
        <v>162</v>
      </c>
      <c r="J335" s="42">
        <f t="shared" si="12"/>
        <v>0</v>
      </c>
    </row>
    <row r="336" spans="1:10" s="10" customFormat="1" outlineLevel="1" x14ac:dyDescent="0.2">
      <c r="D336" s="75" t="s">
        <v>161</v>
      </c>
      <c r="E336" s="88"/>
      <c r="F336" s="80">
        <v>0</v>
      </c>
      <c r="G336" s="80">
        <v>0</v>
      </c>
      <c r="H336" s="80">
        <v>0</v>
      </c>
      <c r="I336" s="323" t="s">
        <v>162</v>
      </c>
      <c r="J336" s="42">
        <f t="shared" si="12"/>
        <v>0</v>
      </c>
    </row>
    <row r="337" spans="1:10" s="10" customFormat="1" outlineLevel="1" x14ac:dyDescent="0.2">
      <c r="D337" s="75" t="s">
        <v>393</v>
      </c>
      <c r="E337" s="88"/>
      <c r="F337" s="80">
        <v>0</v>
      </c>
      <c r="G337" s="80">
        <v>0</v>
      </c>
      <c r="H337" s="80">
        <v>0</v>
      </c>
      <c r="I337" s="323" t="s">
        <v>162</v>
      </c>
      <c r="J337" s="42">
        <f t="shared" si="12"/>
        <v>0</v>
      </c>
    </row>
    <row r="338" spans="1:10" s="10" customFormat="1" outlineLevel="1" x14ac:dyDescent="0.2">
      <c r="D338" s="75" t="s">
        <v>394</v>
      </c>
      <c r="E338" s="88"/>
      <c r="F338" s="80">
        <v>0</v>
      </c>
      <c r="G338" s="80">
        <v>0</v>
      </c>
      <c r="H338" s="80">
        <v>0</v>
      </c>
      <c r="I338" s="323" t="s">
        <v>162</v>
      </c>
      <c r="J338" s="42">
        <f t="shared" si="12"/>
        <v>0</v>
      </c>
    </row>
    <row r="339" spans="1:10" s="10" customFormat="1" outlineLevel="1" x14ac:dyDescent="0.2">
      <c r="D339" s="75" t="s">
        <v>395</v>
      </c>
      <c r="E339" s="88"/>
      <c r="F339" s="80">
        <v>0</v>
      </c>
      <c r="G339" s="80">
        <v>0</v>
      </c>
      <c r="H339" s="80">
        <v>0</v>
      </c>
      <c r="I339" s="323" t="s">
        <v>162</v>
      </c>
      <c r="J339" s="42">
        <f t="shared" si="12"/>
        <v>0</v>
      </c>
    </row>
    <row r="340" spans="1:10" s="10" customFormat="1" outlineLevel="1" x14ac:dyDescent="0.2">
      <c r="D340" s="75" t="s">
        <v>396</v>
      </c>
      <c r="E340" s="88"/>
      <c r="F340" s="80">
        <v>0</v>
      </c>
      <c r="G340" s="80">
        <v>0</v>
      </c>
      <c r="H340" s="80">
        <v>0</v>
      </c>
      <c r="I340" s="323" t="s">
        <v>162</v>
      </c>
      <c r="J340" s="42">
        <f t="shared" si="12"/>
        <v>0</v>
      </c>
    </row>
    <row r="341" spans="1:10" s="10" customFormat="1" outlineLevel="1" x14ac:dyDescent="0.2">
      <c r="D341" s="75" t="s">
        <v>397</v>
      </c>
      <c r="E341" s="88"/>
      <c r="F341" s="80">
        <v>0</v>
      </c>
      <c r="G341" s="80">
        <v>0</v>
      </c>
      <c r="H341" s="80">
        <v>0</v>
      </c>
      <c r="I341" s="323" t="s">
        <v>162</v>
      </c>
      <c r="J341" s="42">
        <f t="shared" si="12"/>
        <v>0</v>
      </c>
    </row>
    <row r="342" spans="1:10" s="10" customFormat="1" outlineLevel="1" x14ac:dyDescent="0.2">
      <c r="D342" s="55" t="str">
        <f>Lang_Error_Check_Flags_If_Input_Econ_Cost_Is_Less_Than_Fin_Cost</f>
        <v>ERROR CHECK (FLAGS IF INPUT ECONOMIC COST IS LESS THAN FINANCIAL COST)</v>
      </c>
      <c r="J342" s="43">
        <f>IF(ISERROR(SUM(J327:J341)),1,MIN(SUM(J327:J341),1))</f>
        <v>0</v>
      </c>
    </row>
    <row r="343" spans="1:10" s="10" customFormat="1" outlineLevel="1" x14ac:dyDescent="0.2"/>
    <row r="344" spans="1:10" s="10" customFormat="1" outlineLevel="1" x14ac:dyDescent="0.2">
      <c r="D344" s="76" t="str">
        <f>Lang_GoTo&amp;" "&amp;HL_LVL2_ACTV_9_Personnel_Outputs</f>
        <v>Go to Large Group Vaccination Activity (100 people vaccinated) Personnel - Outputs</v>
      </c>
    </row>
    <row r="345" spans="1:10" s="10" customFormat="1" x14ac:dyDescent="0.2"/>
    <row r="346" spans="1:10" s="13" customFormat="1" x14ac:dyDescent="0.2">
      <c r="A346" s="12" t="s">
        <v>127</v>
      </c>
      <c r="B346" s="13" t="str">
        <f>C348</f>
        <v>Large Group Vaccination Activity (100 people vaccinated) - Detailed Allowance Cost Assumptions</v>
      </c>
    </row>
    <row r="347" spans="1:10" s="10" customFormat="1" outlineLevel="1" x14ac:dyDescent="0.2"/>
    <row r="348" spans="1:10" s="10" customFormat="1" outlineLevel="1" x14ac:dyDescent="0.2">
      <c r="C348" s="71" t="str">
        <f>HL_LVL2_ACTV_9_Name&amp;" - "&amp;Lang_Detailed_Allowance_Cost_Assumptions</f>
        <v>Large Group Vaccination Activity (100 people vaccinated) - Detailed Allowance Cost Assumptions</v>
      </c>
    </row>
    <row r="349" spans="1:10" s="10" customFormat="1" ht="48" outlineLevel="1" x14ac:dyDescent="0.2">
      <c r="D349" s="55" t="str">
        <f>Lang_Allowance_Type</f>
        <v>Allowance Type</v>
      </c>
      <c r="E349" s="85" t="str">
        <f>Lang_Allowance_Unit_Per_Day_Round_Trip_Travel</f>
        <v>Allowance Unit (e.g. Per Day, Round-trip Travel,etc.)</v>
      </c>
      <c r="F349" s="85" t="str">
        <f>Lang_Number_Of_Allowance_Units_Required</f>
        <v>Number of Allowance Units Required</v>
      </c>
      <c r="G349" s="86" t="str">
        <f ca="1">SD_Lu!$D$137&amp;" "&amp;Lang_Cost_Per_Activity_Unit&amp;" ("&amp;OFFSET(SD_Lu!$D$116,DD_LVL2_ACTV_9_Currency_Selected,0)&amp;")"</f>
        <v>Financial Cost per Activity Unit (USD)</v>
      </c>
      <c r="H349" s="86" t="str">
        <f ca="1">SD_Lu!$D$138&amp;" "&amp;Lang_Cost_Per_Activity_Unit&amp;" ("&amp;OFFSET(SD_Lu!$D$116,DD_LVL2_ACTV_9_Currency_Selected,0)&amp;")"</f>
        <v>Economic Cost per Activity Unit (USD)</v>
      </c>
      <c r="I349" s="87" t="str">
        <f>Lang_Evidence_For_Using_This_Cost_Information_Source_Or_Notes</f>
        <v>Evidence for Using this Cost Information (source or notes)</v>
      </c>
    </row>
    <row r="350" spans="1:10" s="10" customFormat="1" outlineLevel="1" x14ac:dyDescent="0.2">
      <c r="D350" s="75" t="s">
        <v>163</v>
      </c>
      <c r="E350" s="75"/>
      <c r="F350" s="80">
        <v>0</v>
      </c>
      <c r="G350" s="80">
        <v>0</v>
      </c>
      <c r="H350" s="80">
        <v>0</v>
      </c>
      <c r="I350" s="323" t="s">
        <v>162</v>
      </c>
      <c r="J350" s="42">
        <f t="shared" ref="J350:J359" si="13">IF(H350&lt;G350,1,0)</f>
        <v>0</v>
      </c>
    </row>
    <row r="351" spans="1:10" s="10" customFormat="1" outlineLevel="1" x14ac:dyDescent="0.2">
      <c r="D351" s="75" t="s">
        <v>164</v>
      </c>
      <c r="E351" s="88"/>
      <c r="F351" s="80">
        <v>0</v>
      </c>
      <c r="G351" s="80">
        <v>0</v>
      </c>
      <c r="H351" s="80">
        <v>0</v>
      </c>
      <c r="I351" s="323" t="s">
        <v>162</v>
      </c>
      <c r="J351" s="42">
        <f t="shared" si="13"/>
        <v>0</v>
      </c>
    </row>
    <row r="352" spans="1:10" s="10" customFormat="1" outlineLevel="1" x14ac:dyDescent="0.2">
      <c r="D352" s="75" t="s">
        <v>165</v>
      </c>
      <c r="E352" s="88"/>
      <c r="F352" s="80">
        <v>0</v>
      </c>
      <c r="G352" s="80">
        <v>0</v>
      </c>
      <c r="H352" s="80">
        <v>0</v>
      </c>
      <c r="I352" s="323" t="s">
        <v>162</v>
      </c>
      <c r="J352" s="42">
        <f t="shared" si="13"/>
        <v>0</v>
      </c>
    </row>
    <row r="353" spans="1:10" s="10" customFormat="1" outlineLevel="1" x14ac:dyDescent="0.2">
      <c r="D353" s="75" t="s">
        <v>166</v>
      </c>
      <c r="E353" s="88"/>
      <c r="F353" s="80">
        <v>0</v>
      </c>
      <c r="G353" s="80">
        <v>0</v>
      </c>
      <c r="H353" s="80">
        <v>0</v>
      </c>
      <c r="I353" s="323" t="s">
        <v>162</v>
      </c>
      <c r="J353" s="42">
        <f t="shared" si="13"/>
        <v>0</v>
      </c>
    </row>
    <row r="354" spans="1:10" s="10" customFormat="1" outlineLevel="1" x14ac:dyDescent="0.2">
      <c r="D354" s="75" t="s">
        <v>167</v>
      </c>
      <c r="E354" s="88"/>
      <c r="F354" s="80">
        <v>0</v>
      </c>
      <c r="G354" s="80">
        <v>0</v>
      </c>
      <c r="H354" s="80">
        <v>0</v>
      </c>
      <c r="I354" s="323" t="s">
        <v>162</v>
      </c>
      <c r="J354" s="42">
        <f t="shared" si="13"/>
        <v>0</v>
      </c>
    </row>
    <row r="355" spans="1:10" s="10" customFormat="1" outlineLevel="1" x14ac:dyDescent="0.2">
      <c r="D355" s="75" t="s">
        <v>168</v>
      </c>
      <c r="E355" s="88"/>
      <c r="F355" s="80">
        <v>0</v>
      </c>
      <c r="G355" s="80">
        <v>0</v>
      </c>
      <c r="H355" s="80">
        <v>0</v>
      </c>
      <c r="I355" s="323" t="s">
        <v>162</v>
      </c>
      <c r="J355" s="42">
        <f t="shared" si="13"/>
        <v>0</v>
      </c>
    </row>
    <row r="356" spans="1:10" s="10" customFormat="1" outlineLevel="1" x14ac:dyDescent="0.2">
      <c r="D356" s="75" t="s">
        <v>169</v>
      </c>
      <c r="E356" s="88"/>
      <c r="F356" s="80">
        <v>0</v>
      </c>
      <c r="G356" s="80">
        <v>0</v>
      </c>
      <c r="H356" s="80">
        <v>0</v>
      </c>
      <c r="I356" s="323" t="s">
        <v>162</v>
      </c>
      <c r="J356" s="42">
        <f t="shared" si="13"/>
        <v>0</v>
      </c>
    </row>
    <row r="357" spans="1:10" s="10" customFormat="1" outlineLevel="1" x14ac:dyDescent="0.2">
      <c r="D357" s="75" t="s">
        <v>170</v>
      </c>
      <c r="E357" s="88"/>
      <c r="F357" s="80">
        <v>0</v>
      </c>
      <c r="G357" s="80">
        <v>0</v>
      </c>
      <c r="H357" s="80">
        <v>0</v>
      </c>
      <c r="I357" s="323" t="s">
        <v>162</v>
      </c>
      <c r="J357" s="42">
        <f t="shared" si="13"/>
        <v>0</v>
      </c>
    </row>
    <row r="358" spans="1:10" s="10" customFormat="1" outlineLevel="1" x14ac:dyDescent="0.2">
      <c r="D358" s="75" t="s">
        <v>171</v>
      </c>
      <c r="E358" s="88"/>
      <c r="F358" s="80">
        <v>0</v>
      </c>
      <c r="G358" s="80">
        <v>0</v>
      </c>
      <c r="H358" s="80">
        <v>0</v>
      </c>
      <c r="I358" s="323" t="s">
        <v>162</v>
      </c>
      <c r="J358" s="42">
        <f t="shared" si="13"/>
        <v>0</v>
      </c>
    </row>
    <row r="359" spans="1:10" s="10" customFormat="1" outlineLevel="1" x14ac:dyDescent="0.2">
      <c r="D359" s="75" t="s">
        <v>172</v>
      </c>
      <c r="E359" s="88"/>
      <c r="F359" s="80">
        <v>0</v>
      </c>
      <c r="G359" s="80">
        <v>0</v>
      </c>
      <c r="H359" s="80">
        <v>0</v>
      </c>
      <c r="I359" s="323" t="s">
        <v>162</v>
      </c>
      <c r="J359" s="42">
        <f t="shared" si="13"/>
        <v>0</v>
      </c>
    </row>
    <row r="360" spans="1:10" s="10" customFormat="1" outlineLevel="1" x14ac:dyDescent="0.2">
      <c r="D360" s="55" t="str">
        <f>Lang_Error_Check_Flags_If_Input_Econ_Cost_Is_Less_Than_Fin_Cost</f>
        <v>ERROR CHECK (FLAGS IF INPUT ECONOMIC COST IS LESS THAN FINANCIAL COST)</v>
      </c>
      <c r="J360" s="43">
        <f>IF(ISERROR(SUM(J350:J359)),1,MIN(SUM(J350:J359),1))</f>
        <v>0</v>
      </c>
    </row>
    <row r="361" spans="1:10" s="10" customFormat="1" outlineLevel="1" x14ac:dyDescent="0.2"/>
    <row r="362" spans="1:10" s="10" customFormat="1" outlineLevel="1" x14ac:dyDescent="0.2">
      <c r="D362" s="76" t="str">
        <f>Lang_GoTo&amp;" "&amp;HL_LVL2_ACTV_9_Out_A</f>
        <v>Go to Large Group Vaccination Activity (100 people vaccinated) Allowances - Outputs</v>
      </c>
    </row>
    <row r="363" spans="1:10" s="10" customFormat="1" x14ac:dyDescent="0.2"/>
    <row r="364" spans="1:10" s="13" customFormat="1" x14ac:dyDescent="0.2">
      <c r="A364" s="12" t="s">
        <v>127</v>
      </c>
      <c r="B364" s="13" t="str">
        <f>C366</f>
        <v>Large Group Vaccination Activity (100 people vaccinated) - Detailed Supply and Material Cost Assumptions</v>
      </c>
    </row>
    <row r="365" spans="1:10" s="10" customFormat="1" outlineLevel="1" x14ac:dyDescent="0.2"/>
    <row r="366" spans="1:10" s="10" customFormat="1" outlineLevel="1" x14ac:dyDescent="0.2">
      <c r="C366" s="71" t="str">
        <f>HL_LVL2_ACTV_9_Name&amp;" - "&amp;Lang_Detailed_Supply_And_Material_Cost_Assumptions</f>
        <v>Large Group Vaccination Activity (100 people vaccinated) - Detailed Supply and Material Cost Assumptions</v>
      </c>
    </row>
    <row r="367" spans="1:10" s="10" customFormat="1" ht="48" outlineLevel="1" x14ac:dyDescent="0.2">
      <c r="D367" s="55" t="str">
        <f>Lang_Supply_Type</f>
        <v>Supply Type</v>
      </c>
      <c r="E367" s="85" t="str">
        <f>Lang_Supply_Unit_Each_Dozen_100_Pack</f>
        <v>Supply Unit (e.g. Each, Dozen, 100-pack,etc.)</v>
      </c>
      <c r="F367" s="85" t="str">
        <f>Lang_Number_Of_Supply_Units_Required</f>
        <v>Number of Supply Units Required</v>
      </c>
      <c r="G367" s="86" t="str">
        <f ca="1">SD_Lu!$D$137&amp;" "&amp;Lang_Cost_Per_Activity_Unit&amp;" ("&amp;OFFSET(SD_Lu!$D$116,DD_LVL2_ACTV_9_Currency_Selected,0)&amp;")"</f>
        <v>Financial Cost per Activity Unit (USD)</v>
      </c>
      <c r="H367" s="86" t="str">
        <f ca="1">SD_Lu!$D$138&amp;" "&amp;Lang_Cost_Per_Activity_Unit&amp;" ("&amp;OFFSET(SD_Lu!$D$116,DD_LVL2_ACTV_9_Currency_Selected,0)&amp;")"</f>
        <v>Economic Cost per Activity Unit (USD)</v>
      </c>
      <c r="I367" s="87" t="str">
        <f>Lang_Evidence_For_Using_This_Cost_Information_Source_Or_Notes</f>
        <v>Evidence for Using this Cost Information (source or notes)</v>
      </c>
    </row>
    <row r="368" spans="1:10" s="10" customFormat="1" outlineLevel="1" x14ac:dyDescent="0.2">
      <c r="D368" s="75" t="s">
        <v>173</v>
      </c>
      <c r="E368" s="75"/>
      <c r="F368" s="80">
        <v>0</v>
      </c>
      <c r="G368" s="80">
        <v>0</v>
      </c>
      <c r="H368" s="80">
        <v>0</v>
      </c>
      <c r="I368" s="75" t="s">
        <v>162</v>
      </c>
      <c r="J368" s="42">
        <f t="shared" ref="J368:J377" si="14">IF(H368&lt;G368,1,0)</f>
        <v>0</v>
      </c>
    </row>
    <row r="369" spans="1:10" s="10" customFormat="1" outlineLevel="1" x14ac:dyDescent="0.2">
      <c r="D369" s="75" t="s">
        <v>174</v>
      </c>
      <c r="E369" s="88"/>
      <c r="F369" s="80">
        <v>0</v>
      </c>
      <c r="G369" s="80">
        <v>0</v>
      </c>
      <c r="H369" s="80">
        <v>0</v>
      </c>
      <c r="I369" s="75" t="s">
        <v>162</v>
      </c>
      <c r="J369" s="42">
        <f t="shared" si="14"/>
        <v>0</v>
      </c>
    </row>
    <row r="370" spans="1:10" s="10" customFormat="1" outlineLevel="1" x14ac:dyDescent="0.2">
      <c r="D370" s="75" t="s">
        <v>175</v>
      </c>
      <c r="E370" s="88"/>
      <c r="F370" s="80">
        <v>0</v>
      </c>
      <c r="G370" s="80">
        <v>0</v>
      </c>
      <c r="H370" s="80">
        <v>0</v>
      </c>
      <c r="I370" s="75" t="s">
        <v>162</v>
      </c>
      <c r="J370" s="42">
        <f t="shared" si="14"/>
        <v>0</v>
      </c>
    </row>
    <row r="371" spans="1:10" s="10" customFormat="1" outlineLevel="1" x14ac:dyDescent="0.2">
      <c r="D371" s="75" t="s">
        <v>176</v>
      </c>
      <c r="E371" s="88"/>
      <c r="F371" s="80">
        <v>0</v>
      </c>
      <c r="G371" s="80">
        <v>0</v>
      </c>
      <c r="H371" s="80">
        <v>0</v>
      </c>
      <c r="I371" s="75" t="s">
        <v>162</v>
      </c>
      <c r="J371" s="42">
        <f t="shared" si="14"/>
        <v>0</v>
      </c>
    </row>
    <row r="372" spans="1:10" s="10" customFormat="1" outlineLevel="1" x14ac:dyDescent="0.2">
      <c r="D372" s="75" t="s">
        <v>177</v>
      </c>
      <c r="E372" s="88"/>
      <c r="F372" s="80">
        <v>0</v>
      </c>
      <c r="G372" s="80">
        <v>0</v>
      </c>
      <c r="H372" s="80">
        <v>0</v>
      </c>
      <c r="I372" s="75" t="s">
        <v>162</v>
      </c>
      <c r="J372" s="42">
        <f t="shared" si="14"/>
        <v>0</v>
      </c>
    </row>
    <row r="373" spans="1:10" s="10" customFormat="1" outlineLevel="1" x14ac:dyDescent="0.2">
      <c r="D373" s="75" t="s">
        <v>178</v>
      </c>
      <c r="E373" s="88"/>
      <c r="F373" s="80">
        <v>0</v>
      </c>
      <c r="G373" s="80">
        <v>0</v>
      </c>
      <c r="H373" s="80">
        <v>0</v>
      </c>
      <c r="I373" s="75" t="s">
        <v>162</v>
      </c>
      <c r="J373" s="42">
        <f t="shared" si="14"/>
        <v>0</v>
      </c>
    </row>
    <row r="374" spans="1:10" s="10" customFormat="1" outlineLevel="1" x14ac:dyDescent="0.2">
      <c r="D374" s="75" t="s">
        <v>179</v>
      </c>
      <c r="E374" s="88"/>
      <c r="F374" s="80">
        <v>0</v>
      </c>
      <c r="G374" s="80">
        <v>0</v>
      </c>
      <c r="H374" s="80">
        <v>0</v>
      </c>
      <c r="I374" s="75" t="s">
        <v>162</v>
      </c>
      <c r="J374" s="42">
        <f t="shared" si="14"/>
        <v>0</v>
      </c>
    </row>
    <row r="375" spans="1:10" s="10" customFormat="1" outlineLevel="1" x14ac:dyDescent="0.2">
      <c r="D375" s="75" t="s">
        <v>180</v>
      </c>
      <c r="E375" s="88"/>
      <c r="F375" s="80">
        <v>0</v>
      </c>
      <c r="G375" s="80">
        <v>0</v>
      </c>
      <c r="H375" s="80">
        <v>0</v>
      </c>
      <c r="I375" s="75" t="s">
        <v>162</v>
      </c>
      <c r="J375" s="42">
        <f t="shared" si="14"/>
        <v>0</v>
      </c>
    </row>
    <row r="376" spans="1:10" s="10" customFormat="1" outlineLevel="1" x14ac:dyDescent="0.2">
      <c r="D376" s="75" t="s">
        <v>181</v>
      </c>
      <c r="E376" s="88"/>
      <c r="F376" s="80">
        <v>0</v>
      </c>
      <c r="G376" s="80">
        <v>0</v>
      </c>
      <c r="H376" s="80">
        <v>0</v>
      </c>
      <c r="I376" s="75" t="s">
        <v>162</v>
      </c>
      <c r="J376" s="42">
        <f t="shared" si="14"/>
        <v>0</v>
      </c>
    </row>
    <row r="377" spans="1:10" s="10" customFormat="1" outlineLevel="1" x14ac:dyDescent="0.2">
      <c r="D377" s="75" t="s">
        <v>182</v>
      </c>
      <c r="E377" s="88"/>
      <c r="F377" s="80">
        <v>0</v>
      </c>
      <c r="G377" s="80">
        <v>0</v>
      </c>
      <c r="H377" s="80">
        <v>0</v>
      </c>
      <c r="I377" s="75" t="s">
        <v>162</v>
      </c>
      <c r="J377" s="42">
        <f t="shared" si="14"/>
        <v>0</v>
      </c>
    </row>
    <row r="378" spans="1:10" s="10" customFormat="1" outlineLevel="1" x14ac:dyDescent="0.2">
      <c r="D378" s="55" t="str">
        <f>Lang_Error_Check_Flags_If_Input_Econ_Cost_Is_Less_Than_Fin_Cost</f>
        <v>ERROR CHECK (FLAGS IF INPUT ECONOMIC COST IS LESS THAN FINANCIAL COST)</v>
      </c>
      <c r="J378" s="43">
        <f>IF(ISERROR(SUM(J368:J377)),1,MIN(SUM(J368:J377),1))</f>
        <v>0</v>
      </c>
    </row>
    <row r="379" spans="1:10" s="10" customFormat="1" outlineLevel="1" x14ac:dyDescent="0.2"/>
    <row r="380" spans="1:10" s="10" customFormat="1" outlineLevel="1" x14ac:dyDescent="0.2">
      <c r="D380" s="76" t="str">
        <f>Lang_GoTo&amp;" "&amp;HL_LVL2_ACTV_9_Supplies_and_Materials_Outputs</f>
        <v>Go to Large Group Vaccination Activity (100 people vaccinated) Supplies and Materials - Outputs</v>
      </c>
    </row>
    <row r="381" spans="1:10" s="10" customFormat="1" x14ac:dyDescent="0.2"/>
    <row r="382" spans="1:10" s="13" customFormat="1" x14ac:dyDescent="0.2">
      <c r="A382" s="12" t="s">
        <v>127</v>
      </c>
      <c r="B382" s="13" t="str">
        <f>C384</f>
        <v>Large Group Vaccination Activity (100 people vaccinated) - Detailed Other Direct Cost Assumptions</v>
      </c>
    </row>
    <row r="383" spans="1:10" s="10" customFormat="1" outlineLevel="1" x14ac:dyDescent="0.2"/>
    <row r="384" spans="1:10" s="10" customFormat="1" outlineLevel="1" x14ac:dyDescent="0.2">
      <c r="C384" s="71" t="str">
        <f>HL_LVL2_ACTV_9_Name&amp;" - "&amp;Lang_Detailed_Other_Direct_Cost_Assumptions</f>
        <v>Large Group Vaccination Activity (100 people vaccinated) - Detailed Other Direct Cost Assumptions</v>
      </c>
    </row>
    <row r="385" spans="4:10" s="10" customFormat="1" ht="48" outlineLevel="1" x14ac:dyDescent="0.2">
      <c r="D385" s="55" t="str">
        <f>Lang_Other_Direct_Cost_ODC_Type</f>
        <v>Other Direct Cost (ODC) Type</v>
      </c>
      <c r="E385" s="85" t="str">
        <f>Lang_ODC_Unit_Each_Dozen_100_Pack</f>
        <v>ODC Unit (e.g. Each, Dozen, 100-pack,etc.)</v>
      </c>
      <c r="F385" s="85" t="str">
        <f>Lang_Number_Of_ODC_Units_Required</f>
        <v>Number of ODC Units Required</v>
      </c>
      <c r="G385" s="86" t="str">
        <f ca="1">SD_Lu!$D$137&amp;" "&amp;Lang_Cost_Per_Activity_Unit&amp;" ("&amp;OFFSET(SD_Lu!$D$116,DD_LVL2_ACTV_9_Currency_Selected,0)&amp;")"</f>
        <v>Financial Cost per Activity Unit (USD)</v>
      </c>
      <c r="H385" s="86" t="str">
        <f ca="1">SD_Lu!$D$138&amp;" "&amp;Lang_Cost_Per_Activity_Unit&amp;" ("&amp;OFFSET(SD_Lu!$D$116,DD_LVL2_ACTV_9_Currency_Selected,0)&amp;")"</f>
        <v>Economic Cost per Activity Unit (USD)</v>
      </c>
      <c r="I385" s="87" t="str">
        <f>Lang_Evidence_For_Using_This_Cost_Information_Source_Or_Notes</f>
        <v>Evidence for Using this Cost Information (source or notes)</v>
      </c>
    </row>
    <row r="386" spans="4:10" s="10" customFormat="1" outlineLevel="1" x14ac:dyDescent="0.2">
      <c r="D386" s="75" t="s">
        <v>183</v>
      </c>
      <c r="E386" s="75"/>
      <c r="F386" s="80">
        <v>0</v>
      </c>
      <c r="G386" s="80">
        <v>0</v>
      </c>
      <c r="H386" s="80">
        <v>0</v>
      </c>
      <c r="I386" s="75" t="s">
        <v>162</v>
      </c>
      <c r="J386" s="42">
        <f t="shared" ref="J386:J395" si="15">IF(H386&lt;G386,1,0)</f>
        <v>0</v>
      </c>
    </row>
    <row r="387" spans="4:10" s="10" customFormat="1" outlineLevel="1" x14ac:dyDescent="0.2">
      <c r="D387" s="75" t="s">
        <v>184</v>
      </c>
      <c r="E387" s="88"/>
      <c r="F387" s="80">
        <v>0</v>
      </c>
      <c r="G387" s="80">
        <v>0</v>
      </c>
      <c r="H387" s="80">
        <v>0</v>
      </c>
      <c r="I387" s="75" t="s">
        <v>162</v>
      </c>
      <c r="J387" s="42">
        <f t="shared" si="15"/>
        <v>0</v>
      </c>
    </row>
    <row r="388" spans="4:10" s="10" customFormat="1" outlineLevel="1" x14ac:dyDescent="0.2">
      <c r="D388" s="75" t="s">
        <v>185</v>
      </c>
      <c r="E388" s="88"/>
      <c r="F388" s="80">
        <v>0</v>
      </c>
      <c r="G388" s="80">
        <v>0</v>
      </c>
      <c r="H388" s="80">
        <v>0</v>
      </c>
      <c r="I388" s="75" t="s">
        <v>162</v>
      </c>
      <c r="J388" s="42">
        <f t="shared" si="15"/>
        <v>0</v>
      </c>
    </row>
    <row r="389" spans="4:10" s="10" customFormat="1" outlineLevel="1" x14ac:dyDescent="0.2">
      <c r="D389" s="75" t="s">
        <v>186</v>
      </c>
      <c r="E389" s="88"/>
      <c r="F389" s="80">
        <v>0</v>
      </c>
      <c r="G389" s="80">
        <v>0</v>
      </c>
      <c r="H389" s="80">
        <v>0</v>
      </c>
      <c r="I389" s="75" t="s">
        <v>162</v>
      </c>
      <c r="J389" s="42">
        <f t="shared" si="15"/>
        <v>0</v>
      </c>
    </row>
    <row r="390" spans="4:10" s="10" customFormat="1" outlineLevel="1" x14ac:dyDescent="0.2">
      <c r="D390" s="75" t="s">
        <v>187</v>
      </c>
      <c r="E390" s="88"/>
      <c r="F390" s="80">
        <v>0</v>
      </c>
      <c r="G390" s="80">
        <v>0</v>
      </c>
      <c r="H390" s="80">
        <v>0</v>
      </c>
      <c r="I390" s="75" t="s">
        <v>162</v>
      </c>
      <c r="J390" s="42">
        <f t="shared" si="15"/>
        <v>0</v>
      </c>
    </row>
    <row r="391" spans="4:10" s="10" customFormat="1" outlineLevel="1" x14ac:dyDescent="0.2">
      <c r="D391" s="75" t="s">
        <v>188</v>
      </c>
      <c r="E391" s="88"/>
      <c r="F391" s="80">
        <v>0</v>
      </c>
      <c r="G391" s="80">
        <v>0</v>
      </c>
      <c r="H391" s="80">
        <v>0</v>
      </c>
      <c r="I391" s="75" t="s">
        <v>162</v>
      </c>
      <c r="J391" s="42">
        <f t="shared" si="15"/>
        <v>0</v>
      </c>
    </row>
    <row r="392" spans="4:10" s="10" customFormat="1" outlineLevel="1" x14ac:dyDescent="0.2">
      <c r="D392" s="75" t="s">
        <v>189</v>
      </c>
      <c r="E392" s="88"/>
      <c r="F392" s="80">
        <v>0</v>
      </c>
      <c r="G392" s="80">
        <v>0</v>
      </c>
      <c r="H392" s="80">
        <v>0</v>
      </c>
      <c r="I392" s="75" t="s">
        <v>162</v>
      </c>
      <c r="J392" s="42">
        <f t="shared" si="15"/>
        <v>0</v>
      </c>
    </row>
    <row r="393" spans="4:10" s="10" customFormat="1" outlineLevel="1" x14ac:dyDescent="0.2">
      <c r="D393" s="75" t="s">
        <v>190</v>
      </c>
      <c r="E393" s="88"/>
      <c r="F393" s="80">
        <v>0</v>
      </c>
      <c r="G393" s="80">
        <v>0</v>
      </c>
      <c r="H393" s="80">
        <v>0</v>
      </c>
      <c r="I393" s="75" t="s">
        <v>162</v>
      </c>
      <c r="J393" s="42">
        <f t="shared" si="15"/>
        <v>0</v>
      </c>
    </row>
    <row r="394" spans="4:10" s="10" customFormat="1" outlineLevel="1" x14ac:dyDescent="0.2">
      <c r="D394" s="75" t="s">
        <v>191</v>
      </c>
      <c r="E394" s="88"/>
      <c r="F394" s="80">
        <v>0</v>
      </c>
      <c r="G394" s="80">
        <v>0</v>
      </c>
      <c r="H394" s="80">
        <v>0</v>
      </c>
      <c r="I394" s="75" t="s">
        <v>162</v>
      </c>
      <c r="J394" s="42">
        <f t="shared" si="15"/>
        <v>0</v>
      </c>
    </row>
    <row r="395" spans="4:10" s="10" customFormat="1" outlineLevel="1" x14ac:dyDescent="0.2">
      <c r="D395" s="75" t="s">
        <v>192</v>
      </c>
      <c r="E395" s="88"/>
      <c r="F395" s="80">
        <v>0</v>
      </c>
      <c r="G395" s="80">
        <v>0</v>
      </c>
      <c r="H395" s="80">
        <v>0</v>
      </c>
      <c r="I395" s="75" t="s">
        <v>162</v>
      </c>
      <c r="J395" s="42">
        <f t="shared" si="15"/>
        <v>0</v>
      </c>
    </row>
    <row r="396" spans="4:10" s="10" customFormat="1" outlineLevel="1" x14ac:dyDescent="0.2">
      <c r="D396" s="55" t="str">
        <f>Lang_Error_Check_Flags_If_Input_Econ_Cost_Is_Less_Than_Fin_Cost</f>
        <v>ERROR CHECK (FLAGS IF INPUT ECONOMIC COST IS LESS THAN FINANCIAL COST)</v>
      </c>
      <c r="J396" s="43">
        <f>IF(ISERROR(SUM(J386:J395)),1,MIN(SUM(J386:J395),1))</f>
        <v>0</v>
      </c>
    </row>
    <row r="397" spans="4:10" s="10" customFormat="1" outlineLevel="1" x14ac:dyDescent="0.2"/>
    <row r="398" spans="4:10" s="10" customFormat="1" outlineLevel="1" x14ac:dyDescent="0.2">
      <c r="D398" s="76" t="str">
        <f>Lang_GoTo&amp;" "&amp;HL_LVL2_ACTV_9_Other_Direct_Costs_Outputs</f>
        <v>Go to Large Group Vaccination Activity (100 people vaccinated) Other Direct Costs - Outputs</v>
      </c>
    </row>
  </sheetData>
  <conditionalFormatting sqref="G30:H44 G53:H62 G71:H80 G89:H98">
    <cfRule type="expression" dxfId="161" priority="4">
      <formula>$E$17=1</formula>
    </cfRule>
  </conditionalFormatting>
  <conditionalFormatting sqref="G129:H143 G152:H161 G170:H179 G188:H197">
    <cfRule type="expression" dxfId="160" priority="3">
      <formula>$E$116=1</formula>
    </cfRule>
  </conditionalFormatting>
  <conditionalFormatting sqref="G228:H242 G251:H260 G269:H278 G287:H296">
    <cfRule type="expression" dxfId="159" priority="2">
      <formula>$E$215=1</formula>
    </cfRule>
  </conditionalFormatting>
  <conditionalFormatting sqref="G327:H341 G350:H359 G368:H377 G386:H395">
    <cfRule type="expression" dxfId="158" priority="1">
      <formula>$E$314=1</formula>
    </cfRule>
  </conditionalFormatting>
  <conditionalFormatting sqref="J30:J45">
    <cfRule type="cellIs" dxfId="157" priority="102" operator="notEqual">
      <formula>0</formula>
    </cfRule>
  </conditionalFormatting>
  <conditionalFormatting sqref="J53:J63">
    <cfRule type="cellIs" dxfId="156" priority="98" operator="notEqual">
      <formula>0</formula>
    </cfRule>
  </conditionalFormatting>
  <conditionalFormatting sqref="J71:J81">
    <cfRule type="cellIs" dxfId="155" priority="97" operator="notEqual">
      <formula>0</formula>
    </cfRule>
  </conditionalFormatting>
  <conditionalFormatting sqref="J89:J99">
    <cfRule type="cellIs" dxfId="154" priority="96" operator="notEqual">
      <formula>0</formula>
    </cfRule>
  </conditionalFormatting>
  <conditionalFormatting sqref="J129:J144">
    <cfRule type="cellIs" dxfId="153" priority="101" operator="notEqual">
      <formula>0</formula>
    </cfRule>
  </conditionalFormatting>
  <conditionalFormatting sqref="J152:J162">
    <cfRule type="cellIs" dxfId="152" priority="95" operator="notEqual">
      <formula>0</formula>
    </cfRule>
  </conditionalFormatting>
  <conditionalFormatting sqref="J170:J180">
    <cfRule type="cellIs" dxfId="151" priority="94" operator="notEqual">
      <formula>0</formula>
    </cfRule>
  </conditionalFormatting>
  <conditionalFormatting sqref="J188:J198">
    <cfRule type="cellIs" dxfId="150" priority="93" operator="notEqual">
      <formula>0</formula>
    </cfRule>
  </conditionalFormatting>
  <conditionalFormatting sqref="J228:J243">
    <cfRule type="cellIs" dxfId="149" priority="100" operator="notEqual">
      <formula>0</formula>
    </cfRule>
  </conditionalFormatting>
  <conditionalFormatting sqref="J251:J261">
    <cfRule type="cellIs" dxfId="148" priority="92" operator="notEqual">
      <formula>0</formula>
    </cfRule>
  </conditionalFormatting>
  <conditionalFormatting sqref="J269:J279">
    <cfRule type="cellIs" dxfId="147" priority="91" operator="notEqual">
      <formula>0</formula>
    </cfRule>
  </conditionalFormatting>
  <conditionalFormatting sqref="J287:J297">
    <cfRule type="cellIs" dxfId="146" priority="90" operator="notEqual">
      <formula>0</formula>
    </cfRule>
  </conditionalFormatting>
  <conditionalFormatting sqref="J327:J342">
    <cfRule type="cellIs" dxfId="145" priority="99" operator="notEqual">
      <formula>0</formula>
    </cfRule>
  </conditionalFormatting>
  <conditionalFormatting sqref="J350:J360">
    <cfRule type="cellIs" dxfId="144" priority="89" operator="notEqual">
      <formula>0</formula>
    </cfRule>
  </conditionalFormatting>
  <conditionalFormatting sqref="J368:J378">
    <cfRule type="cellIs" dxfId="143" priority="88" operator="notEqual">
      <formula>0</formula>
    </cfRule>
  </conditionalFormatting>
  <conditionalFormatting sqref="J386:J396">
    <cfRule type="cellIs" dxfId="142" priority="87" operator="notEqual">
      <formula>0</formula>
    </cfRule>
  </conditionalFormatting>
  <dataValidations count="5">
    <dataValidation type="custom" showErrorMessage="1" errorTitle="Invalid Assumption" error="Assumption must be a number." sqref="F89:H98 F71:H80 F53:H62 F228:H242 F129:H143 F30:H44 F188:H197 F170:H179 F152:H161 E24 E123 F287:H296 F269:H278 F251:H260 F327:H341 E321 F386:H395 F368:H377 F350:H359 E222" xr:uid="{00000000-0002-0000-2200-000000000000}">
      <formula1>NOT(ISERROR(E24/1))</formula1>
    </dataValidation>
    <dataValidation type="whole" showDropDown="1" showErrorMessage="1" errorTitle="Drop Down Box Cell Link" error="The value in a drop down box cell link must be a whole number within the control's lookup range rows." sqref="E17" xr:uid="{00000000-0002-0000-2200-000001000000}">
      <formula1>1</formula1>
      <formula2>ROWS(LU_LVL2_ACTV_6_Currencies)</formula2>
    </dataValidation>
    <dataValidation type="whole" showDropDown="1" showErrorMessage="1" errorTitle="Drop Down Box Cell Link" error="The value in a drop down box cell link must be a whole number within the control's lookup range rows." sqref="E116" xr:uid="{00000000-0002-0000-2200-000002000000}">
      <formula1>1</formula1>
      <formula2>ROWS(LU_LVL2_ACTV_12_Currencies)</formula2>
    </dataValidation>
    <dataValidation type="whole" showDropDown="1" showErrorMessage="1" errorTitle="Drop Down Box Cell Link" error="The value in a drop down box cell link must be a whole number within the control's lookup range rows." sqref="E215" xr:uid="{00000000-0002-0000-2200-000003000000}">
      <formula1>1</formula1>
      <formula2>ROWS(LU_LVL2_ACTV_13_Currencies)</formula2>
    </dataValidation>
    <dataValidation type="whole" showDropDown="1" showErrorMessage="1" errorTitle="Drop Down Box Cell Link" error="The value in a drop down box cell link must be a whole number within the control's lookup range rows." sqref="E314" xr:uid="{00000000-0002-0000-2200-000004000000}">
      <formula1>1</formula1>
      <formula2>ROWS(LU_LVL2_ACTV_9_Currencies)</formula2>
    </dataValidation>
  </dataValidations>
  <hyperlinks>
    <hyperlink ref="A4" location="HL_LVL2_ACTV_6_Ass_B" tooltip="Click to follow hyperlink." display="HL_LVL2_ACTV_6_Ass_B" xr:uid="{00000000-0004-0000-2200-000000000000}"/>
    <hyperlink ref="A13" location="HL_LVL2_ACTV_6_Personnel_Assumptions" tooltip="Click to follow hyperlink." display="HL_LVL2_ACTV_6_Personnel_Assumptions" xr:uid="{00000000-0004-0000-2200-000001000000}"/>
    <hyperlink ref="D47" location="HL_LVL2_ACTV_6_Personnel_Outputs" tooltip="Click to follow hyperlink." display="HL_LVL2_ACTV_6_Personnel_Outputs" xr:uid="{00000000-0004-0000-2200-000002000000}"/>
    <hyperlink ref="D65" location="HL_LVL2_ACTV_6_Out_A" tooltip="Click to follow hyperlink." display="HL_LVL2_ACTV_6_Out_A" xr:uid="{00000000-0004-0000-2200-000003000000}"/>
    <hyperlink ref="D83" location="HL_LVL2_ACTV_6_Supplies_and_Materials_Outputs" tooltip="Click to follow hyperlink." display="HL_LVL2_ACTV_6_Supplies_and_Materials_Outputs" xr:uid="{00000000-0004-0000-2200-000004000000}"/>
    <hyperlink ref="D101" location="HL_LVL2_ACTV_6_Other_Direct_Costs_Outputs" tooltip="Click to follow hyperlink." display="HL_LVL2_ACTV_6_Other_Direct_Costs_Outputs" xr:uid="{00000000-0004-0000-2200-000005000000}"/>
    <hyperlink ref="A103" location="HL_LVL2_ACTV_12_Ass_B" tooltip="Click to follow hyperlink." display="HL_LVL2_ACTV_12_Ass_B" xr:uid="{00000000-0004-0000-2200-000006000000}"/>
    <hyperlink ref="A112" location="HL_LVL2_ACTV_12_Personnel_Assumptions" tooltip="Click to follow hyperlink." display="HL_LVL2_ACTV_12_Personnel_Assumptions" xr:uid="{00000000-0004-0000-2200-000007000000}"/>
    <hyperlink ref="D146" location="HL_LVL2_ACTV_12_Personnel_Outputs" tooltip="Click to follow hyperlink." display="HL_LVL2_ACTV_12_Personnel_Outputs" xr:uid="{00000000-0004-0000-2200-000008000000}"/>
    <hyperlink ref="D164" location="HL_LVL2_ACTV_12_Out_A" tooltip="Click to follow hyperlink." display="HL_LVL2_ACTV_12_Out_A" xr:uid="{00000000-0004-0000-2200-000009000000}"/>
    <hyperlink ref="D182" location="HL_LVL2_ACTV_12_Supplies_and_Materials_Outputs" tooltip="Click to follow hyperlink." display="HL_LVL2_ACTV_12_Supplies_and_Materials_Outputs" xr:uid="{00000000-0004-0000-2200-00000A000000}"/>
    <hyperlink ref="D200" location="HL_LVL2_ACTV_12_Other_Direct_Costs_Outputs" tooltip="Click to follow hyperlink." display="HL_LVL2_ACTV_12_Other_Direct_Costs_Outputs" xr:uid="{00000000-0004-0000-2200-00000B000000}"/>
    <hyperlink ref="A202" location="HL_LVL2_ACTV_13_Ass_B" tooltip="Click to follow hyperlink." display="HL_LVL2_ACTV_13_Ass_B" xr:uid="{00000000-0004-0000-2200-00000C000000}"/>
    <hyperlink ref="A211" location="HL_LVL2_ACTV_13_Personnel_Assumptions" tooltip="Click to follow hyperlink." display="HL_LVL2_ACTV_13_Personnel_Assumptions" xr:uid="{00000000-0004-0000-2200-00000D000000}"/>
    <hyperlink ref="D245" location="HL_LVL2_ACTV_13_Personnel_Outputs" tooltip="Click to follow hyperlink." display="HL_LVL2_ACTV_13_Personnel_Outputs" xr:uid="{00000000-0004-0000-2200-00000E000000}"/>
    <hyperlink ref="D263" location="HL_LVL2_ACTV_13_Out_A" tooltip="Click to follow hyperlink." display="HL_LVL2_ACTV_13_Out_A" xr:uid="{00000000-0004-0000-2200-00000F000000}"/>
    <hyperlink ref="D281" location="HL_LVL2_ACTV_13_Supplies_and_Materials_Outputs" tooltip="Click to follow hyperlink." display="HL_LVL2_ACTV_13_Supplies_and_Materials_Outputs" xr:uid="{00000000-0004-0000-2200-000010000000}"/>
    <hyperlink ref="D299" location="HL_LVL2_ACTV_13_Other_Direct_Costs_Outputs" tooltip="Click to follow hyperlink." display="HL_LVL2_ACTV_13_Other_Direct_Costs_Outputs" xr:uid="{00000000-0004-0000-2200-000011000000}"/>
    <hyperlink ref="A301" location="HL_LVL2_ACTV_9_Ass_B" tooltip="Click to follow hyperlink." display="HL_LVL2_ACTV_9_Ass_B" xr:uid="{00000000-0004-0000-2200-000012000000}"/>
    <hyperlink ref="A310" location="HL_LVL2_ACTV_9_Personnel_Assumptions" tooltip="Click to follow hyperlink." display="HL_LVL2_ACTV_9_Personnel_Assumptions" xr:uid="{00000000-0004-0000-2200-000013000000}"/>
    <hyperlink ref="D344" location="HL_LVL2_ACTV_9_Personnel_Outputs" tooltip="Click to follow hyperlink." display="HL_LVL2_ACTV_9_Personnel_Outputs" xr:uid="{00000000-0004-0000-2200-000014000000}"/>
    <hyperlink ref="D362" location="HL_LVL2_ACTV_9_Out_A" tooltip="Click to follow hyperlink." display="HL_LVL2_ACTV_9_Out_A" xr:uid="{00000000-0004-0000-2200-000015000000}"/>
    <hyperlink ref="D380" location="HL_LVL2_ACTV_9_Supplies_and_Materials_Outputs" tooltip="Click to follow hyperlink." display="HL_LVL2_ACTV_9_Supplies_and_Materials_Outputs" xr:uid="{00000000-0004-0000-2200-000016000000}"/>
    <hyperlink ref="D398" location="HL_LVL2_ACTV_9_Other_Direct_Costs_Outputs" tooltip="Click to follow hyperlink." display="HL_LVL2_ACTV_9_Other_Direct_Costs_Outputs" xr:uid="{00000000-0004-0000-2200-000017000000}"/>
    <hyperlink ref="A1" location="Contents!A1" tooltip="Go to Table of Contents" display="±" xr:uid="{00000000-0004-0000-2200-000018000000}"/>
  </hyperlinks>
  <pageMargins left="0.7" right="0.7" top="0.75" bottom="0.75" header="0.3" footer="0.3"/>
  <pageSetup scale="62" fitToHeight="0" orientation="landscape" r:id="rId1"/>
  <headerFooter>
    <oddFooter>&amp;L&amp;B Confidential&amp;B&amp;C&amp;D&amp;RPage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2778" r:id="rId4" name="bpmDropDownLVL2_ACTV_61">
              <controlPr defaultSize="0" autoFill="0" autoPict="0">
                <anchor moveWithCells="1" sizeWithCells="1">
                  <from>
                    <xdr:col>4</xdr:col>
                    <xdr:colOff>0</xdr:colOff>
                    <xdr:row>16</xdr:row>
                    <xdr:rowOff>0</xdr:rowOff>
                  </from>
                  <to>
                    <xdr:col>5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783" r:id="rId5" name="bpmDropDownLVL2_ACTV_121">
              <controlPr defaultSize="0" autoFill="0" autoPict="0">
                <anchor moveWithCells="1" sizeWithCells="1">
                  <from>
                    <xdr:col>4</xdr:col>
                    <xdr:colOff>0</xdr:colOff>
                    <xdr:row>115</xdr:row>
                    <xdr:rowOff>0</xdr:rowOff>
                  </from>
                  <to>
                    <xdr:col>5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788" r:id="rId6" name="bpmDropDownLVL2_ACTV_131">
              <controlPr defaultSize="0" autoFill="0" autoPict="0">
                <anchor moveWithCells="1" sizeWithCells="1">
                  <from>
                    <xdr:col>4</xdr:col>
                    <xdr:colOff>0</xdr:colOff>
                    <xdr:row>214</xdr:row>
                    <xdr:rowOff>0</xdr:rowOff>
                  </from>
                  <to>
                    <xdr:col>5</xdr:col>
                    <xdr:colOff>0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793" r:id="rId7" name="bpmDropDownLVL2_ACTV_91">
              <controlPr defaultSize="0" autoFill="0" autoPict="0">
                <anchor moveWithCells="1" sizeWithCells="1">
                  <from>
                    <xdr:col>4</xdr:col>
                    <xdr:colOff>0</xdr:colOff>
                    <xdr:row>313</xdr:row>
                    <xdr:rowOff>0</xdr:rowOff>
                  </from>
                  <to>
                    <xdr:col>5</xdr:col>
                    <xdr:colOff>0</xdr:colOff>
                    <xdr:row>314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3">
    <tabColor rgb="FFFFC000"/>
    <pageSetUpPr autoPageBreaks="0" fitToPage="1"/>
  </sheetPr>
  <dimension ref="A1:R590"/>
  <sheetViews>
    <sheetView showGridLines="0" zoomScaleNormal="100" workbookViewId="0">
      <pane xSplit="1" ySplit="2" topLeftCell="B3" activePane="bottomRight" state="frozen"/>
      <selection activeCell="I511" sqref="I511"/>
      <selection pane="topRight" activeCell="I511" sqref="I511"/>
      <selection pane="bottomLeft" activeCell="I511" sqref="I511"/>
      <selection pane="bottomRight" activeCell="E15" sqref="E15"/>
    </sheetView>
  </sheetViews>
  <sheetFormatPr defaultColWidth="11.7109375" defaultRowHeight="12" outlineLevelRow="1" x14ac:dyDescent="0.2"/>
  <cols>
    <col min="1" max="3" width="3.7109375" customWidth="1"/>
    <col min="4" max="4" width="30.7109375" customWidth="1"/>
    <col min="5" max="5" width="20.7109375" customWidth="1"/>
    <col min="9" max="9" width="30.7109375" customWidth="1"/>
  </cols>
  <sheetData>
    <row r="1" spans="1:5" ht="15" x14ac:dyDescent="0.2">
      <c r="A1" s="35" t="s">
        <v>128</v>
      </c>
      <c r="B1" s="31" t="str">
        <f>Lang_Sensitisation_Detailed_Costing_Worksheets_Optional</f>
        <v>Sensitisation  - Detailed Costing Worksheets (OPTIONAL)</v>
      </c>
    </row>
    <row r="2" spans="1:5" ht="12.75" x14ac:dyDescent="0.2">
      <c r="A2" s="36"/>
      <c r="B2" s="45" t="str">
        <f ca="1">Model_Name</f>
        <v>Cervical Cancer Prevention and Control Costing (C4P) Tool (Cost Projection)</v>
      </c>
    </row>
    <row r="3" spans="1:5" s="10" customFormat="1" x14ac:dyDescent="0.2"/>
    <row r="4" spans="1:5" s="13" customFormat="1" x14ac:dyDescent="0.2">
      <c r="A4" s="12" t="s">
        <v>125</v>
      </c>
      <c r="B4" s="13" t="str">
        <f>C6</f>
        <v xml:space="preserve"> Sensitisation Activity # 1 (Not in Use) -  Detailed Activity Costing Worksheet - Instructions</v>
      </c>
    </row>
    <row r="5" spans="1:5" s="10" customFormat="1" outlineLevel="1" x14ac:dyDescent="0.2"/>
    <row r="6" spans="1:5" s="10" customFormat="1" outlineLevel="1" x14ac:dyDescent="0.2">
      <c r="C6" s="71" t="str">
        <f>HL_TOP_ACTV_3_Name&amp;" -  "&amp;Lang_Detailed_Activity_Costing_Worksheet_Instructions</f>
        <v xml:space="preserve"> Sensitisation Activity # 1 (Not in Use) -  Detailed Activity Costing Worksheet - Instructions</v>
      </c>
    </row>
    <row r="7" spans="1:5" s="10" customFormat="1" outlineLevel="1" x14ac:dyDescent="0.2"/>
    <row r="8" spans="1:5" s="10" customFormat="1" outlineLevel="1" x14ac:dyDescent="0.2">
      <c r="D8" s="50" t="str">
        <f>Lang_Detailed_Costing_Worksheets_Notes_1</f>
        <v>This detailed costing worksheet can be used to document the types and amounts of resources required to complete a single instance of an activity.</v>
      </c>
    </row>
    <row r="9" spans="1:5" s="10" customFormat="1" outlineLevel="1" x14ac:dyDescent="0.2">
      <c r="D9" s="50" t="str">
        <f>Lang_Detailed_Costing_Worksheets_Notes_2</f>
        <v>When completed, it will automatically provide a single activity cost in the general assumption worksheet.</v>
      </c>
    </row>
    <row r="10" spans="1:5" s="10" customFormat="1" outlineLevel="1" x14ac:dyDescent="0.2">
      <c r="D10" s="50" t="str">
        <f>Lang_Detailed_Costing_Worksheets_Notes_3</f>
        <v>The user may then choose to use the results of the detailed costing in the model, or override the detailed costing and insert alternate cost estimates.</v>
      </c>
    </row>
    <row r="11" spans="1:5" s="10" customFormat="1" x14ac:dyDescent="0.2"/>
    <row r="12" spans="1:5" s="13" customFormat="1" x14ac:dyDescent="0.2">
      <c r="A12" s="12" t="s">
        <v>125</v>
      </c>
      <c r="B12" s="13" t="str">
        <f>C14</f>
        <v xml:space="preserve"> Sensitisation Activity # 1 (Not in Use) - Detailed Activity Costing Worksheet - Currency Selection</v>
      </c>
    </row>
    <row r="13" spans="1:5" s="10" customFormat="1" outlineLevel="1" x14ac:dyDescent="0.2"/>
    <row r="14" spans="1:5" s="10" customFormat="1" outlineLevel="1" x14ac:dyDescent="0.2">
      <c r="C14" s="71" t="str">
        <f>HL_TOP_ACTV_3_Name&amp;" - "&amp;Lang_Detailed_Activity_Costing_Worksheet_Currency_Selection</f>
        <v xml:space="preserve"> Sensitisation Activity # 1 (Not in Use) - Detailed Activity Costing Worksheet - Currency Selection</v>
      </c>
    </row>
    <row r="15" spans="1:5" s="10" customFormat="1" outlineLevel="1" x14ac:dyDescent="0.2">
      <c r="D15" s="55" t="str">
        <f>Lang_Currency_Used_For_Cost_Inputs</f>
        <v>Currency Used for Cost Inputs</v>
      </c>
      <c r="E15" s="72">
        <v>1</v>
      </c>
    </row>
    <row r="16" spans="1:5" s="10" customFormat="1" outlineLevel="1" x14ac:dyDescent="0.2"/>
    <row r="17" spans="1:10" s="10" customFormat="1" outlineLevel="1" x14ac:dyDescent="0.2"/>
    <row r="18" spans="1:10" s="10" customFormat="1" outlineLevel="1" x14ac:dyDescent="0.2">
      <c r="D18" s="54" t="str">
        <f>Lang_Imported_From_Econ_Module</f>
        <v>Imported from Econ Module</v>
      </c>
    </row>
    <row r="19" spans="1:10" s="10" customFormat="1" outlineLevel="1" x14ac:dyDescent="0.2">
      <c r="D19" s="49" t="str">
        <f>ECONOMICS!F7</f>
        <v>USD</v>
      </c>
    </row>
    <row r="20" spans="1:10" s="10" customFormat="1" outlineLevel="1" x14ac:dyDescent="0.2">
      <c r="D20" s="49" t="str">
        <f>ECONOMICS!F8</f>
        <v>LCU</v>
      </c>
    </row>
    <row r="21" spans="1:10" s="10" customFormat="1" outlineLevel="1" x14ac:dyDescent="0.2"/>
    <row r="22" spans="1:10" s="10" customFormat="1" outlineLevel="1" x14ac:dyDescent="0.2">
      <c r="D22" s="50" t="str">
        <f>Lang_Exchange_Rate_From_Econ</f>
        <v>Exchange Rate (from Economics)</v>
      </c>
      <c r="E22" s="41">
        <f>ECONOMICS!E13</f>
        <v>1234.5</v>
      </c>
    </row>
    <row r="23" spans="1:10" s="10" customFormat="1" x14ac:dyDescent="0.2"/>
    <row r="24" spans="1:10" s="13" customFormat="1" x14ac:dyDescent="0.2">
      <c r="A24" s="12" t="s">
        <v>127</v>
      </c>
      <c r="B24" s="13" t="str">
        <f>C26</f>
        <v xml:space="preserve"> Sensitisation Activity # 1 (Not in Use) - Detailed Personnel Cost Assumptions</v>
      </c>
    </row>
    <row r="25" spans="1:10" s="10" customFormat="1" outlineLevel="1" x14ac:dyDescent="0.2"/>
    <row r="26" spans="1:10" s="10" customFormat="1" outlineLevel="1" x14ac:dyDescent="0.2">
      <c r="C26" s="71" t="str">
        <f>HL_TOP_ACTV_3_Name&amp;" - "&amp;Lang_Detailed_Personnel_Cost_Assumptions</f>
        <v xml:space="preserve"> Sensitisation Activity # 1 (Not in Use) - Detailed Personnel Cost Assumptions</v>
      </c>
    </row>
    <row r="27" spans="1:10" s="10" customFormat="1" ht="48" outlineLevel="1" x14ac:dyDescent="0.2">
      <c r="D27" s="55" t="str">
        <f>Lang_Personnel_Cadre_Type</f>
        <v>Personnel Cadre Type</v>
      </c>
      <c r="E27" s="85" t="str">
        <f>Lang_Activity_Unit_Day_Hour_Minute</f>
        <v>Activity Unit (e.g. Day, Hour, Minute)</v>
      </c>
      <c r="F27" s="85" t="str">
        <f>Lang_Number_Of_Activity_Units_Required</f>
        <v>Number of Activity Units Required</v>
      </c>
      <c r="G27" s="86" t="str">
        <f ca="1">SENS_Lu!$D$32&amp;" "&amp;Lang_Cost_Per_Activity_Unit&amp;" ("&amp;OFFSET(SENS_Lu!$D$11,DD_TOP_ACTV_3_Detailed_Currency_Used,0)&amp;")"</f>
        <v>Financial Cost per Activity Unit (USD)</v>
      </c>
      <c r="H27" s="86" t="str">
        <f ca="1">SENS_Lu!$D$33&amp;" "&amp;Lang_Cost_Per_Activity_Unit&amp;" ("&amp;OFFSET(SENS_Lu!$D$11,DD_TOP_ACTV_3_Detailed_Currency_Used,0)&amp;")"</f>
        <v>Economic Cost per Activity Unit (USD)</v>
      </c>
      <c r="I27" s="87" t="str">
        <f>Lang_Evidence_For_Using_This_Cost_Information_Source_Or_Notes</f>
        <v>Evidence for Using this Cost Information (source or notes)</v>
      </c>
    </row>
    <row r="28" spans="1:10" s="10" customFormat="1" outlineLevel="1" x14ac:dyDescent="0.2">
      <c r="D28" s="75" t="s">
        <v>152</v>
      </c>
      <c r="E28" s="88"/>
      <c r="F28" s="80">
        <v>0</v>
      </c>
      <c r="G28" s="80">
        <v>0</v>
      </c>
      <c r="H28" s="80">
        <v>0</v>
      </c>
      <c r="I28" s="75" t="s">
        <v>162</v>
      </c>
      <c r="J28" s="42">
        <f t="shared" ref="J28:J42" si="0">IF(H28&lt;G28,1,0)</f>
        <v>0</v>
      </c>
    </row>
    <row r="29" spans="1:10" s="10" customFormat="1" outlineLevel="1" x14ac:dyDescent="0.2">
      <c r="D29" s="75" t="s">
        <v>153</v>
      </c>
      <c r="E29" s="88"/>
      <c r="F29" s="80">
        <v>0</v>
      </c>
      <c r="G29" s="80">
        <v>0</v>
      </c>
      <c r="H29" s="80">
        <v>0</v>
      </c>
      <c r="I29" s="75" t="s">
        <v>162</v>
      </c>
      <c r="J29" s="42">
        <f t="shared" si="0"/>
        <v>0</v>
      </c>
    </row>
    <row r="30" spans="1:10" s="10" customFormat="1" outlineLevel="1" x14ac:dyDescent="0.2">
      <c r="D30" s="75" t="s">
        <v>154</v>
      </c>
      <c r="E30" s="88"/>
      <c r="F30" s="80">
        <v>0</v>
      </c>
      <c r="G30" s="80">
        <v>0</v>
      </c>
      <c r="H30" s="80">
        <v>0</v>
      </c>
      <c r="I30" s="75" t="s">
        <v>162</v>
      </c>
      <c r="J30" s="42">
        <f t="shared" si="0"/>
        <v>0</v>
      </c>
    </row>
    <row r="31" spans="1:10" s="10" customFormat="1" outlineLevel="1" x14ac:dyDescent="0.2">
      <c r="D31" s="75" t="s">
        <v>155</v>
      </c>
      <c r="E31" s="88"/>
      <c r="F31" s="80">
        <v>0</v>
      </c>
      <c r="G31" s="80">
        <v>0</v>
      </c>
      <c r="H31" s="80">
        <v>0</v>
      </c>
      <c r="I31" s="75" t="s">
        <v>162</v>
      </c>
      <c r="J31" s="42">
        <f t="shared" si="0"/>
        <v>0</v>
      </c>
    </row>
    <row r="32" spans="1:10" s="10" customFormat="1" outlineLevel="1" x14ac:dyDescent="0.2">
      <c r="D32" s="75" t="s">
        <v>156</v>
      </c>
      <c r="E32" s="88"/>
      <c r="F32" s="80">
        <v>0</v>
      </c>
      <c r="G32" s="80">
        <v>0</v>
      </c>
      <c r="H32" s="80">
        <v>0</v>
      </c>
      <c r="I32" s="75" t="s">
        <v>162</v>
      </c>
      <c r="J32" s="42">
        <f t="shared" si="0"/>
        <v>0</v>
      </c>
    </row>
    <row r="33" spans="1:18" s="10" customFormat="1" outlineLevel="1" x14ac:dyDescent="0.2">
      <c r="D33" s="75" t="s">
        <v>157</v>
      </c>
      <c r="E33" s="88"/>
      <c r="F33" s="80">
        <v>0</v>
      </c>
      <c r="G33" s="80">
        <v>0</v>
      </c>
      <c r="H33" s="80">
        <v>0</v>
      </c>
      <c r="I33" s="75" t="s">
        <v>162</v>
      </c>
      <c r="J33" s="42">
        <f t="shared" si="0"/>
        <v>0</v>
      </c>
      <c r="R33"/>
    </row>
    <row r="34" spans="1:18" s="10" customFormat="1" outlineLevel="1" x14ac:dyDescent="0.2">
      <c r="D34" s="75" t="s">
        <v>158</v>
      </c>
      <c r="E34" s="88"/>
      <c r="F34" s="80">
        <v>0</v>
      </c>
      <c r="G34" s="80">
        <v>0</v>
      </c>
      <c r="H34" s="80">
        <v>0</v>
      </c>
      <c r="I34" s="75" t="s">
        <v>162</v>
      </c>
      <c r="J34" s="42">
        <f t="shared" si="0"/>
        <v>0</v>
      </c>
    </row>
    <row r="35" spans="1:18" s="10" customFormat="1" outlineLevel="1" x14ac:dyDescent="0.2">
      <c r="D35" s="75" t="s">
        <v>159</v>
      </c>
      <c r="E35" s="88"/>
      <c r="F35" s="80">
        <v>0</v>
      </c>
      <c r="G35" s="80">
        <v>0</v>
      </c>
      <c r="H35" s="80">
        <v>0</v>
      </c>
      <c r="I35" s="75" t="s">
        <v>162</v>
      </c>
      <c r="J35" s="42">
        <f t="shared" si="0"/>
        <v>0</v>
      </c>
    </row>
    <row r="36" spans="1:18" s="10" customFormat="1" outlineLevel="1" x14ac:dyDescent="0.2">
      <c r="D36" s="75" t="s">
        <v>160</v>
      </c>
      <c r="E36" s="88"/>
      <c r="F36" s="80">
        <v>0</v>
      </c>
      <c r="G36" s="80">
        <v>0</v>
      </c>
      <c r="H36" s="80">
        <v>0</v>
      </c>
      <c r="I36" s="75" t="s">
        <v>162</v>
      </c>
      <c r="J36" s="42">
        <f t="shared" si="0"/>
        <v>0</v>
      </c>
    </row>
    <row r="37" spans="1:18" s="10" customFormat="1" outlineLevel="1" x14ac:dyDescent="0.2">
      <c r="D37" s="75" t="s">
        <v>161</v>
      </c>
      <c r="E37" s="88"/>
      <c r="F37" s="80">
        <v>0</v>
      </c>
      <c r="G37" s="80">
        <v>0</v>
      </c>
      <c r="H37" s="80">
        <v>0</v>
      </c>
      <c r="I37" s="75" t="s">
        <v>162</v>
      </c>
      <c r="J37" s="42">
        <f t="shared" si="0"/>
        <v>0</v>
      </c>
    </row>
    <row r="38" spans="1:18" s="10" customFormat="1" outlineLevel="1" x14ac:dyDescent="0.2">
      <c r="D38" s="75" t="s">
        <v>393</v>
      </c>
      <c r="E38" s="88"/>
      <c r="F38" s="80">
        <v>0</v>
      </c>
      <c r="G38" s="80">
        <v>0</v>
      </c>
      <c r="H38" s="80">
        <v>0</v>
      </c>
      <c r="I38" s="75" t="s">
        <v>162</v>
      </c>
      <c r="J38" s="42">
        <f t="shared" si="0"/>
        <v>0</v>
      </c>
    </row>
    <row r="39" spans="1:18" s="10" customFormat="1" outlineLevel="1" x14ac:dyDescent="0.2">
      <c r="D39" s="75" t="s">
        <v>394</v>
      </c>
      <c r="E39" s="88"/>
      <c r="F39" s="80">
        <v>0</v>
      </c>
      <c r="G39" s="80">
        <v>0</v>
      </c>
      <c r="H39" s="80">
        <v>0</v>
      </c>
      <c r="I39" s="75" t="s">
        <v>162</v>
      </c>
      <c r="J39" s="42">
        <f t="shared" si="0"/>
        <v>0</v>
      </c>
    </row>
    <row r="40" spans="1:18" s="10" customFormat="1" outlineLevel="1" x14ac:dyDescent="0.2">
      <c r="D40" s="75" t="s">
        <v>395</v>
      </c>
      <c r="E40" s="88"/>
      <c r="F40" s="80">
        <v>0</v>
      </c>
      <c r="G40" s="80">
        <v>0</v>
      </c>
      <c r="H40" s="80">
        <v>0</v>
      </c>
      <c r="I40" s="75" t="s">
        <v>162</v>
      </c>
      <c r="J40" s="42">
        <f t="shared" si="0"/>
        <v>0</v>
      </c>
    </row>
    <row r="41" spans="1:18" s="10" customFormat="1" outlineLevel="1" x14ac:dyDescent="0.2">
      <c r="D41" s="75" t="s">
        <v>396</v>
      </c>
      <c r="E41" s="88"/>
      <c r="F41" s="80">
        <v>0</v>
      </c>
      <c r="G41" s="80">
        <v>0</v>
      </c>
      <c r="H41" s="80">
        <v>0</v>
      </c>
      <c r="I41" s="75" t="s">
        <v>162</v>
      </c>
      <c r="J41" s="42">
        <f t="shared" si="0"/>
        <v>0</v>
      </c>
    </row>
    <row r="42" spans="1:18" s="10" customFormat="1" outlineLevel="1" x14ac:dyDescent="0.2">
      <c r="D42" s="75" t="s">
        <v>397</v>
      </c>
      <c r="E42" s="88"/>
      <c r="F42" s="80">
        <v>0</v>
      </c>
      <c r="G42" s="80">
        <v>0</v>
      </c>
      <c r="H42" s="80">
        <v>0</v>
      </c>
      <c r="I42" s="75" t="s">
        <v>162</v>
      </c>
      <c r="J42" s="42">
        <f t="shared" si="0"/>
        <v>0</v>
      </c>
    </row>
    <row r="43" spans="1:18" s="10" customFormat="1" outlineLevel="1" x14ac:dyDescent="0.2">
      <c r="D43" s="55" t="str">
        <f>Lang_Error_Check_Flags_If_Input_Econ_Cost_Is_Less_Than_Fin_Cost</f>
        <v>ERROR CHECK (FLAGS IF INPUT ECONOMIC COST IS LESS THAN FINANCIAL COST)</v>
      </c>
      <c r="J43" s="43">
        <f>IF(ISERROR(SUM(J28:J42)),1,MIN(SUM(J28:J42),1))</f>
        <v>0</v>
      </c>
    </row>
    <row r="44" spans="1:18" s="10" customFormat="1" outlineLevel="1" x14ac:dyDescent="0.2"/>
    <row r="45" spans="1:18" s="10" customFormat="1" outlineLevel="1" x14ac:dyDescent="0.2">
      <c r="D45" s="76" t="str">
        <f>Lang_GoTo&amp;" "&amp;HL_TOP_ACTV_3_Personnel_Outputs</f>
        <v>Go to  Sensitisation Activity # 1 (Not in Use) Personnel - Outputs</v>
      </c>
    </row>
    <row r="46" spans="1:18" s="10" customFormat="1" x14ac:dyDescent="0.2"/>
    <row r="47" spans="1:18" s="13" customFormat="1" x14ac:dyDescent="0.2">
      <c r="A47" s="12" t="s">
        <v>127</v>
      </c>
      <c r="B47" s="13" t="str">
        <f>C49</f>
        <v xml:space="preserve"> Sensitisation Activity # 1 (Not in Use) - Detailed Allowance Cost Assumptions</v>
      </c>
    </row>
    <row r="48" spans="1:18" s="10" customFormat="1" outlineLevel="1" x14ac:dyDescent="0.2"/>
    <row r="49" spans="3:10" s="10" customFormat="1" outlineLevel="1" x14ac:dyDescent="0.2">
      <c r="C49" s="71" t="str">
        <f>HL_TOP_ACTV_3_Name&amp;" - "&amp;Lang_Detailed_Allowance_Cost_Assumptions</f>
        <v xml:space="preserve"> Sensitisation Activity # 1 (Not in Use) - Detailed Allowance Cost Assumptions</v>
      </c>
    </row>
    <row r="50" spans="3:10" s="10" customFormat="1" ht="48" outlineLevel="1" x14ac:dyDescent="0.2">
      <c r="D50" s="55" t="str">
        <f>Lang_Allowance_Type</f>
        <v>Allowance Type</v>
      </c>
      <c r="E50" s="85" t="str">
        <f>Lang_Allowance_Unit_Per_Day_Round_Trip_Travel</f>
        <v>Allowance Unit (e.g. Per Day, Round-trip Travel,etc.)</v>
      </c>
      <c r="F50" s="85" t="str">
        <f>Lang_Number_Of_Allowance_Units_Required</f>
        <v>Number of Allowance Units Required</v>
      </c>
      <c r="G50" s="86" t="str">
        <f ca="1">SENS_Lu!$D$32&amp;" "&amp;Lang_Cost_Per_Activity_Unit&amp;" ("&amp;OFFSET(SENS_Lu!$D$11,DD_TOP_ACTV_3_Detailed_Currency_Used,0)&amp;")"</f>
        <v>Financial Cost per Activity Unit (USD)</v>
      </c>
      <c r="H50" s="86" t="str">
        <f ca="1">SENS_Lu!$D$33&amp;" "&amp;Lang_Cost_Per_Activity_Unit&amp;" ("&amp;OFFSET(SENS_Lu!$D$11,DD_TOP_ACTV_3_Detailed_Currency_Used,0)&amp;")"</f>
        <v>Economic Cost per Activity Unit (USD)</v>
      </c>
      <c r="I50" s="87" t="str">
        <f>Lang_Evidence_For_Using_This_Cost_Information_Source_Or_Notes</f>
        <v>Evidence for Using this Cost Information (source or notes)</v>
      </c>
    </row>
    <row r="51" spans="3:10" s="10" customFormat="1" outlineLevel="1" x14ac:dyDescent="0.2">
      <c r="D51" s="75" t="s">
        <v>163</v>
      </c>
      <c r="E51" s="88"/>
      <c r="F51" s="80">
        <v>0</v>
      </c>
      <c r="G51" s="80">
        <v>0</v>
      </c>
      <c r="H51" s="80">
        <v>0</v>
      </c>
      <c r="I51" s="75" t="s">
        <v>162</v>
      </c>
      <c r="J51" s="42">
        <f t="shared" ref="J51:J60" si="1">IF(H51&lt;G51,1,0)</f>
        <v>0</v>
      </c>
    </row>
    <row r="52" spans="3:10" s="10" customFormat="1" outlineLevel="1" x14ac:dyDescent="0.2">
      <c r="D52" s="75" t="s">
        <v>164</v>
      </c>
      <c r="E52" s="88"/>
      <c r="F52" s="80">
        <v>0</v>
      </c>
      <c r="G52" s="80">
        <v>0</v>
      </c>
      <c r="H52" s="80">
        <v>0</v>
      </c>
      <c r="I52" s="75" t="s">
        <v>162</v>
      </c>
      <c r="J52" s="42">
        <f t="shared" si="1"/>
        <v>0</v>
      </c>
    </row>
    <row r="53" spans="3:10" s="10" customFormat="1" outlineLevel="1" x14ac:dyDescent="0.2">
      <c r="D53" s="75" t="s">
        <v>165</v>
      </c>
      <c r="E53" s="88"/>
      <c r="F53" s="80">
        <v>0</v>
      </c>
      <c r="G53" s="80">
        <v>0</v>
      </c>
      <c r="H53" s="80">
        <v>0</v>
      </c>
      <c r="I53" s="75" t="s">
        <v>162</v>
      </c>
      <c r="J53" s="42">
        <f t="shared" si="1"/>
        <v>0</v>
      </c>
    </row>
    <row r="54" spans="3:10" s="10" customFormat="1" outlineLevel="1" x14ac:dyDescent="0.2">
      <c r="D54" s="75" t="s">
        <v>166</v>
      </c>
      <c r="E54" s="88"/>
      <c r="F54" s="80">
        <v>0</v>
      </c>
      <c r="G54" s="80">
        <v>0</v>
      </c>
      <c r="H54" s="80">
        <v>0</v>
      </c>
      <c r="I54" s="75" t="s">
        <v>162</v>
      </c>
      <c r="J54" s="42">
        <f t="shared" si="1"/>
        <v>0</v>
      </c>
    </row>
    <row r="55" spans="3:10" s="10" customFormat="1" outlineLevel="1" x14ac:dyDescent="0.2">
      <c r="D55" s="75" t="s">
        <v>167</v>
      </c>
      <c r="E55" s="88"/>
      <c r="F55" s="80">
        <v>0</v>
      </c>
      <c r="G55" s="80">
        <v>0</v>
      </c>
      <c r="H55" s="80">
        <v>0</v>
      </c>
      <c r="I55" s="75" t="s">
        <v>162</v>
      </c>
      <c r="J55" s="42">
        <f t="shared" si="1"/>
        <v>0</v>
      </c>
    </row>
    <row r="56" spans="3:10" s="10" customFormat="1" outlineLevel="1" x14ac:dyDescent="0.2">
      <c r="D56" s="75" t="s">
        <v>168</v>
      </c>
      <c r="E56" s="88"/>
      <c r="F56" s="80">
        <v>0</v>
      </c>
      <c r="G56" s="80">
        <v>0</v>
      </c>
      <c r="H56" s="80">
        <v>0</v>
      </c>
      <c r="I56" s="75" t="s">
        <v>162</v>
      </c>
      <c r="J56" s="42">
        <f t="shared" si="1"/>
        <v>0</v>
      </c>
    </row>
    <row r="57" spans="3:10" s="10" customFormat="1" outlineLevel="1" x14ac:dyDescent="0.2">
      <c r="D57" s="75" t="s">
        <v>169</v>
      </c>
      <c r="E57" s="88"/>
      <c r="F57" s="80">
        <v>0</v>
      </c>
      <c r="G57" s="80">
        <v>0</v>
      </c>
      <c r="H57" s="80">
        <v>0</v>
      </c>
      <c r="I57" s="75" t="s">
        <v>162</v>
      </c>
      <c r="J57" s="42">
        <f t="shared" si="1"/>
        <v>0</v>
      </c>
    </row>
    <row r="58" spans="3:10" s="10" customFormat="1" outlineLevel="1" x14ac:dyDescent="0.2">
      <c r="D58" s="75" t="s">
        <v>170</v>
      </c>
      <c r="E58" s="88"/>
      <c r="F58" s="80">
        <v>0</v>
      </c>
      <c r="G58" s="80">
        <v>0</v>
      </c>
      <c r="H58" s="80">
        <v>0</v>
      </c>
      <c r="I58" s="75" t="s">
        <v>162</v>
      </c>
      <c r="J58" s="42">
        <f t="shared" si="1"/>
        <v>0</v>
      </c>
    </row>
    <row r="59" spans="3:10" s="10" customFormat="1" outlineLevel="1" x14ac:dyDescent="0.2">
      <c r="D59" s="75" t="s">
        <v>171</v>
      </c>
      <c r="E59" s="88"/>
      <c r="F59" s="80">
        <v>0</v>
      </c>
      <c r="G59" s="80">
        <v>0</v>
      </c>
      <c r="H59" s="80">
        <v>0</v>
      </c>
      <c r="I59" s="75" t="s">
        <v>162</v>
      </c>
      <c r="J59" s="42">
        <f t="shared" si="1"/>
        <v>0</v>
      </c>
    </row>
    <row r="60" spans="3:10" s="10" customFormat="1" outlineLevel="1" x14ac:dyDescent="0.2">
      <c r="D60" s="75" t="s">
        <v>172</v>
      </c>
      <c r="E60" s="88"/>
      <c r="F60" s="80">
        <v>0</v>
      </c>
      <c r="G60" s="80">
        <v>0</v>
      </c>
      <c r="H60" s="80">
        <v>0</v>
      </c>
      <c r="I60" s="75" t="s">
        <v>162</v>
      </c>
      <c r="J60" s="42">
        <f t="shared" si="1"/>
        <v>0</v>
      </c>
    </row>
    <row r="61" spans="3:10" s="10" customFormat="1" outlineLevel="1" x14ac:dyDescent="0.2">
      <c r="D61" s="55" t="str">
        <f>Lang_Error_Check_Flags_If_Input_Econ_Cost_Is_Less_Than_Fin_Cost</f>
        <v>ERROR CHECK (FLAGS IF INPUT ECONOMIC COST IS LESS THAN FINANCIAL COST)</v>
      </c>
      <c r="J61" s="43">
        <f>IF(ISERROR(SUM(J51:J60)),1,MIN(SUM(J51:J60),1))</f>
        <v>0</v>
      </c>
    </row>
    <row r="62" spans="3:10" s="10" customFormat="1" outlineLevel="1" x14ac:dyDescent="0.2"/>
    <row r="63" spans="3:10" s="10" customFormat="1" outlineLevel="1" x14ac:dyDescent="0.2">
      <c r="D63" s="76" t="str">
        <f>Lang_GoTo&amp;" "&amp;HL_TOP_ACTV_3_Out_A</f>
        <v>Go to  Sensitisation Activity # 1 (Not in Use) Allowances - Outputs</v>
      </c>
    </row>
    <row r="64" spans="3:10" s="10" customFormat="1" x14ac:dyDescent="0.2"/>
    <row r="65" spans="1:10" s="13" customFormat="1" x14ac:dyDescent="0.2">
      <c r="A65" s="12" t="s">
        <v>127</v>
      </c>
      <c r="B65" s="13" t="str">
        <f>C67</f>
        <v xml:space="preserve"> Sensitisation Activity # 1 (Not in Use) - Detailed Supply and Material Cost Assumptions</v>
      </c>
    </row>
    <row r="66" spans="1:10" s="10" customFormat="1" outlineLevel="1" x14ac:dyDescent="0.2"/>
    <row r="67" spans="1:10" s="10" customFormat="1" outlineLevel="1" x14ac:dyDescent="0.2">
      <c r="C67" s="71" t="str">
        <f>HL_TOP_ACTV_3_Name&amp;" - "&amp;Lang_Detailed_Supply_And_Material_Cost_Assumptions</f>
        <v xml:space="preserve"> Sensitisation Activity # 1 (Not in Use) - Detailed Supply and Material Cost Assumptions</v>
      </c>
    </row>
    <row r="68" spans="1:10" s="10" customFormat="1" ht="48" outlineLevel="1" x14ac:dyDescent="0.2">
      <c r="D68" s="55" t="str">
        <f>Lang_Supply_Type</f>
        <v>Supply Type</v>
      </c>
      <c r="E68" s="85" t="str">
        <f>Lang_Supply_Unit_Each_Dozen_100_Pack</f>
        <v>Supply Unit (e.g. Each, Dozen, 100-pack,etc.)</v>
      </c>
      <c r="F68" s="85" t="str">
        <f>Lang_Number_Of_Supply_Units_Required</f>
        <v>Number of Supply Units Required</v>
      </c>
      <c r="G68" s="86" t="str">
        <f ca="1">SENS_Lu!$D$32&amp;" "&amp;Lang_Cost_Per_Activity_Unit&amp;" ("&amp;OFFSET(SENS_Lu!$D$11,DD_TOP_ACTV_3_Detailed_Currency_Used,0)&amp;")"</f>
        <v>Financial Cost per Activity Unit (USD)</v>
      </c>
      <c r="H68" s="86" t="str">
        <f ca="1">SENS_Lu!$D$33&amp;" "&amp;Lang_Cost_Per_Activity_Unit&amp;" ("&amp;OFFSET(SENS_Lu!$D$11,DD_TOP_ACTV_3_Detailed_Currency_Used,0)&amp;")"</f>
        <v>Economic Cost per Activity Unit (USD)</v>
      </c>
      <c r="I68" s="87" t="str">
        <f>Lang_Evidence_For_Using_This_Cost_Information_Source_Or_Notes</f>
        <v>Evidence for Using this Cost Information (source or notes)</v>
      </c>
    </row>
    <row r="69" spans="1:10" s="10" customFormat="1" outlineLevel="1" x14ac:dyDescent="0.2">
      <c r="D69" s="75" t="s">
        <v>173</v>
      </c>
      <c r="E69" s="88"/>
      <c r="F69" s="80">
        <v>0</v>
      </c>
      <c r="G69" s="80">
        <v>0</v>
      </c>
      <c r="H69" s="80">
        <v>0</v>
      </c>
      <c r="I69" s="75" t="s">
        <v>162</v>
      </c>
      <c r="J69" s="42">
        <f t="shared" ref="J69:J78" si="2">IF(H69&lt;G69,1,0)</f>
        <v>0</v>
      </c>
    </row>
    <row r="70" spans="1:10" s="10" customFormat="1" outlineLevel="1" x14ac:dyDescent="0.2">
      <c r="D70" s="75" t="s">
        <v>174</v>
      </c>
      <c r="E70" s="88"/>
      <c r="F70" s="80">
        <v>0</v>
      </c>
      <c r="G70" s="80">
        <v>0</v>
      </c>
      <c r="H70" s="80">
        <v>0</v>
      </c>
      <c r="I70" s="75" t="s">
        <v>162</v>
      </c>
      <c r="J70" s="42">
        <f t="shared" si="2"/>
        <v>0</v>
      </c>
    </row>
    <row r="71" spans="1:10" s="10" customFormat="1" outlineLevel="1" x14ac:dyDescent="0.2">
      <c r="D71" s="75" t="s">
        <v>175</v>
      </c>
      <c r="E71" s="88"/>
      <c r="F71" s="80">
        <v>0</v>
      </c>
      <c r="G71" s="80">
        <v>0</v>
      </c>
      <c r="H71" s="80">
        <v>0</v>
      </c>
      <c r="I71" s="75" t="s">
        <v>162</v>
      </c>
      <c r="J71" s="42">
        <f t="shared" si="2"/>
        <v>0</v>
      </c>
    </row>
    <row r="72" spans="1:10" s="10" customFormat="1" outlineLevel="1" x14ac:dyDescent="0.2">
      <c r="D72" s="75" t="s">
        <v>176</v>
      </c>
      <c r="E72" s="88"/>
      <c r="F72" s="80">
        <v>0</v>
      </c>
      <c r="G72" s="80">
        <v>0</v>
      </c>
      <c r="H72" s="80">
        <v>0</v>
      </c>
      <c r="I72" s="75" t="s">
        <v>162</v>
      </c>
      <c r="J72" s="42">
        <f t="shared" si="2"/>
        <v>0</v>
      </c>
    </row>
    <row r="73" spans="1:10" s="10" customFormat="1" outlineLevel="1" x14ac:dyDescent="0.2">
      <c r="D73" s="75" t="s">
        <v>177</v>
      </c>
      <c r="E73" s="88"/>
      <c r="F73" s="80">
        <v>0</v>
      </c>
      <c r="G73" s="80">
        <v>0</v>
      </c>
      <c r="H73" s="80">
        <v>0</v>
      </c>
      <c r="I73" s="75" t="s">
        <v>162</v>
      </c>
      <c r="J73" s="42">
        <f t="shared" si="2"/>
        <v>0</v>
      </c>
    </row>
    <row r="74" spans="1:10" s="10" customFormat="1" outlineLevel="1" x14ac:dyDescent="0.2">
      <c r="D74" s="75" t="s">
        <v>178</v>
      </c>
      <c r="E74" s="88"/>
      <c r="F74" s="80">
        <v>0</v>
      </c>
      <c r="G74" s="80">
        <v>0</v>
      </c>
      <c r="H74" s="80">
        <v>0</v>
      </c>
      <c r="I74" s="75" t="s">
        <v>162</v>
      </c>
      <c r="J74" s="42">
        <f t="shared" si="2"/>
        <v>0</v>
      </c>
    </row>
    <row r="75" spans="1:10" s="10" customFormat="1" outlineLevel="1" x14ac:dyDescent="0.2">
      <c r="D75" s="75" t="s">
        <v>179</v>
      </c>
      <c r="E75" s="88"/>
      <c r="F75" s="80">
        <v>0</v>
      </c>
      <c r="G75" s="80">
        <v>0</v>
      </c>
      <c r="H75" s="80">
        <v>0</v>
      </c>
      <c r="I75" s="75" t="s">
        <v>162</v>
      </c>
      <c r="J75" s="42">
        <f t="shared" si="2"/>
        <v>0</v>
      </c>
    </row>
    <row r="76" spans="1:10" s="10" customFormat="1" outlineLevel="1" x14ac:dyDescent="0.2">
      <c r="D76" s="75" t="s">
        <v>180</v>
      </c>
      <c r="E76" s="88"/>
      <c r="F76" s="80">
        <v>0</v>
      </c>
      <c r="G76" s="80">
        <v>0</v>
      </c>
      <c r="H76" s="80">
        <v>0</v>
      </c>
      <c r="I76" s="75" t="s">
        <v>162</v>
      </c>
      <c r="J76" s="42">
        <f t="shared" si="2"/>
        <v>0</v>
      </c>
    </row>
    <row r="77" spans="1:10" s="10" customFormat="1" outlineLevel="1" x14ac:dyDescent="0.2">
      <c r="D77" s="75" t="s">
        <v>181</v>
      </c>
      <c r="E77" s="88"/>
      <c r="F77" s="80">
        <v>0</v>
      </c>
      <c r="G77" s="80">
        <v>0</v>
      </c>
      <c r="H77" s="80">
        <v>0</v>
      </c>
      <c r="I77" s="75" t="s">
        <v>162</v>
      </c>
      <c r="J77" s="42">
        <f t="shared" si="2"/>
        <v>0</v>
      </c>
    </row>
    <row r="78" spans="1:10" s="10" customFormat="1" outlineLevel="1" x14ac:dyDescent="0.2">
      <c r="D78" s="75" t="s">
        <v>182</v>
      </c>
      <c r="E78" s="88"/>
      <c r="F78" s="80">
        <v>0</v>
      </c>
      <c r="G78" s="80">
        <v>0</v>
      </c>
      <c r="H78" s="80">
        <v>0</v>
      </c>
      <c r="I78" s="75" t="s">
        <v>162</v>
      </c>
      <c r="J78" s="42">
        <f t="shared" si="2"/>
        <v>0</v>
      </c>
    </row>
    <row r="79" spans="1:10" s="10" customFormat="1" outlineLevel="1" x14ac:dyDescent="0.2">
      <c r="D79" s="55" t="str">
        <f>Lang_Error_Check_Flags_If_Input_Econ_Cost_Is_Less_Than_Fin_Cost</f>
        <v>ERROR CHECK (FLAGS IF INPUT ECONOMIC COST IS LESS THAN FINANCIAL COST)</v>
      </c>
      <c r="J79" s="43">
        <f>IF(ISERROR(SUM(J69:J78)),1,MIN(SUM(J69:J78),1))</f>
        <v>0</v>
      </c>
    </row>
    <row r="80" spans="1:10" s="10" customFormat="1" outlineLevel="1" x14ac:dyDescent="0.2"/>
    <row r="81" spans="1:10" s="10" customFormat="1" outlineLevel="1" x14ac:dyDescent="0.2">
      <c r="D81" s="76" t="str">
        <f>Lang_GoTo&amp;" "&amp;HL_TOP_ACTV_3_Supplies_and_Materials_Outputs</f>
        <v>Go to  Sensitisation Activity # 1 (Not in Use) Supplies and Materials - Outputs</v>
      </c>
    </row>
    <row r="82" spans="1:10" s="10" customFormat="1" x14ac:dyDescent="0.2"/>
    <row r="83" spans="1:10" s="13" customFormat="1" x14ac:dyDescent="0.2">
      <c r="A83" s="12" t="s">
        <v>127</v>
      </c>
      <c r="B83" s="13" t="str">
        <f>C85</f>
        <v xml:space="preserve"> Sensitisation Activity # 1 (Not in Use) - Detailed Other Direct Cost Assumptions</v>
      </c>
    </row>
    <row r="84" spans="1:10" s="10" customFormat="1" outlineLevel="1" x14ac:dyDescent="0.2"/>
    <row r="85" spans="1:10" s="10" customFormat="1" outlineLevel="1" x14ac:dyDescent="0.2">
      <c r="C85" s="71" t="str">
        <f>HL_TOP_ACTV_3_Name&amp;" - "&amp;Lang_Detailed_Other_Direct_Cost_Assumptions</f>
        <v xml:space="preserve"> Sensitisation Activity # 1 (Not in Use) - Detailed Other Direct Cost Assumptions</v>
      </c>
    </row>
    <row r="86" spans="1:10" s="10" customFormat="1" ht="48" outlineLevel="1" x14ac:dyDescent="0.2">
      <c r="D86" s="55" t="str">
        <f>Lang_Other_Direct_Cost_ODC_Type</f>
        <v>Other Direct Cost (ODC) Type</v>
      </c>
      <c r="E86" s="85" t="str">
        <f>Lang_ODC_Unit_Each_Dozen_100_Pack</f>
        <v>ODC Unit (e.g. Each, Dozen, 100-pack,etc.)</v>
      </c>
      <c r="F86" s="85" t="str">
        <f>Lang_Number_Of_ODC_Units_Required</f>
        <v>Number of ODC Units Required</v>
      </c>
      <c r="G86" s="86" t="str">
        <f ca="1">SENS_Lu!$D$32&amp;" "&amp;Lang_Cost_Per_Activity_Unit&amp;" ("&amp;OFFSET(SENS_Lu!$D$11,DD_TOP_ACTV_3_Detailed_Currency_Used,0)&amp;")"</f>
        <v>Financial Cost per Activity Unit (USD)</v>
      </c>
      <c r="H86" s="86" t="str">
        <f ca="1">SENS_Lu!$D$33&amp;" "&amp;Lang_Cost_Per_Activity_Unit&amp;" ("&amp;OFFSET(SENS_Lu!$D$11,DD_TOP_ACTV_3_Detailed_Currency_Used,0)&amp;")"</f>
        <v>Economic Cost per Activity Unit (USD)</v>
      </c>
      <c r="I86" s="87" t="str">
        <f>Lang_Evidence_For_Using_This_Cost_Information_Source_Or_Notes</f>
        <v>Evidence for Using this Cost Information (source or notes)</v>
      </c>
    </row>
    <row r="87" spans="1:10" s="10" customFormat="1" outlineLevel="1" x14ac:dyDescent="0.2">
      <c r="D87" s="75" t="s">
        <v>183</v>
      </c>
      <c r="E87" s="88"/>
      <c r="F87" s="80">
        <v>0</v>
      </c>
      <c r="G87" s="80">
        <v>0</v>
      </c>
      <c r="H87" s="80">
        <v>0</v>
      </c>
      <c r="I87" s="75" t="s">
        <v>162</v>
      </c>
      <c r="J87" s="42">
        <f t="shared" ref="J87:J96" si="3">IF(H87&lt;G87,1,0)</f>
        <v>0</v>
      </c>
    </row>
    <row r="88" spans="1:10" s="10" customFormat="1" outlineLevel="1" x14ac:dyDescent="0.2">
      <c r="D88" s="75" t="s">
        <v>184</v>
      </c>
      <c r="E88" s="88"/>
      <c r="F88" s="80">
        <v>0</v>
      </c>
      <c r="G88" s="80">
        <v>0</v>
      </c>
      <c r="H88" s="80">
        <v>0</v>
      </c>
      <c r="I88" s="75" t="s">
        <v>162</v>
      </c>
      <c r="J88" s="42">
        <f t="shared" si="3"/>
        <v>0</v>
      </c>
    </row>
    <row r="89" spans="1:10" s="10" customFormat="1" outlineLevel="1" x14ac:dyDescent="0.2">
      <c r="D89" s="75" t="s">
        <v>185</v>
      </c>
      <c r="E89" s="88"/>
      <c r="F89" s="80">
        <v>0</v>
      </c>
      <c r="G89" s="80">
        <v>0</v>
      </c>
      <c r="H89" s="80">
        <v>0</v>
      </c>
      <c r="I89" s="75" t="s">
        <v>162</v>
      </c>
      <c r="J89" s="42">
        <f t="shared" si="3"/>
        <v>0</v>
      </c>
    </row>
    <row r="90" spans="1:10" s="10" customFormat="1" outlineLevel="1" x14ac:dyDescent="0.2">
      <c r="D90" s="75" t="s">
        <v>186</v>
      </c>
      <c r="E90" s="88"/>
      <c r="F90" s="80">
        <v>0</v>
      </c>
      <c r="G90" s="80">
        <v>0</v>
      </c>
      <c r="H90" s="80">
        <v>0</v>
      </c>
      <c r="I90" s="75" t="s">
        <v>162</v>
      </c>
      <c r="J90" s="42">
        <f t="shared" si="3"/>
        <v>0</v>
      </c>
    </row>
    <row r="91" spans="1:10" s="10" customFormat="1" outlineLevel="1" x14ac:dyDescent="0.2">
      <c r="D91" s="75" t="s">
        <v>187</v>
      </c>
      <c r="E91" s="88"/>
      <c r="F91" s="80">
        <v>0</v>
      </c>
      <c r="G91" s="80">
        <v>0</v>
      </c>
      <c r="H91" s="80">
        <v>0</v>
      </c>
      <c r="I91" s="75" t="s">
        <v>162</v>
      </c>
      <c r="J91" s="42">
        <f t="shared" si="3"/>
        <v>0</v>
      </c>
    </row>
    <row r="92" spans="1:10" s="10" customFormat="1" outlineLevel="1" x14ac:dyDescent="0.2">
      <c r="D92" s="75" t="s">
        <v>188</v>
      </c>
      <c r="E92" s="88"/>
      <c r="F92" s="80">
        <v>0</v>
      </c>
      <c r="G92" s="80">
        <v>0</v>
      </c>
      <c r="H92" s="80">
        <v>0</v>
      </c>
      <c r="I92" s="75" t="s">
        <v>162</v>
      </c>
      <c r="J92" s="42">
        <f t="shared" si="3"/>
        <v>0</v>
      </c>
    </row>
    <row r="93" spans="1:10" s="10" customFormat="1" outlineLevel="1" x14ac:dyDescent="0.2">
      <c r="D93" s="75" t="s">
        <v>189</v>
      </c>
      <c r="E93" s="88"/>
      <c r="F93" s="80">
        <v>0</v>
      </c>
      <c r="G93" s="80">
        <v>0</v>
      </c>
      <c r="H93" s="80">
        <v>0</v>
      </c>
      <c r="I93" s="75" t="s">
        <v>162</v>
      </c>
      <c r="J93" s="42">
        <f t="shared" si="3"/>
        <v>0</v>
      </c>
    </row>
    <row r="94" spans="1:10" s="10" customFormat="1" outlineLevel="1" x14ac:dyDescent="0.2">
      <c r="D94" s="75" t="s">
        <v>190</v>
      </c>
      <c r="E94" s="88"/>
      <c r="F94" s="80">
        <v>0</v>
      </c>
      <c r="G94" s="80">
        <v>0</v>
      </c>
      <c r="H94" s="80">
        <v>0</v>
      </c>
      <c r="I94" s="75" t="s">
        <v>162</v>
      </c>
      <c r="J94" s="42">
        <f t="shared" si="3"/>
        <v>0</v>
      </c>
    </row>
    <row r="95" spans="1:10" s="10" customFormat="1" outlineLevel="1" x14ac:dyDescent="0.2">
      <c r="D95" s="75" t="s">
        <v>191</v>
      </c>
      <c r="E95" s="88"/>
      <c r="F95" s="80">
        <v>0</v>
      </c>
      <c r="G95" s="80">
        <v>0</v>
      </c>
      <c r="H95" s="80">
        <v>0</v>
      </c>
      <c r="I95" s="75" t="s">
        <v>162</v>
      </c>
      <c r="J95" s="42">
        <f t="shared" si="3"/>
        <v>0</v>
      </c>
    </row>
    <row r="96" spans="1:10" s="10" customFormat="1" outlineLevel="1" x14ac:dyDescent="0.2">
      <c r="D96" s="75" t="s">
        <v>192</v>
      </c>
      <c r="E96" s="88"/>
      <c r="F96" s="80">
        <v>0</v>
      </c>
      <c r="G96" s="80">
        <v>0</v>
      </c>
      <c r="H96" s="80">
        <v>0</v>
      </c>
      <c r="I96" s="75" t="s">
        <v>162</v>
      </c>
      <c r="J96" s="42">
        <f t="shared" si="3"/>
        <v>0</v>
      </c>
    </row>
    <row r="97" spans="1:10" s="10" customFormat="1" outlineLevel="1" x14ac:dyDescent="0.2">
      <c r="D97" s="55" t="str">
        <f>Lang_Error_Check_Flags_If_Input_Econ_Cost_Is_Less_Than_Fin_Cost</f>
        <v>ERROR CHECK (FLAGS IF INPUT ECONOMIC COST IS LESS THAN FINANCIAL COST)</v>
      </c>
      <c r="J97" s="43">
        <f>IF(ISERROR(SUM(J87:J96)),1,MIN(SUM(J87:J96),1))</f>
        <v>0</v>
      </c>
    </row>
    <row r="98" spans="1:10" s="10" customFormat="1" outlineLevel="1" x14ac:dyDescent="0.2"/>
    <row r="99" spans="1:10" s="10" customFormat="1" outlineLevel="1" x14ac:dyDescent="0.2">
      <c r="D99" s="76" t="str">
        <f>Lang_GoTo&amp;" "&amp;HL_TOP_ACTV_3_Other_Direct_Costs_Outputs</f>
        <v>Go to  Sensitisation Activity # 1 (Not in Use) Other Direct Costs - Outputs</v>
      </c>
    </row>
    <row r="100" spans="1:10" s="10" customFormat="1" x14ac:dyDescent="0.2"/>
    <row r="101" spans="1:10" s="13" customFormat="1" x14ac:dyDescent="0.2">
      <c r="A101" s="12" t="s">
        <v>125</v>
      </c>
      <c r="B101" s="13" t="str">
        <f>C103</f>
        <v xml:space="preserve"> Sensitisation Activity # 2 (Not in Use) -  Detailed Activity Costing Worksheet - Instructions</v>
      </c>
    </row>
    <row r="102" spans="1:10" s="10" customFormat="1" outlineLevel="1" x14ac:dyDescent="0.2"/>
    <row r="103" spans="1:10" s="10" customFormat="1" outlineLevel="1" x14ac:dyDescent="0.2">
      <c r="C103" s="71" t="str">
        <f>HL_TOP_ACTV_10_Name&amp;" -  "&amp;Lang_Detailed_Activity_Costing_Worksheet_Instructions</f>
        <v xml:space="preserve"> Sensitisation Activity # 2 (Not in Use) -  Detailed Activity Costing Worksheet - Instructions</v>
      </c>
    </row>
    <row r="104" spans="1:10" s="10" customFormat="1" outlineLevel="1" x14ac:dyDescent="0.2"/>
    <row r="105" spans="1:10" s="10" customFormat="1" outlineLevel="1" x14ac:dyDescent="0.2">
      <c r="D105" s="50" t="str">
        <f>Lang_Detailed_Costing_Worksheets_Notes_1</f>
        <v>This detailed costing worksheet can be used to document the types and amounts of resources required to complete a single instance of an activity.</v>
      </c>
    </row>
    <row r="106" spans="1:10" s="10" customFormat="1" outlineLevel="1" x14ac:dyDescent="0.2">
      <c r="D106" s="50" t="str">
        <f>Lang_Detailed_Costing_Worksheets_Notes_2</f>
        <v>When completed, it will automatically provide a single activity cost in the general assumption worksheet.</v>
      </c>
    </row>
    <row r="107" spans="1:10" s="10" customFormat="1" outlineLevel="1" x14ac:dyDescent="0.2">
      <c r="D107" s="50" t="str">
        <f>Lang_Detailed_Costing_Worksheets_Notes_3</f>
        <v>The user may then choose to use the results of the detailed costing in the model, or override the detailed costing and insert alternate cost estimates.</v>
      </c>
    </row>
    <row r="108" spans="1:10" s="10" customFormat="1" x14ac:dyDescent="0.2"/>
    <row r="109" spans="1:10" s="13" customFormat="1" x14ac:dyDescent="0.2">
      <c r="A109" s="12" t="s">
        <v>125</v>
      </c>
      <c r="B109" s="13" t="str">
        <f>C111</f>
        <v xml:space="preserve"> Sensitisation Activity # 2 (Not in Use) - Detailed Activity Costing Worksheet - Currency Selection</v>
      </c>
    </row>
    <row r="110" spans="1:10" s="10" customFormat="1" outlineLevel="1" x14ac:dyDescent="0.2"/>
    <row r="111" spans="1:10" s="10" customFormat="1" outlineLevel="1" x14ac:dyDescent="0.2">
      <c r="C111" s="71" t="str">
        <f>HL_TOP_ACTV_10_Name&amp;" - "&amp;Lang_Detailed_Activity_Costing_Worksheet_Currency_Selection</f>
        <v xml:space="preserve"> Sensitisation Activity # 2 (Not in Use) - Detailed Activity Costing Worksheet - Currency Selection</v>
      </c>
    </row>
    <row r="112" spans="1:10" s="10" customFormat="1" outlineLevel="1" x14ac:dyDescent="0.2">
      <c r="D112" s="55" t="str">
        <f>Lang_Currency_Used_For_Cost_Inputs</f>
        <v>Currency Used for Cost Inputs</v>
      </c>
      <c r="E112" s="72">
        <v>1</v>
      </c>
    </row>
    <row r="113" spans="1:10" s="10" customFormat="1" outlineLevel="1" x14ac:dyDescent="0.2"/>
    <row r="114" spans="1:10" s="10" customFormat="1" outlineLevel="1" x14ac:dyDescent="0.2"/>
    <row r="115" spans="1:10" s="10" customFormat="1" outlineLevel="1" x14ac:dyDescent="0.2">
      <c r="D115" s="54" t="str">
        <f>Lang_Imported_From_Econ_Module</f>
        <v>Imported from Econ Module</v>
      </c>
    </row>
    <row r="116" spans="1:10" s="10" customFormat="1" outlineLevel="1" x14ac:dyDescent="0.2">
      <c r="D116" s="49" t="str">
        <f>ECONOMICS!F7</f>
        <v>USD</v>
      </c>
    </row>
    <row r="117" spans="1:10" s="10" customFormat="1" outlineLevel="1" x14ac:dyDescent="0.2">
      <c r="D117" s="49" t="str">
        <f>ECONOMICS!F8</f>
        <v>LCU</v>
      </c>
    </row>
    <row r="118" spans="1:10" s="10" customFormat="1" outlineLevel="1" x14ac:dyDescent="0.2"/>
    <row r="119" spans="1:10" s="10" customFormat="1" outlineLevel="1" x14ac:dyDescent="0.2">
      <c r="D119" s="50" t="str">
        <f>Lang_Exchange_Rate_From_Econ</f>
        <v>Exchange Rate (from Economics)</v>
      </c>
      <c r="E119" s="41">
        <f>ECONOMICS!E13</f>
        <v>1234.5</v>
      </c>
    </row>
    <row r="120" spans="1:10" s="10" customFormat="1" x14ac:dyDescent="0.2"/>
    <row r="121" spans="1:10" s="13" customFormat="1" x14ac:dyDescent="0.2">
      <c r="A121" s="12" t="s">
        <v>127</v>
      </c>
      <c r="B121" s="13" t="str">
        <f>C123</f>
        <v xml:space="preserve"> Sensitisation Activity # 2 (Not in Use) - Detailed Personnel Cost Assumptions</v>
      </c>
    </row>
    <row r="122" spans="1:10" s="10" customFormat="1" outlineLevel="1" x14ac:dyDescent="0.2"/>
    <row r="123" spans="1:10" s="10" customFormat="1" outlineLevel="1" x14ac:dyDescent="0.2">
      <c r="C123" s="71" t="str">
        <f>HL_TOP_ACTV_10_Name&amp;" - "&amp;Lang_Detailed_Personnel_Cost_Assumptions</f>
        <v xml:space="preserve"> Sensitisation Activity # 2 (Not in Use) - Detailed Personnel Cost Assumptions</v>
      </c>
    </row>
    <row r="124" spans="1:10" s="10" customFormat="1" ht="48" outlineLevel="1" x14ac:dyDescent="0.2">
      <c r="D124" s="55" t="str">
        <f>Lang_Personnel_Cadre_Type</f>
        <v>Personnel Cadre Type</v>
      </c>
      <c r="E124" s="85" t="str">
        <f>Lang_Activity_Unit_Day_Hour_Minute</f>
        <v>Activity Unit (e.g. Day, Hour, Minute)</v>
      </c>
      <c r="F124" s="85" t="str">
        <f>Lang_Number_Of_Activity_Units_Required</f>
        <v>Number of Activity Units Required</v>
      </c>
      <c r="G124" s="86" t="str">
        <f ca="1">SENS_Lu!$D$67&amp;" "&amp;Lang_Cost_Per_Activity_Unit&amp;" ("&amp;OFFSET(SENS_Lu!$D$46,DD_TOP_ACTV_10_Detailed_Currency_Used,0)&amp;")"</f>
        <v>Financial Cost per Activity Unit (USD)</v>
      </c>
      <c r="H124" s="86" t="str">
        <f ca="1">SENS_Lu!$D$68&amp;" "&amp;Lang_Cost_Per_Activity_Unit&amp;" ("&amp;OFFSET(SENS_Lu!$D$46,DD_TOP_ACTV_10_Detailed_Currency_Used,0)&amp;")"</f>
        <v>Economic Cost per Activity Unit (USD)</v>
      </c>
      <c r="I124" s="87" t="str">
        <f>Lang_Evidence_For_Using_This_Cost_Information_Source_Or_Notes</f>
        <v>Evidence for Using this Cost Information (source or notes)</v>
      </c>
    </row>
    <row r="125" spans="1:10" s="10" customFormat="1" outlineLevel="1" x14ac:dyDescent="0.2">
      <c r="D125" s="75" t="s">
        <v>152</v>
      </c>
      <c r="E125" s="88"/>
      <c r="F125" s="80">
        <v>0</v>
      </c>
      <c r="G125" s="80">
        <v>0</v>
      </c>
      <c r="H125" s="80">
        <v>0</v>
      </c>
      <c r="I125" s="75" t="s">
        <v>162</v>
      </c>
      <c r="J125" s="42">
        <f t="shared" ref="J125:J139" si="4">IF(H125&lt;G125,1,0)</f>
        <v>0</v>
      </c>
    </row>
    <row r="126" spans="1:10" s="10" customFormat="1" outlineLevel="1" x14ac:dyDescent="0.2">
      <c r="D126" s="75" t="s">
        <v>153</v>
      </c>
      <c r="E126" s="88"/>
      <c r="F126" s="80">
        <v>0</v>
      </c>
      <c r="G126" s="80">
        <v>0</v>
      </c>
      <c r="H126" s="80">
        <v>0</v>
      </c>
      <c r="I126" s="75" t="s">
        <v>162</v>
      </c>
      <c r="J126" s="42">
        <f t="shared" si="4"/>
        <v>0</v>
      </c>
    </row>
    <row r="127" spans="1:10" s="10" customFormat="1" outlineLevel="1" x14ac:dyDescent="0.2">
      <c r="D127" s="75" t="s">
        <v>154</v>
      </c>
      <c r="E127" s="88"/>
      <c r="F127" s="80">
        <v>0</v>
      </c>
      <c r="G127" s="80">
        <v>0</v>
      </c>
      <c r="H127" s="80">
        <v>0</v>
      </c>
      <c r="I127" s="75" t="s">
        <v>162</v>
      </c>
      <c r="J127" s="42">
        <f t="shared" si="4"/>
        <v>0</v>
      </c>
    </row>
    <row r="128" spans="1:10" s="10" customFormat="1" outlineLevel="1" x14ac:dyDescent="0.2">
      <c r="D128" s="75" t="s">
        <v>155</v>
      </c>
      <c r="E128" s="88"/>
      <c r="F128" s="80">
        <v>0</v>
      </c>
      <c r="G128" s="80">
        <v>0</v>
      </c>
      <c r="H128" s="80">
        <v>0</v>
      </c>
      <c r="I128" s="75" t="s">
        <v>162</v>
      </c>
      <c r="J128" s="42">
        <f t="shared" si="4"/>
        <v>0</v>
      </c>
    </row>
    <row r="129" spans="1:10" s="10" customFormat="1" outlineLevel="1" x14ac:dyDescent="0.2">
      <c r="D129" s="75" t="s">
        <v>156</v>
      </c>
      <c r="E129" s="88"/>
      <c r="F129" s="80">
        <v>0</v>
      </c>
      <c r="G129" s="80">
        <v>0</v>
      </c>
      <c r="H129" s="80">
        <v>0</v>
      </c>
      <c r="I129" s="75" t="s">
        <v>162</v>
      </c>
      <c r="J129" s="42">
        <f t="shared" si="4"/>
        <v>0</v>
      </c>
    </row>
    <row r="130" spans="1:10" s="10" customFormat="1" outlineLevel="1" x14ac:dyDescent="0.2">
      <c r="D130" s="75" t="s">
        <v>157</v>
      </c>
      <c r="E130" s="88"/>
      <c r="F130" s="80">
        <v>0</v>
      </c>
      <c r="G130" s="80">
        <v>0</v>
      </c>
      <c r="H130" s="80">
        <v>0</v>
      </c>
      <c r="I130" s="75" t="s">
        <v>162</v>
      </c>
      <c r="J130" s="42">
        <f t="shared" si="4"/>
        <v>0</v>
      </c>
    </row>
    <row r="131" spans="1:10" s="10" customFormat="1" outlineLevel="1" x14ac:dyDescent="0.2">
      <c r="D131" s="75" t="s">
        <v>158</v>
      </c>
      <c r="E131" s="88"/>
      <c r="F131" s="80">
        <v>0</v>
      </c>
      <c r="G131" s="80">
        <v>0</v>
      </c>
      <c r="H131" s="80">
        <v>0</v>
      </c>
      <c r="I131" s="75" t="s">
        <v>162</v>
      </c>
      <c r="J131" s="42">
        <f t="shared" si="4"/>
        <v>0</v>
      </c>
    </row>
    <row r="132" spans="1:10" s="10" customFormat="1" outlineLevel="1" x14ac:dyDescent="0.2">
      <c r="D132" s="75" t="s">
        <v>159</v>
      </c>
      <c r="E132" s="88"/>
      <c r="F132" s="80">
        <v>0</v>
      </c>
      <c r="G132" s="80">
        <v>0</v>
      </c>
      <c r="H132" s="80">
        <v>0</v>
      </c>
      <c r="I132" s="75" t="s">
        <v>162</v>
      </c>
      <c r="J132" s="42">
        <f t="shared" si="4"/>
        <v>0</v>
      </c>
    </row>
    <row r="133" spans="1:10" s="10" customFormat="1" outlineLevel="1" x14ac:dyDescent="0.2">
      <c r="D133" s="75" t="s">
        <v>160</v>
      </c>
      <c r="E133" s="88"/>
      <c r="F133" s="80">
        <v>0</v>
      </c>
      <c r="G133" s="80">
        <v>0</v>
      </c>
      <c r="H133" s="80">
        <v>0</v>
      </c>
      <c r="I133" s="75" t="s">
        <v>162</v>
      </c>
      <c r="J133" s="42">
        <f t="shared" si="4"/>
        <v>0</v>
      </c>
    </row>
    <row r="134" spans="1:10" s="10" customFormat="1" outlineLevel="1" x14ac:dyDescent="0.2">
      <c r="D134" s="75" t="s">
        <v>161</v>
      </c>
      <c r="E134" s="88"/>
      <c r="F134" s="80">
        <v>0</v>
      </c>
      <c r="G134" s="80">
        <v>0</v>
      </c>
      <c r="H134" s="80">
        <v>0</v>
      </c>
      <c r="I134" s="75" t="s">
        <v>162</v>
      </c>
      <c r="J134" s="42">
        <f t="shared" si="4"/>
        <v>0</v>
      </c>
    </row>
    <row r="135" spans="1:10" s="10" customFormat="1" outlineLevel="1" x14ac:dyDescent="0.2">
      <c r="D135" s="75" t="s">
        <v>393</v>
      </c>
      <c r="E135" s="88"/>
      <c r="F135" s="80">
        <v>0</v>
      </c>
      <c r="G135" s="80">
        <v>0</v>
      </c>
      <c r="H135" s="80">
        <v>0</v>
      </c>
      <c r="I135" s="75" t="s">
        <v>162</v>
      </c>
      <c r="J135" s="42">
        <f t="shared" si="4"/>
        <v>0</v>
      </c>
    </row>
    <row r="136" spans="1:10" s="10" customFormat="1" outlineLevel="1" x14ac:dyDescent="0.2">
      <c r="D136" s="75" t="s">
        <v>394</v>
      </c>
      <c r="E136" s="88"/>
      <c r="F136" s="80">
        <v>0</v>
      </c>
      <c r="G136" s="80">
        <v>0</v>
      </c>
      <c r="H136" s="80">
        <v>0</v>
      </c>
      <c r="I136" s="75" t="s">
        <v>162</v>
      </c>
      <c r="J136" s="42">
        <f t="shared" si="4"/>
        <v>0</v>
      </c>
    </row>
    <row r="137" spans="1:10" s="10" customFormat="1" outlineLevel="1" x14ac:dyDescent="0.2">
      <c r="D137" s="75" t="s">
        <v>395</v>
      </c>
      <c r="E137" s="88"/>
      <c r="F137" s="80">
        <v>0</v>
      </c>
      <c r="G137" s="80">
        <v>0</v>
      </c>
      <c r="H137" s="80">
        <v>0</v>
      </c>
      <c r="I137" s="75" t="s">
        <v>162</v>
      </c>
      <c r="J137" s="42">
        <f t="shared" si="4"/>
        <v>0</v>
      </c>
    </row>
    <row r="138" spans="1:10" s="10" customFormat="1" outlineLevel="1" x14ac:dyDescent="0.2">
      <c r="D138" s="75" t="s">
        <v>396</v>
      </c>
      <c r="E138" s="88"/>
      <c r="F138" s="80">
        <v>0</v>
      </c>
      <c r="G138" s="80">
        <v>0</v>
      </c>
      <c r="H138" s="80">
        <v>0</v>
      </c>
      <c r="I138" s="75" t="s">
        <v>162</v>
      </c>
      <c r="J138" s="42">
        <f t="shared" si="4"/>
        <v>0</v>
      </c>
    </row>
    <row r="139" spans="1:10" s="10" customFormat="1" outlineLevel="1" x14ac:dyDescent="0.2">
      <c r="D139" s="75" t="s">
        <v>397</v>
      </c>
      <c r="E139" s="88"/>
      <c r="F139" s="80">
        <v>0</v>
      </c>
      <c r="G139" s="80">
        <v>0</v>
      </c>
      <c r="H139" s="80">
        <v>0</v>
      </c>
      <c r="I139" s="75" t="s">
        <v>162</v>
      </c>
      <c r="J139" s="42">
        <f t="shared" si="4"/>
        <v>0</v>
      </c>
    </row>
    <row r="140" spans="1:10" s="10" customFormat="1" outlineLevel="1" x14ac:dyDescent="0.2">
      <c r="D140" s="55" t="str">
        <f>Lang_Error_Check_Flags_If_Input_Econ_Cost_Is_Less_Than_Fin_Cost</f>
        <v>ERROR CHECK (FLAGS IF INPUT ECONOMIC COST IS LESS THAN FINANCIAL COST)</v>
      </c>
      <c r="J140" s="43">
        <f>IF(ISERROR(SUM(J125:J139)),1,MIN(SUM(J125:J139),1))</f>
        <v>0</v>
      </c>
    </row>
    <row r="141" spans="1:10" s="10" customFormat="1" outlineLevel="1" x14ac:dyDescent="0.2"/>
    <row r="142" spans="1:10" s="10" customFormat="1" outlineLevel="1" x14ac:dyDescent="0.2">
      <c r="D142" s="76" t="str">
        <f>Lang_GoTo&amp;" "&amp;HL_TOP_ACTV_10_Personnel_Outputs</f>
        <v>Go to  Sensitisation Activity # 2 (Not in Use) Personnel - Outputs</v>
      </c>
    </row>
    <row r="143" spans="1:10" s="10" customFormat="1" x14ac:dyDescent="0.2"/>
    <row r="144" spans="1:10" s="13" customFormat="1" x14ac:dyDescent="0.2">
      <c r="A144" s="12" t="s">
        <v>127</v>
      </c>
      <c r="B144" s="13" t="str">
        <f>C146</f>
        <v xml:space="preserve"> Sensitisation Activity # 2 (Not in Use) - Detailed Allowance Cost Assumptions</v>
      </c>
    </row>
    <row r="145" spans="3:10" s="10" customFormat="1" outlineLevel="1" x14ac:dyDescent="0.2"/>
    <row r="146" spans="3:10" s="10" customFormat="1" outlineLevel="1" x14ac:dyDescent="0.2">
      <c r="C146" s="71" t="str">
        <f>HL_TOP_ACTV_10_Name&amp;" - "&amp;Lang_Detailed_Allowance_Cost_Assumptions</f>
        <v xml:space="preserve"> Sensitisation Activity # 2 (Not in Use) - Detailed Allowance Cost Assumptions</v>
      </c>
    </row>
    <row r="147" spans="3:10" s="10" customFormat="1" ht="48" outlineLevel="1" x14ac:dyDescent="0.2">
      <c r="D147" s="55" t="str">
        <f>Lang_Allowance_Type</f>
        <v>Allowance Type</v>
      </c>
      <c r="E147" s="85" t="str">
        <f>Lang_Allowance_Unit_Per_Day_Round_Trip_Travel</f>
        <v>Allowance Unit (e.g. Per Day, Round-trip Travel,etc.)</v>
      </c>
      <c r="F147" s="85" t="str">
        <f>Lang_Number_Of_Allowance_Units_Required</f>
        <v>Number of Allowance Units Required</v>
      </c>
      <c r="G147" s="86" t="str">
        <f ca="1">SENS_Lu!$D$67&amp;" "&amp;Lang_Cost_Per_Activity_Unit&amp;" ("&amp;OFFSET(SENS_Lu!$D$46,DD_TOP_ACTV_10_Detailed_Currency_Used,0)&amp;")"</f>
        <v>Financial Cost per Activity Unit (USD)</v>
      </c>
      <c r="H147" s="86" t="str">
        <f ca="1">SENS_Lu!$D$68&amp;" "&amp;Lang_Cost_Per_Activity_Unit&amp;" ("&amp;OFFSET(SENS_Lu!$D$46,DD_TOP_ACTV_10_Detailed_Currency_Used,0)&amp;")"</f>
        <v>Economic Cost per Activity Unit (USD)</v>
      </c>
      <c r="I147" s="87" t="str">
        <f>Lang_Evidence_For_Using_This_Cost_Information_Source_Or_Notes</f>
        <v>Evidence for Using this Cost Information (source or notes)</v>
      </c>
    </row>
    <row r="148" spans="3:10" s="10" customFormat="1" outlineLevel="1" x14ac:dyDescent="0.2">
      <c r="D148" s="75" t="s">
        <v>163</v>
      </c>
      <c r="E148" s="88"/>
      <c r="F148" s="80">
        <v>0</v>
      </c>
      <c r="G148" s="80">
        <v>0</v>
      </c>
      <c r="H148" s="80">
        <v>0</v>
      </c>
      <c r="I148" s="75" t="s">
        <v>162</v>
      </c>
      <c r="J148" s="42">
        <f t="shared" ref="J148:J157" si="5">IF(H148&lt;G148,1,0)</f>
        <v>0</v>
      </c>
    </row>
    <row r="149" spans="3:10" s="10" customFormat="1" outlineLevel="1" x14ac:dyDescent="0.2">
      <c r="D149" s="75" t="s">
        <v>164</v>
      </c>
      <c r="E149" s="88"/>
      <c r="F149" s="80">
        <v>0</v>
      </c>
      <c r="G149" s="80">
        <v>0</v>
      </c>
      <c r="H149" s="80">
        <v>0</v>
      </c>
      <c r="I149" s="75" t="s">
        <v>162</v>
      </c>
      <c r="J149" s="42">
        <f t="shared" si="5"/>
        <v>0</v>
      </c>
    </row>
    <row r="150" spans="3:10" s="10" customFormat="1" outlineLevel="1" x14ac:dyDescent="0.2">
      <c r="D150" s="75" t="s">
        <v>165</v>
      </c>
      <c r="E150" s="88"/>
      <c r="F150" s="80">
        <v>0</v>
      </c>
      <c r="G150" s="80">
        <v>0</v>
      </c>
      <c r="H150" s="80">
        <v>0</v>
      </c>
      <c r="I150" s="75" t="s">
        <v>162</v>
      </c>
      <c r="J150" s="42">
        <f t="shared" si="5"/>
        <v>0</v>
      </c>
    </row>
    <row r="151" spans="3:10" s="10" customFormat="1" outlineLevel="1" x14ac:dyDescent="0.2">
      <c r="D151" s="75" t="s">
        <v>166</v>
      </c>
      <c r="E151" s="88"/>
      <c r="F151" s="80">
        <v>0</v>
      </c>
      <c r="G151" s="80">
        <v>0</v>
      </c>
      <c r="H151" s="80">
        <v>0</v>
      </c>
      <c r="I151" s="75" t="s">
        <v>162</v>
      </c>
      <c r="J151" s="42">
        <f t="shared" si="5"/>
        <v>0</v>
      </c>
    </row>
    <row r="152" spans="3:10" s="10" customFormat="1" outlineLevel="1" x14ac:dyDescent="0.2">
      <c r="D152" s="75" t="s">
        <v>167</v>
      </c>
      <c r="E152" s="88"/>
      <c r="F152" s="80">
        <v>0</v>
      </c>
      <c r="G152" s="80">
        <v>0</v>
      </c>
      <c r="H152" s="80">
        <v>0</v>
      </c>
      <c r="I152" s="75" t="s">
        <v>162</v>
      </c>
      <c r="J152" s="42">
        <f t="shared" si="5"/>
        <v>0</v>
      </c>
    </row>
    <row r="153" spans="3:10" s="10" customFormat="1" outlineLevel="1" x14ac:dyDescent="0.2">
      <c r="D153" s="75" t="s">
        <v>168</v>
      </c>
      <c r="E153" s="88"/>
      <c r="F153" s="80">
        <v>0</v>
      </c>
      <c r="G153" s="80">
        <v>0</v>
      </c>
      <c r="H153" s="80">
        <v>0</v>
      </c>
      <c r="I153" s="75" t="s">
        <v>162</v>
      </c>
      <c r="J153" s="42">
        <f t="shared" si="5"/>
        <v>0</v>
      </c>
    </row>
    <row r="154" spans="3:10" s="10" customFormat="1" outlineLevel="1" x14ac:dyDescent="0.2">
      <c r="D154" s="75" t="s">
        <v>169</v>
      </c>
      <c r="E154" s="88"/>
      <c r="F154" s="80">
        <v>0</v>
      </c>
      <c r="G154" s="80">
        <v>0</v>
      </c>
      <c r="H154" s="80">
        <v>0</v>
      </c>
      <c r="I154" s="75" t="s">
        <v>162</v>
      </c>
      <c r="J154" s="42">
        <f t="shared" si="5"/>
        <v>0</v>
      </c>
    </row>
    <row r="155" spans="3:10" s="10" customFormat="1" outlineLevel="1" x14ac:dyDescent="0.2">
      <c r="D155" s="75" t="s">
        <v>170</v>
      </c>
      <c r="E155" s="88"/>
      <c r="F155" s="80">
        <v>0</v>
      </c>
      <c r="G155" s="80">
        <v>0</v>
      </c>
      <c r="H155" s="80">
        <v>0</v>
      </c>
      <c r="I155" s="75" t="s">
        <v>162</v>
      </c>
      <c r="J155" s="42">
        <f t="shared" si="5"/>
        <v>0</v>
      </c>
    </row>
    <row r="156" spans="3:10" s="10" customFormat="1" outlineLevel="1" x14ac:dyDescent="0.2">
      <c r="D156" s="75" t="s">
        <v>171</v>
      </c>
      <c r="E156" s="88"/>
      <c r="F156" s="80">
        <v>0</v>
      </c>
      <c r="G156" s="80">
        <v>0</v>
      </c>
      <c r="H156" s="80">
        <v>0</v>
      </c>
      <c r="I156" s="75" t="s">
        <v>162</v>
      </c>
      <c r="J156" s="42">
        <f t="shared" si="5"/>
        <v>0</v>
      </c>
    </row>
    <row r="157" spans="3:10" s="10" customFormat="1" outlineLevel="1" x14ac:dyDescent="0.2">
      <c r="D157" s="75" t="s">
        <v>172</v>
      </c>
      <c r="E157" s="88"/>
      <c r="F157" s="80">
        <v>0</v>
      </c>
      <c r="G157" s="80">
        <v>0</v>
      </c>
      <c r="H157" s="80">
        <v>0</v>
      </c>
      <c r="I157" s="75" t="s">
        <v>162</v>
      </c>
      <c r="J157" s="42">
        <f t="shared" si="5"/>
        <v>0</v>
      </c>
    </row>
    <row r="158" spans="3:10" s="10" customFormat="1" outlineLevel="1" x14ac:dyDescent="0.2">
      <c r="D158" s="55" t="str">
        <f>Lang_Error_Check_Flags_If_Input_Econ_Cost_Is_Less_Than_Fin_Cost</f>
        <v>ERROR CHECK (FLAGS IF INPUT ECONOMIC COST IS LESS THAN FINANCIAL COST)</v>
      </c>
      <c r="J158" s="43">
        <f>IF(ISERROR(SUM(J148:J157)),1,MIN(SUM(J148:J157),1))</f>
        <v>0</v>
      </c>
    </row>
    <row r="159" spans="3:10" s="10" customFormat="1" outlineLevel="1" x14ac:dyDescent="0.2"/>
    <row r="160" spans="3:10" s="10" customFormat="1" outlineLevel="1" x14ac:dyDescent="0.2">
      <c r="D160" s="76" t="str">
        <f>Lang_GoTo&amp;" "&amp;HL_TOP_ACTV_10_Out_A</f>
        <v>Go to  Sensitisation Activity # 2 (Not in Use) Allowances - Outputs</v>
      </c>
    </row>
    <row r="161" spans="1:10" s="10" customFormat="1" x14ac:dyDescent="0.2"/>
    <row r="162" spans="1:10" s="13" customFormat="1" x14ac:dyDescent="0.2">
      <c r="A162" s="12" t="s">
        <v>127</v>
      </c>
      <c r="B162" s="13" t="str">
        <f>C164</f>
        <v xml:space="preserve"> Sensitisation Activity # 2 (Not in Use) - Detailed Supply and Material Cost Assumptions</v>
      </c>
    </row>
    <row r="163" spans="1:10" s="10" customFormat="1" outlineLevel="1" x14ac:dyDescent="0.2"/>
    <row r="164" spans="1:10" s="10" customFormat="1" outlineLevel="1" x14ac:dyDescent="0.2">
      <c r="C164" s="71" t="str">
        <f>HL_TOP_ACTV_10_Name&amp;" - "&amp;Lang_Detailed_Supply_And_Material_Cost_Assumptions</f>
        <v xml:space="preserve"> Sensitisation Activity # 2 (Not in Use) - Detailed Supply and Material Cost Assumptions</v>
      </c>
    </row>
    <row r="165" spans="1:10" s="10" customFormat="1" ht="48" outlineLevel="1" x14ac:dyDescent="0.2">
      <c r="D165" s="55" t="str">
        <f>Lang_Supply_Type</f>
        <v>Supply Type</v>
      </c>
      <c r="E165" s="85" t="str">
        <f>Lang_Supply_Unit_Each_Dozen_100_Pack</f>
        <v>Supply Unit (e.g. Each, Dozen, 100-pack,etc.)</v>
      </c>
      <c r="F165" s="85" t="str">
        <f>Lang_Number_Of_Supply_Units_Required</f>
        <v>Number of Supply Units Required</v>
      </c>
      <c r="G165" s="86" t="str">
        <f ca="1">SENS_Lu!$D$67&amp;" "&amp;Lang_Cost_Per_Activity_Unit&amp;" ("&amp;OFFSET(SENS_Lu!$D$46,DD_TOP_ACTV_10_Detailed_Currency_Used,0)&amp;")"</f>
        <v>Financial Cost per Activity Unit (USD)</v>
      </c>
      <c r="H165" s="86" t="str">
        <f ca="1">SENS_Lu!$D$68&amp;" "&amp;Lang_Cost_Per_Activity_Unit&amp;" ("&amp;OFFSET(SENS_Lu!$D$46,DD_TOP_ACTV_10_Detailed_Currency_Used,0)&amp;")"</f>
        <v>Economic Cost per Activity Unit (USD)</v>
      </c>
      <c r="I165" s="87" t="str">
        <f>Lang_Evidence_For_Using_This_Cost_Information_Source_Or_Notes</f>
        <v>Evidence for Using this Cost Information (source or notes)</v>
      </c>
    </row>
    <row r="166" spans="1:10" s="10" customFormat="1" outlineLevel="1" x14ac:dyDescent="0.2">
      <c r="D166" s="75" t="s">
        <v>173</v>
      </c>
      <c r="E166" s="88"/>
      <c r="F166" s="80">
        <v>0</v>
      </c>
      <c r="G166" s="80">
        <v>0</v>
      </c>
      <c r="H166" s="80">
        <v>0</v>
      </c>
      <c r="I166" s="75" t="s">
        <v>162</v>
      </c>
      <c r="J166" s="42">
        <f t="shared" ref="J166:J175" si="6">IF(H166&lt;G166,1,0)</f>
        <v>0</v>
      </c>
    </row>
    <row r="167" spans="1:10" s="10" customFormat="1" outlineLevel="1" x14ac:dyDescent="0.2">
      <c r="D167" s="75" t="s">
        <v>174</v>
      </c>
      <c r="E167" s="88"/>
      <c r="F167" s="80">
        <v>0</v>
      </c>
      <c r="G167" s="80">
        <v>0</v>
      </c>
      <c r="H167" s="80">
        <v>0</v>
      </c>
      <c r="I167" s="75" t="s">
        <v>162</v>
      </c>
      <c r="J167" s="42">
        <f t="shared" si="6"/>
        <v>0</v>
      </c>
    </row>
    <row r="168" spans="1:10" s="10" customFormat="1" outlineLevel="1" x14ac:dyDescent="0.2">
      <c r="D168" s="75" t="s">
        <v>175</v>
      </c>
      <c r="E168" s="88"/>
      <c r="F168" s="80">
        <v>0</v>
      </c>
      <c r="G168" s="80">
        <v>0</v>
      </c>
      <c r="H168" s="80">
        <v>0</v>
      </c>
      <c r="I168" s="75" t="s">
        <v>162</v>
      </c>
      <c r="J168" s="42">
        <f t="shared" si="6"/>
        <v>0</v>
      </c>
    </row>
    <row r="169" spans="1:10" s="10" customFormat="1" outlineLevel="1" x14ac:dyDescent="0.2">
      <c r="D169" s="75" t="s">
        <v>176</v>
      </c>
      <c r="E169" s="88"/>
      <c r="F169" s="80">
        <v>0</v>
      </c>
      <c r="G169" s="80">
        <v>0</v>
      </c>
      <c r="H169" s="80">
        <v>0</v>
      </c>
      <c r="I169" s="75" t="s">
        <v>162</v>
      </c>
      <c r="J169" s="42">
        <f t="shared" si="6"/>
        <v>0</v>
      </c>
    </row>
    <row r="170" spans="1:10" s="10" customFormat="1" outlineLevel="1" x14ac:dyDescent="0.2">
      <c r="D170" s="75" t="s">
        <v>177</v>
      </c>
      <c r="E170" s="88"/>
      <c r="F170" s="80">
        <v>0</v>
      </c>
      <c r="G170" s="80">
        <v>0</v>
      </c>
      <c r="H170" s="80">
        <v>0</v>
      </c>
      <c r="I170" s="75" t="s">
        <v>162</v>
      </c>
      <c r="J170" s="42">
        <f t="shared" si="6"/>
        <v>0</v>
      </c>
    </row>
    <row r="171" spans="1:10" s="10" customFormat="1" outlineLevel="1" x14ac:dyDescent="0.2">
      <c r="D171" s="75" t="s">
        <v>178</v>
      </c>
      <c r="E171" s="88"/>
      <c r="F171" s="80">
        <v>0</v>
      </c>
      <c r="G171" s="80">
        <v>0</v>
      </c>
      <c r="H171" s="80">
        <v>0</v>
      </c>
      <c r="I171" s="75" t="s">
        <v>162</v>
      </c>
      <c r="J171" s="42">
        <f t="shared" si="6"/>
        <v>0</v>
      </c>
    </row>
    <row r="172" spans="1:10" s="10" customFormat="1" outlineLevel="1" x14ac:dyDescent="0.2">
      <c r="D172" s="75" t="s">
        <v>179</v>
      </c>
      <c r="E172" s="88"/>
      <c r="F172" s="80">
        <v>0</v>
      </c>
      <c r="G172" s="80">
        <v>0</v>
      </c>
      <c r="H172" s="80">
        <v>0</v>
      </c>
      <c r="I172" s="75" t="s">
        <v>162</v>
      </c>
      <c r="J172" s="42">
        <f t="shared" si="6"/>
        <v>0</v>
      </c>
    </row>
    <row r="173" spans="1:10" s="10" customFormat="1" outlineLevel="1" x14ac:dyDescent="0.2">
      <c r="D173" s="75" t="s">
        <v>180</v>
      </c>
      <c r="E173" s="88"/>
      <c r="F173" s="80">
        <v>0</v>
      </c>
      <c r="G173" s="80">
        <v>0</v>
      </c>
      <c r="H173" s="80">
        <v>0</v>
      </c>
      <c r="I173" s="75" t="s">
        <v>162</v>
      </c>
      <c r="J173" s="42">
        <f t="shared" si="6"/>
        <v>0</v>
      </c>
    </row>
    <row r="174" spans="1:10" s="10" customFormat="1" outlineLevel="1" x14ac:dyDescent="0.2">
      <c r="D174" s="75" t="s">
        <v>181</v>
      </c>
      <c r="E174" s="88"/>
      <c r="F174" s="80">
        <v>0</v>
      </c>
      <c r="G174" s="80">
        <v>0</v>
      </c>
      <c r="H174" s="80">
        <v>0</v>
      </c>
      <c r="I174" s="75" t="s">
        <v>162</v>
      </c>
      <c r="J174" s="42">
        <f t="shared" si="6"/>
        <v>0</v>
      </c>
    </row>
    <row r="175" spans="1:10" s="10" customFormat="1" outlineLevel="1" x14ac:dyDescent="0.2">
      <c r="D175" s="75" t="s">
        <v>182</v>
      </c>
      <c r="E175" s="88"/>
      <c r="F175" s="80">
        <v>0</v>
      </c>
      <c r="G175" s="80">
        <v>0</v>
      </c>
      <c r="H175" s="80">
        <v>0</v>
      </c>
      <c r="I175" s="75" t="s">
        <v>162</v>
      </c>
      <c r="J175" s="42">
        <f t="shared" si="6"/>
        <v>0</v>
      </c>
    </row>
    <row r="176" spans="1:10" s="10" customFormat="1" outlineLevel="1" x14ac:dyDescent="0.2">
      <c r="D176" s="55" t="str">
        <f>Lang_Error_Check_Flags_If_Input_Econ_Cost_Is_Less_Than_Fin_Cost</f>
        <v>ERROR CHECK (FLAGS IF INPUT ECONOMIC COST IS LESS THAN FINANCIAL COST)</v>
      </c>
      <c r="J176" s="43">
        <f>IF(ISERROR(SUM(J166:J175)),1,MIN(SUM(J166:J175),1))</f>
        <v>0</v>
      </c>
    </row>
    <row r="177" spans="1:10" s="10" customFormat="1" outlineLevel="1" x14ac:dyDescent="0.2"/>
    <row r="178" spans="1:10" s="10" customFormat="1" outlineLevel="1" x14ac:dyDescent="0.2">
      <c r="D178" s="76" t="str">
        <f>Lang_GoTo&amp;" "&amp;HL_TOP_ACTV_10_Supplies_and_Materials_Outputs</f>
        <v>Go to  Sensitisation Activity # 2 (Not in Use) Supplies and Materials - Outputs</v>
      </c>
    </row>
    <row r="179" spans="1:10" s="10" customFormat="1" x14ac:dyDescent="0.2"/>
    <row r="180" spans="1:10" s="13" customFormat="1" x14ac:dyDescent="0.2">
      <c r="A180" s="12" t="s">
        <v>127</v>
      </c>
      <c r="B180" s="13" t="str">
        <f>C182</f>
        <v xml:space="preserve"> Sensitisation Activity # 2 (Not in Use) - Detailed Other Direct Cost Assumptions</v>
      </c>
    </row>
    <row r="181" spans="1:10" s="10" customFormat="1" outlineLevel="1" x14ac:dyDescent="0.2"/>
    <row r="182" spans="1:10" s="10" customFormat="1" outlineLevel="1" x14ac:dyDescent="0.2">
      <c r="C182" s="71" t="str">
        <f>HL_TOP_ACTV_10_Name&amp;" - "&amp;Lang_Detailed_Other_Direct_Cost_Assumptions</f>
        <v xml:space="preserve"> Sensitisation Activity # 2 (Not in Use) - Detailed Other Direct Cost Assumptions</v>
      </c>
    </row>
    <row r="183" spans="1:10" s="10" customFormat="1" ht="48" outlineLevel="1" x14ac:dyDescent="0.2">
      <c r="D183" s="55" t="str">
        <f>Lang_Other_Direct_Cost_ODC_Type</f>
        <v>Other Direct Cost (ODC) Type</v>
      </c>
      <c r="E183" s="85" t="str">
        <f>Lang_ODC_Unit_Each_Dozen_100_Pack</f>
        <v>ODC Unit (e.g. Each, Dozen, 100-pack,etc.)</v>
      </c>
      <c r="F183" s="85" t="str">
        <f>Lang_Number_Of_ODC_Units_Required</f>
        <v>Number of ODC Units Required</v>
      </c>
      <c r="G183" s="86" t="str">
        <f ca="1">SENS_Lu!$D$67&amp;" "&amp;Lang_Cost_Per_Activity_Unit&amp;" ("&amp;OFFSET(SENS_Lu!$D$46,DD_TOP_ACTV_10_Detailed_Currency_Used,0)&amp;")"</f>
        <v>Financial Cost per Activity Unit (USD)</v>
      </c>
      <c r="H183" s="86" t="str">
        <f ca="1">SENS_Lu!$D$68&amp;" "&amp;Lang_Cost_Per_Activity_Unit&amp;" ("&amp;OFFSET(SENS_Lu!$D$46,DD_TOP_ACTV_10_Detailed_Currency_Used,0)&amp;")"</f>
        <v>Economic Cost per Activity Unit (USD)</v>
      </c>
      <c r="I183" s="87" t="str">
        <f>Lang_Evidence_For_Using_This_Cost_Information_Source_Or_Notes</f>
        <v>Evidence for Using this Cost Information (source or notes)</v>
      </c>
    </row>
    <row r="184" spans="1:10" s="10" customFormat="1" outlineLevel="1" x14ac:dyDescent="0.2">
      <c r="D184" s="75" t="s">
        <v>183</v>
      </c>
      <c r="E184" s="88"/>
      <c r="F184" s="80">
        <v>0</v>
      </c>
      <c r="G184" s="80">
        <v>0</v>
      </c>
      <c r="H184" s="80">
        <v>0</v>
      </c>
      <c r="I184" s="75" t="s">
        <v>162</v>
      </c>
      <c r="J184" s="42">
        <f t="shared" ref="J184:J193" si="7">IF(H184&lt;G184,1,0)</f>
        <v>0</v>
      </c>
    </row>
    <row r="185" spans="1:10" s="10" customFormat="1" outlineLevel="1" x14ac:dyDescent="0.2">
      <c r="D185" s="75" t="s">
        <v>184</v>
      </c>
      <c r="E185" s="88"/>
      <c r="F185" s="80">
        <v>0</v>
      </c>
      <c r="G185" s="80">
        <v>0</v>
      </c>
      <c r="H185" s="80">
        <v>0</v>
      </c>
      <c r="I185" s="75" t="s">
        <v>162</v>
      </c>
      <c r="J185" s="42">
        <f t="shared" si="7"/>
        <v>0</v>
      </c>
    </row>
    <row r="186" spans="1:10" s="10" customFormat="1" outlineLevel="1" x14ac:dyDescent="0.2">
      <c r="D186" s="75" t="s">
        <v>185</v>
      </c>
      <c r="E186" s="88"/>
      <c r="F186" s="80">
        <v>0</v>
      </c>
      <c r="G186" s="80">
        <v>0</v>
      </c>
      <c r="H186" s="80">
        <v>0</v>
      </c>
      <c r="I186" s="75" t="s">
        <v>162</v>
      </c>
      <c r="J186" s="42">
        <f t="shared" si="7"/>
        <v>0</v>
      </c>
    </row>
    <row r="187" spans="1:10" s="10" customFormat="1" outlineLevel="1" x14ac:dyDescent="0.2">
      <c r="D187" s="75" t="s">
        <v>186</v>
      </c>
      <c r="E187" s="88"/>
      <c r="F187" s="80">
        <v>0</v>
      </c>
      <c r="G187" s="80">
        <v>0</v>
      </c>
      <c r="H187" s="80">
        <v>0</v>
      </c>
      <c r="I187" s="75" t="s">
        <v>162</v>
      </c>
      <c r="J187" s="42">
        <f t="shared" si="7"/>
        <v>0</v>
      </c>
    </row>
    <row r="188" spans="1:10" s="10" customFormat="1" outlineLevel="1" x14ac:dyDescent="0.2">
      <c r="D188" s="75" t="s">
        <v>187</v>
      </c>
      <c r="E188" s="88"/>
      <c r="F188" s="80">
        <v>0</v>
      </c>
      <c r="G188" s="80">
        <v>0</v>
      </c>
      <c r="H188" s="80">
        <v>0</v>
      </c>
      <c r="I188" s="75" t="s">
        <v>162</v>
      </c>
      <c r="J188" s="42">
        <f t="shared" si="7"/>
        <v>0</v>
      </c>
    </row>
    <row r="189" spans="1:10" s="10" customFormat="1" outlineLevel="1" x14ac:dyDescent="0.2">
      <c r="D189" s="75" t="s">
        <v>188</v>
      </c>
      <c r="E189" s="88"/>
      <c r="F189" s="80">
        <v>0</v>
      </c>
      <c r="G189" s="80">
        <v>0</v>
      </c>
      <c r="H189" s="80">
        <v>0</v>
      </c>
      <c r="I189" s="75" t="s">
        <v>162</v>
      </c>
      <c r="J189" s="42">
        <f t="shared" si="7"/>
        <v>0</v>
      </c>
    </row>
    <row r="190" spans="1:10" s="10" customFormat="1" outlineLevel="1" x14ac:dyDescent="0.2">
      <c r="D190" s="75" t="s">
        <v>189</v>
      </c>
      <c r="E190" s="88"/>
      <c r="F190" s="80">
        <v>0</v>
      </c>
      <c r="G190" s="80">
        <v>0</v>
      </c>
      <c r="H190" s="80">
        <v>0</v>
      </c>
      <c r="I190" s="75" t="s">
        <v>162</v>
      </c>
      <c r="J190" s="42">
        <f t="shared" si="7"/>
        <v>0</v>
      </c>
    </row>
    <row r="191" spans="1:10" s="10" customFormat="1" outlineLevel="1" x14ac:dyDescent="0.2">
      <c r="D191" s="75" t="s">
        <v>190</v>
      </c>
      <c r="E191" s="88"/>
      <c r="F191" s="80">
        <v>0</v>
      </c>
      <c r="G191" s="80">
        <v>0</v>
      </c>
      <c r="H191" s="80">
        <v>0</v>
      </c>
      <c r="I191" s="75" t="s">
        <v>162</v>
      </c>
      <c r="J191" s="42">
        <f t="shared" si="7"/>
        <v>0</v>
      </c>
    </row>
    <row r="192" spans="1:10" s="10" customFormat="1" outlineLevel="1" x14ac:dyDescent="0.2">
      <c r="D192" s="75" t="s">
        <v>191</v>
      </c>
      <c r="E192" s="88"/>
      <c r="F192" s="80">
        <v>0</v>
      </c>
      <c r="G192" s="80">
        <v>0</v>
      </c>
      <c r="H192" s="80">
        <v>0</v>
      </c>
      <c r="I192" s="75" t="s">
        <v>162</v>
      </c>
      <c r="J192" s="42">
        <f t="shared" si="7"/>
        <v>0</v>
      </c>
    </row>
    <row r="193" spans="1:10" s="10" customFormat="1" outlineLevel="1" x14ac:dyDescent="0.2">
      <c r="D193" s="75" t="s">
        <v>192</v>
      </c>
      <c r="E193" s="88"/>
      <c r="F193" s="80">
        <v>0</v>
      </c>
      <c r="G193" s="80">
        <v>0</v>
      </c>
      <c r="H193" s="80">
        <v>0</v>
      </c>
      <c r="I193" s="75" t="s">
        <v>162</v>
      </c>
      <c r="J193" s="42">
        <f t="shared" si="7"/>
        <v>0</v>
      </c>
    </row>
    <row r="194" spans="1:10" s="10" customFormat="1" outlineLevel="1" x14ac:dyDescent="0.2">
      <c r="D194" s="55" t="str">
        <f>Lang_Error_Check_Flags_If_Input_Econ_Cost_Is_Less_Than_Fin_Cost</f>
        <v>ERROR CHECK (FLAGS IF INPUT ECONOMIC COST IS LESS THAN FINANCIAL COST)</v>
      </c>
      <c r="J194" s="43">
        <f>IF(ISERROR(SUM(J184:J193)),1,MIN(SUM(J184:J193),1))</f>
        <v>0</v>
      </c>
    </row>
    <row r="195" spans="1:10" s="10" customFormat="1" outlineLevel="1" x14ac:dyDescent="0.2"/>
    <row r="196" spans="1:10" s="10" customFormat="1" outlineLevel="1" x14ac:dyDescent="0.2">
      <c r="D196" s="76" t="str">
        <f>Lang_GoTo&amp;" "&amp;HL_TOP_ACTV_10_Other_Direct_Costs_Outputs</f>
        <v>Go to  Sensitisation Activity # 2 (Not in Use) Other Direct Costs - Outputs</v>
      </c>
    </row>
    <row r="197" spans="1:10" s="10" customFormat="1" x14ac:dyDescent="0.2"/>
    <row r="198" spans="1:10" s="13" customFormat="1" x14ac:dyDescent="0.2">
      <c r="A198" s="12" t="s">
        <v>125</v>
      </c>
      <c r="B198" s="13" t="str">
        <f>C200</f>
        <v xml:space="preserve"> Sensitisation Activity # 3 (Not in Use) -  Detailed Activity Costing Worksheet - Instructions</v>
      </c>
    </row>
    <row r="199" spans="1:10" s="10" customFormat="1" outlineLevel="1" x14ac:dyDescent="0.2"/>
    <row r="200" spans="1:10" s="10" customFormat="1" outlineLevel="1" x14ac:dyDescent="0.2">
      <c r="C200" s="71" t="str">
        <f>HL_TOP_ACTV_11_Name&amp;" -  "&amp;Lang_Detailed_Activity_Costing_Worksheet_Instructions</f>
        <v xml:space="preserve"> Sensitisation Activity # 3 (Not in Use) -  Detailed Activity Costing Worksheet - Instructions</v>
      </c>
    </row>
    <row r="201" spans="1:10" s="10" customFormat="1" outlineLevel="1" x14ac:dyDescent="0.2"/>
    <row r="202" spans="1:10" s="10" customFormat="1" outlineLevel="1" x14ac:dyDescent="0.2">
      <c r="D202" s="50" t="str">
        <f>Lang_Detailed_Costing_Worksheets_Notes_1</f>
        <v>This detailed costing worksheet can be used to document the types and amounts of resources required to complete a single instance of an activity.</v>
      </c>
    </row>
    <row r="203" spans="1:10" s="10" customFormat="1" outlineLevel="1" x14ac:dyDescent="0.2">
      <c r="D203" s="50" t="str">
        <f>Lang_Detailed_Costing_Worksheets_Notes_2</f>
        <v>When completed, it will automatically provide a single activity cost in the general assumption worksheet.</v>
      </c>
    </row>
    <row r="204" spans="1:10" s="10" customFormat="1" outlineLevel="1" x14ac:dyDescent="0.2">
      <c r="D204" s="50" t="str">
        <f>Lang_Detailed_Costing_Worksheets_Notes_3</f>
        <v>The user may then choose to use the results of the detailed costing in the model, or override the detailed costing and insert alternate cost estimates.</v>
      </c>
    </row>
    <row r="205" spans="1:10" s="10" customFormat="1" x14ac:dyDescent="0.2"/>
    <row r="206" spans="1:10" s="13" customFormat="1" x14ac:dyDescent="0.2">
      <c r="A206" s="12" t="s">
        <v>125</v>
      </c>
      <c r="B206" s="13" t="str">
        <f>C208</f>
        <v xml:space="preserve"> Sensitisation Activity # 3 (Not in Use) - Detailed Activity Costing Worksheet - Currency Selection</v>
      </c>
    </row>
    <row r="207" spans="1:10" s="10" customFormat="1" outlineLevel="1" x14ac:dyDescent="0.2"/>
    <row r="208" spans="1:10" s="10" customFormat="1" outlineLevel="1" x14ac:dyDescent="0.2">
      <c r="C208" s="71" t="str">
        <f>HL_TOP_ACTV_11_Name&amp;" - "&amp;Lang_Detailed_Activity_Costing_Worksheet_Currency_Selection</f>
        <v xml:space="preserve"> Sensitisation Activity # 3 (Not in Use) - Detailed Activity Costing Worksheet - Currency Selection</v>
      </c>
    </row>
    <row r="209" spans="1:10" s="10" customFormat="1" outlineLevel="1" x14ac:dyDescent="0.2">
      <c r="D209" s="55" t="str">
        <f>Lang_Currency_Used_For_Cost_Inputs</f>
        <v>Currency Used for Cost Inputs</v>
      </c>
      <c r="E209" s="72">
        <v>1</v>
      </c>
    </row>
    <row r="210" spans="1:10" s="10" customFormat="1" outlineLevel="1" x14ac:dyDescent="0.2"/>
    <row r="211" spans="1:10" s="10" customFormat="1" outlineLevel="1" x14ac:dyDescent="0.2"/>
    <row r="212" spans="1:10" s="10" customFormat="1" outlineLevel="1" x14ac:dyDescent="0.2">
      <c r="D212" s="54" t="str">
        <f>Lang_Imported_From_Econ_Module</f>
        <v>Imported from Econ Module</v>
      </c>
    </row>
    <row r="213" spans="1:10" s="10" customFormat="1" outlineLevel="1" x14ac:dyDescent="0.2">
      <c r="D213" s="49" t="str">
        <f>ECONOMICS!F7</f>
        <v>USD</v>
      </c>
    </row>
    <row r="214" spans="1:10" s="10" customFormat="1" outlineLevel="1" x14ac:dyDescent="0.2">
      <c r="D214" s="49" t="str">
        <f>ECONOMICS!F8</f>
        <v>LCU</v>
      </c>
    </row>
    <row r="215" spans="1:10" s="10" customFormat="1" outlineLevel="1" x14ac:dyDescent="0.2"/>
    <row r="216" spans="1:10" s="10" customFormat="1" outlineLevel="1" x14ac:dyDescent="0.2">
      <c r="D216" s="50" t="str">
        <f>Lang_Exchange_Rate_From_Econ</f>
        <v>Exchange Rate (from Economics)</v>
      </c>
      <c r="E216" s="41">
        <f>ECONOMICS!E13</f>
        <v>1234.5</v>
      </c>
    </row>
    <row r="217" spans="1:10" s="10" customFormat="1" x14ac:dyDescent="0.2"/>
    <row r="218" spans="1:10" s="13" customFormat="1" x14ac:dyDescent="0.2">
      <c r="A218" s="12" t="s">
        <v>127</v>
      </c>
      <c r="B218" s="13" t="str">
        <f>C220</f>
        <v xml:space="preserve"> Sensitisation Activity # 3 (Not in Use) - Detailed Personnel Cost Assumptions</v>
      </c>
    </row>
    <row r="219" spans="1:10" s="10" customFormat="1" outlineLevel="1" x14ac:dyDescent="0.2"/>
    <row r="220" spans="1:10" s="10" customFormat="1" outlineLevel="1" x14ac:dyDescent="0.2">
      <c r="C220" s="71" t="str">
        <f>HL_TOP_ACTV_11_Name&amp;" - "&amp;Lang_Detailed_Personnel_Cost_Assumptions</f>
        <v xml:space="preserve"> Sensitisation Activity # 3 (Not in Use) - Detailed Personnel Cost Assumptions</v>
      </c>
    </row>
    <row r="221" spans="1:10" s="10" customFormat="1" ht="48" outlineLevel="1" x14ac:dyDescent="0.2">
      <c r="D221" s="55" t="str">
        <f>Lang_Personnel_Cadre_Type</f>
        <v>Personnel Cadre Type</v>
      </c>
      <c r="E221" s="85" t="str">
        <f>Lang_Activity_Unit_Day_Hour_Minute</f>
        <v>Activity Unit (e.g. Day, Hour, Minute)</v>
      </c>
      <c r="F221" s="85" t="str">
        <f>Lang_Number_Of_Activity_Units_Required</f>
        <v>Number of Activity Units Required</v>
      </c>
      <c r="G221" s="86" t="str">
        <f ca="1">SENS_Lu!$D$102&amp;" "&amp;Lang_Cost_Per_Activity_Unit&amp;" ("&amp;OFFSET(SENS_Lu!$D$81,DD_TOP_ACTV_11_Detailed_Currency_Used,0)&amp;")"</f>
        <v>Financial Cost per Activity Unit (USD)</v>
      </c>
      <c r="H221" s="86" t="str">
        <f ca="1">SENS_Lu!$D$103&amp;" "&amp;Lang_Cost_Per_Activity_Unit&amp;" ("&amp;OFFSET(SENS_Lu!$D$81,DD_TOP_ACTV_11_Detailed_Currency_Used,0)&amp;")"</f>
        <v>Economic Cost per Activity Unit (USD)</v>
      </c>
      <c r="I221" s="87" t="str">
        <f>Lang_Evidence_For_Using_This_Cost_Information_Source_Or_Notes</f>
        <v>Evidence for Using this Cost Information (source or notes)</v>
      </c>
    </row>
    <row r="222" spans="1:10" s="10" customFormat="1" outlineLevel="1" x14ac:dyDescent="0.2">
      <c r="D222" s="75" t="s">
        <v>152</v>
      </c>
      <c r="E222" s="88"/>
      <c r="F222" s="80">
        <v>0</v>
      </c>
      <c r="G222" s="80">
        <v>0</v>
      </c>
      <c r="H222" s="80">
        <v>0</v>
      </c>
      <c r="I222" s="75" t="s">
        <v>162</v>
      </c>
      <c r="J222" s="42">
        <f t="shared" ref="J222:J236" si="8">IF(H222&lt;G222,1,0)</f>
        <v>0</v>
      </c>
    </row>
    <row r="223" spans="1:10" s="10" customFormat="1" outlineLevel="1" x14ac:dyDescent="0.2">
      <c r="D223" s="75" t="s">
        <v>153</v>
      </c>
      <c r="E223" s="88"/>
      <c r="F223" s="80">
        <v>0</v>
      </c>
      <c r="G223" s="80">
        <v>0</v>
      </c>
      <c r="H223" s="80">
        <v>0</v>
      </c>
      <c r="I223" s="75" t="s">
        <v>162</v>
      </c>
      <c r="J223" s="42">
        <f t="shared" si="8"/>
        <v>0</v>
      </c>
    </row>
    <row r="224" spans="1:10" s="10" customFormat="1" outlineLevel="1" x14ac:dyDescent="0.2">
      <c r="D224" s="75" t="s">
        <v>154</v>
      </c>
      <c r="E224" s="88"/>
      <c r="F224" s="80">
        <v>0</v>
      </c>
      <c r="G224" s="80">
        <v>0</v>
      </c>
      <c r="H224" s="80">
        <v>0</v>
      </c>
      <c r="I224" s="75" t="s">
        <v>162</v>
      </c>
      <c r="J224" s="42">
        <f t="shared" si="8"/>
        <v>0</v>
      </c>
    </row>
    <row r="225" spans="4:10" s="10" customFormat="1" outlineLevel="1" x14ac:dyDescent="0.2">
      <c r="D225" s="75" t="s">
        <v>155</v>
      </c>
      <c r="E225" s="88"/>
      <c r="F225" s="80">
        <v>0</v>
      </c>
      <c r="G225" s="80">
        <v>0</v>
      </c>
      <c r="H225" s="80">
        <v>0</v>
      </c>
      <c r="I225" s="75" t="s">
        <v>162</v>
      </c>
      <c r="J225" s="42">
        <f t="shared" si="8"/>
        <v>0</v>
      </c>
    </row>
    <row r="226" spans="4:10" s="10" customFormat="1" outlineLevel="1" x14ac:dyDescent="0.2">
      <c r="D226" s="75" t="s">
        <v>156</v>
      </c>
      <c r="E226" s="88"/>
      <c r="F226" s="80">
        <v>0</v>
      </c>
      <c r="G226" s="80">
        <v>0</v>
      </c>
      <c r="H226" s="80">
        <v>0</v>
      </c>
      <c r="I226" s="75" t="s">
        <v>162</v>
      </c>
      <c r="J226" s="42">
        <f t="shared" si="8"/>
        <v>0</v>
      </c>
    </row>
    <row r="227" spans="4:10" s="10" customFormat="1" outlineLevel="1" x14ac:dyDescent="0.2">
      <c r="D227" s="75" t="s">
        <v>157</v>
      </c>
      <c r="E227" s="88"/>
      <c r="F227" s="80">
        <v>0</v>
      </c>
      <c r="G227" s="80">
        <v>0</v>
      </c>
      <c r="H227" s="80">
        <v>0</v>
      </c>
      <c r="I227" s="75" t="s">
        <v>162</v>
      </c>
      <c r="J227" s="42">
        <f t="shared" si="8"/>
        <v>0</v>
      </c>
    </row>
    <row r="228" spans="4:10" s="10" customFormat="1" outlineLevel="1" x14ac:dyDescent="0.2">
      <c r="D228" s="75" t="s">
        <v>158</v>
      </c>
      <c r="E228" s="88"/>
      <c r="F228" s="80">
        <v>0</v>
      </c>
      <c r="G228" s="80">
        <v>0</v>
      </c>
      <c r="H228" s="80">
        <v>0</v>
      </c>
      <c r="I228" s="75" t="s">
        <v>162</v>
      </c>
      <c r="J228" s="42">
        <f t="shared" si="8"/>
        <v>0</v>
      </c>
    </row>
    <row r="229" spans="4:10" s="10" customFormat="1" outlineLevel="1" x14ac:dyDescent="0.2">
      <c r="D229" s="75" t="s">
        <v>159</v>
      </c>
      <c r="E229" s="88"/>
      <c r="F229" s="80">
        <v>0</v>
      </c>
      <c r="G229" s="80">
        <v>0</v>
      </c>
      <c r="H229" s="80">
        <v>0</v>
      </c>
      <c r="I229" s="75" t="s">
        <v>162</v>
      </c>
      <c r="J229" s="42">
        <f t="shared" si="8"/>
        <v>0</v>
      </c>
    </row>
    <row r="230" spans="4:10" s="10" customFormat="1" outlineLevel="1" x14ac:dyDescent="0.2">
      <c r="D230" s="75" t="s">
        <v>160</v>
      </c>
      <c r="E230" s="88"/>
      <c r="F230" s="80">
        <v>0</v>
      </c>
      <c r="G230" s="80">
        <v>0</v>
      </c>
      <c r="H230" s="80">
        <v>0</v>
      </c>
      <c r="I230" s="75" t="s">
        <v>162</v>
      </c>
      <c r="J230" s="42">
        <f t="shared" si="8"/>
        <v>0</v>
      </c>
    </row>
    <row r="231" spans="4:10" s="10" customFormat="1" outlineLevel="1" x14ac:dyDescent="0.2">
      <c r="D231" s="75" t="s">
        <v>161</v>
      </c>
      <c r="E231" s="88"/>
      <c r="F231" s="80">
        <v>0</v>
      </c>
      <c r="G231" s="80">
        <v>0</v>
      </c>
      <c r="H231" s="80">
        <v>0</v>
      </c>
      <c r="I231" s="75" t="s">
        <v>162</v>
      </c>
      <c r="J231" s="42">
        <f t="shared" si="8"/>
        <v>0</v>
      </c>
    </row>
    <row r="232" spans="4:10" s="10" customFormat="1" outlineLevel="1" x14ac:dyDescent="0.2">
      <c r="D232" s="75" t="s">
        <v>393</v>
      </c>
      <c r="E232" s="88"/>
      <c r="F232" s="80">
        <v>0</v>
      </c>
      <c r="G232" s="80">
        <v>0</v>
      </c>
      <c r="H232" s="80">
        <v>0</v>
      </c>
      <c r="I232" s="75" t="s">
        <v>162</v>
      </c>
      <c r="J232" s="42">
        <f t="shared" si="8"/>
        <v>0</v>
      </c>
    </row>
    <row r="233" spans="4:10" s="10" customFormat="1" outlineLevel="1" x14ac:dyDescent="0.2">
      <c r="D233" s="75" t="s">
        <v>394</v>
      </c>
      <c r="E233" s="88"/>
      <c r="F233" s="80">
        <v>0</v>
      </c>
      <c r="G233" s="80">
        <v>0</v>
      </c>
      <c r="H233" s="80">
        <v>0</v>
      </c>
      <c r="I233" s="75" t="s">
        <v>162</v>
      </c>
      <c r="J233" s="42">
        <f t="shared" si="8"/>
        <v>0</v>
      </c>
    </row>
    <row r="234" spans="4:10" s="10" customFormat="1" outlineLevel="1" x14ac:dyDescent="0.2">
      <c r="D234" s="75" t="s">
        <v>395</v>
      </c>
      <c r="E234" s="88"/>
      <c r="F234" s="80">
        <v>0</v>
      </c>
      <c r="G234" s="80">
        <v>0</v>
      </c>
      <c r="H234" s="80">
        <v>0</v>
      </c>
      <c r="I234" s="75" t="s">
        <v>162</v>
      </c>
      <c r="J234" s="42">
        <f t="shared" si="8"/>
        <v>0</v>
      </c>
    </row>
    <row r="235" spans="4:10" s="10" customFormat="1" outlineLevel="1" x14ac:dyDescent="0.2">
      <c r="D235" s="75" t="s">
        <v>396</v>
      </c>
      <c r="E235" s="88"/>
      <c r="F235" s="80">
        <v>0</v>
      </c>
      <c r="G235" s="80">
        <v>0</v>
      </c>
      <c r="H235" s="80">
        <v>0</v>
      </c>
      <c r="I235" s="75" t="s">
        <v>162</v>
      </c>
      <c r="J235" s="42">
        <f t="shared" si="8"/>
        <v>0</v>
      </c>
    </row>
    <row r="236" spans="4:10" s="10" customFormat="1" outlineLevel="1" x14ac:dyDescent="0.2">
      <c r="D236" s="75" t="s">
        <v>397</v>
      </c>
      <c r="E236" s="88"/>
      <c r="F236" s="80">
        <v>0</v>
      </c>
      <c r="G236" s="80">
        <v>0</v>
      </c>
      <c r="H236" s="80">
        <v>0</v>
      </c>
      <c r="I236" s="75" t="s">
        <v>162</v>
      </c>
      <c r="J236" s="42">
        <f t="shared" si="8"/>
        <v>0</v>
      </c>
    </row>
    <row r="237" spans="4:10" s="10" customFormat="1" outlineLevel="1" x14ac:dyDescent="0.2">
      <c r="D237" s="55" t="str">
        <f>Lang_Error_Check_Flags_If_Input_Econ_Cost_Is_Less_Than_Fin_Cost</f>
        <v>ERROR CHECK (FLAGS IF INPUT ECONOMIC COST IS LESS THAN FINANCIAL COST)</v>
      </c>
      <c r="J237" s="43">
        <f>IF(ISERROR(SUM(J222:J236)),1,MIN(SUM(J222:J236),1))</f>
        <v>0</v>
      </c>
    </row>
    <row r="238" spans="4:10" s="10" customFormat="1" outlineLevel="1" x14ac:dyDescent="0.2"/>
    <row r="239" spans="4:10" s="10" customFormat="1" outlineLevel="1" x14ac:dyDescent="0.2">
      <c r="D239" s="76" t="str">
        <f>Lang_GoTo&amp;" "&amp;HL_TOP_ACTV_11_Personnel_Outputs</f>
        <v>Go to  Sensitisation Activity # 3 (Not in Use) Personnel - Outputs</v>
      </c>
    </row>
    <row r="240" spans="4:10" s="10" customFormat="1" x14ac:dyDescent="0.2"/>
    <row r="241" spans="1:10" s="13" customFormat="1" x14ac:dyDescent="0.2">
      <c r="A241" s="12" t="s">
        <v>127</v>
      </c>
      <c r="B241" s="13" t="str">
        <f>C243</f>
        <v xml:space="preserve"> Sensitisation Activity # 3 (Not in Use) - Detailed Allowance Cost Assumptions</v>
      </c>
    </row>
    <row r="242" spans="1:10" s="10" customFormat="1" outlineLevel="1" x14ac:dyDescent="0.2"/>
    <row r="243" spans="1:10" s="10" customFormat="1" outlineLevel="1" x14ac:dyDescent="0.2">
      <c r="C243" s="71" t="str">
        <f>HL_TOP_ACTV_11_Name&amp;" - "&amp;Lang_Detailed_Allowance_Cost_Assumptions</f>
        <v xml:space="preserve"> Sensitisation Activity # 3 (Not in Use) - Detailed Allowance Cost Assumptions</v>
      </c>
    </row>
    <row r="244" spans="1:10" s="10" customFormat="1" ht="48" outlineLevel="1" x14ac:dyDescent="0.2">
      <c r="D244" s="55" t="str">
        <f>Lang_Allowance_Type</f>
        <v>Allowance Type</v>
      </c>
      <c r="E244" s="85" t="str">
        <f>Lang_Allowance_Unit_Per_Day_Round_Trip_Travel</f>
        <v>Allowance Unit (e.g. Per Day, Round-trip Travel,etc.)</v>
      </c>
      <c r="F244" s="85" t="str">
        <f>Lang_Number_Of_Allowance_Units_Required</f>
        <v>Number of Allowance Units Required</v>
      </c>
      <c r="G244" s="86" t="str">
        <f ca="1">SENS_Lu!$D$102&amp;" "&amp;Lang_Cost_Per_Activity_Unit&amp;" ("&amp;OFFSET(SENS_Lu!$D$81,DD_TOP_ACTV_11_Detailed_Currency_Used,0)&amp;")"</f>
        <v>Financial Cost per Activity Unit (USD)</v>
      </c>
      <c r="H244" s="86" t="str">
        <f ca="1">SENS_Lu!$D$103&amp;" "&amp;Lang_Cost_Per_Activity_Unit&amp;" ("&amp;OFFSET(SENS_Lu!$D$81,DD_TOP_ACTV_11_Detailed_Currency_Used,0)&amp;")"</f>
        <v>Economic Cost per Activity Unit (USD)</v>
      </c>
      <c r="I244" s="87" t="str">
        <f>Lang_Evidence_For_Using_This_Cost_Information_Source_Or_Notes</f>
        <v>Evidence for Using this Cost Information (source or notes)</v>
      </c>
    </row>
    <row r="245" spans="1:10" s="10" customFormat="1" outlineLevel="1" x14ac:dyDescent="0.2">
      <c r="D245" s="75" t="s">
        <v>163</v>
      </c>
      <c r="E245" s="88"/>
      <c r="F245" s="80">
        <v>0</v>
      </c>
      <c r="G245" s="80">
        <v>0</v>
      </c>
      <c r="H245" s="80">
        <v>0</v>
      </c>
      <c r="I245" s="75" t="s">
        <v>162</v>
      </c>
      <c r="J245" s="42">
        <f t="shared" ref="J245:J254" si="9">IF(H245&lt;G245,1,0)</f>
        <v>0</v>
      </c>
    </row>
    <row r="246" spans="1:10" s="10" customFormat="1" outlineLevel="1" x14ac:dyDescent="0.2">
      <c r="D246" s="75" t="s">
        <v>164</v>
      </c>
      <c r="E246" s="88"/>
      <c r="F246" s="80">
        <v>0</v>
      </c>
      <c r="G246" s="80">
        <v>0</v>
      </c>
      <c r="H246" s="80">
        <v>0</v>
      </c>
      <c r="I246" s="75" t="s">
        <v>162</v>
      </c>
      <c r="J246" s="42">
        <f t="shared" si="9"/>
        <v>0</v>
      </c>
    </row>
    <row r="247" spans="1:10" s="10" customFormat="1" outlineLevel="1" x14ac:dyDescent="0.2">
      <c r="D247" s="75" t="s">
        <v>165</v>
      </c>
      <c r="E247" s="88"/>
      <c r="F247" s="80">
        <v>0</v>
      </c>
      <c r="G247" s="80">
        <v>0</v>
      </c>
      <c r="H247" s="80">
        <v>0</v>
      </c>
      <c r="I247" s="75" t="s">
        <v>162</v>
      </c>
      <c r="J247" s="42">
        <f t="shared" si="9"/>
        <v>0</v>
      </c>
    </row>
    <row r="248" spans="1:10" s="10" customFormat="1" outlineLevel="1" x14ac:dyDescent="0.2">
      <c r="D248" s="75" t="s">
        <v>166</v>
      </c>
      <c r="E248" s="88"/>
      <c r="F248" s="80">
        <v>0</v>
      </c>
      <c r="G248" s="80">
        <v>0</v>
      </c>
      <c r="H248" s="80">
        <v>0</v>
      </c>
      <c r="I248" s="75" t="s">
        <v>162</v>
      </c>
      <c r="J248" s="42">
        <f t="shared" si="9"/>
        <v>0</v>
      </c>
    </row>
    <row r="249" spans="1:10" s="10" customFormat="1" outlineLevel="1" x14ac:dyDescent="0.2">
      <c r="D249" s="75" t="s">
        <v>167</v>
      </c>
      <c r="E249" s="88"/>
      <c r="F249" s="80">
        <v>0</v>
      </c>
      <c r="G249" s="80">
        <v>0</v>
      </c>
      <c r="H249" s="80">
        <v>0</v>
      </c>
      <c r="I249" s="75" t="s">
        <v>162</v>
      </c>
      <c r="J249" s="42">
        <f t="shared" si="9"/>
        <v>0</v>
      </c>
    </row>
    <row r="250" spans="1:10" s="10" customFormat="1" outlineLevel="1" x14ac:dyDescent="0.2">
      <c r="D250" s="75" t="s">
        <v>168</v>
      </c>
      <c r="E250" s="88"/>
      <c r="F250" s="80">
        <v>0</v>
      </c>
      <c r="G250" s="80">
        <v>0</v>
      </c>
      <c r="H250" s="80">
        <v>0</v>
      </c>
      <c r="I250" s="75" t="s">
        <v>162</v>
      </c>
      <c r="J250" s="42">
        <f t="shared" si="9"/>
        <v>0</v>
      </c>
    </row>
    <row r="251" spans="1:10" s="10" customFormat="1" outlineLevel="1" x14ac:dyDescent="0.2">
      <c r="D251" s="75" t="s">
        <v>169</v>
      </c>
      <c r="E251" s="88"/>
      <c r="F251" s="80">
        <v>0</v>
      </c>
      <c r="G251" s="80">
        <v>0</v>
      </c>
      <c r="H251" s="80">
        <v>0</v>
      </c>
      <c r="I251" s="75" t="s">
        <v>162</v>
      </c>
      <c r="J251" s="42">
        <f t="shared" si="9"/>
        <v>0</v>
      </c>
    </row>
    <row r="252" spans="1:10" s="10" customFormat="1" outlineLevel="1" x14ac:dyDescent="0.2">
      <c r="D252" s="75" t="s">
        <v>170</v>
      </c>
      <c r="E252" s="88"/>
      <c r="F252" s="80">
        <v>0</v>
      </c>
      <c r="G252" s="80">
        <v>0</v>
      </c>
      <c r="H252" s="80">
        <v>0</v>
      </c>
      <c r="I252" s="75" t="s">
        <v>162</v>
      </c>
      <c r="J252" s="42">
        <f t="shared" si="9"/>
        <v>0</v>
      </c>
    </row>
    <row r="253" spans="1:10" s="10" customFormat="1" outlineLevel="1" x14ac:dyDescent="0.2">
      <c r="D253" s="75" t="s">
        <v>171</v>
      </c>
      <c r="E253" s="88"/>
      <c r="F253" s="80">
        <v>0</v>
      </c>
      <c r="G253" s="80">
        <v>0</v>
      </c>
      <c r="H253" s="80">
        <v>0</v>
      </c>
      <c r="I253" s="75" t="s">
        <v>162</v>
      </c>
      <c r="J253" s="42">
        <f t="shared" si="9"/>
        <v>0</v>
      </c>
    </row>
    <row r="254" spans="1:10" s="10" customFormat="1" outlineLevel="1" x14ac:dyDescent="0.2">
      <c r="D254" s="75" t="s">
        <v>172</v>
      </c>
      <c r="E254" s="88"/>
      <c r="F254" s="80">
        <v>0</v>
      </c>
      <c r="G254" s="80">
        <v>0</v>
      </c>
      <c r="H254" s="80">
        <v>0</v>
      </c>
      <c r="I254" s="75" t="s">
        <v>162</v>
      </c>
      <c r="J254" s="42">
        <f t="shared" si="9"/>
        <v>0</v>
      </c>
    </row>
    <row r="255" spans="1:10" s="10" customFormat="1" outlineLevel="1" x14ac:dyDescent="0.2">
      <c r="D255" s="55" t="str">
        <f>Lang_Error_Check_Flags_If_Input_Econ_Cost_Is_Less_Than_Fin_Cost</f>
        <v>ERROR CHECK (FLAGS IF INPUT ECONOMIC COST IS LESS THAN FINANCIAL COST)</v>
      </c>
      <c r="J255" s="43">
        <f>IF(ISERROR(SUM(J245:J254)),1,MIN(SUM(J245:J254),1))</f>
        <v>0</v>
      </c>
    </row>
    <row r="256" spans="1:10" s="10" customFormat="1" outlineLevel="1" x14ac:dyDescent="0.2"/>
    <row r="257" spans="1:10" s="10" customFormat="1" outlineLevel="1" x14ac:dyDescent="0.2">
      <c r="D257" s="76" t="str">
        <f>Lang_GoTo&amp;" "&amp;HL_TOP_ACTV_11_Out_A</f>
        <v>Go to  Sensitisation Activity # 3 (Not in Use) Allowances - Outputs</v>
      </c>
    </row>
    <row r="258" spans="1:10" s="10" customFormat="1" x14ac:dyDescent="0.2"/>
    <row r="259" spans="1:10" s="13" customFormat="1" x14ac:dyDescent="0.2">
      <c r="A259" s="12" t="s">
        <v>127</v>
      </c>
      <c r="B259" s="13" t="str">
        <f>C261</f>
        <v xml:space="preserve"> Sensitisation Activity # 3 (Not in Use) - Detailed Supply and Material Cost Assumptions</v>
      </c>
    </row>
    <row r="260" spans="1:10" s="10" customFormat="1" outlineLevel="1" x14ac:dyDescent="0.2"/>
    <row r="261" spans="1:10" s="10" customFormat="1" outlineLevel="1" x14ac:dyDescent="0.2">
      <c r="C261" s="71" t="str">
        <f>HL_TOP_ACTV_11_Name&amp;" - "&amp;Lang_Detailed_Supply_And_Material_Cost_Assumptions</f>
        <v xml:space="preserve"> Sensitisation Activity # 3 (Not in Use) - Detailed Supply and Material Cost Assumptions</v>
      </c>
    </row>
    <row r="262" spans="1:10" s="10" customFormat="1" ht="48" outlineLevel="1" x14ac:dyDescent="0.2">
      <c r="D262" s="55" t="str">
        <f>Lang_Supply_Type</f>
        <v>Supply Type</v>
      </c>
      <c r="E262" s="85" t="str">
        <f>Lang_Supply_Unit_Each_Dozen_100_Pack</f>
        <v>Supply Unit (e.g. Each, Dozen, 100-pack,etc.)</v>
      </c>
      <c r="F262" s="85" t="str">
        <f>Lang_Number_Of_Supply_Units_Required</f>
        <v>Number of Supply Units Required</v>
      </c>
      <c r="G262" s="86" t="str">
        <f ca="1">SENS_Lu!$D$102&amp;" "&amp;Lang_Cost_Per_Activity_Unit&amp;" ("&amp;OFFSET(SENS_Lu!$D$81,DD_TOP_ACTV_11_Detailed_Currency_Used,0)&amp;")"</f>
        <v>Financial Cost per Activity Unit (USD)</v>
      </c>
      <c r="H262" s="86" t="str">
        <f ca="1">SENS_Lu!$D$103&amp;" "&amp;Lang_Cost_Per_Activity_Unit&amp;" ("&amp;OFFSET(SENS_Lu!$D$81,DD_TOP_ACTV_11_Detailed_Currency_Used,0)&amp;")"</f>
        <v>Economic Cost per Activity Unit (USD)</v>
      </c>
      <c r="I262" s="87" t="str">
        <f>Lang_Evidence_For_Using_This_Cost_Information_Source_Or_Notes</f>
        <v>Evidence for Using this Cost Information (source or notes)</v>
      </c>
    </row>
    <row r="263" spans="1:10" s="10" customFormat="1" outlineLevel="1" x14ac:dyDescent="0.2">
      <c r="D263" s="75" t="s">
        <v>173</v>
      </c>
      <c r="E263" s="88"/>
      <c r="F263" s="80">
        <v>0</v>
      </c>
      <c r="G263" s="80">
        <v>0</v>
      </c>
      <c r="H263" s="80">
        <v>0</v>
      </c>
      <c r="I263" s="75" t="s">
        <v>162</v>
      </c>
      <c r="J263" s="42">
        <f t="shared" ref="J263:J272" si="10">IF(H263&lt;G263,1,0)</f>
        <v>0</v>
      </c>
    </row>
    <row r="264" spans="1:10" s="10" customFormat="1" outlineLevel="1" x14ac:dyDescent="0.2">
      <c r="D264" s="75" t="s">
        <v>174</v>
      </c>
      <c r="E264" s="88"/>
      <c r="F264" s="80">
        <v>0</v>
      </c>
      <c r="G264" s="80">
        <v>0</v>
      </c>
      <c r="H264" s="80">
        <v>0</v>
      </c>
      <c r="I264" s="75" t="s">
        <v>162</v>
      </c>
      <c r="J264" s="42">
        <f t="shared" si="10"/>
        <v>0</v>
      </c>
    </row>
    <row r="265" spans="1:10" s="10" customFormat="1" outlineLevel="1" x14ac:dyDescent="0.2">
      <c r="D265" s="75" t="s">
        <v>175</v>
      </c>
      <c r="E265" s="88"/>
      <c r="F265" s="80">
        <v>0</v>
      </c>
      <c r="G265" s="80">
        <v>0</v>
      </c>
      <c r="H265" s="80">
        <v>0</v>
      </c>
      <c r="I265" s="75" t="s">
        <v>162</v>
      </c>
      <c r="J265" s="42">
        <f t="shared" si="10"/>
        <v>0</v>
      </c>
    </row>
    <row r="266" spans="1:10" s="10" customFormat="1" outlineLevel="1" x14ac:dyDescent="0.2">
      <c r="D266" s="75" t="s">
        <v>176</v>
      </c>
      <c r="E266" s="88"/>
      <c r="F266" s="80">
        <v>0</v>
      </c>
      <c r="G266" s="80">
        <v>0</v>
      </c>
      <c r="H266" s="80">
        <v>0</v>
      </c>
      <c r="I266" s="75" t="s">
        <v>162</v>
      </c>
      <c r="J266" s="42">
        <f t="shared" si="10"/>
        <v>0</v>
      </c>
    </row>
    <row r="267" spans="1:10" s="10" customFormat="1" outlineLevel="1" x14ac:dyDescent="0.2">
      <c r="D267" s="75" t="s">
        <v>177</v>
      </c>
      <c r="E267" s="88"/>
      <c r="F267" s="80">
        <v>0</v>
      </c>
      <c r="G267" s="80">
        <v>0</v>
      </c>
      <c r="H267" s="80">
        <v>0</v>
      </c>
      <c r="I267" s="75" t="s">
        <v>162</v>
      </c>
      <c r="J267" s="42">
        <f t="shared" si="10"/>
        <v>0</v>
      </c>
    </row>
    <row r="268" spans="1:10" s="10" customFormat="1" outlineLevel="1" x14ac:dyDescent="0.2">
      <c r="D268" s="75" t="s">
        <v>178</v>
      </c>
      <c r="E268" s="88"/>
      <c r="F268" s="80">
        <v>0</v>
      </c>
      <c r="G268" s="80">
        <v>0</v>
      </c>
      <c r="H268" s="80">
        <v>0</v>
      </c>
      <c r="I268" s="75" t="s">
        <v>162</v>
      </c>
      <c r="J268" s="42">
        <f t="shared" si="10"/>
        <v>0</v>
      </c>
    </row>
    <row r="269" spans="1:10" s="10" customFormat="1" outlineLevel="1" x14ac:dyDescent="0.2">
      <c r="D269" s="75" t="s">
        <v>179</v>
      </c>
      <c r="E269" s="88"/>
      <c r="F269" s="80">
        <v>0</v>
      </c>
      <c r="G269" s="80">
        <v>0</v>
      </c>
      <c r="H269" s="80">
        <v>0</v>
      </c>
      <c r="I269" s="75" t="s">
        <v>162</v>
      </c>
      <c r="J269" s="42">
        <f t="shared" si="10"/>
        <v>0</v>
      </c>
    </row>
    <row r="270" spans="1:10" s="10" customFormat="1" outlineLevel="1" x14ac:dyDescent="0.2">
      <c r="D270" s="75" t="s">
        <v>180</v>
      </c>
      <c r="E270" s="88"/>
      <c r="F270" s="80">
        <v>0</v>
      </c>
      <c r="G270" s="80">
        <v>0</v>
      </c>
      <c r="H270" s="80">
        <v>0</v>
      </c>
      <c r="I270" s="75" t="s">
        <v>162</v>
      </c>
      <c r="J270" s="42">
        <f t="shared" si="10"/>
        <v>0</v>
      </c>
    </row>
    <row r="271" spans="1:10" s="10" customFormat="1" outlineLevel="1" x14ac:dyDescent="0.2">
      <c r="D271" s="75" t="s">
        <v>181</v>
      </c>
      <c r="E271" s="88"/>
      <c r="F271" s="80">
        <v>0</v>
      </c>
      <c r="G271" s="80">
        <v>0</v>
      </c>
      <c r="H271" s="80">
        <v>0</v>
      </c>
      <c r="I271" s="75" t="s">
        <v>162</v>
      </c>
      <c r="J271" s="42">
        <f t="shared" si="10"/>
        <v>0</v>
      </c>
    </row>
    <row r="272" spans="1:10" s="10" customFormat="1" outlineLevel="1" x14ac:dyDescent="0.2">
      <c r="D272" s="75" t="s">
        <v>182</v>
      </c>
      <c r="E272" s="88"/>
      <c r="F272" s="80">
        <v>0</v>
      </c>
      <c r="G272" s="80">
        <v>0</v>
      </c>
      <c r="H272" s="80">
        <v>0</v>
      </c>
      <c r="I272" s="75" t="s">
        <v>162</v>
      </c>
      <c r="J272" s="42">
        <f t="shared" si="10"/>
        <v>0</v>
      </c>
    </row>
    <row r="273" spans="1:10" s="10" customFormat="1" outlineLevel="1" x14ac:dyDescent="0.2">
      <c r="D273" s="55" t="str">
        <f>Lang_Error_Check_Flags_If_Input_Econ_Cost_Is_Less_Than_Fin_Cost</f>
        <v>ERROR CHECK (FLAGS IF INPUT ECONOMIC COST IS LESS THAN FINANCIAL COST)</v>
      </c>
      <c r="J273" s="43">
        <f>IF(ISERROR(SUM(J263:J272)),1,MIN(SUM(J263:J272),1))</f>
        <v>0</v>
      </c>
    </row>
    <row r="274" spans="1:10" s="10" customFormat="1" outlineLevel="1" x14ac:dyDescent="0.2"/>
    <row r="275" spans="1:10" s="10" customFormat="1" outlineLevel="1" x14ac:dyDescent="0.2">
      <c r="D275" s="76" t="str">
        <f>Lang_GoTo&amp;" "&amp;HL_TOP_ACTV_11_Supplies_and_Materials_Outputs</f>
        <v>Go to  Sensitisation Activity # 3 (Not in Use) Supplies and Materials - Outputs</v>
      </c>
    </row>
    <row r="276" spans="1:10" s="10" customFormat="1" x14ac:dyDescent="0.2"/>
    <row r="277" spans="1:10" s="13" customFormat="1" x14ac:dyDescent="0.2">
      <c r="A277" s="12" t="s">
        <v>127</v>
      </c>
      <c r="B277" s="13" t="str">
        <f>C279</f>
        <v xml:space="preserve"> Sensitisation Activity # 3 (Not in Use) - Detailed Other Direct Cost Assumptions</v>
      </c>
    </row>
    <row r="278" spans="1:10" s="10" customFormat="1" outlineLevel="1" x14ac:dyDescent="0.2"/>
    <row r="279" spans="1:10" s="10" customFormat="1" outlineLevel="1" x14ac:dyDescent="0.2">
      <c r="C279" s="71" t="str">
        <f>HL_TOP_ACTV_11_Name&amp;" - "&amp;Lang_Detailed_Other_Direct_Cost_Assumptions</f>
        <v xml:space="preserve"> Sensitisation Activity # 3 (Not in Use) - Detailed Other Direct Cost Assumptions</v>
      </c>
    </row>
    <row r="280" spans="1:10" s="10" customFormat="1" ht="48" outlineLevel="1" x14ac:dyDescent="0.2">
      <c r="D280" s="55" t="str">
        <f>Lang_Other_Direct_Cost_ODC_Type</f>
        <v>Other Direct Cost (ODC) Type</v>
      </c>
      <c r="E280" s="85" t="str">
        <f>Lang_ODC_Unit_Each_Dozen_100_Pack</f>
        <v>ODC Unit (e.g. Each, Dozen, 100-pack,etc.)</v>
      </c>
      <c r="F280" s="85" t="str">
        <f>Lang_Number_Of_ODC_Units_Required</f>
        <v>Number of ODC Units Required</v>
      </c>
      <c r="G280" s="86" t="str">
        <f ca="1">SENS_Lu!$D$102&amp;" "&amp;Lang_Cost_Per_Activity_Unit&amp;" ("&amp;OFFSET(SENS_Lu!$D$81,DD_TOP_ACTV_11_Detailed_Currency_Used,0)&amp;")"</f>
        <v>Financial Cost per Activity Unit (USD)</v>
      </c>
      <c r="H280" s="86" t="str">
        <f ca="1">SENS_Lu!$D$103&amp;" "&amp;Lang_Cost_Per_Activity_Unit&amp;" ("&amp;OFFSET(SENS_Lu!$D$81,DD_TOP_ACTV_11_Detailed_Currency_Used,0)&amp;")"</f>
        <v>Economic Cost per Activity Unit (USD)</v>
      </c>
      <c r="I280" s="87" t="str">
        <f>Lang_Evidence_For_Using_This_Cost_Information_Source_Or_Notes</f>
        <v>Evidence for Using this Cost Information (source or notes)</v>
      </c>
    </row>
    <row r="281" spans="1:10" s="10" customFormat="1" outlineLevel="1" x14ac:dyDescent="0.2">
      <c r="D281" s="75" t="s">
        <v>183</v>
      </c>
      <c r="E281" s="88"/>
      <c r="F281" s="80">
        <v>0</v>
      </c>
      <c r="G281" s="80">
        <v>0</v>
      </c>
      <c r="H281" s="80">
        <v>0</v>
      </c>
      <c r="I281" s="75" t="s">
        <v>162</v>
      </c>
      <c r="J281" s="42">
        <f t="shared" ref="J281:J290" si="11">IF(H281&lt;G281,1,0)</f>
        <v>0</v>
      </c>
    </row>
    <row r="282" spans="1:10" s="10" customFormat="1" outlineLevel="1" x14ac:dyDescent="0.2">
      <c r="D282" s="75" t="s">
        <v>184</v>
      </c>
      <c r="E282" s="88"/>
      <c r="F282" s="80">
        <v>0</v>
      </c>
      <c r="G282" s="80">
        <v>0</v>
      </c>
      <c r="H282" s="80">
        <v>0</v>
      </c>
      <c r="I282" s="75" t="s">
        <v>162</v>
      </c>
      <c r="J282" s="42">
        <f t="shared" si="11"/>
        <v>0</v>
      </c>
    </row>
    <row r="283" spans="1:10" s="10" customFormat="1" outlineLevel="1" x14ac:dyDescent="0.2">
      <c r="D283" s="75" t="s">
        <v>185</v>
      </c>
      <c r="E283" s="88"/>
      <c r="F283" s="80">
        <v>0</v>
      </c>
      <c r="G283" s="80">
        <v>0</v>
      </c>
      <c r="H283" s="80">
        <v>0</v>
      </c>
      <c r="I283" s="75" t="s">
        <v>162</v>
      </c>
      <c r="J283" s="42">
        <f t="shared" si="11"/>
        <v>0</v>
      </c>
    </row>
    <row r="284" spans="1:10" s="10" customFormat="1" outlineLevel="1" x14ac:dyDescent="0.2">
      <c r="D284" s="75" t="s">
        <v>186</v>
      </c>
      <c r="E284" s="88"/>
      <c r="F284" s="80">
        <v>0</v>
      </c>
      <c r="G284" s="80">
        <v>0</v>
      </c>
      <c r="H284" s="80">
        <v>0</v>
      </c>
      <c r="I284" s="75" t="s">
        <v>162</v>
      </c>
      <c r="J284" s="42">
        <f t="shared" si="11"/>
        <v>0</v>
      </c>
    </row>
    <row r="285" spans="1:10" s="10" customFormat="1" outlineLevel="1" x14ac:dyDescent="0.2">
      <c r="D285" s="75" t="s">
        <v>187</v>
      </c>
      <c r="E285" s="88"/>
      <c r="F285" s="80">
        <v>0</v>
      </c>
      <c r="G285" s="80">
        <v>0</v>
      </c>
      <c r="H285" s="80">
        <v>0</v>
      </c>
      <c r="I285" s="75" t="s">
        <v>162</v>
      </c>
      <c r="J285" s="42">
        <f t="shared" si="11"/>
        <v>0</v>
      </c>
    </row>
    <row r="286" spans="1:10" s="10" customFormat="1" outlineLevel="1" x14ac:dyDescent="0.2">
      <c r="D286" s="75" t="s">
        <v>188</v>
      </c>
      <c r="E286" s="88"/>
      <c r="F286" s="80">
        <v>0</v>
      </c>
      <c r="G286" s="80">
        <v>0</v>
      </c>
      <c r="H286" s="80">
        <v>0</v>
      </c>
      <c r="I286" s="75" t="s">
        <v>162</v>
      </c>
      <c r="J286" s="42">
        <f t="shared" si="11"/>
        <v>0</v>
      </c>
    </row>
    <row r="287" spans="1:10" s="10" customFormat="1" outlineLevel="1" x14ac:dyDescent="0.2">
      <c r="D287" s="75" t="s">
        <v>189</v>
      </c>
      <c r="E287" s="88"/>
      <c r="F287" s="80">
        <v>0</v>
      </c>
      <c r="G287" s="80">
        <v>0</v>
      </c>
      <c r="H287" s="80">
        <v>0</v>
      </c>
      <c r="I287" s="75" t="s">
        <v>162</v>
      </c>
      <c r="J287" s="42">
        <f t="shared" si="11"/>
        <v>0</v>
      </c>
    </row>
    <row r="288" spans="1:10" s="10" customFormat="1" outlineLevel="1" x14ac:dyDescent="0.2">
      <c r="D288" s="75" t="s">
        <v>190</v>
      </c>
      <c r="E288" s="88"/>
      <c r="F288" s="80">
        <v>0</v>
      </c>
      <c r="G288" s="80">
        <v>0</v>
      </c>
      <c r="H288" s="80">
        <v>0</v>
      </c>
      <c r="I288" s="75" t="s">
        <v>162</v>
      </c>
      <c r="J288" s="42">
        <f t="shared" si="11"/>
        <v>0</v>
      </c>
    </row>
    <row r="289" spans="1:10" s="10" customFormat="1" outlineLevel="1" x14ac:dyDescent="0.2">
      <c r="D289" s="75" t="s">
        <v>191</v>
      </c>
      <c r="E289" s="88"/>
      <c r="F289" s="80">
        <v>0</v>
      </c>
      <c r="G289" s="80">
        <v>0</v>
      </c>
      <c r="H289" s="80">
        <v>0</v>
      </c>
      <c r="I289" s="75" t="s">
        <v>162</v>
      </c>
      <c r="J289" s="42">
        <f t="shared" si="11"/>
        <v>0</v>
      </c>
    </row>
    <row r="290" spans="1:10" s="10" customFormat="1" outlineLevel="1" x14ac:dyDescent="0.2">
      <c r="D290" s="75" t="s">
        <v>192</v>
      </c>
      <c r="E290" s="88"/>
      <c r="F290" s="80">
        <v>0</v>
      </c>
      <c r="G290" s="80">
        <v>0</v>
      </c>
      <c r="H290" s="80">
        <v>0</v>
      </c>
      <c r="I290" s="75" t="s">
        <v>162</v>
      </c>
      <c r="J290" s="42">
        <f t="shared" si="11"/>
        <v>0</v>
      </c>
    </row>
    <row r="291" spans="1:10" s="10" customFormat="1" outlineLevel="1" x14ac:dyDescent="0.2">
      <c r="D291" s="55" t="str">
        <f>Lang_Error_Check_Flags_If_Input_Econ_Cost_Is_Less_Than_Fin_Cost</f>
        <v>ERROR CHECK (FLAGS IF INPUT ECONOMIC COST IS LESS THAN FINANCIAL COST)</v>
      </c>
      <c r="J291" s="43">
        <f>IF(ISERROR(SUM(J281:J290)),1,MIN(SUM(J281:J290),1))</f>
        <v>0</v>
      </c>
    </row>
    <row r="292" spans="1:10" s="10" customFormat="1" outlineLevel="1" x14ac:dyDescent="0.2"/>
    <row r="293" spans="1:10" s="10" customFormat="1" outlineLevel="1" x14ac:dyDescent="0.2">
      <c r="D293" s="76" t="str">
        <f>Lang_GoTo&amp;" "&amp;HL_TOP_ACTV_11_Other_Direct_Costs_Outputs</f>
        <v>Go to  Sensitisation Activity # 3 (Not in Use) Other Direct Costs - Outputs</v>
      </c>
    </row>
    <row r="294" spans="1:10" s="10" customFormat="1" x14ac:dyDescent="0.2"/>
    <row r="295" spans="1:10" s="13" customFormat="1" x14ac:dyDescent="0.2">
      <c r="A295" s="12" t="s">
        <v>125</v>
      </c>
      <c r="B295" s="13" t="str">
        <f>C297</f>
        <v xml:space="preserve"> Sensitisation Activity # 4 (Not in Use) -  Detailed Activity Costing Worksheet - Instructions</v>
      </c>
    </row>
    <row r="296" spans="1:10" s="10" customFormat="1" outlineLevel="1" x14ac:dyDescent="0.2"/>
    <row r="297" spans="1:10" s="10" customFormat="1" outlineLevel="1" x14ac:dyDescent="0.2">
      <c r="C297" s="71" t="str">
        <f>HL_LVL2_ACTV_3_Name&amp;" -  "&amp;Lang_Detailed_Activity_Costing_Worksheet_Instructions</f>
        <v xml:space="preserve"> Sensitisation Activity # 4 (Not in Use) -  Detailed Activity Costing Worksheet - Instructions</v>
      </c>
    </row>
    <row r="298" spans="1:10" s="10" customFormat="1" outlineLevel="1" x14ac:dyDescent="0.2"/>
    <row r="299" spans="1:10" s="10" customFormat="1" outlineLevel="1" x14ac:dyDescent="0.2">
      <c r="D299" s="50" t="str">
        <f>Lang_Detailed_Costing_Worksheets_Notes_1</f>
        <v>This detailed costing worksheet can be used to document the types and amounts of resources required to complete a single instance of an activity.</v>
      </c>
    </row>
    <row r="300" spans="1:10" s="10" customFormat="1" outlineLevel="1" x14ac:dyDescent="0.2">
      <c r="D300" s="50" t="str">
        <f>Lang_Detailed_Costing_Worksheets_Notes_2</f>
        <v>When completed, it will automatically provide a single activity cost in the general assumption worksheet.</v>
      </c>
    </row>
    <row r="301" spans="1:10" s="10" customFormat="1" outlineLevel="1" x14ac:dyDescent="0.2">
      <c r="D301" s="50" t="str">
        <f>Lang_Detailed_Costing_Worksheets_Notes_3</f>
        <v>The user may then choose to use the results of the detailed costing in the model, or override the detailed costing and insert alternate cost estimates.</v>
      </c>
    </row>
    <row r="302" spans="1:10" s="10" customFormat="1" outlineLevel="1" x14ac:dyDescent="0.2"/>
    <row r="303" spans="1:10" s="10" customFormat="1" x14ac:dyDescent="0.2"/>
    <row r="304" spans="1:10" s="13" customFormat="1" x14ac:dyDescent="0.2">
      <c r="A304" s="12" t="s">
        <v>125</v>
      </c>
      <c r="B304" s="13" t="str">
        <f>C306</f>
        <v xml:space="preserve"> Sensitisation Activity # 4 (Not in Use) - Detailed Activity Costing Worksheet - Currency Selection</v>
      </c>
    </row>
    <row r="305" spans="1:9" s="10" customFormat="1" outlineLevel="1" x14ac:dyDescent="0.2"/>
    <row r="306" spans="1:9" s="10" customFormat="1" outlineLevel="1" x14ac:dyDescent="0.2">
      <c r="C306" s="71" t="str">
        <f>HL_LVL2_ACTV_3_Name&amp;" - "&amp;Lang_Detailed_Activity_Costing_Worksheet_Currency_Selection</f>
        <v xml:space="preserve"> Sensitisation Activity # 4 (Not in Use) - Detailed Activity Costing Worksheet - Currency Selection</v>
      </c>
    </row>
    <row r="307" spans="1:9" s="10" customFormat="1" outlineLevel="1" x14ac:dyDescent="0.2"/>
    <row r="308" spans="1:9" s="10" customFormat="1" outlineLevel="1" x14ac:dyDescent="0.2">
      <c r="D308" s="55" t="str">
        <f>Lang_Currency_Used_For_Cost_Inputs</f>
        <v>Currency Used for Cost Inputs</v>
      </c>
      <c r="E308" s="72">
        <v>1</v>
      </c>
    </row>
    <row r="309" spans="1:9" s="10" customFormat="1" outlineLevel="1" x14ac:dyDescent="0.2"/>
    <row r="310" spans="1:9" s="10" customFormat="1" outlineLevel="1" x14ac:dyDescent="0.2"/>
    <row r="311" spans="1:9" s="10" customFormat="1" outlineLevel="1" x14ac:dyDescent="0.2">
      <c r="D311" s="54" t="str">
        <f>Lang_Imported_From_Econ_Module</f>
        <v>Imported from Econ Module</v>
      </c>
    </row>
    <row r="312" spans="1:9" s="10" customFormat="1" outlineLevel="1" x14ac:dyDescent="0.2">
      <c r="D312" s="49" t="str">
        <f>ECONOMICS!F7</f>
        <v>USD</v>
      </c>
    </row>
    <row r="313" spans="1:9" s="10" customFormat="1" outlineLevel="1" x14ac:dyDescent="0.2">
      <c r="D313" s="49" t="str">
        <f>ECONOMICS!F8</f>
        <v>LCU</v>
      </c>
    </row>
    <row r="314" spans="1:9" s="10" customFormat="1" outlineLevel="1" x14ac:dyDescent="0.2"/>
    <row r="315" spans="1:9" s="10" customFormat="1" outlineLevel="1" x14ac:dyDescent="0.2">
      <c r="D315" s="50" t="str">
        <f>Lang_Exchange_Rate_From_Econ</f>
        <v>Exchange Rate (from Economics)</v>
      </c>
      <c r="E315" s="41">
        <f>ECONOMICS!E13</f>
        <v>1234.5</v>
      </c>
    </row>
    <row r="316" spans="1:9" s="10" customFormat="1" x14ac:dyDescent="0.2"/>
    <row r="317" spans="1:9" s="13" customFormat="1" x14ac:dyDescent="0.2">
      <c r="A317" s="12" t="s">
        <v>127</v>
      </c>
      <c r="B317" s="13" t="str">
        <f>C319</f>
        <v xml:space="preserve"> Sensitisation Activity # 4 (Not in Use) - Detailed Personnel Cost Assumptions</v>
      </c>
    </row>
    <row r="318" spans="1:9" s="10" customFormat="1" outlineLevel="1" x14ac:dyDescent="0.2"/>
    <row r="319" spans="1:9" s="10" customFormat="1" outlineLevel="1" x14ac:dyDescent="0.2">
      <c r="C319" s="71" t="str">
        <f>HL_LVL2_ACTV_3_Name&amp;" - "&amp;Lang_Detailed_Personnel_Cost_Assumptions</f>
        <v xml:space="preserve"> Sensitisation Activity # 4 (Not in Use) - Detailed Personnel Cost Assumptions</v>
      </c>
    </row>
    <row r="320" spans="1:9" s="10" customFormat="1" ht="48" outlineLevel="1" x14ac:dyDescent="0.2">
      <c r="D320" s="55" t="str">
        <f>Lang_Personnel_Cadre_Type</f>
        <v>Personnel Cadre Type</v>
      </c>
      <c r="E320" s="85" t="str">
        <f>Lang_Activity_Unit_Day_Hour_Minute</f>
        <v>Activity Unit (e.g. Day, Hour, Minute)</v>
      </c>
      <c r="F320" s="85" t="str">
        <f>Lang_Number_Of_Activity_Units_Required</f>
        <v>Number of Activity Units Required</v>
      </c>
      <c r="G320" s="86" t="str">
        <f ca="1">SENS_Lu!$D$137&amp;" "&amp;Lang_Cost_Per_Activity_Unit&amp;" ("&amp;OFFSET(SENS_Lu!$D$116,DD_LVL2_ACTV_3_Currency_Selected,0)&amp;")"</f>
        <v>Financial Cost per Activity Unit (USD)</v>
      </c>
      <c r="H320" s="86" t="str">
        <f ca="1">SENS_Lu!$D$138&amp;" "&amp;Lang_Cost_Per_Activity_Unit&amp;" ("&amp;OFFSET(SENS_Lu!$D$116,DD_LVL2_ACTV_3_Currency_Selected,0)&amp;")"</f>
        <v>Economic Cost per Activity Unit (USD)</v>
      </c>
      <c r="I320" s="87" t="str">
        <f>Lang_Evidence_For_Using_This_Cost_Information_Source_Or_Notes</f>
        <v>Evidence for Using this Cost Information (source or notes)</v>
      </c>
    </row>
    <row r="321" spans="4:10" s="10" customFormat="1" outlineLevel="1" x14ac:dyDescent="0.2">
      <c r="D321" s="75" t="s">
        <v>152</v>
      </c>
      <c r="E321" s="88"/>
      <c r="F321" s="80">
        <v>0</v>
      </c>
      <c r="G321" s="80">
        <v>0</v>
      </c>
      <c r="H321" s="80">
        <v>0</v>
      </c>
      <c r="I321" s="75" t="s">
        <v>162</v>
      </c>
      <c r="J321" s="42">
        <f t="shared" ref="J321:J335" si="12">IF(H321&lt;G321,1,0)</f>
        <v>0</v>
      </c>
    </row>
    <row r="322" spans="4:10" s="10" customFormat="1" outlineLevel="1" x14ac:dyDescent="0.2">
      <c r="D322" s="75" t="s">
        <v>153</v>
      </c>
      <c r="E322" s="88"/>
      <c r="F322" s="80">
        <v>0</v>
      </c>
      <c r="G322" s="80">
        <v>0</v>
      </c>
      <c r="H322" s="80">
        <v>0</v>
      </c>
      <c r="I322" s="75" t="s">
        <v>162</v>
      </c>
      <c r="J322" s="42">
        <f t="shared" si="12"/>
        <v>0</v>
      </c>
    </row>
    <row r="323" spans="4:10" s="10" customFormat="1" outlineLevel="1" x14ac:dyDescent="0.2">
      <c r="D323" s="75" t="s">
        <v>154</v>
      </c>
      <c r="E323" s="88"/>
      <c r="F323" s="80">
        <v>0</v>
      </c>
      <c r="G323" s="80">
        <v>0</v>
      </c>
      <c r="H323" s="80">
        <v>0</v>
      </c>
      <c r="I323" s="75" t="s">
        <v>162</v>
      </c>
      <c r="J323" s="42">
        <f t="shared" si="12"/>
        <v>0</v>
      </c>
    </row>
    <row r="324" spans="4:10" s="10" customFormat="1" outlineLevel="1" x14ac:dyDescent="0.2">
      <c r="D324" s="75" t="s">
        <v>155</v>
      </c>
      <c r="E324" s="88"/>
      <c r="F324" s="80">
        <v>0</v>
      </c>
      <c r="G324" s="80">
        <v>0</v>
      </c>
      <c r="H324" s="80">
        <v>0</v>
      </c>
      <c r="I324" s="75" t="s">
        <v>162</v>
      </c>
      <c r="J324" s="42">
        <f t="shared" si="12"/>
        <v>0</v>
      </c>
    </row>
    <row r="325" spans="4:10" s="10" customFormat="1" outlineLevel="1" x14ac:dyDescent="0.2">
      <c r="D325" s="75" t="s">
        <v>156</v>
      </c>
      <c r="E325" s="88"/>
      <c r="F325" s="80">
        <v>0</v>
      </c>
      <c r="G325" s="80">
        <v>0</v>
      </c>
      <c r="H325" s="80">
        <v>0</v>
      </c>
      <c r="I325" s="75" t="s">
        <v>162</v>
      </c>
      <c r="J325" s="42">
        <f t="shared" si="12"/>
        <v>0</v>
      </c>
    </row>
    <row r="326" spans="4:10" s="10" customFormat="1" outlineLevel="1" x14ac:dyDescent="0.2">
      <c r="D326" s="75" t="s">
        <v>157</v>
      </c>
      <c r="E326" s="88"/>
      <c r="F326" s="80">
        <v>0</v>
      </c>
      <c r="G326" s="80">
        <v>0</v>
      </c>
      <c r="H326" s="80">
        <v>0</v>
      </c>
      <c r="I326" s="75" t="s">
        <v>162</v>
      </c>
      <c r="J326" s="42">
        <f t="shared" si="12"/>
        <v>0</v>
      </c>
    </row>
    <row r="327" spans="4:10" s="10" customFormat="1" outlineLevel="1" x14ac:dyDescent="0.2">
      <c r="D327" s="75" t="s">
        <v>158</v>
      </c>
      <c r="E327" s="88"/>
      <c r="F327" s="80">
        <v>0</v>
      </c>
      <c r="G327" s="80">
        <v>0</v>
      </c>
      <c r="H327" s="80">
        <v>0</v>
      </c>
      <c r="I327" s="75" t="s">
        <v>162</v>
      </c>
      <c r="J327" s="42">
        <f t="shared" si="12"/>
        <v>0</v>
      </c>
    </row>
    <row r="328" spans="4:10" s="10" customFormat="1" outlineLevel="1" x14ac:dyDescent="0.2">
      <c r="D328" s="75" t="s">
        <v>159</v>
      </c>
      <c r="E328" s="88"/>
      <c r="F328" s="80">
        <v>0</v>
      </c>
      <c r="G328" s="80">
        <v>0</v>
      </c>
      <c r="H328" s="80">
        <v>0</v>
      </c>
      <c r="I328" s="75" t="s">
        <v>162</v>
      </c>
      <c r="J328" s="42">
        <f t="shared" si="12"/>
        <v>0</v>
      </c>
    </row>
    <row r="329" spans="4:10" s="10" customFormat="1" outlineLevel="1" x14ac:dyDescent="0.2">
      <c r="D329" s="75" t="s">
        <v>160</v>
      </c>
      <c r="E329" s="88"/>
      <c r="F329" s="80">
        <v>0</v>
      </c>
      <c r="G329" s="80">
        <v>0</v>
      </c>
      <c r="H329" s="80">
        <v>0</v>
      </c>
      <c r="I329" s="75" t="s">
        <v>162</v>
      </c>
      <c r="J329" s="42">
        <f t="shared" si="12"/>
        <v>0</v>
      </c>
    </row>
    <row r="330" spans="4:10" s="10" customFormat="1" outlineLevel="1" x14ac:dyDescent="0.2">
      <c r="D330" s="75" t="s">
        <v>161</v>
      </c>
      <c r="E330" s="88"/>
      <c r="F330" s="80">
        <v>0</v>
      </c>
      <c r="G330" s="80">
        <v>0</v>
      </c>
      <c r="H330" s="80">
        <v>0</v>
      </c>
      <c r="I330" s="75" t="s">
        <v>162</v>
      </c>
      <c r="J330" s="42">
        <f t="shared" si="12"/>
        <v>0</v>
      </c>
    </row>
    <row r="331" spans="4:10" s="10" customFormat="1" outlineLevel="1" x14ac:dyDescent="0.2">
      <c r="D331" s="75" t="s">
        <v>393</v>
      </c>
      <c r="E331" s="88"/>
      <c r="F331" s="80">
        <v>0</v>
      </c>
      <c r="G331" s="80">
        <v>0</v>
      </c>
      <c r="H331" s="80">
        <v>0</v>
      </c>
      <c r="I331" s="75" t="s">
        <v>162</v>
      </c>
      <c r="J331" s="42">
        <f t="shared" si="12"/>
        <v>0</v>
      </c>
    </row>
    <row r="332" spans="4:10" s="10" customFormat="1" outlineLevel="1" x14ac:dyDescent="0.2">
      <c r="D332" s="75" t="s">
        <v>394</v>
      </c>
      <c r="E332" s="88"/>
      <c r="F332" s="80">
        <v>0</v>
      </c>
      <c r="G332" s="80">
        <v>0</v>
      </c>
      <c r="H332" s="80">
        <v>0</v>
      </c>
      <c r="I332" s="75" t="s">
        <v>162</v>
      </c>
      <c r="J332" s="42">
        <f t="shared" si="12"/>
        <v>0</v>
      </c>
    </row>
    <row r="333" spans="4:10" s="10" customFormat="1" outlineLevel="1" x14ac:dyDescent="0.2">
      <c r="D333" s="75" t="s">
        <v>395</v>
      </c>
      <c r="E333" s="88"/>
      <c r="F333" s="80">
        <v>0</v>
      </c>
      <c r="G333" s="80">
        <v>0</v>
      </c>
      <c r="H333" s="80">
        <v>0</v>
      </c>
      <c r="I333" s="75" t="s">
        <v>162</v>
      </c>
      <c r="J333" s="42">
        <f t="shared" si="12"/>
        <v>0</v>
      </c>
    </row>
    <row r="334" spans="4:10" s="10" customFormat="1" outlineLevel="1" x14ac:dyDescent="0.2">
      <c r="D334" s="75" t="s">
        <v>396</v>
      </c>
      <c r="E334" s="88"/>
      <c r="F334" s="80">
        <v>0</v>
      </c>
      <c r="G334" s="80">
        <v>0</v>
      </c>
      <c r="H334" s="80">
        <v>0</v>
      </c>
      <c r="I334" s="75" t="s">
        <v>162</v>
      </c>
      <c r="J334" s="42">
        <f t="shared" si="12"/>
        <v>0</v>
      </c>
    </row>
    <row r="335" spans="4:10" s="10" customFormat="1" outlineLevel="1" x14ac:dyDescent="0.2">
      <c r="D335" s="75" t="s">
        <v>397</v>
      </c>
      <c r="E335" s="88"/>
      <c r="F335" s="80">
        <v>0</v>
      </c>
      <c r="G335" s="80">
        <v>0</v>
      </c>
      <c r="H335" s="80">
        <v>0</v>
      </c>
      <c r="I335" s="75" t="s">
        <v>162</v>
      </c>
      <c r="J335" s="42">
        <f t="shared" si="12"/>
        <v>0</v>
      </c>
    </row>
    <row r="336" spans="4:10" s="10" customFormat="1" outlineLevel="1" x14ac:dyDescent="0.2">
      <c r="D336" s="55" t="str">
        <f>Lang_Error_Check_Flags_If_Input_Econ_Cost_Is_Less_Than_Fin_Cost</f>
        <v>ERROR CHECK (FLAGS IF INPUT ECONOMIC COST IS LESS THAN FINANCIAL COST)</v>
      </c>
      <c r="J336" s="43">
        <f>IF(ISERROR(SUM(J321:J335)),1,MIN(SUM(J321:J335),1))</f>
        <v>0</v>
      </c>
    </row>
    <row r="337" spans="1:10" s="10" customFormat="1" outlineLevel="1" x14ac:dyDescent="0.2"/>
    <row r="338" spans="1:10" s="10" customFormat="1" outlineLevel="1" x14ac:dyDescent="0.2">
      <c r="D338" s="76" t="str">
        <f>Lang_GoTo&amp;" "&amp;HL_LVL2_ACTV_3_Personnel_Outputs</f>
        <v>Go to  Sensitisation Activity # 4 (Not in Use) Personnel - Outputs</v>
      </c>
    </row>
    <row r="339" spans="1:10" s="10" customFormat="1" x14ac:dyDescent="0.2"/>
    <row r="340" spans="1:10" s="13" customFormat="1" x14ac:dyDescent="0.2">
      <c r="A340" s="12" t="s">
        <v>127</v>
      </c>
      <c r="B340" s="13" t="str">
        <f>C342</f>
        <v xml:space="preserve"> Sensitisation Activity # 4 (Not in Use) - Detailed Allowance Cost Assumptions</v>
      </c>
    </row>
    <row r="341" spans="1:10" s="10" customFormat="1" outlineLevel="1" x14ac:dyDescent="0.2"/>
    <row r="342" spans="1:10" s="10" customFormat="1" outlineLevel="1" x14ac:dyDescent="0.2">
      <c r="C342" s="71" t="str">
        <f>HL_LVL2_ACTV_3_Name&amp;" - "&amp;Lang_Detailed_Allowance_Cost_Assumptions</f>
        <v xml:space="preserve"> Sensitisation Activity # 4 (Not in Use) - Detailed Allowance Cost Assumptions</v>
      </c>
    </row>
    <row r="343" spans="1:10" s="10" customFormat="1" ht="48" outlineLevel="1" x14ac:dyDescent="0.2">
      <c r="D343" s="55" t="str">
        <f>Lang_Allowance_Type</f>
        <v>Allowance Type</v>
      </c>
      <c r="E343" s="85" t="str">
        <f>Lang_Allowance_Unit_Per_Day_Round_Trip_Travel</f>
        <v>Allowance Unit (e.g. Per Day, Round-trip Travel,etc.)</v>
      </c>
      <c r="F343" s="85" t="str">
        <f>Lang_Number_Of_Allowance_Units_Required</f>
        <v>Number of Allowance Units Required</v>
      </c>
      <c r="G343" s="86" t="str">
        <f ca="1">SENS_Lu!$D$137&amp;" "&amp;Lang_Cost_Per_Activity_Unit&amp;" ("&amp;OFFSET(SENS_Lu!$D$116,DD_LVL2_ACTV_3_Currency_Selected,0)&amp;")"</f>
        <v>Financial Cost per Activity Unit (USD)</v>
      </c>
      <c r="H343" s="86" t="str">
        <f ca="1">SENS_Lu!$D$138&amp;" "&amp;Lang_Cost_Per_Activity_Unit&amp;" ("&amp;OFFSET(SENS_Lu!$D$116,DD_LVL2_ACTV_3_Currency_Selected,0)&amp;")"</f>
        <v>Economic Cost per Activity Unit (USD)</v>
      </c>
      <c r="I343" s="87" t="str">
        <f>Lang_Evidence_For_Using_This_Cost_Information_Source_Or_Notes</f>
        <v>Evidence for Using this Cost Information (source or notes)</v>
      </c>
    </row>
    <row r="344" spans="1:10" s="10" customFormat="1" outlineLevel="1" x14ac:dyDescent="0.2">
      <c r="D344" s="75" t="s">
        <v>163</v>
      </c>
      <c r="E344" s="88"/>
      <c r="F344" s="80">
        <v>0</v>
      </c>
      <c r="G344" s="80">
        <v>0</v>
      </c>
      <c r="H344" s="80">
        <v>0</v>
      </c>
      <c r="I344" s="75" t="s">
        <v>162</v>
      </c>
      <c r="J344" s="42">
        <f t="shared" ref="J344:J353" si="13">IF(H344&lt;G344,1,0)</f>
        <v>0</v>
      </c>
    </row>
    <row r="345" spans="1:10" s="10" customFormat="1" outlineLevel="1" x14ac:dyDescent="0.2">
      <c r="D345" s="75" t="s">
        <v>164</v>
      </c>
      <c r="E345" s="88"/>
      <c r="F345" s="80">
        <v>0</v>
      </c>
      <c r="G345" s="80">
        <v>0</v>
      </c>
      <c r="H345" s="80">
        <v>0</v>
      </c>
      <c r="I345" s="75" t="s">
        <v>162</v>
      </c>
      <c r="J345" s="42">
        <f t="shared" si="13"/>
        <v>0</v>
      </c>
    </row>
    <row r="346" spans="1:10" s="10" customFormat="1" outlineLevel="1" x14ac:dyDescent="0.2">
      <c r="D346" s="75" t="s">
        <v>165</v>
      </c>
      <c r="E346" s="88"/>
      <c r="F346" s="80">
        <v>0</v>
      </c>
      <c r="G346" s="80">
        <v>0</v>
      </c>
      <c r="H346" s="80">
        <v>0</v>
      </c>
      <c r="I346" s="75" t="s">
        <v>162</v>
      </c>
      <c r="J346" s="42">
        <f t="shared" si="13"/>
        <v>0</v>
      </c>
    </row>
    <row r="347" spans="1:10" s="10" customFormat="1" outlineLevel="1" x14ac:dyDescent="0.2">
      <c r="D347" s="75" t="s">
        <v>166</v>
      </c>
      <c r="E347" s="88"/>
      <c r="F347" s="80">
        <v>0</v>
      </c>
      <c r="G347" s="80">
        <v>0</v>
      </c>
      <c r="H347" s="80">
        <v>0</v>
      </c>
      <c r="I347" s="75" t="s">
        <v>162</v>
      </c>
      <c r="J347" s="42">
        <f t="shared" si="13"/>
        <v>0</v>
      </c>
    </row>
    <row r="348" spans="1:10" s="10" customFormat="1" outlineLevel="1" x14ac:dyDescent="0.2">
      <c r="D348" s="75" t="s">
        <v>167</v>
      </c>
      <c r="E348" s="88"/>
      <c r="F348" s="80">
        <v>0</v>
      </c>
      <c r="G348" s="80">
        <v>0</v>
      </c>
      <c r="H348" s="80">
        <v>0</v>
      </c>
      <c r="I348" s="75" t="s">
        <v>162</v>
      </c>
      <c r="J348" s="42">
        <f t="shared" si="13"/>
        <v>0</v>
      </c>
    </row>
    <row r="349" spans="1:10" s="10" customFormat="1" outlineLevel="1" x14ac:dyDescent="0.2">
      <c r="D349" s="75" t="s">
        <v>168</v>
      </c>
      <c r="E349" s="88"/>
      <c r="F349" s="80">
        <v>0</v>
      </c>
      <c r="G349" s="80">
        <v>0</v>
      </c>
      <c r="H349" s="80">
        <v>0</v>
      </c>
      <c r="I349" s="75" t="s">
        <v>162</v>
      </c>
      <c r="J349" s="42">
        <f t="shared" si="13"/>
        <v>0</v>
      </c>
    </row>
    <row r="350" spans="1:10" s="10" customFormat="1" outlineLevel="1" x14ac:dyDescent="0.2">
      <c r="D350" s="75" t="s">
        <v>169</v>
      </c>
      <c r="E350" s="88"/>
      <c r="F350" s="80">
        <v>0</v>
      </c>
      <c r="G350" s="80">
        <v>0</v>
      </c>
      <c r="H350" s="80">
        <v>0</v>
      </c>
      <c r="I350" s="75" t="s">
        <v>162</v>
      </c>
      <c r="J350" s="42">
        <f t="shared" si="13"/>
        <v>0</v>
      </c>
    </row>
    <row r="351" spans="1:10" s="10" customFormat="1" outlineLevel="1" x14ac:dyDescent="0.2">
      <c r="D351" s="75" t="s">
        <v>170</v>
      </c>
      <c r="E351" s="88"/>
      <c r="F351" s="80">
        <v>0</v>
      </c>
      <c r="G351" s="80">
        <v>0</v>
      </c>
      <c r="H351" s="80">
        <v>0</v>
      </c>
      <c r="I351" s="75" t="s">
        <v>162</v>
      </c>
      <c r="J351" s="42">
        <f t="shared" si="13"/>
        <v>0</v>
      </c>
    </row>
    <row r="352" spans="1:10" s="10" customFormat="1" outlineLevel="1" x14ac:dyDescent="0.2">
      <c r="D352" s="75" t="s">
        <v>171</v>
      </c>
      <c r="E352" s="88"/>
      <c r="F352" s="80">
        <v>0</v>
      </c>
      <c r="G352" s="80">
        <v>0</v>
      </c>
      <c r="H352" s="80">
        <v>0</v>
      </c>
      <c r="I352" s="75" t="s">
        <v>162</v>
      </c>
      <c r="J352" s="42">
        <f t="shared" si="13"/>
        <v>0</v>
      </c>
    </row>
    <row r="353" spans="1:10" s="10" customFormat="1" outlineLevel="1" x14ac:dyDescent="0.2">
      <c r="D353" s="75" t="s">
        <v>172</v>
      </c>
      <c r="E353" s="88"/>
      <c r="F353" s="80">
        <v>0</v>
      </c>
      <c r="G353" s="80">
        <v>0</v>
      </c>
      <c r="H353" s="80">
        <v>0</v>
      </c>
      <c r="I353" s="75" t="s">
        <v>162</v>
      </c>
      <c r="J353" s="42">
        <f t="shared" si="13"/>
        <v>0</v>
      </c>
    </row>
    <row r="354" spans="1:10" s="10" customFormat="1" outlineLevel="1" x14ac:dyDescent="0.2">
      <c r="D354" s="55" t="str">
        <f>Lang_Error_Check_Flags_If_Input_Econ_Cost_Is_Less_Than_Fin_Cost</f>
        <v>ERROR CHECK (FLAGS IF INPUT ECONOMIC COST IS LESS THAN FINANCIAL COST)</v>
      </c>
      <c r="J354" s="43">
        <f>IF(ISERROR(SUM(J344:J353)),1,MIN(SUM(J344:J353),1))</f>
        <v>0</v>
      </c>
    </row>
    <row r="355" spans="1:10" s="10" customFormat="1" outlineLevel="1" x14ac:dyDescent="0.2"/>
    <row r="356" spans="1:10" s="10" customFormat="1" outlineLevel="1" x14ac:dyDescent="0.2">
      <c r="D356" s="76" t="str">
        <f>Lang_GoTo&amp;" "&amp;HL_LVL2_ACTV_3_Out_A</f>
        <v>Go to  Sensitisation Activity # 4 (Not in Use) Allowances - Outputs</v>
      </c>
    </row>
    <row r="357" spans="1:10" s="10" customFormat="1" x14ac:dyDescent="0.2"/>
    <row r="358" spans="1:10" s="13" customFormat="1" x14ac:dyDescent="0.2">
      <c r="A358" s="12" t="s">
        <v>127</v>
      </c>
      <c r="B358" s="13" t="str">
        <f>C360</f>
        <v xml:space="preserve"> Sensitisation Activity # 4 (Not in Use) - Detailed Supply and Material Cost Assumptions</v>
      </c>
    </row>
    <row r="359" spans="1:10" s="10" customFormat="1" outlineLevel="1" x14ac:dyDescent="0.2"/>
    <row r="360" spans="1:10" s="10" customFormat="1" outlineLevel="1" x14ac:dyDescent="0.2">
      <c r="C360" s="71" t="str">
        <f>HL_LVL2_ACTV_3_Name&amp;" - "&amp;Lang_Detailed_Supply_And_Material_Cost_Assumptions</f>
        <v xml:space="preserve"> Sensitisation Activity # 4 (Not in Use) - Detailed Supply and Material Cost Assumptions</v>
      </c>
    </row>
    <row r="361" spans="1:10" s="10" customFormat="1" ht="48" outlineLevel="1" x14ac:dyDescent="0.2">
      <c r="D361" s="55" t="str">
        <f>Lang_Supply_Type</f>
        <v>Supply Type</v>
      </c>
      <c r="E361" s="85" t="str">
        <f>Lang_Supply_Unit_Each_Dozen_100_Pack</f>
        <v>Supply Unit (e.g. Each, Dozen, 100-pack,etc.)</v>
      </c>
      <c r="F361" s="85" t="str">
        <f>Lang_Number_Of_Supply_Units_Required</f>
        <v>Number of Supply Units Required</v>
      </c>
      <c r="G361" s="86" t="str">
        <f ca="1">SENS_Lu!$D$137&amp;" "&amp;Lang_Cost_Per_Activity_Unit&amp;" ("&amp;OFFSET(SENS_Lu!$D$116,DD_LVL2_ACTV_3_Currency_Selected,0)&amp;")"</f>
        <v>Financial Cost per Activity Unit (USD)</v>
      </c>
      <c r="H361" s="86" t="str">
        <f ca="1">SENS_Lu!$D$138&amp;" "&amp;Lang_Cost_Per_Activity_Unit&amp;" ("&amp;OFFSET(SENS_Lu!$D$116,DD_LVL2_ACTV_3_Currency_Selected,0)&amp;")"</f>
        <v>Economic Cost per Activity Unit (USD)</v>
      </c>
      <c r="I361" s="87" t="str">
        <f>Lang_Evidence_For_Using_This_Cost_Information_Source_Or_Notes</f>
        <v>Evidence for Using this Cost Information (source or notes)</v>
      </c>
    </row>
    <row r="362" spans="1:10" s="10" customFormat="1" outlineLevel="1" x14ac:dyDescent="0.2">
      <c r="D362" s="75" t="s">
        <v>173</v>
      </c>
      <c r="E362" s="88"/>
      <c r="F362" s="80">
        <v>0</v>
      </c>
      <c r="G362" s="80">
        <v>0</v>
      </c>
      <c r="H362" s="80">
        <v>0</v>
      </c>
      <c r="I362" s="75" t="s">
        <v>162</v>
      </c>
      <c r="J362" s="42">
        <f t="shared" ref="J362:J371" si="14">IF(H362&lt;G362,1,0)</f>
        <v>0</v>
      </c>
    </row>
    <row r="363" spans="1:10" s="10" customFormat="1" outlineLevel="1" x14ac:dyDescent="0.2">
      <c r="D363" s="75" t="s">
        <v>174</v>
      </c>
      <c r="E363" s="88"/>
      <c r="F363" s="80">
        <v>0</v>
      </c>
      <c r="G363" s="80">
        <v>0</v>
      </c>
      <c r="H363" s="80">
        <v>0</v>
      </c>
      <c r="I363" s="75" t="s">
        <v>162</v>
      </c>
      <c r="J363" s="42">
        <f t="shared" si="14"/>
        <v>0</v>
      </c>
    </row>
    <row r="364" spans="1:10" s="10" customFormat="1" outlineLevel="1" x14ac:dyDescent="0.2">
      <c r="D364" s="75" t="s">
        <v>175</v>
      </c>
      <c r="E364" s="88"/>
      <c r="F364" s="80">
        <v>0</v>
      </c>
      <c r="G364" s="80">
        <v>0</v>
      </c>
      <c r="H364" s="80">
        <v>0</v>
      </c>
      <c r="I364" s="75" t="s">
        <v>162</v>
      </c>
      <c r="J364" s="42">
        <f t="shared" si="14"/>
        <v>0</v>
      </c>
    </row>
    <row r="365" spans="1:10" s="10" customFormat="1" outlineLevel="1" x14ac:dyDescent="0.2">
      <c r="D365" s="75" t="s">
        <v>176</v>
      </c>
      <c r="E365" s="88"/>
      <c r="F365" s="80">
        <v>0</v>
      </c>
      <c r="G365" s="80">
        <v>0</v>
      </c>
      <c r="H365" s="80">
        <v>0</v>
      </c>
      <c r="I365" s="75" t="s">
        <v>162</v>
      </c>
      <c r="J365" s="42">
        <f t="shared" si="14"/>
        <v>0</v>
      </c>
    </row>
    <row r="366" spans="1:10" s="10" customFormat="1" outlineLevel="1" x14ac:dyDescent="0.2">
      <c r="D366" s="75" t="s">
        <v>177</v>
      </c>
      <c r="E366" s="88"/>
      <c r="F366" s="80">
        <v>0</v>
      </c>
      <c r="G366" s="80">
        <v>0</v>
      </c>
      <c r="H366" s="80">
        <v>0</v>
      </c>
      <c r="I366" s="75" t="s">
        <v>162</v>
      </c>
      <c r="J366" s="42">
        <f t="shared" si="14"/>
        <v>0</v>
      </c>
    </row>
    <row r="367" spans="1:10" s="10" customFormat="1" outlineLevel="1" x14ac:dyDescent="0.2">
      <c r="D367" s="75" t="s">
        <v>178</v>
      </c>
      <c r="E367" s="88"/>
      <c r="F367" s="80">
        <v>0</v>
      </c>
      <c r="G367" s="80">
        <v>0</v>
      </c>
      <c r="H367" s="80">
        <v>0</v>
      </c>
      <c r="I367" s="75" t="s">
        <v>162</v>
      </c>
      <c r="J367" s="42">
        <f t="shared" si="14"/>
        <v>0</v>
      </c>
    </row>
    <row r="368" spans="1:10" s="10" customFormat="1" outlineLevel="1" x14ac:dyDescent="0.2">
      <c r="D368" s="75" t="s">
        <v>179</v>
      </c>
      <c r="E368" s="88"/>
      <c r="F368" s="80">
        <v>0</v>
      </c>
      <c r="G368" s="80">
        <v>0</v>
      </c>
      <c r="H368" s="80">
        <v>0</v>
      </c>
      <c r="I368" s="75" t="s">
        <v>162</v>
      </c>
      <c r="J368" s="42">
        <f t="shared" si="14"/>
        <v>0</v>
      </c>
    </row>
    <row r="369" spans="1:10" s="10" customFormat="1" outlineLevel="1" x14ac:dyDescent="0.2">
      <c r="D369" s="75" t="s">
        <v>180</v>
      </c>
      <c r="E369" s="88"/>
      <c r="F369" s="80">
        <v>0</v>
      </c>
      <c r="G369" s="80">
        <v>0</v>
      </c>
      <c r="H369" s="80">
        <v>0</v>
      </c>
      <c r="I369" s="75" t="s">
        <v>162</v>
      </c>
      <c r="J369" s="42">
        <f t="shared" si="14"/>
        <v>0</v>
      </c>
    </row>
    <row r="370" spans="1:10" s="10" customFormat="1" outlineLevel="1" x14ac:dyDescent="0.2">
      <c r="D370" s="75" t="s">
        <v>181</v>
      </c>
      <c r="E370" s="88"/>
      <c r="F370" s="80">
        <v>0</v>
      </c>
      <c r="G370" s="80">
        <v>0</v>
      </c>
      <c r="H370" s="80">
        <v>0</v>
      </c>
      <c r="I370" s="75" t="s">
        <v>162</v>
      </c>
      <c r="J370" s="42">
        <f t="shared" si="14"/>
        <v>0</v>
      </c>
    </row>
    <row r="371" spans="1:10" s="10" customFormat="1" outlineLevel="1" x14ac:dyDescent="0.2">
      <c r="D371" s="75" t="s">
        <v>182</v>
      </c>
      <c r="E371" s="88"/>
      <c r="F371" s="80">
        <v>0</v>
      </c>
      <c r="G371" s="80">
        <v>0</v>
      </c>
      <c r="H371" s="80">
        <v>0</v>
      </c>
      <c r="I371" s="75" t="s">
        <v>162</v>
      </c>
      <c r="J371" s="42">
        <f t="shared" si="14"/>
        <v>0</v>
      </c>
    </row>
    <row r="372" spans="1:10" s="10" customFormat="1" outlineLevel="1" x14ac:dyDescent="0.2">
      <c r="D372" s="55" t="str">
        <f>Lang_Error_Check_Flags_If_Input_Econ_Cost_Is_Less_Than_Fin_Cost</f>
        <v>ERROR CHECK (FLAGS IF INPUT ECONOMIC COST IS LESS THAN FINANCIAL COST)</v>
      </c>
      <c r="J372" s="43">
        <f>IF(ISERROR(SUM(J362:J371)),1,MIN(SUM(J362:J371),1))</f>
        <v>0</v>
      </c>
    </row>
    <row r="373" spans="1:10" s="10" customFormat="1" outlineLevel="1" x14ac:dyDescent="0.2"/>
    <row r="374" spans="1:10" s="10" customFormat="1" outlineLevel="1" x14ac:dyDescent="0.2">
      <c r="D374" s="76" t="str">
        <f>Lang_GoTo&amp;" "&amp;HL_LVL2_ACTV_3_Supplies_and_Materials_Outputs</f>
        <v>Go to  Sensitisation Activity # 4 (Not in Use) Supplies and Materials - Outputs</v>
      </c>
    </row>
    <row r="375" spans="1:10" s="10" customFormat="1" x14ac:dyDescent="0.2"/>
    <row r="376" spans="1:10" s="13" customFormat="1" x14ac:dyDescent="0.2">
      <c r="A376" s="12" t="s">
        <v>127</v>
      </c>
      <c r="B376" s="13" t="str">
        <f>C378</f>
        <v xml:space="preserve"> Sensitisation Activity # 4 (Not in Use) - Detailed Other Direct Cost Assumptions</v>
      </c>
    </row>
    <row r="377" spans="1:10" s="10" customFormat="1" outlineLevel="1" x14ac:dyDescent="0.2"/>
    <row r="378" spans="1:10" s="10" customFormat="1" outlineLevel="1" x14ac:dyDescent="0.2">
      <c r="C378" s="71" t="str">
        <f>HL_LVL2_ACTV_3_Name&amp;" - "&amp;Lang_Detailed_Other_Direct_Cost_Assumptions</f>
        <v xml:space="preserve"> Sensitisation Activity # 4 (Not in Use) - Detailed Other Direct Cost Assumptions</v>
      </c>
    </row>
    <row r="379" spans="1:10" s="10" customFormat="1" ht="48" outlineLevel="1" x14ac:dyDescent="0.2">
      <c r="D379" s="55" t="str">
        <f>Lang_Other_Direct_Cost_ODC_Type</f>
        <v>Other Direct Cost (ODC) Type</v>
      </c>
      <c r="E379" s="85" t="str">
        <f>Lang_ODC_Unit_Each_Dozen_100_Pack</f>
        <v>ODC Unit (e.g. Each, Dozen, 100-pack,etc.)</v>
      </c>
      <c r="F379" s="85" t="str">
        <f>Lang_Number_Of_ODC_Units_Required</f>
        <v>Number of ODC Units Required</v>
      </c>
      <c r="G379" s="86" t="str">
        <f ca="1">SENS_Lu!$D$137&amp;" "&amp;Lang_Cost_Per_Activity_Unit&amp;" ("&amp;OFFSET(SENS_Lu!$D$116,DD_LVL2_ACTV_3_Currency_Selected,0)&amp;")"</f>
        <v>Financial Cost per Activity Unit (USD)</v>
      </c>
      <c r="H379" s="86" t="str">
        <f ca="1">SENS_Lu!$D$138&amp;" "&amp;Lang_Cost_Per_Activity_Unit&amp;" ("&amp;OFFSET(SENS_Lu!$D$116,DD_LVL2_ACTV_3_Currency_Selected,0)&amp;")"</f>
        <v>Economic Cost per Activity Unit (USD)</v>
      </c>
      <c r="I379" s="87" t="str">
        <f>Lang_Evidence_For_Using_This_Cost_Information_Source_Or_Notes</f>
        <v>Evidence for Using this Cost Information (source or notes)</v>
      </c>
    </row>
    <row r="380" spans="1:10" s="10" customFormat="1" outlineLevel="1" x14ac:dyDescent="0.2">
      <c r="D380" s="75" t="s">
        <v>183</v>
      </c>
      <c r="E380" s="88"/>
      <c r="F380" s="80">
        <v>0</v>
      </c>
      <c r="G380" s="80">
        <v>0</v>
      </c>
      <c r="H380" s="80">
        <v>0</v>
      </c>
      <c r="I380" s="75" t="s">
        <v>162</v>
      </c>
      <c r="J380" s="42">
        <f t="shared" ref="J380:J389" si="15">IF(H380&lt;G380,1,0)</f>
        <v>0</v>
      </c>
    </row>
    <row r="381" spans="1:10" s="10" customFormat="1" outlineLevel="1" x14ac:dyDescent="0.2">
      <c r="D381" s="75" t="s">
        <v>184</v>
      </c>
      <c r="E381" s="88"/>
      <c r="F381" s="80">
        <v>0</v>
      </c>
      <c r="G381" s="80">
        <v>0</v>
      </c>
      <c r="H381" s="80">
        <v>0</v>
      </c>
      <c r="I381" s="75" t="s">
        <v>162</v>
      </c>
      <c r="J381" s="42">
        <f t="shared" si="15"/>
        <v>0</v>
      </c>
    </row>
    <row r="382" spans="1:10" s="10" customFormat="1" outlineLevel="1" x14ac:dyDescent="0.2">
      <c r="D382" s="75" t="s">
        <v>185</v>
      </c>
      <c r="E382" s="88"/>
      <c r="F382" s="80">
        <v>0</v>
      </c>
      <c r="G382" s="80">
        <v>0</v>
      </c>
      <c r="H382" s="80">
        <v>0</v>
      </c>
      <c r="I382" s="75" t="s">
        <v>162</v>
      </c>
      <c r="J382" s="42">
        <f t="shared" si="15"/>
        <v>0</v>
      </c>
    </row>
    <row r="383" spans="1:10" s="10" customFormat="1" outlineLevel="1" x14ac:dyDescent="0.2">
      <c r="D383" s="75" t="s">
        <v>186</v>
      </c>
      <c r="E383" s="88"/>
      <c r="F383" s="80">
        <v>0</v>
      </c>
      <c r="G383" s="80">
        <v>0</v>
      </c>
      <c r="H383" s="80">
        <v>0</v>
      </c>
      <c r="I383" s="75" t="s">
        <v>162</v>
      </c>
      <c r="J383" s="42">
        <f t="shared" si="15"/>
        <v>0</v>
      </c>
    </row>
    <row r="384" spans="1:10" s="10" customFormat="1" outlineLevel="1" x14ac:dyDescent="0.2">
      <c r="D384" s="75" t="s">
        <v>187</v>
      </c>
      <c r="E384" s="88"/>
      <c r="F384" s="80">
        <v>0</v>
      </c>
      <c r="G384" s="80">
        <v>0</v>
      </c>
      <c r="H384" s="80">
        <v>0</v>
      </c>
      <c r="I384" s="75" t="s">
        <v>162</v>
      </c>
      <c r="J384" s="42">
        <f t="shared" si="15"/>
        <v>0</v>
      </c>
    </row>
    <row r="385" spans="1:10" s="10" customFormat="1" outlineLevel="1" x14ac:dyDescent="0.2">
      <c r="D385" s="75" t="s">
        <v>188</v>
      </c>
      <c r="E385" s="88"/>
      <c r="F385" s="80">
        <v>0</v>
      </c>
      <c r="G385" s="80">
        <v>0</v>
      </c>
      <c r="H385" s="80">
        <v>0</v>
      </c>
      <c r="I385" s="75" t="s">
        <v>162</v>
      </c>
      <c r="J385" s="42">
        <f t="shared" si="15"/>
        <v>0</v>
      </c>
    </row>
    <row r="386" spans="1:10" s="10" customFormat="1" outlineLevel="1" x14ac:dyDescent="0.2">
      <c r="D386" s="75" t="s">
        <v>189</v>
      </c>
      <c r="E386" s="88"/>
      <c r="F386" s="80">
        <v>0</v>
      </c>
      <c r="G386" s="80">
        <v>0</v>
      </c>
      <c r="H386" s="80">
        <v>0</v>
      </c>
      <c r="I386" s="75" t="s">
        <v>162</v>
      </c>
      <c r="J386" s="42">
        <f t="shared" si="15"/>
        <v>0</v>
      </c>
    </row>
    <row r="387" spans="1:10" s="10" customFormat="1" outlineLevel="1" x14ac:dyDescent="0.2">
      <c r="D387" s="75" t="s">
        <v>190</v>
      </c>
      <c r="E387" s="88"/>
      <c r="F387" s="80">
        <v>0</v>
      </c>
      <c r="G387" s="80">
        <v>0</v>
      </c>
      <c r="H387" s="80">
        <v>0</v>
      </c>
      <c r="I387" s="75" t="s">
        <v>162</v>
      </c>
      <c r="J387" s="42">
        <f t="shared" si="15"/>
        <v>0</v>
      </c>
    </row>
    <row r="388" spans="1:10" s="10" customFormat="1" outlineLevel="1" x14ac:dyDescent="0.2">
      <c r="D388" s="75" t="s">
        <v>191</v>
      </c>
      <c r="E388" s="88"/>
      <c r="F388" s="80">
        <v>0</v>
      </c>
      <c r="G388" s="80">
        <v>0</v>
      </c>
      <c r="H388" s="80">
        <v>0</v>
      </c>
      <c r="I388" s="75" t="s">
        <v>162</v>
      </c>
      <c r="J388" s="42">
        <f t="shared" si="15"/>
        <v>0</v>
      </c>
    </row>
    <row r="389" spans="1:10" s="10" customFormat="1" outlineLevel="1" x14ac:dyDescent="0.2">
      <c r="D389" s="75" t="s">
        <v>192</v>
      </c>
      <c r="E389" s="88"/>
      <c r="F389" s="80">
        <v>0</v>
      </c>
      <c r="G389" s="80">
        <v>0</v>
      </c>
      <c r="H389" s="80">
        <v>0</v>
      </c>
      <c r="I389" s="75" t="s">
        <v>162</v>
      </c>
      <c r="J389" s="42">
        <f t="shared" si="15"/>
        <v>0</v>
      </c>
    </row>
    <row r="390" spans="1:10" s="10" customFormat="1" outlineLevel="1" x14ac:dyDescent="0.2">
      <c r="D390" s="55" t="str">
        <f>Lang_Error_Check_Flags_If_Input_Econ_Cost_Is_Less_Than_Fin_Cost</f>
        <v>ERROR CHECK (FLAGS IF INPUT ECONOMIC COST IS LESS THAN FINANCIAL COST)</v>
      </c>
      <c r="J390" s="43">
        <f>IF(ISERROR(SUM(J380:J389)),1,MIN(SUM(J380:J389),1))</f>
        <v>0</v>
      </c>
    </row>
    <row r="391" spans="1:10" s="10" customFormat="1" outlineLevel="1" x14ac:dyDescent="0.2"/>
    <row r="392" spans="1:10" s="10" customFormat="1" outlineLevel="1" x14ac:dyDescent="0.2">
      <c r="D392" s="76" t="str">
        <f>Lang_GoTo&amp;" "&amp;HL_LVL2_ACTV_3_Other_Direct_Costs_Outputs</f>
        <v>Go to  Sensitisation Activity # 4 (Not in Use) Other Direct Costs - Outputs</v>
      </c>
    </row>
    <row r="393" spans="1:10" s="10" customFormat="1" x14ac:dyDescent="0.2"/>
    <row r="394" spans="1:10" s="13" customFormat="1" x14ac:dyDescent="0.2">
      <c r="A394" s="12" t="s">
        <v>125</v>
      </c>
      <c r="B394" s="13" t="str">
        <f>C396</f>
        <v xml:space="preserve"> Sensitisation Activity # 5 (Not in Use) -  Detailed Activity Costing Worksheet - Instructions</v>
      </c>
    </row>
    <row r="395" spans="1:10" s="10" customFormat="1" outlineLevel="1" collapsed="1" x14ac:dyDescent="0.2"/>
    <row r="396" spans="1:10" s="10" customFormat="1" outlineLevel="1" x14ac:dyDescent="0.2">
      <c r="C396" s="71" t="str">
        <f>HL_LVL2_ACTV_18_Name&amp;" -  "&amp;Lang_Detailed_Activity_Costing_Worksheet_Instructions</f>
        <v xml:space="preserve"> Sensitisation Activity # 5 (Not in Use) -  Detailed Activity Costing Worksheet - Instructions</v>
      </c>
    </row>
    <row r="397" spans="1:10" s="10" customFormat="1" outlineLevel="1" x14ac:dyDescent="0.2"/>
    <row r="398" spans="1:10" s="10" customFormat="1" outlineLevel="1" x14ac:dyDescent="0.2">
      <c r="D398" s="50" t="str">
        <f>Lang_Detailed_Costing_Worksheets_Notes_1</f>
        <v>This detailed costing worksheet can be used to document the types and amounts of resources required to complete a single instance of an activity.</v>
      </c>
    </row>
    <row r="399" spans="1:10" s="10" customFormat="1" outlineLevel="1" x14ac:dyDescent="0.2">
      <c r="D399" s="50" t="str">
        <f>Lang_Detailed_Costing_Worksheets_Notes_2</f>
        <v>When completed, it will automatically provide a single activity cost in the general assumption worksheet.</v>
      </c>
    </row>
    <row r="400" spans="1:10" s="10" customFormat="1" outlineLevel="1" x14ac:dyDescent="0.2">
      <c r="D400" s="50" t="str">
        <f>Lang_Detailed_Costing_Worksheets_Notes_3</f>
        <v>The user may then choose to use the results of the detailed costing in the model, or override the detailed costing and insert alternate cost estimates.</v>
      </c>
    </row>
    <row r="401" spans="1:5" s="10" customFormat="1" outlineLevel="1" x14ac:dyDescent="0.2"/>
    <row r="402" spans="1:5" s="10" customFormat="1" x14ac:dyDescent="0.2"/>
    <row r="403" spans="1:5" s="13" customFormat="1" x14ac:dyDescent="0.2">
      <c r="A403" s="12" t="s">
        <v>125</v>
      </c>
      <c r="B403" s="13" t="str">
        <f>C405</f>
        <v xml:space="preserve"> Sensitisation Activity # 5 (Not in Use) - Detailed Activity Costing Worksheet - Currency Selection</v>
      </c>
    </row>
    <row r="404" spans="1:5" s="10" customFormat="1" outlineLevel="1" x14ac:dyDescent="0.2"/>
    <row r="405" spans="1:5" s="10" customFormat="1" outlineLevel="1" x14ac:dyDescent="0.2">
      <c r="C405" s="71" t="str">
        <f>HL_LVL2_ACTV_18_Name&amp;" - "&amp;Lang_Detailed_Activity_Costing_Worksheet_Currency_Selection</f>
        <v xml:space="preserve"> Sensitisation Activity # 5 (Not in Use) - Detailed Activity Costing Worksheet - Currency Selection</v>
      </c>
    </row>
    <row r="406" spans="1:5" s="10" customFormat="1" outlineLevel="1" x14ac:dyDescent="0.2"/>
    <row r="407" spans="1:5" s="10" customFormat="1" outlineLevel="1" x14ac:dyDescent="0.2">
      <c r="D407" s="55" t="str">
        <f>Lang_Currency_Used_For_Cost_Inputs</f>
        <v>Currency Used for Cost Inputs</v>
      </c>
      <c r="E407" s="72">
        <v>1</v>
      </c>
    </row>
    <row r="408" spans="1:5" s="10" customFormat="1" outlineLevel="1" x14ac:dyDescent="0.2"/>
    <row r="409" spans="1:5" s="10" customFormat="1" outlineLevel="1" x14ac:dyDescent="0.2"/>
    <row r="410" spans="1:5" s="10" customFormat="1" outlineLevel="1" x14ac:dyDescent="0.2">
      <c r="D410" s="54" t="str">
        <f>Lang_Imported_From_Econ_Module</f>
        <v>Imported from Econ Module</v>
      </c>
    </row>
    <row r="411" spans="1:5" s="10" customFormat="1" outlineLevel="1" x14ac:dyDescent="0.2">
      <c r="D411" s="49" t="str">
        <f>ECONOMICS!F7</f>
        <v>USD</v>
      </c>
    </row>
    <row r="412" spans="1:5" s="10" customFormat="1" outlineLevel="1" x14ac:dyDescent="0.2">
      <c r="D412" s="49" t="str">
        <f>ECONOMICS!F8</f>
        <v>LCU</v>
      </c>
    </row>
    <row r="413" spans="1:5" s="10" customFormat="1" outlineLevel="1" x14ac:dyDescent="0.2"/>
    <row r="414" spans="1:5" s="10" customFormat="1" outlineLevel="1" x14ac:dyDescent="0.2">
      <c r="D414" s="50" t="str">
        <f>Lang_Exchange_Rate_From_Econ</f>
        <v>Exchange Rate (from Economics)</v>
      </c>
      <c r="E414" s="41">
        <f>ECONOMICS!E13</f>
        <v>1234.5</v>
      </c>
    </row>
    <row r="415" spans="1:5" s="10" customFormat="1" x14ac:dyDescent="0.2"/>
    <row r="416" spans="1:5" s="13" customFormat="1" x14ac:dyDescent="0.2">
      <c r="A416" s="12" t="s">
        <v>127</v>
      </c>
      <c r="B416" s="13" t="str">
        <f>C418</f>
        <v xml:space="preserve"> Sensitisation Activity # 5 (Not in Use) - Detailed Personnel Cost Assumptions</v>
      </c>
    </row>
    <row r="417" spans="3:10" s="10" customFormat="1" outlineLevel="1" x14ac:dyDescent="0.2"/>
    <row r="418" spans="3:10" s="10" customFormat="1" outlineLevel="1" x14ac:dyDescent="0.2">
      <c r="C418" s="71" t="str">
        <f>HL_LVL2_ACTV_18_Name&amp;" - "&amp;Lang_Detailed_Personnel_Cost_Assumptions</f>
        <v xml:space="preserve"> Sensitisation Activity # 5 (Not in Use) - Detailed Personnel Cost Assumptions</v>
      </c>
    </row>
    <row r="419" spans="3:10" s="10" customFormat="1" ht="48" outlineLevel="1" x14ac:dyDescent="0.2">
      <c r="D419" s="55" t="str">
        <f>Lang_Personnel_Cadre_Type</f>
        <v>Personnel Cadre Type</v>
      </c>
      <c r="E419" s="85" t="str">
        <f>Lang_Activity_Unit_Day_Hour_Minute</f>
        <v>Activity Unit (e.g. Day, Hour, Minute)</v>
      </c>
      <c r="F419" s="85" t="str">
        <f>Lang_Number_Of_Activity_Units_Required</f>
        <v>Number of Activity Units Required</v>
      </c>
      <c r="G419" s="86" t="str">
        <f ca="1">SENS_Lu!$D$172&amp;" "&amp;Lang_Cost_Per_Activity_Unit&amp;" ("&amp;OFFSET(SENS_Lu!$D$151,DD_LVL2_ACTV_18_Currency_Selected,0)&amp;")"</f>
        <v>Financial Cost per Activity Unit (USD)</v>
      </c>
      <c r="H419" s="86" t="str">
        <f ca="1">SENS_Lu!$D$173&amp;" "&amp;Lang_Cost_Per_Activity_Unit&amp;" ("&amp;OFFSET(SENS_Lu!$D$151,DD_LVL2_ACTV_18_Currency_Selected,0)&amp;")"</f>
        <v>Economic Cost per Activity Unit (USD)</v>
      </c>
      <c r="I419" s="87" t="str">
        <f>Lang_Evidence_For_Using_This_Cost_Information_Source_Or_Notes</f>
        <v>Evidence for Using this Cost Information (source or notes)</v>
      </c>
    </row>
    <row r="420" spans="3:10" s="10" customFormat="1" outlineLevel="1" x14ac:dyDescent="0.2">
      <c r="D420" s="75" t="s">
        <v>152</v>
      </c>
      <c r="E420" s="88"/>
      <c r="F420" s="80">
        <v>0</v>
      </c>
      <c r="G420" s="80">
        <v>0</v>
      </c>
      <c r="H420" s="80">
        <v>0</v>
      </c>
      <c r="I420" s="75" t="s">
        <v>162</v>
      </c>
      <c r="J420" s="42">
        <f t="shared" ref="J420:J434" si="16">IF(H420&lt;G420,1,0)</f>
        <v>0</v>
      </c>
    </row>
    <row r="421" spans="3:10" s="10" customFormat="1" outlineLevel="1" x14ac:dyDescent="0.2">
      <c r="D421" s="75" t="s">
        <v>153</v>
      </c>
      <c r="E421" s="88"/>
      <c r="F421" s="80">
        <v>0</v>
      </c>
      <c r="G421" s="80">
        <v>0</v>
      </c>
      <c r="H421" s="80">
        <v>0</v>
      </c>
      <c r="I421" s="75" t="s">
        <v>162</v>
      </c>
      <c r="J421" s="42">
        <f t="shared" si="16"/>
        <v>0</v>
      </c>
    </row>
    <row r="422" spans="3:10" s="10" customFormat="1" outlineLevel="1" x14ac:dyDescent="0.2">
      <c r="D422" s="75" t="s">
        <v>154</v>
      </c>
      <c r="E422" s="88"/>
      <c r="F422" s="80">
        <v>0</v>
      </c>
      <c r="G422" s="80">
        <v>0</v>
      </c>
      <c r="H422" s="80">
        <v>0</v>
      </c>
      <c r="I422" s="75" t="s">
        <v>162</v>
      </c>
      <c r="J422" s="42">
        <f t="shared" si="16"/>
        <v>0</v>
      </c>
    </row>
    <row r="423" spans="3:10" s="10" customFormat="1" outlineLevel="1" x14ac:dyDescent="0.2">
      <c r="D423" s="75" t="s">
        <v>155</v>
      </c>
      <c r="E423" s="88"/>
      <c r="F423" s="80">
        <v>0</v>
      </c>
      <c r="G423" s="80">
        <v>0</v>
      </c>
      <c r="H423" s="80">
        <v>0</v>
      </c>
      <c r="I423" s="75" t="s">
        <v>162</v>
      </c>
      <c r="J423" s="42">
        <f t="shared" si="16"/>
        <v>0</v>
      </c>
    </row>
    <row r="424" spans="3:10" s="10" customFormat="1" outlineLevel="1" x14ac:dyDescent="0.2">
      <c r="D424" s="75" t="s">
        <v>156</v>
      </c>
      <c r="E424" s="88"/>
      <c r="F424" s="80">
        <v>0</v>
      </c>
      <c r="G424" s="80">
        <v>0</v>
      </c>
      <c r="H424" s="80">
        <v>0</v>
      </c>
      <c r="I424" s="75" t="s">
        <v>162</v>
      </c>
      <c r="J424" s="42">
        <f t="shared" si="16"/>
        <v>0</v>
      </c>
    </row>
    <row r="425" spans="3:10" s="10" customFormat="1" outlineLevel="1" x14ac:dyDescent="0.2">
      <c r="D425" s="75" t="s">
        <v>157</v>
      </c>
      <c r="E425" s="88"/>
      <c r="F425" s="80">
        <v>0</v>
      </c>
      <c r="G425" s="80">
        <v>0</v>
      </c>
      <c r="H425" s="80">
        <v>0</v>
      </c>
      <c r="I425" s="75" t="s">
        <v>162</v>
      </c>
      <c r="J425" s="42">
        <f t="shared" si="16"/>
        <v>0</v>
      </c>
    </row>
    <row r="426" spans="3:10" s="10" customFormat="1" outlineLevel="1" x14ac:dyDescent="0.2">
      <c r="D426" s="75" t="s">
        <v>158</v>
      </c>
      <c r="E426" s="88"/>
      <c r="F426" s="80">
        <v>0</v>
      </c>
      <c r="G426" s="80">
        <v>0</v>
      </c>
      <c r="H426" s="80">
        <v>0</v>
      </c>
      <c r="I426" s="75" t="s">
        <v>162</v>
      </c>
      <c r="J426" s="42">
        <f t="shared" si="16"/>
        <v>0</v>
      </c>
    </row>
    <row r="427" spans="3:10" s="10" customFormat="1" outlineLevel="1" x14ac:dyDescent="0.2">
      <c r="D427" s="75" t="s">
        <v>159</v>
      </c>
      <c r="E427" s="88"/>
      <c r="F427" s="80">
        <v>0</v>
      </c>
      <c r="G427" s="80">
        <v>0</v>
      </c>
      <c r="H427" s="80">
        <v>0</v>
      </c>
      <c r="I427" s="75" t="s">
        <v>162</v>
      </c>
      <c r="J427" s="42">
        <f t="shared" si="16"/>
        <v>0</v>
      </c>
    </row>
    <row r="428" spans="3:10" s="10" customFormat="1" outlineLevel="1" x14ac:dyDescent="0.2">
      <c r="D428" s="75" t="s">
        <v>160</v>
      </c>
      <c r="E428" s="88"/>
      <c r="F428" s="80">
        <v>0</v>
      </c>
      <c r="G428" s="80">
        <v>0</v>
      </c>
      <c r="H428" s="80">
        <v>0</v>
      </c>
      <c r="I428" s="75" t="s">
        <v>162</v>
      </c>
      <c r="J428" s="42">
        <f t="shared" si="16"/>
        <v>0</v>
      </c>
    </row>
    <row r="429" spans="3:10" s="10" customFormat="1" outlineLevel="1" x14ac:dyDescent="0.2">
      <c r="D429" s="75" t="s">
        <v>161</v>
      </c>
      <c r="E429" s="88"/>
      <c r="F429" s="80">
        <v>0</v>
      </c>
      <c r="G429" s="80">
        <v>0</v>
      </c>
      <c r="H429" s="80">
        <v>0</v>
      </c>
      <c r="I429" s="75" t="s">
        <v>162</v>
      </c>
      <c r="J429" s="42">
        <f t="shared" si="16"/>
        <v>0</v>
      </c>
    </row>
    <row r="430" spans="3:10" s="10" customFormat="1" outlineLevel="1" x14ac:dyDescent="0.2">
      <c r="D430" s="75" t="s">
        <v>393</v>
      </c>
      <c r="E430" s="88"/>
      <c r="F430" s="80">
        <v>0</v>
      </c>
      <c r="G430" s="80">
        <v>0</v>
      </c>
      <c r="H430" s="80">
        <v>0</v>
      </c>
      <c r="I430" s="75" t="s">
        <v>162</v>
      </c>
      <c r="J430" s="42">
        <f t="shared" si="16"/>
        <v>0</v>
      </c>
    </row>
    <row r="431" spans="3:10" s="10" customFormat="1" outlineLevel="1" x14ac:dyDescent="0.2">
      <c r="D431" s="75" t="s">
        <v>394</v>
      </c>
      <c r="E431" s="88"/>
      <c r="F431" s="80">
        <v>0</v>
      </c>
      <c r="G431" s="80">
        <v>0</v>
      </c>
      <c r="H431" s="80">
        <v>0</v>
      </c>
      <c r="I431" s="75" t="s">
        <v>162</v>
      </c>
      <c r="J431" s="42">
        <f t="shared" si="16"/>
        <v>0</v>
      </c>
    </row>
    <row r="432" spans="3:10" s="10" customFormat="1" outlineLevel="1" x14ac:dyDescent="0.2">
      <c r="D432" s="75" t="s">
        <v>395</v>
      </c>
      <c r="E432" s="88"/>
      <c r="F432" s="80">
        <v>0</v>
      </c>
      <c r="G432" s="80">
        <v>0</v>
      </c>
      <c r="H432" s="80">
        <v>0</v>
      </c>
      <c r="I432" s="75" t="s">
        <v>162</v>
      </c>
      <c r="J432" s="42">
        <f t="shared" si="16"/>
        <v>0</v>
      </c>
    </row>
    <row r="433" spans="1:10" s="10" customFormat="1" outlineLevel="1" x14ac:dyDescent="0.2">
      <c r="D433" s="75" t="s">
        <v>396</v>
      </c>
      <c r="E433" s="88"/>
      <c r="F433" s="80">
        <v>0</v>
      </c>
      <c r="G433" s="80">
        <v>0</v>
      </c>
      <c r="H433" s="80">
        <v>0</v>
      </c>
      <c r="I433" s="75" t="s">
        <v>162</v>
      </c>
      <c r="J433" s="42">
        <f t="shared" si="16"/>
        <v>0</v>
      </c>
    </row>
    <row r="434" spans="1:10" s="10" customFormat="1" outlineLevel="1" x14ac:dyDescent="0.2">
      <c r="D434" s="75" t="s">
        <v>397</v>
      </c>
      <c r="E434" s="88"/>
      <c r="F434" s="80">
        <v>0</v>
      </c>
      <c r="G434" s="80">
        <v>0</v>
      </c>
      <c r="H434" s="80">
        <v>0</v>
      </c>
      <c r="I434" s="75" t="s">
        <v>162</v>
      </c>
      <c r="J434" s="42">
        <f t="shared" si="16"/>
        <v>0</v>
      </c>
    </row>
    <row r="435" spans="1:10" s="10" customFormat="1" outlineLevel="1" x14ac:dyDescent="0.2">
      <c r="D435" s="55" t="str">
        <f>Lang_Error_Check_Flags_If_Input_Econ_Cost_Is_Less_Than_Fin_Cost</f>
        <v>ERROR CHECK (FLAGS IF INPUT ECONOMIC COST IS LESS THAN FINANCIAL COST)</v>
      </c>
      <c r="J435" s="43">
        <f>IF(ISERROR(SUM(J420:J434)),1,MIN(SUM(J420:J434),1))</f>
        <v>0</v>
      </c>
    </row>
    <row r="436" spans="1:10" s="10" customFormat="1" outlineLevel="1" x14ac:dyDescent="0.2"/>
    <row r="437" spans="1:10" s="10" customFormat="1" outlineLevel="1" x14ac:dyDescent="0.2">
      <c r="D437" s="76" t="str">
        <f>Lang_GoTo&amp;" "&amp;HL_LVL2_ACTV_18_Personnel_Outputs</f>
        <v>Go to  Sensitisation Activity # 5 (Not in Use) Personnel - Outputs</v>
      </c>
    </row>
    <row r="438" spans="1:10" s="10" customFormat="1" x14ac:dyDescent="0.2"/>
    <row r="439" spans="1:10" s="13" customFormat="1" x14ac:dyDescent="0.2">
      <c r="A439" s="12" t="s">
        <v>127</v>
      </c>
      <c r="B439" s="13" t="str">
        <f>C441</f>
        <v xml:space="preserve"> Sensitisation Activity # 5 (Not in Use) - Detailed Allowance Cost Assumptions</v>
      </c>
    </row>
    <row r="440" spans="1:10" s="10" customFormat="1" outlineLevel="1" x14ac:dyDescent="0.2"/>
    <row r="441" spans="1:10" s="10" customFormat="1" outlineLevel="1" x14ac:dyDescent="0.2">
      <c r="C441" s="71" t="str">
        <f>HL_LVL2_ACTV_18_Name&amp;" - "&amp;Lang_Detailed_Allowance_Cost_Assumptions</f>
        <v xml:space="preserve"> Sensitisation Activity # 5 (Not in Use) - Detailed Allowance Cost Assumptions</v>
      </c>
    </row>
    <row r="442" spans="1:10" s="10" customFormat="1" ht="48" outlineLevel="1" x14ac:dyDescent="0.2">
      <c r="D442" s="55" t="str">
        <f>Lang_Allowance_Type</f>
        <v>Allowance Type</v>
      </c>
      <c r="E442" s="85" t="str">
        <f>Lang_Allowance_Unit_Per_Day_Round_Trip_Travel</f>
        <v>Allowance Unit (e.g. Per Day, Round-trip Travel,etc.)</v>
      </c>
      <c r="F442" s="85" t="str">
        <f>Lang_Number_Of_Allowance_Units_Required</f>
        <v>Number of Allowance Units Required</v>
      </c>
      <c r="G442" s="86" t="str">
        <f ca="1">SENS_Lu!$D$172&amp;" "&amp;Lang_Cost_Per_Activity_Unit&amp;" ("&amp;OFFSET(SENS_Lu!$D$151,DD_LVL2_ACTV_18_Currency_Selected,0)&amp;")"</f>
        <v>Financial Cost per Activity Unit (USD)</v>
      </c>
      <c r="H442" s="86" t="str">
        <f ca="1">SENS_Lu!$D$173&amp;" "&amp;Lang_Cost_Per_Activity_Unit&amp;" ("&amp;OFFSET(SENS_Lu!$D$151,DD_LVL2_ACTV_18_Currency_Selected,0)&amp;")"</f>
        <v>Economic Cost per Activity Unit (USD)</v>
      </c>
      <c r="I442" s="87" t="str">
        <f>Lang_Evidence_For_Using_This_Cost_Information_Source_Or_Notes</f>
        <v>Evidence for Using this Cost Information (source or notes)</v>
      </c>
    </row>
    <row r="443" spans="1:10" s="10" customFormat="1" outlineLevel="1" x14ac:dyDescent="0.2">
      <c r="D443" s="75" t="s">
        <v>163</v>
      </c>
      <c r="E443" s="88"/>
      <c r="F443" s="80">
        <v>0</v>
      </c>
      <c r="G443" s="80">
        <v>0</v>
      </c>
      <c r="H443" s="80">
        <v>0</v>
      </c>
      <c r="I443" s="75" t="s">
        <v>162</v>
      </c>
      <c r="J443" s="42">
        <f t="shared" ref="J443:J452" si="17">IF(H443&lt;G443,1,0)</f>
        <v>0</v>
      </c>
    </row>
    <row r="444" spans="1:10" s="10" customFormat="1" outlineLevel="1" x14ac:dyDescent="0.2">
      <c r="D444" s="75" t="s">
        <v>164</v>
      </c>
      <c r="E444" s="88"/>
      <c r="F444" s="80">
        <v>0</v>
      </c>
      <c r="G444" s="80">
        <v>0</v>
      </c>
      <c r="H444" s="80">
        <v>0</v>
      </c>
      <c r="I444" s="75" t="s">
        <v>162</v>
      </c>
      <c r="J444" s="42">
        <f t="shared" si="17"/>
        <v>0</v>
      </c>
    </row>
    <row r="445" spans="1:10" s="10" customFormat="1" outlineLevel="1" x14ac:dyDescent="0.2">
      <c r="D445" s="75" t="s">
        <v>165</v>
      </c>
      <c r="E445" s="88"/>
      <c r="F445" s="80">
        <v>0</v>
      </c>
      <c r="G445" s="80">
        <v>0</v>
      </c>
      <c r="H445" s="80">
        <v>0</v>
      </c>
      <c r="I445" s="75" t="s">
        <v>162</v>
      </c>
      <c r="J445" s="42">
        <f t="shared" si="17"/>
        <v>0</v>
      </c>
    </row>
    <row r="446" spans="1:10" s="10" customFormat="1" outlineLevel="1" x14ac:dyDescent="0.2">
      <c r="D446" s="75" t="s">
        <v>166</v>
      </c>
      <c r="E446" s="88"/>
      <c r="F446" s="80">
        <v>0</v>
      </c>
      <c r="G446" s="80">
        <v>0</v>
      </c>
      <c r="H446" s="80">
        <v>0</v>
      </c>
      <c r="I446" s="75" t="s">
        <v>162</v>
      </c>
      <c r="J446" s="42">
        <f t="shared" si="17"/>
        <v>0</v>
      </c>
    </row>
    <row r="447" spans="1:10" s="10" customFormat="1" outlineLevel="1" x14ac:dyDescent="0.2">
      <c r="D447" s="75" t="s">
        <v>167</v>
      </c>
      <c r="E447" s="88"/>
      <c r="F447" s="80">
        <v>0</v>
      </c>
      <c r="G447" s="80">
        <v>0</v>
      </c>
      <c r="H447" s="80">
        <v>0</v>
      </c>
      <c r="I447" s="75" t="s">
        <v>162</v>
      </c>
      <c r="J447" s="42">
        <f t="shared" si="17"/>
        <v>0</v>
      </c>
    </row>
    <row r="448" spans="1:10" s="10" customFormat="1" outlineLevel="1" x14ac:dyDescent="0.2">
      <c r="D448" s="75" t="s">
        <v>168</v>
      </c>
      <c r="E448" s="88"/>
      <c r="F448" s="80">
        <v>0</v>
      </c>
      <c r="G448" s="80">
        <v>0</v>
      </c>
      <c r="H448" s="80">
        <v>0</v>
      </c>
      <c r="I448" s="75" t="s">
        <v>162</v>
      </c>
      <c r="J448" s="42">
        <f t="shared" si="17"/>
        <v>0</v>
      </c>
    </row>
    <row r="449" spans="1:10" s="10" customFormat="1" outlineLevel="1" x14ac:dyDescent="0.2">
      <c r="D449" s="75" t="s">
        <v>169</v>
      </c>
      <c r="E449" s="88"/>
      <c r="F449" s="80">
        <v>0</v>
      </c>
      <c r="G449" s="80">
        <v>0</v>
      </c>
      <c r="H449" s="80">
        <v>0</v>
      </c>
      <c r="I449" s="75" t="s">
        <v>162</v>
      </c>
      <c r="J449" s="42">
        <f t="shared" si="17"/>
        <v>0</v>
      </c>
    </row>
    <row r="450" spans="1:10" s="10" customFormat="1" outlineLevel="1" x14ac:dyDescent="0.2">
      <c r="D450" s="75" t="s">
        <v>170</v>
      </c>
      <c r="E450" s="88"/>
      <c r="F450" s="80">
        <v>0</v>
      </c>
      <c r="G450" s="80">
        <v>0</v>
      </c>
      <c r="H450" s="80">
        <v>0</v>
      </c>
      <c r="I450" s="75" t="s">
        <v>162</v>
      </c>
      <c r="J450" s="42">
        <f t="shared" si="17"/>
        <v>0</v>
      </c>
    </row>
    <row r="451" spans="1:10" s="10" customFormat="1" outlineLevel="1" x14ac:dyDescent="0.2">
      <c r="D451" s="75" t="s">
        <v>171</v>
      </c>
      <c r="E451" s="88"/>
      <c r="F451" s="80">
        <v>0</v>
      </c>
      <c r="G451" s="80">
        <v>0</v>
      </c>
      <c r="H451" s="80">
        <v>0</v>
      </c>
      <c r="I451" s="75" t="s">
        <v>162</v>
      </c>
      <c r="J451" s="42">
        <f t="shared" si="17"/>
        <v>0</v>
      </c>
    </row>
    <row r="452" spans="1:10" s="10" customFormat="1" outlineLevel="1" x14ac:dyDescent="0.2">
      <c r="D452" s="75" t="s">
        <v>172</v>
      </c>
      <c r="E452" s="88"/>
      <c r="F452" s="80">
        <v>0</v>
      </c>
      <c r="G452" s="80">
        <v>0</v>
      </c>
      <c r="H452" s="80">
        <v>0</v>
      </c>
      <c r="I452" s="75" t="s">
        <v>162</v>
      </c>
      <c r="J452" s="42">
        <f t="shared" si="17"/>
        <v>0</v>
      </c>
    </row>
    <row r="453" spans="1:10" s="10" customFormat="1" outlineLevel="1" x14ac:dyDescent="0.2">
      <c r="D453" s="55" t="str">
        <f>Lang_Error_Check_Flags_If_Input_Econ_Cost_Is_Less_Than_Fin_Cost</f>
        <v>ERROR CHECK (FLAGS IF INPUT ECONOMIC COST IS LESS THAN FINANCIAL COST)</v>
      </c>
      <c r="J453" s="43">
        <f>IF(ISERROR(SUM(J443:J452)),1,MIN(SUM(J443:J452),1))</f>
        <v>0</v>
      </c>
    </row>
    <row r="454" spans="1:10" s="10" customFormat="1" outlineLevel="1" x14ac:dyDescent="0.2"/>
    <row r="455" spans="1:10" s="10" customFormat="1" outlineLevel="1" x14ac:dyDescent="0.2">
      <c r="D455" s="76" t="str">
        <f>Lang_GoTo&amp;" "&amp;HL_LVL2_ACTV_18_Out_A</f>
        <v>Go to  Sensitisation Activity # 5 (Not in Use) Allowances - Outputs</v>
      </c>
    </row>
    <row r="456" spans="1:10" s="10" customFormat="1" x14ac:dyDescent="0.2"/>
    <row r="457" spans="1:10" s="13" customFormat="1" x14ac:dyDescent="0.2">
      <c r="A457" s="12" t="s">
        <v>127</v>
      </c>
      <c r="B457" s="13" t="str">
        <f>C459</f>
        <v xml:space="preserve"> Sensitisation Activity # 5 (Not in Use) - Detailed Supply and Material Cost Assumptions</v>
      </c>
    </row>
    <row r="458" spans="1:10" s="10" customFormat="1" outlineLevel="1" x14ac:dyDescent="0.2"/>
    <row r="459" spans="1:10" s="10" customFormat="1" outlineLevel="1" x14ac:dyDescent="0.2">
      <c r="C459" s="71" t="str">
        <f>HL_LVL2_ACTV_18_Name&amp;" - "&amp;Lang_Detailed_Supply_And_Material_Cost_Assumptions</f>
        <v xml:space="preserve"> Sensitisation Activity # 5 (Not in Use) - Detailed Supply and Material Cost Assumptions</v>
      </c>
    </row>
    <row r="460" spans="1:10" s="10" customFormat="1" ht="48" outlineLevel="1" x14ac:dyDescent="0.2">
      <c r="D460" s="55" t="str">
        <f>Lang_Supply_Type</f>
        <v>Supply Type</v>
      </c>
      <c r="E460" s="85" t="str">
        <f>Lang_Supply_Unit_Each_Dozen_100_Pack</f>
        <v>Supply Unit (e.g. Each, Dozen, 100-pack,etc.)</v>
      </c>
      <c r="F460" s="85" t="str">
        <f>Lang_Number_Of_Supply_Units_Required</f>
        <v>Number of Supply Units Required</v>
      </c>
      <c r="G460" s="86" t="str">
        <f ca="1">SENS_Lu!$D$172&amp;" "&amp;Lang_Cost_Per_Activity_Unit&amp;" ("&amp;OFFSET(SENS_Lu!$D$151,DD_LVL2_ACTV_18_Currency_Selected,0)&amp;")"</f>
        <v>Financial Cost per Activity Unit (USD)</v>
      </c>
      <c r="H460" s="86" t="str">
        <f ca="1">SENS_Lu!$D$173&amp;" "&amp;Lang_Cost_Per_Activity_Unit&amp;" ("&amp;OFFSET(SENS_Lu!$D$151,DD_LVL2_ACTV_18_Currency_Selected,0)&amp;")"</f>
        <v>Economic Cost per Activity Unit (USD)</v>
      </c>
      <c r="I460" s="87" t="str">
        <f>Lang_Evidence_For_Using_This_Cost_Information_Source_Or_Notes</f>
        <v>Evidence for Using this Cost Information (source or notes)</v>
      </c>
    </row>
    <row r="461" spans="1:10" s="10" customFormat="1" outlineLevel="1" x14ac:dyDescent="0.2">
      <c r="D461" s="75" t="s">
        <v>173</v>
      </c>
      <c r="E461" s="88"/>
      <c r="F461" s="80">
        <v>0</v>
      </c>
      <c r="G461" s="80">
        <v>0</v>
      </c>
      <c r="H461" s="80">
        <v>0</v>
      </c>
      <c r="I461" s="75" t="s">
        <v>162</v>
      </c>
      <c r="J461" s="42">
        <f t="shared" ref="J461:J470" si="18">IF(H461&lt;G461,1,0)</f>
        <v>0</v>
      </c>
    </row>
    <row r="462" spans="1:10" s="10" customFormat="1" outlineLevel="1" x14ac:dyDescent="0.2">
      <c r="D462" s="75" t="s">
        <v>174</v>
      </c>
      <c r="E462" s="88"/>
      <c r="F462" s="80">
        <v>0</v>
      </c>
      <c r="G462" s="80">
        <v>0</v>
      </c>
      <c r="H462" s="80">
        <v>0</v>
      </c>
      <c r="I462" s="75" t="s">
        <v>162</v>
      </c>
      <c r="J462" s="42">
        <f t="shared" si="18"/>
        <v>0</v>
      </c>
    </row>
    <row r="463" spans="1:10" s="10" customFormat="1" outlineLevel="1" x14ac:dyDescent="0.2">
      <c r="D463" s="75" t="s">
        <v>175</v>
      </c>
      <c r="E463" s="88"/>
      <c r="F463" s="80">
        <v>0</v>
      </c>
      <c r="G463" s="80">
        <v>0</v>
      </c>
      <c r="H463" s="80">
        <v>0</v>
      </c>
      <c r="I463" s="75" t="s">
        <v>162</v>
      </c>
      <c r="J463" s="42">
        <f t="shared" si="18"/>
        <v>0</v>
      </c>
    </row>
    <row r="464" spans="1:10" s="10" customFormat="1" outlineLevel="1" x14ac:dyDescent="0.2">
      <c r="D464" s="75" t="s">
        <v>176</v>
      </c>
      <c r="E464" s="88"/>
      <c r="F464" s="80">
        <v>0</v>
      </c>
      <c r="G464" s="80">
        <v>0</v>
      </c>
      <c r="H464" s="80">
        <v>0</v>
      </c>
      <c r="I464" s="75" t="s">
        <v>162</v>
      </c>
      <c r="J464" s="42">
        <f t="shared" si="18"/>
        <v>0</v>
      </c>
    </row>
    <row r="465" spans="1:10" s="10" customFormat="1" outlineLevel="1" x14ac:dyDescent="0.2">
      <c r="D465" s="75" t="s">
        <v>177</v>
      </c>
      <c r="E465" s="88"/>
      <c r="F465" s="80">
        <v>0</v>
      </c>
      <c r="G465" s="80">
        <v>0</v>
      </c>
      <c r="H465" s="80">
        <v>0</v>
      </c>
      <c r="I465" s="75" t="s">
        <v>162</v>
      </c>
      <c r="J465" s="42">
        <f t="shared" si="18"/>
        <v>0</v>
      </c>
    </row>
    <row r="466" spans="1:10" s="10" customFormat="1" outlineLevel="1" x14ac:dyDescent="0.2">
      <c r="D466" s="75" t="s">
        <v>178</v>
      </c>
      <c r="E466" s="88"/>
      <c r="F466" s="80">
        <v>0</v>
      </c>
      <c r="G466" s="80">
        <v>0</v>
      </c>
      <c r="H466" s="80">
        <v>0</v>
      </c>
      <c r="I466" s="75" t="s">
        <v>162</v>
      </c>
      <c r="J466" s="42">
        <f t="shared" si="18"/>
        <v>0</v>
      </c>
    </row>
    <row r="467" spans="1:10" s="10" customFormat="1" outlineLevel="1" x14ac:dyDescent="0.2">
      <c r="D467" s="75" t="s">
        <v>179</v>
      </c>
      <c r="E467" s="88"/>
      <c r="F467" s="80">
        <v>0</v>
      </c>
      <c r="G467" s="80">
        <v>0</v>
      </c>
      <c r="H467" s="80">
        <v>0</v>
      </c>
      <c r="I467" s="75" t="s">
        <v>162</v>
      </c>
      <c r="J467" s="42">
        <f t="shared" si="18"/>
        <v>0</v>
      </c>
    </row>
    <row r="468" spans="1:10" s="10" customFormat="1" outlineLevel="1" x14ac:dyDescent="0.2">
      <c r="D468" s="75" t="s">
        <v>180</v>
      </c>
      <c r="E468" s="88"/>
      <c r="F468" s="80">
        <v>0</v>
      </c>
      <c r="G468" s="80">
        <v>0</v>
      </c>
      <c r="H468" s="80">
        <v>0</v>
      </c>
      <c r="I468" s="75" t="s">
        <v>162</v>
      </c>
      <c r="J468" s="42">
        <f t="shared" si="18"/>
        <v>0</v>
      </c>
    </row>
    <row r="469" spans="1:10" s="10" customFormat="1" outlineLevel="1" x14ac:dyDescent="0.2">
      <c r="D469" s="75" t="s">
        <v>181</v>
      </c>
      <c r="E469" s="88"/>
      <c r="F469" s="80">
        <v>0</v>
      </c>
      <c r="G469" s="80">
        <v>0</v>
      </c>
      <c r="H469" s="80">
        <v>0</v>
      </c>
      <c r="I469" s="75" t="s">
        <v>162</v>
      </c>
      <c r="J469" s="42">
        <f t="shared" si="18"/>
        <v>0</v>
      </c>
    </row>
    <row r="470" spans="1:10" s="10" customFormat="1" outlineLevel="1" x14ac:dyDescent="0.2">
      <c r="D470" s="75" t="s">
        <v>182</v>
      </c>
      <c r="E470" s="88"/>
      <c r="F470" s="80">
        <v>0</v>
      </c>
      <c r="G470" s="80">
        <v>0</v>
      </c>
      <c r="H470" s="80">
        <v>0</v>
      </c>
      <c r="I470" s="75" t="s">
        <v>162</v>
      </c>
      <c r="J470" s="42">
        <f t="shared" si="18"/>
        <v>0</v>
      </c>
    </row>
    <row r="471" spans="1:10" s="10" customFormat="1" outlineLevel="1" x14ac:dyDescent="0.2">
      <c r="D471" s="55" t="str">
        <f>Lang_Error_Check_Flags_If_Input_Econ_Cost_Is_Less_Than_Fin_Cost</f>
        <v>ERROR CHECK (FLAGS IF INPUT ECONOMIC COST IS LESS THAN FINANCIAL COST)</v>
      </c>
      <c r="J471" s="43">
        <f>IF(ISERROR(SUM(J461:J470)),1,MIN(SUM(J461:J470),1))</f>
        <v>0</v>
      </c>
    </row>
    <row r="472" spans="1:10" s="10" customFormat="1" outlineLevel="1" x14ac:dyDescent="0.2"/>
    <row r="473" spans="1:10" s="10" customFormat="1" outlineLevel="1" x14ac:dyDescent="0.2">
      <c r="D473" s="76" t="str">
        <f>Lang_GoTo&amp;" "&amp;HL_LVL2_ACTV_18_Supplies_and_Materials_Outputs</f>
        <v>Go to  Sensitisation Activity # 5 (Not in Use) Supplies and Materials - Outputs</v>
      </c>
    </row>
    <row r="474" spans="1:10" s="10" customFormat="1" x14ac:dyDescent="0.2"/>
    <row r="475" spans="1:10" s="13" customFormat="1" x14ac:dyDescent="0.2">
      <c r="A475" s="12" t="s">
        <v>127</v>
      </c>
      <c r="B475" s="13" t="str">
        <f>C477</f>
        <v xml:space="preserve"> Sensitisation Activity # 5 (Not in Use) - Detailed Other Direct Cost Assumptions</v>
      </c>
    </row>
    <row r="476" spans="1:10" s="10" customFormat="1" outlineLevel="1" x14ac:dyDescent="0.2"/>
    <row r="477" spans="1:10" s="10" customFormat="1" outlineLevel="1" x14ac:dyDescent="0.2">
      <c r="C477" s="71" t="str">
        <f>HL_LVL2_ACTV_18_Name&amp;" - "&amp;Lang_Detailed_Other_Direct_Cost_Assumptions</f>
        <v xml:space="preserve"> Sensitisation Activity # 5 (Not in Use) - Detailed Other Direct Cost Assumptions</v>
      </c>
    </row>
    <row r="478" spans="1:10" s="10" customFormat="1" ht="48" outlineLevel="1" x14ac:dyDescent="0.2">
      <c r="D478" s="55" t="str">
        <f>Lang_Other_Direct_Cost_ODC_Type</f>
        <v>Other Direct Cost (ODC) Type</v>
      </c>
      <c r="E478" s="85" t="str">
        <f>Lang_ODC_Unit_Each_Dozen_100_Pack</f>
        <v>ODC Unit (e.g. Each, Dozen, 100-pack,etc.)</v>
      </c>
      <c r="F478" s="85" t="str">
        <f>Lang_Number_Of_ODC_Units_Required</f>
        <v>Number of ODC Units Required</v>
      </c>
      <c r="G478" s="86" t="str">
        <f ca="1">SENS_Lu!$D$172&amp;" "&amp;Lang_Cost_Per_Activity_Unit&amp;" ("&amp;OFFSET(SENS_Lu!$D$151,DD_LVL2_ACTV_18_Currency_Selected,0)&amp;")"</f>
        <v>Financial Cost per Activity Unit (USD)</v>
      </c>
      <c r="H478" s="86" t="str">
        <f ca="1">SENS_Lu!$D$173&amp;" "&amp;Lang_Cost_Per_Activity_Unit&amp;" ("&amp;OFFSET(SENS_Lu!$D$151,DD_LVL2_ACTV_18_Currency_Selected,0)&amp;")"</f>
        <v>Economic Cost per Activity Unit (USD)</v>
      </c>
      <c r="I478" s="87" t="str">
        <f>Lang_Evidence_For_Using_This_Cost_Information_Source_Or_Notes</f>
        <v>Evidence for Using this Cost Information (source or notes)</v>
      </c>
    </row>
    <row r="479" spans="1:10" s="10" customFormat="1" outlineLevel="1" x14ac:dyDescent="0.2">
      <c r="D479" s="75" t="s">
        <v>183</v>
      </c>
      <c r="E479" s="88"/>
      <c r="F479" s="80">
        <v>0</v>
      </c>
      <c r="G479" s="80">
        <v>0</v>
      </c>
      <c r="H479" s="80">
        <v>0</v>
      </c>
      <c r="I479" s="75" t="s">
        <v>162</v>
      </c>
      <c r="J479" s="42">
        <f t="shared" ref="J479:J488" si="19">IF(H479&lt;G479,1,0)</f>
        <v>0</v>
      </c>
    </row>
    <row r="480" spans="1:10" s="10" customFormat="1" outlineLevel="1" x14ac:dyDescent="0.2">
      <c r="D480" s="75" t="s">
        <v>184</v>
      </c>
      <c r="E480" s="88"/>
      <c r="F480" s="80">
        <v>0</v>
      </c>
      <c r="G480" s="80">
        <v>0</v>
      </c>
      <c r="H480" s="80">
        <v>0</v>
      </c>
      <c r="I480" s="75" t="s">
        <v>162</v>
      </c>
      <c r="J480" s="42">
        <f t="shared" si="19"/>
        <v>0</v>
      </c>
    </row>
    <row r="481" spans="1:10" s="10" customFormat="1" outlineLevel="1" x14ac:dyDescent="0.2">
      <c r="D481" s="75" t="s">
        <v>185</v>
      </c>
      <c r="E481" s="88"/>
      <c r="F481" s="80">
        <v>0</v>
      </c>
      <c r="G481" s="80">
        <v>0</v>
      </c>
      <c r="H481" s="80">
        <v>0</v>
      </c>
      <c r="I481" s="75" t="s">
        <v>162</v>
      </c>
      <c r="J481" s="42">
        <f t="shared" si="19"/>
        <v>0</v>
      </c>
    </row>
    <row r="482" spans="1:10" s="10" customFormat="1" outlineLevel="1" x14ac:dyDescent="0.2">
      <c r="D482" s="75" t="s">
        <v>186</v>
      </c>
      <c r="E482" s="88"/>
      <c r="F482" s="80">
        <v>0</v>
      </c>
      <c r="G482" s="80">
        <v>0</v>
      </c>
      <c r="H482" s="80">
        <v>0</v>
      </c>
      <c r="I482" s="75" t="s">
        <v>162</v>
      </c>
      <c r="J482" s="42">
        <f t="shared" si="19"/>
        <v>0</v>
      </c>
    </row>
    <row r="483" spans="1:10" s="10" customFormat="1" outlineLevel="1" x14ac:dyDescent="0.2">
      <c r="D483" s="75" t="s">
        <v>187</v>
      </c>
      <c r="E483" s="88"/>
      <c r="F483" s="80">
        <v>0</v>
      </c>
      <c r="G483" s="80">
        <v>0</v>
      </c>
      <c r="H483" s="80">
        <v>0</v>
      </c>
      <c r="I483" s="75" t="s">
        <v>162</v>
      </c>
      <c r="J483" s="42">
        <f t="shared" si="19"/>
        <v>0</v>
      </c>
    </row>
    <row r="484" spans="1:10" s="10" customFormat="1" outlineLevel="1" x14ac:dyDescent="0.2">
      <c r="D484" s="75" t="s">
        <v>188</v>
      </c>
      <c r="E484" s="88"/>
      <c r="F484" s="80">
        <v>0</v>
      </c>
      <c r="G484" s="80">
        <v>0</v>
      </c>
      <c r="H484" s="80">
        <v>0</v>
      </c>
      <c r="I484" s="75" t="s">
        <v>162</v>
      </c>
      <c r="J484" s="42">
        <f t="shared" si="19"/>
        <v>0</v>
      </c>
    </row>
    <row r="485" spans="1:10" s="10" customFormat="1" outlineLevel="1" x14ac:dyDescent="0.2">
      <c r="D485" s="75" t="s">
        <v>189</v>
      </c>
      <c r="E485" s="88"/>
      <c r="F485" s="80">
        <v>0</v>
      </c>
      <c r="G485" s="80">
        <v>0</v>
      </c>
      <c r="H485" s="80">
        <v>0</v>
      </c>
      <c r="I485" s="75" t="s">
        <v>162</v>
      </c>
      <c r="J485" s="42">
        <f t="shared" si="19"/>
        <v>0</v>
      </c>
    </row>
    <row r="486" spans="1:10" s="10" customFormat="1" outlineLevel="1" x14ac:dyDescent="0.2">
      <c r="D486" s="75" t="s">
        <v>190</v>
      </c>
      <c r="E486" s="88"/>
      <c r="F486" s="80">
        <v>0</v>
      </c>
      <c r="G486" s="80">
        <v>0</v>
      </c>
      <c r="H486" s="80">
        <v>0</v>
      </c>
      <c r="I486" s="75" t="s">
        <v>162</v>
      </c>
      <c r="J486" s="42">
        <f t="shared" si="19"/>
        <v>0</v>
      </c>
    </row>
    <row r="487" spans="1:10" s="10" customFormat="1" outlineLevel="1" x14ac:dyDescent="0.2">
      <c r="D487" s="75" t="s">
        <v>191</v>
      </c>
      <c r="E487" s="88"/>
      <c r="F487" s="80">
        <v>0</v>
      </c>
      <c r="G487" s="80">
        <v>0</v>
      </c>
      <c r="H487" s="80">
        <v>0</v>
      </c>
      <c r="I487" s="75" t="s">
        <v>162</v>
      </c>
      <c r="J487" s="42">
        <f t="shared" si="19"/>
        <v>0</v>
      </c>
    </row>
    <row r="488" spans="1:10" s="10" customFormat="1" outlineLevel="1" x14ac:dyDescent="0.2">
      <c r="D488" s="75" t="s">
        <v>192</v>
      </c>
      <c r="E488" s="88"/>
      <c r="F488" s="80">
        <v>0</v>
      </c>
      <c r="G488" s="80">
        <v>0</v>
      </c>
      <c r="H488" s="80">
        <v>0</v>
      </c>
      <c r="I488" s="75" t="s">
        <v>162</v>
      </c>
      <c r="J488" s="42">
        <f t="shared" si="19"/>
        <v>0</v>
      </c>
    </row>
    <row r="489" spans="1:10" s="10" customFormat="1" outlineLevel="1" x14ac:dyDescent="0.2">
      <c r="D489" s="55" t="str">
        <f>Lang_Error_Check_Flags_If_Input_Econ_Cost_Is_Less_Than_Fin_Cost</f>
        <v>ERROR CHECK (FLAGS IF INPUT ECONOMIC COST IS LESS THAN FINANCIAL COST)</v>
      </c>
      <c r="J489" s="43">
        <f>IF(ISERROR(SUM(J479:J488)),1,MIN(SUM(J479:J488),1))</f>
        <v>0</v>
      </c>
    </row>
    <row r="490" spans="1:10" s="10" customFormat="1" outlineLevel="1" x14ac:dyDescent="0.2"/>
    <row r="491" spans="1:10" s="10" customFormat="1" outlineLevel="1" x14ac:dyDescent="0.2">
      <c r="D491" s="76" t="str">
        <f>Lang_GoTo&amp;" "&amp;HL_LVL2_ACTV_18_Other_Direct_Costs_Outputs</f>
        <v>Go to  Sensitisation Activity # 5 (Not in Use) Other Direct Costs - Outputs</v>
      </c>
    </row>
    <row r="492" spans="1:10" s="10" customFormat="1" x14ac:dyDescent="0.2"/>
    <row r="493" spans="1:10" s="13" customFormat="1" x14ac:dyDescent="0.2">
      <c r="A493" s="12" t="s">
        <v>125</v>
      </c>
      <c r="B493" s="13" t="str">
        <f>C495</f>
        <v xml:space="preserve"> Sensitisation Activity # 6 (Not in Use) -  Detailed Activity Costing Worksheet - Instructions</v>
      </c>
    </row>
    <row r="494" spans="1:10" s="10" customFormat="1" outlineLevel="1" collapsed="1" x14ac:dyDescent="0.2"/>
    <row r="495" spans="1:10" s="10" customFormat="1" outlineLevel="1" x14ac:dyDescent="0.2">
      <c r="C495" s="71" t="str">
        <f>HL_LVL2_ACTV_19_Name&amp;" -  "&amp;Lang_Detailed_Activity_Costing_Worksheet_Instructions</f>
        <v xml:space="preserve"> Sensitisation Activity # 6 (Not in Use) -  Detailed Activity Costing Worksheet - Instructions</v>
      </c>
    </row>
    <row r="496" spans="1:10" s="10" customFormat="1" outlineLevel="1" x14ac:dyDescent="0.2"/>
    <row r="497" spans="1:5" s="10" customFormat="1" outlineLevel="1" x14ac:dyDescent="0.2">
      <c r="D497" s="50" t="str">
        <f>Lang_Detailed_Costing_Worksheets_Notes_1</f>
        <v>This detailed costing worksheet can be used to document the types and amounts of resources required to complete a single instance of an activity.</v>
      </c>
    </row>
    <row r="498" spans="1:5" s="10" customFormat="1" outlineLevel="1" x14ac:dyDescent="0.2">
      <c r="D498" s="50" t="str">
        <f>Lang_Detailed_Costing_Worksheets_Notes_2</f>
        <v>When completed, it will automatically provide a single activity cost in the general assumption worksheet.</v>
      </c>
    </row>
    <row r="499" spans="1:5" s="10" customFormat="1" outlineLevel="1" x14ac:dyDescent="0.2">
      <c r="D499" s="50" t="str">
        <f>Lang_Detailed_Costing_Worksheets_Notes_3</f>
        <v>The user may then choose to use the results of the detailed costing in the model, or override the detailed costing and insert alternate cost estimates.</v>
      </c>
    </row>
    <row r="500" spans="1:5" s="10" customFormat="1" outlineLevel="1" x14ac:dyDescent="0.2"/>
    <row r="501" spans="1:5" s="10" customFormat="1" x14ac:dyDescent="0.2"/>
    <row r="502" spans="1:5" s="13" customFormat="1" x14ac:dyDescent="0.2">
      <c r="A502" s="12" t="s">
        <v>125</v>
      </c>
      <c r="B502" s="13" t="str">
        <f>C504</f>
        <v xml:space="preserve"> Sensitisation Activity # 6 (Not in Use) - Detailed Activity Costing Worksheet - Currency Selection</v>
      </c>
    </row>
    <row r="503" spans="1:5" s="10" customFormat="1" outlineLevel="1" x14ac:dyDescent="0.2"/>
    <row r="504" spans="1:5" s="10" customFormat="1" outlineLevel="1" x14ac:dyDescent="0.2">
      <c r="C504" s="71" t="str">
        <f>HL_LVL2_ACTV_19_Name&amp;" - "&amp;Lang_Detailed_Activity_Costing_Worksheet_Currency_Selection</f>
        <v xml:space="preserve"> Sensitisation Activity # 6 (Not in Use) - Detailed Activity Costing Worksheet - Currency Selection</v>
      </c>
    </row>
    <row r="505" spans="1:5" s="10" customFormat="1" outlineLevel="1" x14ac:dyDescent="0.2"/>
    <row r="506" spans="1:5" s="10" customFormat="1" outlineLevel="1" x14ac:dyDescent="0.2">
      <c r="D506" s="55" t="str">
        <f>Lang_Currency_Used_For_Cost_Inputs</f>
        <v>Currency Used for Cost Inputs</v>
      </c>
      <c r="E506" s="72">
        <v>1</v>
      </c>
    </row>
    <row r="507" spans="1:5" s="10" customFormat="1" outlineLevel="1" x14ac:dyDescent="0.2"/>
    <row r="508" spans="1:5" s="10" customFormat="1" outlineLevel="1" x14ac:dyDescent="0.2"/>
    <row r="509" spans="1:5" s="10" customFormat="1" outlineLevel="1" x14ac:dyDescent="0.2">
      <c r="D509" s="54" t="str">
        <f>Lang_Imported_From_Econ_Module</f>
        <v>Imported from Econ Module</v>
      </c>
    </row>
    <row r="510" spans="1:5" s="10" customFormat="1" outlineLevel="1" x14ac:dyDescent="0.2">
      <c r="D510" s="49" t="str">
        <f>ECONOMICS!F7</f>
        <v>USD</v>
      </c>
    </row>
    <row r="511" spans="1:5" s="10" customFormat="1" outlineLevel="1" x14ac:dyDescent="0.2">
      <c r="D511" s="49" t="str">
        <f>ECONOMICS!F8</f>
        <v>LCU</v>
      </c>
    </row>
    <row r="512" spans="1:5" s="10" customFormat="1" outlineLevel="1" x14ac:dyDescent="0.2"/>
    <row r="513" spans="1:10" s="10" customFormat="1" outlineLevel="1" x14ac:dyDescent="0.2">
      <c r="D513" s="50" t="str">
        <f>Lang_Exchange_Rate_From_Econ</f>
        <v>Exchange Rate (from Economics)</v>
      </c>
      <c r="E513" s="41">
        <f>ECONOMICS!E13</f>
        <v>1234.5</v>
      </c>
    </row>
    <row r="514" spans="1:10" s="10" customFormat="1" x14ac:dyDescent="0.2"/>
    <row r="515" spans="1:10" s="13" customFormat="1" x14ac:dyDescent="0.2">
      <c r="A515" s="12" t="s">
        <v>127</v>
      </c>
      <c r="B515" s="13" t="str">
        <f>C517</f>
        <v xml:space="preserve"> Sensitisation Activity # 6 (Not in Use) - Detailed Personnel Cost Assumptions</v>
      </c>
    </row>
    <row r="516" spans="1:10" s="10" customFormat="1" outlineLevel="1" x14ac:dyDescent="0.2"/>
    <row r="517" spans="1:10" s="10" customFormat="1" outlineLevel="1" x14ac:dyDescent="0.2">
      <c r="C517" s="71" t="str">
        <f>HL_LVL2_ACTV_19_Name&amp;" - "&amp;Lang_Detailed_Personnel_Cost_Assumptions</f>
        <v xml:space="preserve"> Sensitisation Activity # 6 (Not in Use) - Detailed Personnel Cost Assumptions</v>
      </c>
    </row>
    <row r="518" spans="1:10" s="10" customFormat="1" ht="48" outlineLevel="1" x14ac:dyDescent="0.2">
      <c r="D518" s="55" t="str">
        <f>Lang_Personnel_Cadre_Type</f>
        <v>Personnel Cadre Type</v>
      </c>
      <c r="E518" s="85" t="str">
        <f>Lang_Activity_Unit_Day_Hour_Minute</f>
        <v>Activity Unit (e.g. Day, Hour, Minute)</v>
      </c>
      <c r="F518" s="85" t="str">
        <f>Lang_Number_Of_Activity_Units_Required</f>
        <v>Number of Activity Units Required</v>
      </c>
      <c r="G518" s="86" t="str">
        <f ca="1">SENS_Lu!$D$207&amp;" "&amp;Lang_Cost_Per_Activity_Unit&amp;" ("&amp;OFFSET(SENS_Lu!$D$186,DD_LVL2_ACTV_19_Currency_Selected,0)&amp;")"</f>
        <v>Financial Cost per Activity Unit (USD)</v>
      </c>
      <c r="H518" s="86" t="str">
        <f ca="1">SENS_Lu!$D$208&amp;" "&amp;Lang_Cost_Per_Activity_Unit&amp;" ("&amp;OFFSET(SENS_Lu!$D$186,DD_LVL2_ACTV_19_Currency_Selected,0)&amp;")"</f>
        <v>Economic Cost per Activity Unit (USD)</v>
      </c>
      <c r="I518" s="87" t="str">
        <f>Lang_Evidence_For_Using_This_Cost_Information_Source_Or_Notes</f>
        <v>Evidence for Using this Cost Information (source or notes)</v>
      </c>
    </row>
    <row r="519" spans="1:10" s="10" customFormat="1" outlineLevel="1" x14ac:dyDescent="0.2">
      <c r="D519" s="75" t="s">
        <v>152</v>
      </c>
      <c r="E519" s="88"/>
      <c r="F519" s="80">
        <v>0</v>
      </c>
      <c r="G519" s="80">
        <v>0</v>
      </c>
      <c r="H519" s="80">
        <v>0</v>
      </c>
      <c r="I519" s="75" t="s">
        <v>162</v>
      </c>
      <c r="J519" s="42">
        <f t="shared" ref="J519:J533" si="20">IF(H519&lt;G519,1,0)</f>
        <v>0</v>
      </c>
    </row>
    <row r="520" spans="1:10" s="10" customFormat="1" outlineLevel="1" x14ac:dyDescent="0.2">
      <c r="D520" s="75" t="s">
        <v>153</v>
      </c>
      <c r="E520" s="88"/>
      <c r="F520" s="80">
        <v>0</v>
      </c>
      <c r="G520" s="80">
        <v>0</v>
      </c>
      <c r="H520" s="80">
        <v>0</v>
      </c>
      <c r="I520" s="75" t="s">
        <v>162</v>
      </c>
      <c r="J520" s="42">
        <f t="shared" si="20"/>
        <v>0</v>
      </c>
    </row>
    <row r="521" spans="1:10" s="10" customFormat="1" outlineLevel="1" x14ac:dyDescent="0.2">
      <c r="D521" s="75" t="s">
        <v>154</v>
      </c>
      <c r="E521" s="88"/>
      <c r="F521" s="80">
        <v>0</v>
      </c>
      <c r="G521" s="80">
        <v>0</v>
      </c>
      <c r="H521" s="80">
        <v>0</v>
      </c>
      <c r="I521" s="75" t="s">
        <v>162</v>
      </c>
      <c r="J521" s="42">
        <f t="shared" si="20"/>
        <v>0</v>
      </c>
    </row>
    <row r="522" spans="1:10" s="10" customFormat="1" outlineLevel="1" x14ac:dyDescent="0.2">
      <c r="D522" s="75" t="s">
        <v>155</v>
      </c>
      <c r="E522" s="88"/>
      <c r="F522" s="80">
        <v>0</v>
      </c>
      <c r="G522" s="80">
        <v>0</v>
      </c>
      <c r="H522" s="80">
        <v>0</v>
      </c>
      <c r="I522" s="75" t="s">
        <v>162</v>
      </c>
      <c r="J522" s="42">
        <f t="shared" si="20"/>
        <v>0</v>
      </c>
    </row>
    <row r="523" spans="1:10" s="10" customFormat="1" outlineLevel="1" x14ac:dyDescent="0.2">
      <c r="D523" s="75" t="s">
        <v>156</v>
      </c>
      <c r="E523" s="88"/>
      <c r="F523" s="80">
        <v>0</v>
      </c>
      <c r="G523" s="80">
        <v>0</v>
      </c>
      <c r="H523" s="80">
        <v>0</v>
      </c>
      <c r="I523" s="75" t="s">
        <v>162</v>
      </c>
      <c r="J523" s="42">
        <f t="shared" si="20"/>
        <v>0</v>
      </c>
    </row>
    <row r="524" spans="1:10" s="10" customFormat="1" outlineLevel="1" x14ac:dyDescent="0.2">
      <c r="D524" s="75" t="s">
        <v>157</v>
      </c>
      <c r="E524" s="88"/>
      <c r="F524" s="80">
        <v>0</v>
      </c>
      <c r="G524" s="80">
        <v>0</v>
      </c>
      <c r="H524" s="80">
        <v>0</v>
      </c>
      <c r="I524" s="75" t="s">
        <v>162</v>
      </c>
      <c r="J524" s="42">
        <f t="shared" si="20"/>
        <v>0</v>
      </c>
    </row>
    <row r="525" spans="1:10" s="10" customFormat="1" outlineLevel="1" x14ac:dyDescent="0.2">
      <c r="D525" s="75" t="s">
        <v>158</v>
      </c>
      <c r="E525" s="88"/>
      <c r="F525" s="80">
        <v>0</v>
      </c>
      <c r="G525" s="80">
        <v>0</v>
      </c>
      <c r="H525" s="80">
        <v>0</v>
      </c>
      <c r="I525" s="75" t="s">
        <v>162</v>
      </c>
      <c r="J525" s="42">
        <f t="shared" si="20"/>
        <v>0</v>
      </c>
    </row>
    <row r="526" spans="1:10" s="10" customFormat="1" outlineLevel="1" x14ac:dyDescent="0.2">
      <c r="D526" s="75" t="s">
        <v>159</v>
      </c>
      <c r="E526" s="88"/>
      <c r="F526" s="80">
        <v>0</v>
      </c>
      <c r="G526" s="80">
        <v>0</v>
      </c>
      <c r="H526" s="80">
        <v>0</v>
      </c>
      <c r="I526" s="75" t="s">
        <v>162</v>
      </c>
      <c r="J526" s="42">
        <f t="shared" si="20"/>
        <v>0</v>
      </c>
    </row>
    <row r="527" spans="1:10" s="10" customFormat="1" outlineLevel="1" x14ac:dyDescent="0.2">
      <c r="D527" s="75" t="s">
        <v>160</v>
      </c>
      <c r="E527" s="88"/>
      <c r="F527" s="80">
        <v>0</v>
      </c>
      <c r="G527" s="80">
        <v>0</v>
      </c>
      <c r="H527" s="80">
        <v>0</v>
      </c>
      <c r="I527" s="75" t="s">
        <v>162</v>
      </c>
      <c r="J527" s="42">
        <f t="shared" si="20"/>
        <v>0</v>
      </c>
    </row>
    <row r="528" spans="1:10" s="10" customFormat="1" outlineLevel="1" x14ac:dyDescent="0.2">
      <c r="D528" s="75" t="s">
        <v>161</v>
      </c>
      <c r="E528" s="88"/>
      <c r="F528" s="80">
        <v>0</v>
      </c>
      <c r="G528" s="80">
        <v>0</v>
      </c>
      <c r="H528" s="80">
        <v>0</v>
      </c>
      <c r="I528" s="75" t="s">
        <v>162</v>
      </c>
      <c r="J528" s="42">
        <f t="shared" si="20"/>
        <v>0</v>
      </c>
    </row>
    <row r="529" spans="1:10" s="10" customFormat="1" outlineLevel="1" x14ac:dyDescent="0.2">
      <c r="D529" s="75" t="s">
        <v>393</v>
      </c>
      <c r="E529" s="88"/>
      <c r="F529" s="80">
        <v>0</v>
      </c>
      <c r="G529" s="80">
        <v>0</v>
      </c>
      <c r="H529" s="80">
        <v>0</v>
      </c>
      <c r="I529" s="75" t="s">
        <v>162</v>
      </c>
      <c r="J529" s="42">
        <f t="shared" si="20"/>
        <v>0</v>
      </c>
    </row>
    <row r="530" spans="1:10" s="10" customFormat="1" outlineLevel="1" x14ac:dyDescent="0.2">
      <c r="D530" s="75" t="s">
        <v>394</v>
      </c>
      <c r="E530" s="88"/>
      <c r="F530" s="80">
        <v>0</v>
      </c>
      <c r="G530" s="80">
        <v>0</v>
      </c>
      <c r="H530" s="80">
        <v>0</v>
      </c>
      <c r="I530" s="75" t="s">
        <v>162</v>
      </c>
      <c r="J530" s="42">
        <f t="shared" si="20"/>
        <v>0</v>
      </c>
    </row>
    <row r="531" spans="1:10" s="10" customFormat="1" outlineLevel="1" x14ac:dyDescent="0.2">
      <c r="D531" s="75" t="s">
        <v>395</v>
      </c>
      <c r="E531" s="88"/>
      <c r="F531" s="80">
        <v>0</v>
      </c>
      <c r="G531" s="80">
        <v>0</v>
      </c>
      <c r="H531" s="80">
        <v>0</v>
      </c>
      <c r="I531" s="75" t="s">
        <v>162</v>
      </c>
      <c r="J531" s="42">
        <f t="shared" si="20"/>
        <v>0</v>
      </c>
    </row>
    <row r="532" spans="1:10" s="10" customFormat="1" outlineLevel="1" x14ac:dyDescent="0.2">
      <c r="D532" s="75" t="s">
        <v>396</v>
      </c>
      <c r="E532" s="88"/>
      <c r="F532" s="80">
        <v>0</v>
      </c>
      <c r="G532" s="80">
        <v>0</v>
      </c>
      <c r="H532" s="80">
        <v>0</v>
      </c>
      <c r="I532" s="75" t="s">
        <v>162</v>
      </c>
      <c r="J532" s="42">
        <f t="shared" si="20"/>
        <v>0</v>
      </c>
    </row>
    <row r="533" spans="1:10" s="10" customFormat="1" outlineLevel="1" x14ac:dyDescent="0.2">
      <c r="D533" s="75" t="s">
        <v>397</v>
      </c>
      <c r="E533" s="88"/>
      <c r="F533" s="80">
        <v>0</v>
      </c>
      <c r="G533" s="80">
        <v>0</v>
      </c>
      <c r="H533" s="80">
        <v>0</v>
      </c>
      <c r="I533" s="75" t="s">
        <v>162</v>
      </c>
      <c r="J533" s="42">
        <f t="shared" si="20"/>
        <v>0</v>
      </c>
    </row>
    <row r="534" spans="1:10" s="10" customFormat="1" outlineLevel="1" x14ac:dyDescent="0.2">
      <c r="D534" s="55" t="str">
        <f>Lang_Error_Check_Flags_If_Input_Econ_Cost_Is_Less_Than_Fin_Cost</f>
        <v>ERROR CHECK (FLAGS IF INPUT ECONOMIC COST IS LESS THAN FINANCIAL COST)</v>
      </c>
      <c r="J534" s="43">
        <f>IF(ISERROR(SUM(J519:J533)),1,MIN(SUM(J519:J533),1))</f>
        <v>0</v>
      </c>
    </row>
    <row r="535" spans="1:10" s="10" customFormat="1" outlineLevel="1" x14ac:dyDescent="0.2"/>
    <row r="536" spans="1:10" s="10" customFormat="1" outlineLevel="1" x14ac:dyDescent="0.2">
      <c r="D536" s="76" t="str">
        <f>Lang_GoTo&amp;" "&amp;HL_LVL2_ACTV_19_Personnel_Outputs</f>
        <v>Go to  Sensitisation Activity # 6 (Not in Use) Personnel - Outputs</v>
      </c>
    </row>
    <row r="537" spans="1:10" s="10" customFormat="1" x14ac:dyDescent="0.2"/>
    <row r="538" spans="1:10" s="13" customFormat="1" x14ac:dyDescent="0.2">
      <c r="A538" s="12" t="s">
        <v>127</v>
      </c>
      <c r="B538" s="13" t="str">
        <f>C540</f>
        <v xml:space="preserve"> Sensitisation Activity # 6 (Not in Use) - Detailed Allowance Cost Assumptions</v>
      </c>
    </row>
    <row r="539" spans="1:10" s="10" customFormat="1" outlineLevel="1" x14ac:dyDescent="0.2"/>
    <row r="540" spans="1:10" s="10" customFormat="1" outlineLevel="1" x14ac:dyDescent="0.2">
      <c r="C540" s="71" t="str">
        <f>HL_LVL2_ACTV_19_Name&amp;" - "&amp;Lang_Detailed_Allowance_Cost_Assumptions</f>
        <v xml:space="preserve"> Sensitisation Activity # 6 (Not in Use) - Detailed Allowance Cost Assumptions</v>
      </c>
    </row>
    <row r="541" spans="1:10" s="10" customFormat="1" ht="48" outlineLevel="1" x14ac:dyDescent="0.2">
      <c r="D541" s="55" t="str">
        <f>Lang_Allowance_Type</f>
        <v>Allowance Type</v>
      </c>
      <c r="E541" s="85" t="str">
        <f>Lang_Allowance_Unit_Per_Day_Round_Trip_Travel</f>
        <v>Allowance Unit (e.g. Per Day, Round-trip Travel,etc.)</v>
      </c>
      <c r="F541" s="85" t="str">
        <f>Lang_Number_Of_Allowance_Units_Required</f>
        <v>Number of Allowance Units Required</v>
      </c>
      <c r="G541" s="86" t="str">
        <f ca="1">SENS_Lu!$D$207&amp;" "&amp;Lang_Cost_Per_Activity_Unit&amp;" ("&amp;OFFSET(SENS_Lu!$D$186,DD_LVL2_ACTV_19_Currency_Selected,0)&amp;")"</f>
        <v>Financial Cost per Activity Unit (USD)</v>
      </c>
      <c r="H541" s="86" t="str">
        <f ca="1">SENS_Lu!$D$208&amp;" "&amp;Lang_Cost_Per_Activity_Unit&amp;" ("&amp;OFFSET(SENS_Lu!$D$186,DD_LVL2_ACTV_19_Currency_Selected,0)&amp;")"</f>
        <v>Economic Cost per Activity Unit (USD)</v>
      </c>
      <c r="I541" s="87" t="str">
        <f>Lang_Evidence_For_Using_This_Cost_Information_Source_Or_Notes</f>
        <v>Evidence for Using this Cost Information (source or notes)</v>
      </c>
    </row>
    <row r="542" spans="1:10" s="10" customFormat="1" outlineLevel="1" x14ac:dyDescent="0.2">
      <c r="D542" s="75" t="s">
        <v>163</v>
      </c>
      <c r="E542" s="88"/>
      <c r="F542" s="80">
        <v>0</v>
      </c>
      <c r="G542" s="80">
        <v>0</v>
      </c>
      <c r="H542" s="80">
        <v>0</v>
      </c>
      <c r="I542" s="75" t="s">
        <v>162</v>
      </c>
      <c r="J542" s="42">
        <f t="shared" ref="J542:J551" si="21">IF(H542&lt;G542,1,0)</f>
        <v>0</v>
      </c>
    </row>
    <row r="543" spans="1:10" s="10" customFormat="1" outlineLevel="1" x14ac:dyDescent="0.2">
      <c r="D543" s="75" t="s">
        <v>164</v>
      </c>
      <c r="E543" s="88"/>
      <c r="F543" s="80">
        <v>0</v>
      </c>
      <c r="G543" s="80">
        <v>0</v>
      </c>
      <c r="H543" s="80">
        <v>0</v>
      </c>
      <c r="I543" s="75" t="s">
        <v>162</v>
      </c>
      <c r="J543" s="42">
        <f t="shared" si="21"/>
        <v>0</v>
      </c>
    </row>
    <row r="544" spans="1:10" s="10" customFormat="1" outlineLevel="1" x14ac:dyDescent="0.2">
      <c r="D544" s="75" t="s">
        <v>165</v>
      </c>
      <c r="E544" s="88"/>
      <c r="F544" s="80">
        <v>0</v>
      </c>
      <c r="G544" s="80">
        <v>0</v>
      </c>
      <c r="H544" s="80">
        <v>0</v>
      </c>
      <c r="I544" s="75" t="s">
        <v>162</v>
      </c>
      <c r="J544" s="42">
        <f t="shared" si="21"/>
        <v>0</v>
      </c>
    </row>
    <row r="545" spans="1:10" s="10" customFormat="1" outlineLevel="1" x14ac:dyDescent="0.2">
      <c r="D545" s="75" t="s">
        <v>166</v>
      </c>
      <c r="E545" s="88"/>
      <c r="F545" s="80">
        <v>0</v>
      </c>
      <c r="G545" s="80">
        <v>0</v>
      </c>
      <c r="H545" s="80">
        <v>0</v>
      </c>
      <c r="I545" s="75" t="s">
        <v>162</v>
      </c>
      <c r="J545" s="42">
        <f t="shared" si="21"/>
        <v>0</v>
      </c>
    </row>
    <row r="546" spans="1:10" s="10" customFormat="1" outlineLevel="1" x14ac:dyDescent="0.2">
      <c r="D546" s="75" t="s">
        <v>167</v>
      </c>
      <c r="E546" s="88"/>
      <c r="F546" s="80">
        <v>0</v>
      </c>
      <c r="G546" s="80">
        <v>0</v>
      </c>
      <c r="H546" s="80">
        <v>0</v>
      </c>
      <c r="I546" s="75" t="s">
        <v>162</v>
      </c>
      <c r="J546" s="42">
        <f t="shared" si="21"/>
        <v>0</v>
      </c>
    </row>
    <row r="547" spans="1:10" s="10" customFormat="1" outlineLevel="1" x14ac:dyDescent="0.2">
      <c r="D547" s="75" t="s">
        <v>168</v>
      </c>
      <c r="E547" s="88"/>
      <c r="F547" s="80">
        <v>0</v>
      </c>
      <c r="G547" s="80">
        <v>0</v>
      </c>
      <c r="H547" s="80">
        <v>0</v>
      </c>
      <c r="I547" s="75" t="s">
        <v>162</v>
      </c>
      <c r="J547" s="42">
        <f t="shared" si="21"/>
        <v>0</v>
      </c>
    </row>
    <row r="548" spans="1:10" s="10" customFormat="1" outlineLevel="1" x14ac:dyDescent="0.2">
      <c r="D548" s="75" t="s">
        <v>169</v>
      </c>
      <c r="E548" s="88"/>
      <c r="F548" s="80">
        <v>0</v>
      </c>
      <c r="G548" s="80">
        <v>0</v>
      </c>
      <c r="H548" s="80">
        <v>0</v>
      </c>
      <c r="I548" s="75" t="s">
        <v>162</v>
      </c>
      <c r="J548" s="42">
        <f t="shared" si="21"/>
        <v>0</v>
      </c>
    </row>
    <row r="549" spans="1:10" s="10" customFormat="1" outlineLevel="1" x14ac:dyDescent="0.2">
      <c r="D549" s="75" t="s">
        <v>170</v>
      </c>
      <c r="E549" s="88"/>
      <c r="F549" s="80">
        <v>0</v>
      </c>
      <c r="G549" s="80">
        <v>0</v>
      </c>
      <c r="H549" s="80">
        <v>0</v>
      </c>
      <c r="I549" s="75" t="s">
        <v>162</v>
      </c>
      <c r="J549" s="42">
        <f t="shared" si="21"/>
        <v>0</v>
      </c>
    </row>
    <row r="550" spans="1:10" s="10" customFormat="1" outlineLevel="1" x14ac:dyDescent="0.2">
      <c r="D550" s="75" t="s">
        <v>171</v>
      </c>
      <c r="E550" s="88"/>
      <c r="F550" s="80">
        <v>0</v>
      </c>
      <c r="G550" s="80">
        <v>0</v>
      </c>
      <c r="H550" s="80">
        <v>0</v>
      </c>
      <c r="I550" s="75" t="s">
        <v>162</v>
      </c>
      <c r="J550" s="42">
        <f t="shared" si="21"/>
        <v>0</v>
      </c>
    </row>
    <row r="551" spans="1:10" s="10" customFormat="1" outlineLevel="1" x14ac:dyDescent="0.2">
      <c r="D551" s="75" t="s">
        <v>172</v>
      </c>
      <c r="E551" s="88"/>
      <c r="F551" s="80">
        <v>0</v>
      </c>
      <c r="G551" s="80">
        <v>0</v>
      </c>
      <c r="H551" s="80">
        <v>0</v>
      </c>
      <c r="I551" s="75" t="s">
        <v>162</v>
      </c>
      <c r="J551" s="42">
        <f t="shared" si="21"/>
        <v>0</v>
      </c>
    </row>
    <row r="552" spans="1:10" s="10" customFormat="1" outlineLevel="1" x14ac:dyDescent="0.2">
      <c r="D552" s="55" t="str">
        <f>Lang_Error_Check_Flags_If_Input_Econ_Cost_Is_Less_Than_Fin_Cost</f>
        <v>ERROR CHECK (FLAGS IF INPUT ECONOMIC COST IS LESS THAN FINANCIAL COST)</v>
      </c>
      <c r="J552" s="43">
        <f>IF(ISERROR(SUM(J542:J551)),1,MIN(SUM(J542:J551),1))</f>
        <v>0</v>
      </c>
    </row>
    <row r="553" spans="1:10" s="10" customFormat="1" outlineLevel="1" x14ac:dyDescent="0.2"/>
    <row r="554" spans="1:10" s="10" customFormat="1" outlineLevel="1" x14ac:dyDescent="0.2">
      <c r="D554" s="76" t="str">
        <f>Lang_GoTo&amp;" "&amp;HL_LVL2_ACTV_19_Out_A</f>
        <v>Go to  Sensitisation Activity # 6 (Not in Use) Allowances - Outputs</v>
      </c>
    </row>
    <row r="555" spans="1:10" s="10" customFormat="1" x14ac:dyDescent="0.2"/>
    <row r="556" spans="1:10" s="13" customFormat="1" x14ac:dyDescent="0.2">
      <c r="A556" s="12" t="s">
        <v>127</v>
      </c>
      <c r="B556" s="13" t="str">
        <f>C558</f>
        <v xml:space="preserve"> Sensitisation Activity # 6 (Not in Use) - Detailed Supply and Material Cost Assumptions</v>
      </c>
    </row>
    <row r="557" spans="1:10" s="10" customFormat="1" outlineLevel="1" x14ac:dyDescent="0.2"/>
    <row r="558" spans="1:10" s="10" customFormat="1" outlineLevel="1" x14ac:dyDescent="0.2">
      <c r="C558" s="71" t="str">
        <f>HL_LVL2_ACTV_19_Name&amp;" - "&amp;Lang_Detailed_Supply_And_Material_Cost_Assumptions</f>
        <v xml:space="preserve"> Sensitisation Activity # 6 (Not in Use) - Detailed Supply and Material Cost Assumptions</v>
      </c>
    </row>
    <row r="559" spans="1:10" s="10" customFormat="1" ht="48" outlineLevel="1" x14ac:dyDescent="0.2">
      <c r="D559" s="55" t="str">
        <f>Lang_Supply_Type</f>
        <v>Supply Type</v>
      </c>
      <c r="E559" s="85" t="str">
        <f>Lang_Supply_Unit_Each_Dozen_100_Pack</f>
        <v>Supply Unit (e.g. Each, Dozen, 100-pack,etc.)</v>
      </c>
      <c r="F559" s="85" t="str">
        <f>Lang_Number_Of_Supply_Units_Required</f>
        <v>Number of Supply Units Required</v>
      </c>
      <c r="G559" s="86" t="str">
        <f ca="1">SENS_Lu!$D$207&amp;" "&amp;Lang_Cost_Per_Activity_Unit&amp;" ("&amp;OFFSET(SENS_Lu!$D$186,DD_LVL2_ACTV_19_Currency_Selected,0)&amp;")"</f>
        <v>Financial Cost per Activity Unit (USD)</v>
      </c>
      <c r="H559" s="86" t="str">
        <f ca="1">SENS_Lu!$D$208&amp;" "&amp;Lang_Cost_Per_Activity_Unit&amp;" ("&amp;OFFSET(SENS_Lu!$D$186,DD_LVL2_ACTV_19_Currency_Selected,0)&amp;")"</f>
        <v>Economic Cost per Activity Unit (USD)</v>
      </c>
      <c r="I559" s="87" t="str">
        <f>Lang_Evidence_For_Using_This_Cost_Information_Source_Or_Notes</f>
        <v>Evidence for Using this Cost Information (source or notes)</v>
      </c>
    </row>
    <row r="560" spans="1:10" s="10" customFormat="1" outlineLevel="1" x14ac:dyDescent="0.2">
      <c r="D560" s="75" t="s">
        <v>173</v>
      </c>
      <c r="E560" s="88"/>
      <c r="F560" s="80">
        <v>0</v>
      </c>
      <c r="G560" s="80">
        <v>0</v>
      </c>
      <c r="H560" s="80">
        <v>0</v>
      </c>
      <c r="I560" s="75" t="s">
        <v>162</v>
      </c>
      <c r="J560" s="42">
        <f t="shared" ref="J560:J569" si="22">IF(H560&lt;G560,1,0)</f>
        <v>0</v>
      </c>
    </row>
    <row r="561" spans="1:10" s="10" customFormat="1" outlineLevel="1" x14ac:dyDescent="0.2">
      <c r="D561" s="75" t="s">
        <v>174</v>
      </c>
      <c r="E561" s="88"/>
      <c r="F561" s="80">
        <v>0</v>
      </c>
      <c r="G561" s="80">
        <v>0</v>
      </c>
      <c r="H561" s="80">
        <v>0</v>
      </c>
      <c r="I561" s="75" t="s">
        <v>162</v>
      </c>
      <c r="J561" s="42">
        <f t="shared" si="22"/>
        <v>0</v>
      </c>
    </row>
    <row r="562" spans="1:10" s="10" customFormat="1" outlineLevel="1" x14ac:dyDescent="0.2">
      <c r="D562" s="75" t="s">
        <v>175</v>
      </c>
      <c r="E562" s="88"/>
      <c r="F562" s="80">
        <v>0</v>
      </c>
      <c r="G562" s="80">
        <v>0</v>
      </c>
      <c r="H562" s="80">
        <v>0</v>
      </c>
      <c r="I562" s="75" t="s">
        <v>162</v>
      </c>
      <c r="J562" s="42">
        <f t="shared" si="22"/>
        <v>0</v>
      </c>
    </row>
    <row r="563" spans="1:10" s="10" customFormat="1" outlineLevel="1" x14ac:dyDescent="0.2">
      <c r="D563" s="75" t="s">
        <v>176</v>
      </c>
      <c r="E563" s="88"/>
      <c r="F563" s="80">
        <v>0</v>
      </c>
      <c r="G563" s="80">
        <v>0</v>
      </c>
      <c r="H563" s="80">
        <v>0</v>
      </c>
      <c r="I563" s="75" t="s">
        <v>162</v>
      </c>
      <c r="J563" s="42">
        <f t="shared" si="22"/>
        <v>0</v>
      </c>
    </row>
    <row r="564" spans="1:10" s="10" customFormat="1" outlineLevel="1" x14ac:dyDescent="0.2">
      <c r="D564" s="75" t="s">
        <v>177</v>
      </c>
      <c r="E564" s="88"/>
      <c r="F564" s="80">
        <v>0</v>
      </c>
      <c r="G564" s="80">
        <v>0</v>
      </c>
      <c r="H564" s="80">
        <v>0</v>
      </c>
      <c r="I564" s="75" t="s">
        <v>162</v>
      </c>
      <c r="J564" s="42">
        <f t="shared" si="22"/>
        <v>0</v>
      </c>
    </row>
    <row r="565" spans="1:10" s="10" customFormat="1" outlineLevel="1" x14ac:dyDescent="0.2">
      <c r="D565" s="75" t="s">
        <v>178</v>
      </c>
      <c r="E565" s="88"/>
      <c r="F565" s="80">
        <v>0</v>
      </c>
      <c r="G565" s="80">
        <v>0</v>
      </c>
      <c r="H565" s="80">
        <v>0</v>
      </c>
      <c r="I565" s="75" t="s">
        <v>162</v>
      </c>
      <c r="J565" s="42">
        <f t="shared" si="22"/>
        <v>0</v>
      </c>
    </row>
    <row r="566" spans="1:10" s="10" customFormat="1" outlineLevel="1" x14ac:dyDescent="0.2">
      <c r="D566" s="75" t="s">
        <v>179</v>
      </c>
      <c r="E566" s="88"/>
      <c r="F566" s="80">
        <v>0</v>
      </c>
      <c r="G566" s="80">
        <v>0</v>
      </c>
      <c r="H566" s="80">
        <v>0</v>
      </c>
      <c r="I566" s="75" t="s">
        <v>162</v>
      </c>
      <c r="J566" s="42">
        <f t="shared" si="22"/>
        <v>0</v>
      </c>
    </row>
    <row r="567" spans="1:10" s="10" customFormat="1" outlineLevel="1" x14ac:dyDescent="0.2">
      <c r="D567" s="75" t="s">
        <v>180</v>
      </c>
      <c r="E567" s="88"/>
      <c r="F567" s="80">
        <v>0</v>
      </c>
      <c r="G567" s="80">
        <v>0</v>
      </c>
      <c r="H567" s="80">
        <v>0</v>
      </c>
      <c r="I567" s="75" t="s">
        <v>162</v>
      </c>
      <c r="J567" s="42">
        <f t="shared" si="22"/>
        <v>0</v>
      </c>
    </row>
    <row r="568" spans="1:10" s="10" customFormat="1" outlineLevel="1" x14ac:dyDescent="0.2">
      <c r="D568" s="75" t="s">
        <v>181</v>
      </c>
      <c r="E568" s="88"/>
      <c r="F568" s="80">
        <v>0</v>
      </c>
      <c r="G568" s="80">
        <v>0</v>
      </c>
      <c r="H568" s="80">
        <v>0</v>
      </c>
      <c r="I568" s="75" t="s">
        <v>162</v>
      </c>
      <c r="J568" s="42">
        <f t="shared" si="22"/>
        <v>0</v>
      </c>
    </row>
    <row r="569" spans="1:10" s="10" customFormat="1" outlineLevel="1" x14ac:dyDescent="0.2">
      <c r="D569" s="75" t="s">
        <v>182</v>
      </c>
      <c r="E569" s="88"/>
      <c r="F569" s="80">
        <v>0</v>
      </c>
      <c r="G569" s="80">
        <v>0</v>
      </c>
      <c r="H569" s="80">
        <v>0</v>
      </c>
      <c r="I569" s="75" t="s">
        <v>162</v>
      </c>
      <c r="J569" s="42">
        <f t="shared" si="22"/>
        <v>0</v>
      </c>
    </row>
    <row r="570" spans="1:10" s="10" customFormat="1" outlineLevel="1" x14ac:dyDescent="0.2">
      <c r="D570" s="55" t="str">
        <f>Lang_Error_Check_Flags_If_Input_Econ_Cost_Is_Less_Than_Fin_Cost</f>
        <v>ERROR CHECK (FLAGS IF INPUT ECONOMIC COST IS LESS THAN FINANCIAL COST)</v>
      </c>
      <c r="J570" s="43">
        <f>IF(ISERROR(SUM(J560:J569)),1,MIN(SUM(J560:J569),1))</f>
        <v>0</v>
      </c>
    </row>
    <row r="571" spans="1:10" s="10" customFormat="1" outlineLevel="1" x14ac:dyDescent="0.2"/>
    <row r="572" spans="1:10" s="10" customFormat="1" outlineLevel="1" x14ac:dyDescent="0.2">
      <c r="D572" s="76" t="str">
        <f>Lang_GoTo&amp;" "&amp;HL_LVL2_ACTV_19_Supplies_and_Materials_Outputs</f>
        <v>Go to  Sensitisation Activity # 6 (Not in Use) Supplies and Materials - Outputs</v>
      </c>
    </row>
    <row r="573" spans="1:10" s="10" customFormat="1" x14ac:dyDescent="0.2"/>
    <row r="574" spans="1:10" s="13" customFormat="1" x14ac:dyDescent="0.2">
      <c r="A574" s="12" t="s">
        <v>127</v>
      </c>
      <c r="B574" s="13" t="str">
        <f>C576</f>
        <v xml:space="preserve"> Sensitisation Activity # 6 (Not in Use) - Detailed Other Direct Cost Assumptions</v>
      </c>
    </row>
    <row r="575" spans="1:10" s="10" customFormat="1" outlineLevel="1" x14ac:dyDescent="0.2"/>
    <row r="576" spans="1:10" s="10" customFormat="1" outlineLevel="1" x14ac:dyDescent="0.2">
      <c r="C576" s="71" t="str">
        <f>HL_LVL2_ACTV_19_Name&amp;" - "&amp;Lang_Detailed_Other_Direct_Cost_Assumptions</f>
        <v xml:space="preserve"> Sensitisation Activity # 6 (Not in Use) - Detailed Other Direct Cost Assumptions</v>
      </c>
    </row>
    <row r="577" spans="4:10" s="10" customFormat="1" ht="48" outlineLevel="1" x14ac:dyDescent="0.2">
      <c r="D577" s="55" t="str">
        <f>Lang_Other_Direct_Cost_ODC_Type</f>
        <v>Other Direct Cost (ODC) Type</v>
      </c>
      <c r="E577" s="85" t="str">
        <f>Lang_ODC_Unit_Each_Dozen_100_Pack</f>
        <v>ODC Unit (e.g. Each, Dozen, 100-pack,etc.)</v>
      </c>
      <c r="F577" s="85" t="str">
        <f>Lang_Number_Of_ODC_Units_Required</f>
        <v>Number of ODC Units Required</v>
      </c>
      <c r="G577" s="86" t="str">
        <f ca="1">SENS_Lu!$D$207&amp;" "&amp;Lang_Cost_Per_Activity_Unit&amp;" ("&amp;OFFSET(SENS_Lu!$D$186,DD_LVL2_ACTV_19_Currency_Selected,0)&amp;")"</f>
        <v>Financial Cost per Activity Unit (USD)</v>
      </c>
      <c r="H577" s="86" t="str">
        <f ca="1">SENS_Lu!$D$208&amp;" "&amp;Lang_Cost_Per_Activity_Unit&amp;" ("&amp;OFFSET(SENS_Lu!$D$186,DD_LVL2_ACTV_19_Currency_Selected,0)&amp;")"</f>
        <v>Economic Cost per Activity Unit (USD)</v>
      </c>
      <c r="I577" s="87" t="str">
        <f>Lang_Evidence_For_Using_This_Cost_Information_Source_Or_Notes</f>
        <v>Evidence for Using this Cost Information (source or notes)</v>
      </c>
    </row>
    <row r="578" spans="4:10" s="10" customFormat="1" outlineLevel="1" x14ac:dyDescent="0.2">
      <c r="D578" s="75" t="s">
        <v>183</v>
      </c>
      <c r="E578" s="88"/>
      <c r="F578" s="80">
        <v>0</v>
      </c>
      <c r="G578" s="80">
        <v>0</v>
      </c>
      <c r="H578" s="80">
        <v>0</v>
      </c>
      <c r="I578" s="75" t="s">
        <v>162</v>
      </c>
      <c r="J578" s="42">
        <f t="shared" ref="J578:J587" si="23">IF(H578&lt;G578,1,0)</f>
        <v>0</v>
      </c>
    </row>
    <row r="579" spans="4:10" s="10" customFormat="1" outlineLevel="1" x14ac:dyDescent="0.2">
      <c r="D579" s="75" t="s">
        <v>184</v>
      </c>
      <c r="E579" s="88"/>
      <c r="F579" s="80">
        <v>0</v>
      </c>
      <c r="G579" s="80">
        <v>0</v>
      </c>
      <c r="H579" s="80">
        <v>0</v>
      </c>
      <c r="I579" s="75" t="s">
        <v>162</v>
      </c>
      <c r="J579" s="42">
        <f t="shared" si="23"/>
        <v>0</v>
      </c>
    </row>
    <row r="580" spans="4:10" s="10" customFormat="1" outlineLevel="1" x14ac:dyDescent="0.2">
      <c r="D580" s="75" t="s">
        <v>185</v>
      </c>
      <c r="E580" s="88"/>
      <c r="F580" s="80">
        <v>0</v>
      </c>
      <c r="G580" s="80">
        <v>0</v>
      </c>
      <c r="H580" s="80">
        <v>0</v>
      </c>
      <c r="I580" s="75" t="s">
        <v>162</v>
      </c>
      <c r="J580" s="42">
        <f t="shared" si="23"/>
        <v>0</v>
      </c>
    </row>
    <row r="581" spans="4:10" s="10" customFormat="1" outlineLevel="1" x14ac:dyDescent="0.2">
      <c r="D581" s="75" t="s">
        <v>186</v>
      </c>
      <c r="E581" s="88"/>
      <c r="F581" s="80">
        <v>0</v>
      </c>
      <c r="G581" s="80">
        <v>0</v>
      </c>
      <c r="H581" s="80">
        <v>0</v>
      </c>
      <c r="I581" s="75" t="s">
        <v>162</v>
      </c>
      <c r="J581" s="42">
        <f t="shared" si="23"/>
        <v>0</v>
      </c>
    </row>
    <row r="582" spans="4:10" s="10" customFormat="1" outlineLevel="1" x14ac:dyDescent="0.2">
      <c r="D582" s="75" t="s">
        <v>187</v>
      </c>
      <c r="E582" s="88"/>
      <c r="F582" s="80">
        <v>0</v>
      </c>
      <c r="G582" s="80">
        <v>0</v>
      </c>
      <c r="H582" s="80">
        <v>0</v>
      </c>
      <c r="I582" s="75" t="s">
        <v>162</v>
      </c>
      <c r="J582" s="42">
        <f t="shared" si="23"/>
        <v>0</v>
      </c>
    </row>
    <row r="583" spans="4:10" s="10" customFormat="1" outlineLevel="1" x14ac:dyDescent="0.2">
      <c r="D583" s="75" t="s">
        <v>188</v>
      </c>
      <c r="E583" s="88"/>
      <c r="F583" s="80">
        <v>0</v>
      </c>
      <c r="G583" s="80">
        <v>0</v>
      </c>
      <c r="H583" s="80">
        <v>0</v>
      </c>
      <c r="I583" s="75" t="s">
        <v>162</v>
      </c>
      <c r="J583" s="42">
        <f t="shared" si="23"/>
        <v>0</v>
      </c>
    </row>
    <row r="584" spans="4:10" s="10" customFormat="1" outlineLevel="1" x14ac:dyDescent="0.2">
      <c r="D584" s="75" t="s">
        <v>189</v>
      </c>
      <c r="E584" s="88"/>
      <c r="F584" s="80">
        <v>0</v>
      </c>
      <c r="G584" s="80">
        <v>0</v>
      </c>
      <c r="H584" s="80">
        <v>0</v>
      </c>
      <c r="I584" s="75" t="s">
        <v>162</v>
      </c>
      <c r="J584" s="42">
        <f t="shared" si="23"/>
        <v>0</v>
      </c>
    </row>
    <row r="585" spans="4:10" s="10" customFormat="1" outlineLevel="1" x14ac:dyDescent="0.2">
      <c r="D585" s="75" t="s">
        <v>190</v>
      </c>
      <c r="E585" s="88"/>
      <c r="F585" s="80">
        <v>0</v>
      </c>
      <c r="G585" s="80">
        <v>0</v>
      </c>
      <c r="H585" s="80">
        <v>0</v>
      </c>
      <c r="I585" s="75" t="s">
        <v>162</v>
      </c>
      <c r="J585" s="42">
        <f t="shared" si="23"/>
        <v>0</v>
      </c>
    </row>
    <row r="586" spans="4:10" s="10" customFormat="1" outlineLevel="1" x14ac:dyDescent="0.2">
      <c r="D586" s="75" t="s">
        <v>191</v>
      </c>
      <c r="E586" s="88"/>
      <c r="F586" s="80">
        <v>0</v>
      </c>
      <c r="G586" s="80">
        <v>0</v>
      </c>
      <c r="H586" s="80">
        <v>0</v>
      </c>
      <c r="I586" s="75" t="s">
        <v>162</v>
      </c>
      <c r="J586" s="42">
        <f t="shared" si="23"/>
        <v>0</v>
      </c>
    </row>
    <row r="587" spans="4:10" s="10" customFormat="1" outlineLevel="1" x14ac:dyDescent="0.2">
      <c r="D587" s="75" t="s">
        <v>192</v>
      </c>
      <c r="E587" s="88"/>
      <c r="F587" s="80">
        <v>0</v>
      </c>
      <c r="G587" s="80">
        <v>0</v>
      </c>
      <c r="H587" s="80">
        <v>0</v>
      </c>
      <c r="I587" s="75" t="s">
        <v>162</v>
      </c>
      <c r="J587" s="42">
        <f t="shared" si="23"/>
        <v>0</v>
      </c>
    </row>
    <row r="588" spans="4:10" s="10" customFormat="1" outlineLevel="1" x14ac:dyDescent="0.2">
      <c r="D588" s="55" t="str">
        <f>Lang_Error_Check_Flags_If_Input_Econ_Cost_Is_Less_Than_Fin_Cost</f>
        <v>ERROR CHECK (FLAGS IF INPUT ECONOMIC COST IS LESS THAN FINANCIAL COST)</v>
      </c>
      <c r="J588" s="43">
        <f>IF(ISERROR(SUM(J578:J587)),1,MIN(SUM(J578:J587),1))</f>
        <v>0</v>
      </c>
    </row>
    <row r="589" spans="4:10" s="10" customFormat="1" outlineLevel="1" x14ac:dyDescent="0.2"/>
    <row r="590" spans="4:10" s="10" customFormat="1" outlineLevel="1" x14ac:dyDescent="0.2">
      <c r="D590" s="76" t="str">
        <f>Lang_GoTo&amp;" "&amp;HL_LVL2_ACTV_19_Other_Direct_Costs_Outputs</f>
        <v>Go to  Sensitisation Activity # 6 (Not in Use) Other Direct Costs - Outputs</v>
      </c>
    </row>
  </sheetData>
  <conditionalFormatting sqref="G28:H42 G51:H60 G69:H78 G87:H96">
    <cfRule type="expression" dxfId="141" priority="6">
      <formula>$E$15=1</formula>
    </cfRule>
  </conditionalFormatting>
  <conditionalFormatting sqref="G125:H139 G148:H157 G166:H175 G184:H193">
    <cfRule type="expression" dxfId="140" priority="5">
      <formula>$E$112=1</formula>
    </cfRule>
  </conditionalFormatting>
  <conditionalFormatting sqref="G222:H236 G245:H254 G263:H272 G281:H290">
    <cfRule type="expression" dxfId="139" priority="4">
      <formula>$E$209=1</formula>
    </cfRule>
  </conditionalFormatting>
  <conditionalFormatting sqref="G321:H335 G344:H353 G362:H371 G380:H389">
    <cfRule type="expression" dxfId="138" priority="3">
      <formula>$E$308=1</formula>
    </cfRule>
  </conditionalFormatting>
  <conditionalFormatting sqref="G420:H434 G443:H452 G461:H470 G479:H488">
    <cfRule type="expression" dxfId="137" priority="2">
      <formula>$E$407=1</formula>
    </cfRule>
  </conditionalFormatting>
  <conditionalFormatting sqref="G519:H533 G542:H551 G560:H569 G578:H587">
    <cfRule type="expression" dxfId="136" priority="1">
      <formula>$E$506=1</formula>
    </cfRule>
  </conditionalFormatting>
  <conditionalFormatting sqref="J28:J43">
    <cfRule type="cellIs" dxfId="135" priority="156" operator="notEqual">
      <formula>0</formula>
    </cfRule>
  </conditionalFormatting>
  <conditionalFormatting sqref="J51:J61">
    <cfRule type="cellIs" dxfId="134" priority="150" operator="notEqual">
      <formula>0</formula>
    </cfRule>
  </conditionalFormatting>
  <conditionalFormatting sqref="J69:J79">
    <cfRule type="cellIs" dxfId="133" priority="149" operator="notEqual">
      <formula>0</formula>
    </cfRule>
  </conditionalFormatting>
  <conditionalFormatting sqref="J87:J97">
    <cfRule type="cellIs" dxfId="132" priority="148" operator="notEqual">
      <formula>0</formula>
    </cfRule>
  </conditionalFormatting>
  <conditionalFormatting sqref="J125:J140">
    <cfRule type="cellIs" dxfId="131" priority="155" operator="notEqual">
      <formula>0</formula>
    </cfRule>
  </conditionalFormatting>
  <conditionalFormatting sqref="J148:J158">
    <cfRule type="cellIs" dxfId="130" priority="147" operator="notEqual">
      <formula>0</formula>
    </cfRule>
  </conditionalFormatting>
  <conditionalFormatting sqref="J166:J176">
    <cfRule type="cellIs" dxfId="129" priority="146" operator="notEqual">
      <formula>0</formula>
    </cfRule>
  </conditionalFormatting>
  <conditionalFormatting sqref="J184:J194">
    <cfRule type="cellIs" dxfId="128" priority="145" operator="notEqual">
      <formula>0</formula>
    </cfRule>
  </conditionalFormatting>
  <conditionalFormatting sqref="J222:J237">
    <cfRule type="cellIs" dxfId="127" priority="154" operator="notEqual">
      <formula>0</formula>
    </cfRule>
  </conditionalFormatting>
  <conditionalFormatting sqref="J245:J255">
    <cfRule type="cellIs" dxfId="126" priority="144" operator="notEqual">
      <formula>0</formula>
    </cfRule>
  </conditionalFormatting>
  <conditionalFormatting sqref="J263:J273">
    <cfRule type="cellIs" dxfId="125" priority="143" operator="notEqual">
      <formula>0</formula>
    </cfRule>
  </conditionalFormatting>
  <conditionalFormatting sqref="J281:J291">
    <cfRule type="cellIs" dxfId="124" priority="142" operator="notEqual">
      <formula>0</formula>
    </cfRule>
  </conditionalFormatting>
  <conditionalFormatting sqref="J321:J336">
    <cfRule type="cellIs" dxfId="123" priority="153" operator="notEqual">
      <formula>0</formula>
    </cfRule>
  </conditionalFormatting>
  <conditionalFormatting sqref="J344:J354">
    <cfRule type="cellIs" dxfId="122" priority="141" operator="notEqual">
      <formula>0</formula>
    </cfRule>
  </conditionalFormatting>
  <conditionalFormatting sqref="J362:J372">
    <cfRule type="cellIs" dxfId="121" priority="140" operator="notEqual">
      <formula>0</formula>
    </cfRule>
  </conditionalFormatting>
  <conditionalFormatting sqref="J380:J390">
    <cfRule type="cellIs" dxfId="120" priority="139" operator="notEqual">
      <formula>0</formula>
    </cfRule>
  </conditionalFormatting>
  <conditionalFormatting sqref="J420:J435">
    <cfRule type="cellIs" dxfId="119" priority="152" operator="notEqual">
      <formula>0</formula>
    </cfRule>
  </conditionalFormatting>
  <conditionalFormatting sqref="J443:J453">
    <cfRule type="cellIs" dxfId="118" priority="138" operator="notEqual">
      <formula>0</formula>
    </cfRule>
  </conditionalFormatting>
  <conditionalFormatting sqref="J461:J471">
    <cfRule type="cellIs" dxfId="117" priority="137" operator="notEqual">
      <formula>0</formula>
    </cfRule>
  </conditionalFormatting>
  <conditionalFormatting sqref="J479:J489">
    <cfRule type="cellIs" dxfId="116" priority="136" operator="notEqual">
      <formula>0</formula>
    </cfRule>
  </conditionalFormatting>
  <conditionalFormatting sqref="J519:J534">
    <cfRule type="cellIs" dxfId="115" priority="151" operator="notEqual">
      <formula>0</formula>
    </cfRule>
  </conditionalFormatting>
  <conditionalFormatting sqref="J542:J552">
    <cfRule type="cellIs" dxfId="114" priority="135" operator="notEqual">
      <formula>0</formula>
    </cfRule>
  </conditionalFormatting>
  <conditionalFormatting sqref="J560:J570">
    <cfRule type="cellIs" dxfId="113" priority="134" operator="notEqual">
      <formula>0</formula>
    </cfRule>
  </conditionalFormatting>
  <conditionalFormatting sqref="J578:J588">
    <cfRule type="cellIs" dxfId="112" priority="133" operator="notEqual">
      <formula>0</formula>
    </cfRule>
  </conditionalFormatting>
  <dataValidations count="7">
    <dataValidation type="custom" showErrorMessage="1" errorTitle="Invalid Assumption" error="Assumption must be a number." sqref="F542:H551 F51:H60 F69:H78 F87:H96 F222:H236 F344:H353 F362:H371 F380:H389 F519:H533 F28:H42 F184:H193 F166:H175 F148:H157 E22 F125:H139 F281:H290 F263:H272 F245:H254 E119 E216 E414 F420:H434 F321:H335 F479:H488 F461:H470 F443:H452 E315 E513 F578:H587 F560:H569" xr:uid="{00000000-0002-0000-2300-000000000000}">
      <formula1>NOT(ISERROR(E22/1))</formula1>
    </dataValidation>
    <dataValidation type="whole" showDropDown="1" showErrorMessage="1" errorTitle="Drop Down Box Cell Link" error="The value in a drop down box cell link must be a whole number within the control's lookup range rows." sqref="E15" xr:uid="{00000000-0002-0000-2300-000001000000}">
      <formula1>1</formula1>
      <formula2>ROWS(LU_TOP_ACTV_3_Currencies)</formula2>
    </dataValidation>
    <dataValidation type="whole" showDropDown="1" showErrorMessage="1" errorTitle="Drop Down Box Cell Link" error="The value in a drop down box cell link must be a whole number within the control's lookup range rows." sqref="E308" xr:uid="{00000000-0002-0000-2300-000002000000}">
      <formula1>1</formula1>
      <formula2>ROWS(LU_LVL2_ACTV_3_Currencies)</formula2>
    </dataValidation>
    <dataValidation type="whole" showDropDown="1" showErrorMessage="1" errorTitle="Drop Down Box Cell Link" error="The value in a drop down box cell link must be a whole number within the control's lookup range rows." sqref="E112" xr:uid="{00000000-0002-0000-2300-000003000000}">
      <formula1>1</formula1>
      <formula2>ROWS(LU_TOP_ACTV_10_Currencies)</formula2>
    </dataValidation>
    <dataValidation type="whole" showDropDown="1" showErrorMessage="1" errorTitle="Drop Down Box Cell Link" error="The value in a drop down box cell link must be a whole number within the control's lookup range rows." sqref="E209" xr:uid="{00000000-0002-0000-2300-000004000000}">
      <formula1>1</formula1>
      <formula2>ROWS(LU_TOP_ACTV_11_Currencies)</formula2>
    </dataValidation>
    <dataValidation type="whole" showDropDown="1" showErrorMessage="1" errorTitle="Drop Down Box Cell Link" error="The value in a drop down box cell link must be a whole number within the control's lookup range rows." sqref="E407" xr:uid="{00000000-0002-0000-2300-000005000000}">
      <formula1>1</formula1>
      <formula2>ROWS(LU_LVL2_ACTV_18_Currencies)</formula2>
    </dataValidation>
    <dataValidation type="whole" showDropDown="1" showErrorMessage="1" errorTitle="Drop Down Box Cell Link" error="The value in a drop down box cell link must be a whole number within the control's lookup range rows." sqref="E506" xr:uid="{00000000-0002-0000-2300-000006000000}">
      <formula1>1</formula1>
      <formula2>ROWS(LU_LVL2_ACTV_19_Currencies)</formula2>
    </dataValidation>
  </dataValidations>
  <hyperlinks>
    <hyperlink ref="A4" location="HL_TOP_ACTV_3_Ass_B" tooltip="Click to follow hyperlink." display="HL_TOP_ACTV_3_Ass_B" xr:uid="{00000000-0004-0000-2300-000000000000}"/>
    <hyperlink ref="A12" location="HL_TOP_ACTV_3_Personnel_Assumptions" tooltip="Click to follow hyperlink." display="HL_TOP_ACTV_3_Personnel_Assumptions" xr:uid="{00000000-0004-0000-2300-000001000000}"/>
    <hyperlink ref="D45" location="HL_TOP_ACTV_3_Personnel_Outputs" tooltip="Click to follow hyperlink." display="HL_TOP_ACTV_3_Personnel_Outputs" xr:uid="{00000000-0004-0000-2300-000002000000}"/>
    <hyperlink ref="D63" location="HL_TOP_ACTV_3_Out_A" tooltip="Click to follow hyperlink." display="HL_TOP_ACTV_3_Out_A" xr:uid="{00000000-0004-0000-2300-000003000000}"/>
    <hyperlink ref="D81" location="HL_TOP_ACTV_3_Supplies_and_Materials_Outputs" tooltip="Click to follow hyperlink." display="HL_TOP_ACTV_3_Supplies_and_Materials_Outputs" xr:uid="{00000000-0004-0000-2300-000004000000}"/>
    <hyperlink ref="D99" location="HL_TOP_ACTV_3_Other_Direct_Costs_Outputs" tooltip="Click to follow hyperlink." display="HL_TOP_ACTV_3_Other_Direct_Costs_Outputs" xr:uid="{00000000-0004-0000-2300-000005000000}"/>
    <hyperlink ref="D392" location="HL_LVL2_ACTV_3_Other_Direct_Costs_Outputs" tooltip="Click to follow hyperlink." display="HL_LVL2_ACTV_3_Other_Direct_Costs_Outputs" xr:uid="{00000000-0004-0000-2300-000006000000}"/>
    <hyperlink ref="D374" location="HL_LVL2_ACTV_3_Supplies_and_Materials_Outputs" tooltip="Click to follow hyperlink." display="HL_LVL2_ACTV_3_Supplies_and_Materials_Outputs" xr:uid="{00000000-0004-0000-2300-000007000000}"/>
    <hyperlink ref="D356" location="HL_LVL2_ACTV_3_Out_A" tooltip="Click to follow hyperlink." display="HL_LVL2_ACTV_3_Out_A" xr:uid="{00000000-0004-0000-2300-000008000000}"/>
    <hyperlink ref="D338" location="HL_LVL2_ACTV_3_Personnel_Outputs" tooltip="Click to follow hyperlink." display="HL_LVL2_ACTV_3_Personnel_Outputs" xr:uid="{00000000-0004-0000-2300-000009000000}"/>
    <hyperlink ref="A304" location="HL_LVL2_ACTV_3_Personnel_Assumptions" tooltip="Click to follow hyperlink." display="HL_LVL2_ACTV_3_Personnel_Assumptions" xr:uid="{00000000-0004-0000-2300-00000A000000}"/>
    <hyperlink ref="A295" location="HL_LVL2_ACTV_3_Ass_B" tooltip="Click to follow hyperlink." display="HL_LVL2_ACTV_3_Ass_B" xr:uid="{00000000-0004-0000-2300-00000B000000}"/>
    <hyperlink ref="A101" location="HL_TOP_ACTV_10_Ass_B" tooltip="Click to follow hyperlink." display="HL_TOP_ACTV_10_Ass_B" xr:uid="{00000000-0004-0000-2300-00000C000000}"/>
    <hyperlink ref="A109" location="HL_TOP_ACTV_10_Personnel_Assumptions" tooltip="Click to follow hyperlink." display="HL_TOP_ACTV_10_Personnel_Assumptions" xr:uid="{00000000-0004-0000-2300-00000D000000}"/>
    <hyperlink ref="D142" location="HL_TOP_ACTV_10_Personnel_Outputs" tooltip="Click to follow hyperlink." display="HL_TOP_ACTV_10_Personnel_Outputs" xr:uid="{00000000-0004-0000-2300-00000E000000}"/>
    <hyperlink ref="D160" location="HL_TOP_ACTV_10_Out_A" tooltip="Click to follow hyperlink." display="HL_TOP_ACTV_10_Out_A" xr:uid="{00000000-0004-0000-2300-00000F000000}"/>
    <hyperlink ref="D178" location="HL_TOP_ACTV_10_Supplies_and_Materials_Outputs" tooltip="Click to follow hyperlink." display="HL_TOP_ACTV_10_Supplies_and_Materials_Outputs" xr:uid="{00000000-0004-0000-2300-000010000000}"/>
    <hyperlink ref="D196" location="HL_TOP_ACTV_10_Other_Direct_Costs_Outputs" tooltip="Click to follow hyperlink." display="HL_TOP_ACTV_10_Other_Direct_Costs_Outputs" xr:uid="{00000000-0004-0000-2300-000011000000}"/>
    <hyperlink ref="A198" location="HL_TOP_ACTV_11_Ass_B" tooltip="Click to follow hyperlink." display="HL_TOP_ACTV_11_Ass_B" xr:uid="{00000000-0004-0000-2300-000012000000}"/>
    <hyperlink ref="A206" location="HL_TOP_ACTV_11_Personnel_Assumptions" tooltip="Click to follow hyperlink." display="HL_TOP_ACTV_11_Personnel_Assumptions" xr:uid="{00000000-0004-0000-2300-000013000000}"/>
    <hyperlink ref="D239" location="HL_TOP_ACTV_11_Personnel_Outputs" tooltip="Click to follow hyperlink." display="HL_TOP_ACTV_11_Personnel_Outputs" xr:uid="{00000000-0004-0000-2300-000014000000}"/>
    <hyperlink ref="D257" location="HL_TOP_ACTV_11_Out_A" tooltip="Click to follow hyperlink." display="HL_TOP_ACTV_11_Out_A" xr:uid="{00000000-0004-0000-2300-000015000000}"/>
    <hyperlink ref="D275" location="HL_TOP_ACTV_11_Supplies_and_Materials_Outputs" tooltip="Click to follow hyperlink." display="HL_TOP_ACTV_11_Supplies_and_Materials_Outputs" xr:uid="{00000000-0004-0000-2300-000016000000}"/>
    <hyperlink ref="D293" location="HL_TOP_ACTV_11_Other_Direct_Costs_Outputs" tooltip="Click to follow hyperlink." display="HL_TOP_ACTV_11_Other_Direct_Costs_Outputs" xr:uid="{00000000-0004-0000-2300-000017000000}"/>
    <hyperlink ref="A394" location="HL_LVL2_ACTV_18_Ass_B" tooltip="Click to follow hyperlink." display="HL_LVL2_ACTV_18_Ass_B" xr:uid="{00000000-0004-0000-2300-000018000000}"/>
    <hyperlink ref="A403" location="HL_LVL2_ACTV_18_Personnel_Assumptions" tooltip="Click to follow hyperlink." display="HL_LVL2_ACTV_18_Personnel_Assumptions" xr:uid="{00000000-0004-0000-2300-000019000000}"/>
    <hyperlink ref="D437" location="HL_LVL2_ACTV_18_Personnel_Outputs" tooltip="Click to follow hyperlink." display="HL_LVL2_ACTV_18_Personnel_Outputs" xr:uid="{00000000-0004-0000-2300-00001A000000}"/>
    <hyperlink ref="D455" location="HL_LVL2_ACTV_18_Out_A" tooltip="Click to follow hyperlink." display="HL_LVL2_ACTV_18_Out_A" xr:uid="{00000000-0004-0000-2300-00001B000000}"/>
    <hyperlink ref="D473" location="HL_LVL2_ACTV_18_Supplies_and_Materials_Outputs" tooltip="Click to follow hyperlink." display="HL_LVL2_ACTV_18_Supplies_and_Materials_Outputs" xr:uid="{00000000-0004-0000-2300-00001C000000}"/>
    <hyperlink ref="D491" location="HL_LVL2_ACTV_18_Other_Direct_Costs_Outputs" tooltip="Click to follow hyperlink." display="HL_LVL2_ACTV_18_Other_Direct_Costs_Outputs" xr:uid="{00000000-0004-0000-2300-00001D000000}"/>
    <hyperlink ref="A493" location="HL_LVL2_ACTV_19_Ass_B" tooltip="Click to follow hyperlink." display="HL_LVL2_ACTV_19_Ass_B" xr:uid="{00000000-0004-0000-2300-00001E000000}"/>
    <hyperlink ref="A502" location="HL_LVL2_ACTV_19_Personnel_Assumptions" tooltip="Click to follow hyperlink." display="HL_LVL2_ACTV_19_Personnel_Assumptions" xr:uid="{00000000-0004-0000-2300-00001F000000}"/>
    <hyperlink ref="D536" location="HL_LVL2_ACTV_19_Personnel_Outputs" tooltip="Click to follow hyperlink." display="HL_LVL2_ACTV_19_Personnel_Outputs" xr:uid="{00000000-0004-0000-2300-000020000000}"/>
    <hyperlink ref="D554" location="HL_LVL2_ACTV_19_Out_A" tooltip="Click to follow hyperlink." display="HL_LVL2_ACTV_19_Out_A" xr:uid="{00000000-0004-0000-2300-000021000000}"/>
    <hyperlink ref="D572" location="HL_LVL2_ACTV_19_Supplies_and_Materials_Outputs" tooltip="Click to follow hyperlink." display="HL_LVL2_ACTV_19_Supplies_and_Materials_Outputs" xr:uid="{00000000-0004-0000-2300-000022000000}"/>
    <hyperlink ref="D590" location="HL_LVL2_ACTV_19_Other_Direct_Costs_Outputs" tooltip="Click to follow hyperlink." display="HL_LVL2_ACTV_19_Other_Direct_Costs_Outputs" xr:uid="{00000000-0004-0000-2300-000023000000}"/>
    <hyperlink ref="A1" location="Contents!A1" tooltip="Go to Table of Contents" display="±" xr:uid="{00000000-0004-0000-2300-000024000000}"/>
  </hyperlinks>
  <pageMargins left="0.7" right="0.7" top="0.75" bottom="0.75" header="0.3" footer="0.3"/>
  <pageSetup scale="62" fitToHeight="0" orientation="landscape" r:id="rId1"/>
  <headerFooter>
    <oddFooter>&amp;L&amp;B Confidential&amp;B&amp;C&amp;D&amp;RPage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6145" r:id="rId4" name="bpmDropDownTOP_ACTV_31">
              <controlPr defaultSize="0" autoFill="0" autoPict="0">
                <anchor moveWithCells="1" sizeWithCells="1">
                  <from>
                    <xdr:col>4</xdr:col>
                    <xdr:colOff>0</xdr:colOff>
                    <xdr:row>14</xdr:row>
                    <xdr:rowOff>0</xdr:rowOff>
                  </from>
                  <to>
                    <xdr:col>5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59" r:id="rId5" name="bpmDropDownLVL2_ACTV_31">
              <controlPr defaultSize="0" autoFill="0" autoPict="0">
                <anchor moveWithCells="1" sizeWithCells="1">
                  <from>
                    <xdr:col>4</xdr:col>
                    <xdr:colOff>0</xdr:colOff>
                    <xdr:row>307</xdr:row>
                    <xdr:rowOff>0</xdr:rowOff>
                  </from>
                  <to>
                    <xdr:col>5</xdr:col>
                    <xdr:colOff>0</xdr:colOff>
                    <xdr:row>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64" r:id="rId6" name="bpmDropDownTOP_ACTV_101">
              <controlPr defaultSize="0" autoFill="0" autoPict="0">
                <anchor moveWithCells="1" sizeWithCells="1">
                  <from>
                    <xdr:col>4</xdr:col>
                    <xdr:colOff>0</xdr:colOff>
                    <xdr:row>111</xdr:row>
                    <xdr:rowOff>0</xdr:rowOff>
                  </from>
                  <to>
                    <xdr:col>5</xdr:col>
                    <xdr:colOff>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69" r:id="rId7" name="bpmDropDownTOP_ACTV_111">
              <controlPr defaultSize="0" autoFill="0" autoPict="0">
                <anchor moveWithCells="1" sizeWithCells="1">
                  <from>
                    <xdr:col>4</xdr:col>
                    <xdr:colOff>0</xdr:colOff>
                    <xdr:row>208</xdr:row>
                    <xdr:rowOff>0</xdr:rowOff>
                  </from>
                  <to>
                    <xdr:col>5</xdr:col>
                    <xdr:colOff>0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89" r:id="rId8" name="bpmDropDownLVL2_ACTV_181">
              <controlPr defaultSize="0" autoFill="0" autoPict="0">
                <anchor moveWithCells="1" sizeWithCells="1">
                  <from>
                    <xdr:col>4</xdr:col>
                    <xdr:colOff>0</xdr:colOff>
                    <xdr:row>406</xdr:row>
                    <xdr:rowOff>0</xdr:rowOff>
                  </from>
                  <to>
                    <xdr:col>5</xdr:col>
                    <xdr:colOff>0</xdr:colOff>
                    <xdr:row>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94" r:id="rId9" name="bpmDropDownLVL2_ACTV_191">
              <controlPr defaultSize="0" autoFill="0" autoPict="0">
                <anchor moveWithCells="1" sizeWithCells="1">
                  <from>
                    <xdr:col>4</xdr:col>
                    <xdr:colOff>0</xdr:colOff>
                    <xdr:row>505</xdr:row>
                    <xdr:rowOff>0</xdr:rowOff>
                  </from>
                  <to>
                    <xdr:col>5</xdr:col>
                    <xdr:colOff>0</xdr:colOff>
                    <xdr:row>506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4">
    <tabColor rgb="FFFFC000"/>
    <pageSetUpPr autoPageBreaks="0" fitToPage="1"/>
  </sheetPr>
  <dimension ref="A1:R788"/>
  <sheetViews>
    <sheetView showGridLines="0" zoomScaleNormal="100" workbookViewId="0">
      <pane xSplit="1" ySplit="2" topLeftCell="B3" activePane="bottomRight" state="frozen"/>
      <selection activeCell="I511" sqref="I511"/>
      <selection pane="topRight" activeCell="I511" sqref="I511"/>
      <selection pane="bottomLeft" activeCell="I511" sqref="I511"/>
      <selection pane="bottomRight" activeCell="E15" sqref="E15"/>
    </sheetView>
  </sheetViews>
  <sheetFormatPr defaultColWidth="11.7109375" defaultRowHeight="12" outlineLevelRow="1" x14ac:dyDescent="0.2"/>
  <cols>
    <col min="1" max="3" width="3.7109375" customWidth="1"/>
    <col min="4" max="4" width="30.7109375" customWidth="1"/>
    <col min="5" max="5" width="20.7109375" customWidth="1"/>
    <col min="9" max="9" width="30.7109375" customWidth="1"/>
  </cols>
  <sheetData>
    <row r="1" spans="1:5" ht="15" x14ac:dyDescent="0.2">
      <c r="A1" s="35" t="s">
        <v>128</v>
      </c>
      <c r="B1" s="31" t="str">
        <f>Lang_Social_Mobilisation_Detailed_Costing_Worksheets_Optional</f>
        <v>Social Mobilisation -  Detailed Costing Worksheets (OPTIONAL)</v>
      </c>
    </row>
    <row r="2" spans="1:5" ht="12.75" x14ac:dyDescent="0.2">
      <c r="A2" s="36"/>
      <c r="B2" s="45" t="str">
        <f ca="1">Model_Name</f>
        <v>Cervical Cancer Prevention and Control Costing (C4P) Tool (Cost Projection)</v>
      </c>
    </row>
    <row r="3" spans="1:5" s="10" customFormat="1" x14ac:dyDescent="0.2"/>
    <row r="4" spans="1:5" s="13" customFormat="1" x14ac:dyDescent="0.2">
      <c r="A4" s="12" t="s">
        <v>125</v>
      </c>
      <c r="B4" s="13" t="str">
        <f>C6</f>
        <v>IEC Soc Mob  Activity # 1 (Not in Use) -  Detailed Activity Costing Worksheet - Instructions</v>
      </c>
    </row>
    <row r="5" spans="1:5" s="10" customFormat="1" outlineLevel="1" x14ac:dyDescent="0.2"/>
    <row r="6" spans="1:5" s="10" customFormat="1" outlineLevel="1" x14ac:dyDescent="0.2">
      <c r="C6" s="71" t="str">
        <f>HL_TOP_ACTV_4_Name&amp;" -  "&amp;Lang_Detailed_Activity_Costing_Worksheet_Instructions</f>
        <v>IEC Soc Mob  Activity # 1 (Not in Use) -  Detailed Activity Costing Worksheet - Instructions</v>
      </c>
    </row>
    <row r="7" spans="1:5" s="10" customFormat="1" outlineLevel="1" x14ac:dyDescent="0.2"/>
    <row r="8" spans="1:5" s="10" customFormat="1" outlineLevel="1" x14ac:dyDescent="0.2">
      <c r="D8" s="50" t="str">
        <f>Lang_Detailed_Costing_Worksheets_Notes_1</f>
        <v>This detailed costing worksheet can be used to document the types and amounts of resources required to complete a single instance of an activity.</v>
      </c>
    </row>
    <row r="9" spans="1:5" s="10" customFormat="1" outlineLevel="1" x14ac:dyDescent="0.2">
      <c r="D9" s="50" t="str">
        <f>Lang_Detailed_Costing_Worksheets_Notes_2</f>
        <v>When completed, it will automatically provide a single activity cost in the general assumption worksheet.</v>
      </c>
    </row>
    <row r="10" spans="1:5" s="10" customFormat="1" outlineLevel="1" x14ac:dyDescent="0.2">
      <c r="D10" s="50" t="str">
        <f>Lang_Detailed_Costing_Worksheets_Notes_3</f>
        <v>The user may then choose to use the results of the detailed costing in the model, or override the detailed costing and insert alternate cost estimates.</v>
      </c>
    </row>
    <row r="11" spans="1:5" s="10" customFormat="1" x14ac:dyDescent="0.2"/>
    <row r="12" spans="1:5" s="13" customFormat="1" x14ac:dyDescent="0.2">
      <c r="A12" s="12" t="s">
        <v>125</v>
      </c>
      <c r="B12" s="13" t="str">
        <f>C14</f>
        <v>IEC Soc Mob  Activity # 1 (Not in Use) - Detailed Activity Costing Worksheet - Currency Selection</v>
      </c>
    </row>
    <row r="13" spans="1:5" s="10" customFormat="1" outlineLevel="1" x14ac:dyDescent="0.2"/>
    <row r="14" spans="1:5" s="10" customFormat="1" outlineLevel="1" x14ac:dyDescent="0.2">
      <c r="C14" s="71" t="str">
        <f>HL_TOP_ACTV_4_Name&amp;" - "&amp;Lang_Detailed_Activity_Costing_Worksheet_Currency_Selection</f>
        <v>IEC Soc Mob  Activity # 1 (Not in Use) - Detailed Activity Costing Worksheet - Currency Selection</v>
      </c>
    </row>
    <row r="15" spans="1:5" s="10" customFormat="1" outlineLevel="1" x14ac:dyDescent="0.2">
      <c r="D15" s="55" t="str">
        <f>Lang_Currency_Used_For_Cost_Inputs</f>
        <v>Currency Used for Cost Inputs</v>
      </c>
      <c r="E15" s="72">
        <v>1</v>
      </c>
    </row>
    <row r="16" spans="1:5" s="10" customFormat="1" outlineLevel="1" x14ac:dyDescent="0.2"/>
    <row r="17" spans="1:10" s="10" customFormat="1" outlineLevel="1" x14ac:dyDescent="0.2"/>
    <row r="18" spans="1:10" s="10" customFormat="1" outlineLevel="1" x14ac:dyDescent="0.2">
      <c r="D18" s="54" t="str">
        <f>Lang_Imported_From_Econ_Module</f>
        <v>Imported from Econ Module</v>
      </c>
    </row>
    <row r="19" spans="1:10" s="10" customFormat="1" outlineLevel="1" x14ac:dyDescent="0.2">
      <c r="D19" s="49" t="str">
        <f>ECONOMICS!F7</f>
        <v>USD</v>
      </c>
    </row>
    <row r="20" spans="1:10" s="10" customFormat="1" outlineLevel="1" x14ac:dyDescent="0.2">
      <c r="D20" s="49" t="str">
        <f>ECONOMICS!F8</f>
        <v>LCU</v>
      </c>
    </row>
    <row r="21" spans="1:10" s="10" customFormat="1" outlineLevel="1" x14ac:dyDescent="0.2"/>
    <row r="22" spans="1:10" s="10" customFormat="1" outlineLevel="1" x14ac:dyDescent="0.2">
      <c r="D22" s="50" t="str">
        <f>Lang_Exchange_Rate_From_Econ</f>
        <v>Exchange Rate (from Economics)</v>
      </c>
      <c r="E22" s="41">
        <f>ECONOMICS!E13</f>
        <v>1234.5</v>
      </c>
    </row>
    <row r="23" spans="1:10" s="10" customFormat="1" x14ac:dyDescent="0.2"/>
    <row r="24" spans="1:10" s="13" customFormat="1" x14ac:dyDescent="0.2">
      <c r="A24" s="12" t="s">
        <v>127</v>
      </c>
      <c r="B24" s="13" t="str">
        <f>C26</f>
        <v>IEC Soc Mob  Activity # 1 (Not in Use) - Detailed Personnel Cost Assumptions</v>
      </c>
    </row>
    <row r="25" spans="1:10" s="10" customFormat="1" outlineLevel="1" x14ac:dyDescent="0.2"/>
    <row r="26" spans="1:10" s="10" customFormat="1" outlineLevel="1" x14ac:dyDescent="0.2">
      <c r="C26" s="71" t="str">
        <f>HL_TOP_ACTV_4_Name&amp;" - "&amp;Lang_Detailed_Personnel_Cost_Assumptions</f>
        <v>IEC Soc Mob  Activity # 1 (Not in Use) - Detailed Personnel Cost Assumptions</v>
      </c>
    </row>
    <row r="27" spans="1:10" s="10" customFormat="1" ht="48" outlineLevel="1" x14ac:dyDescent="0.2">
      <c r="D27" s="55" t="str">
        <f>Lang_Personnel_Cadre_Type</f>
        <v>Personnel Cadre Type</v>
      </c>
      <c r="E27" s="85" t="str">
        <f>Lang_Activity_Unit_Day_Hour_Minute</f>
        <v>Activity Unit (e.g. Day, Hour, Minute)</v>
      </c>
      <c r="F27" s="85" t="str">
        <f>Lang_Number_Of_Activity_Units_Required</f>
        <v>Number of Activity Units Required</v>
      </c>
      <c r="G27" s="86" t="str">
        <f ca="1">SOCMOB_Lu!$D$32&amp;" "&amp;Lang_Cost_Per_Activity_Unit&amp;" ("&amp;OFFSET(SOCMOB_Lu!$D$11,DD_TOP_ACTV_4_Detailed_Currency_Used,0)&amp;")"</f>
        <v>Financial Cost per Activity Unit (USD)</v>
      </c>
      <c r="H27" s="86" t="str">
        <f ca="1">SOCMOB_Lu!$D$33&amp;" "&amp;Lang_Cost_Per_Activity_Unit&amp;" ("&amp;OFFSET(SOCMOB_Lu!$D$11,DD_TOP_ACTV_4_Detailed_Currency_Used,0)&amp;")"</f>
        <v>Economic Cost per Activity Unit (USD)</v>
      </c>
      <c r="I27" s="87" t="str">
        <f>Lang_Evidence_For_Using_This_Cost_Information_Source_Or_Notes</f>
        <v>Evidence for Using this Cost Information (source or notes)</v>
      </c>
    </row>
    <row r="28" spans="1:10" s="10" customFormat="1" outlineLevel="1" x14ac:dyDescent="0.2">
      <c r="D28" s="75" t="s">
        <v>152</v>
      </c>
      <c r="E28" s="88"/>
      <c r="F28" s="80">
        <v>0</v>
      </c>
      <c r="G28" s="80">
        <v>0</v>
      </c>
      <c r="H28" s="80">
        <v>0</v>
      </c>
      <c r="I28" s="75" t="s">
        <v>162</v>
      </c>
      <c r="J28" s="42">
        <f t="shared" ref="J28:J42" si="0">IF(H28&lt;G28,1,0)</f>
        <v>0</v>
      </c>
    </row>
    <row r="29" spans="1:10" s="10" customFormat="1" outlineLevel="1" x14ac:dyDescent="0.2">
      <c r="D29" s="75" t="s">
        <v>153</v>
      </c>
      <c r="E29" s="88"/>
      <c r="F29" s="80">
        <v>0</v>
      </c>
      <c r="G29" s="80">
        <v>0</v>
      </c>
      <c r="H29" s="80">
        <v>0</v>
      </c>
      <c r="I29" s="75" t="s">
        <v>162</v>
      </c>
      <c r="J29" s="42">
        <f t="shared" si="0"/>
        <v>0</v>
      </c>
    </row>
    <row r="30" spans="1:10" s="10" customFormat="1" outlineLevel="1" x14ac:dyDescent="0.2">
      <c r="D30" s="75" t="s">
        <v>154</v>
      </c>
      <c r="E30" s="88"/>
      <c r="F30" s="80">
        <v>0</v>
      </c>
      <c r="G30" s="80">
        <v>0</v>
      </c>
      <c r="H30" s="80">
        <v>0</v>
      </c>
      <c r="I30" s="75" t="s">
        <v>162</v>
      </c>
      <c r="J30" s="42">
        <f t="shared" si="0"/>
        <v>0</v>
      </c>
    </row>
    <row r="31" spans="1:10" s="10" customFormat="1" outlineLevel="1" x14ac:dyDescent="0.2">
      <c r="D31" s="75" t="s">
        <v>155</v>
      </c>
      <c r="E31" s="88"/>
      <c r="F31" s="80">
        <v>0</v>
      </c>
      <c r="G31" s="80">
        <v>0</v>
      </c>
      <c r="H31" s="80">
        <v>0</v>
      </c>
      <c r="I31" s="75" t="s">
        <v>162</v>
      </c>
      <c r="J31" s="42">
        <f t="shared" si="0"/>
        <v>0</v>
      </c>
    </row>
    <row r="32" spans="1:10" s="10" customFormat="1" outlineLevel="1" x14ac:dyDescent="0.2">
      <c r="D32" s="75" t="s">
        <v>156</v>
      </c>
      <c r="E32" s="88"/>
      <c r="F32" s="80">
        <v>0</v>
      </c>
      <c r="G32" s="80">
        <v>0</v>
      </c>
      <c r="H32" s="80">
        <v>0</v>
      </c>
      <c r="I32" s="75" t="s">
        <v>162</v>
      </c>
      <c r="J32" s="42">
        <f t="shared" si="0"/>
        <v>0</v>
      </c>
    </row>
    <row r="33" spans="1:18" s="10" customFormat="1" outlineLevel="1" x14ac:dyDescent="0.2">
      <c r="D33" s="75" t="s">
        <v>157</v>
      </c>
      <c r="E33" s="88"/>
      <c r="F33" s="80">
        <v>0</v>
      </c>
      <c r="G33" s="80">
        <v>0</v>
      </c>
      <c r="H33" s="80">
        <v>0</v>
      </c>
      <c r="I33" s="75" t="s">
        <v>162</v>
      </c>
      <c r="J33" s="42">
        <f t="shared" si="0"/>
        <v>0</v>
      </c>
      <c r="R33"/>
    </row>
    <row r="34" spans="1:18" s="10" customFormat="1" outlineLevel="1" x14ac:dyDescent="0.2">
      <c r="D34" s="75" t="s">
        <v>158</v>
      </c>
      <c r="E34" s="88"/>
      <c r="F34" s="80">
        <v>0</v>
      </c>
      <c r="G34" s="80">
        <v>0</v>
      </c>
      <c r="H34" s="80">
        <v>0</v>
      </c>
      <c r="I34" s="75" t="s">
        <v>162</v>
      </c>
      <c r="J34" s="42">
        <f t="shared" si="0"/>
        <v>0</v>
      </c>
    </row>
    <row r="35" spans="1:18" outlineLevel="1" x14ac:dyDescent="0.2">
      <c r="D35" s="62" t="s">
        <v>159</v>
      </c>
      <c r="E35" s="64"/>
      <c r="F35" s="19">
        <v>0</v>
      </c>
      <c r="G35" s="19">
        <v>0</v>
      </c>
      <c r="H35" s="19">
        <v>0</v>
      </c>
      <c r="I35" s="62" t="s">
        <v>162</v>
      </c>
      <c r="J35" s="42">
        <f t="shared" si="0"/>
        <v>0</v>
      </c>
    </row>
    <row r="36" spans="1:18" outlineLevel="1" x14ac:dyDescent="0.2">
      <c r="D36" s="62" t="s">
        <v>160</v>
      </c>
      <c r="E36" s="64"/>
      <c r="F36" s="19">
        <v>0</v>
      </c>
      <c r="G36" s="19">
        <v>0</v>
      </c>
      <c r="H36" s="19">
        <v>0</v>
      </c>
      <c r="I36" s="62" t="s">
        <v>162</v>
      </c>
      <c r="J36" s="42">
        <f t="shared" si="0"/>
        <v>0</v>
      </c>
    </row>
    <row r="37" spans="1:18" outlineLevel="1" x14ac:dyDescent="0.2">
      <c r="D37" s="62" t="s">
        <v>161</v>
      </c>
      <c r="E37" s="64"/>
      <c r="F37" s="19">
        <v>0</v>
      </c>
      <c r="G37" s="19">
        <v>0</v>
      </c>
      <c r="H37" s="19">
        <v>0</v>
      </c>
      <c r="I37" s="62" t="s">
        <v>162</v>
      </c>
      <c r="J37" s="42">
        <f t="shared" si="0"/>
        <v>0</v>
      </c>
    </row>
    <row r="38" spans="1:18" outlineLevel="1" x14ac:dyDescent="0.2">
      <c r="D38" s="62" t="s">
        <v>393</v>
      </c>
      <c r="E38" s="64"/>
      <c r="F38" s="19">
        <v>0</v>
      </c>
      <c r="G38" s="19">
        <v>0</v>
      </c>
      <c r="H38" s="19">
        <v>0</v>
      </c>
      <c r="I38" s="62" t="s">
        <v>162</v>
      </c>
      <c r="J38" s="42">
        <f t="shared" si="0"/>
        <v>0</v>
      </c>
    </row>
    <row r="39" spans="1:18" outlineLevel="1" x14ac:dyDescent="0.2">
      <c r="D39" s="62" t="s">
        <v>394</v>
      </c>
      <c r="E39" s="64"/>
      <c r="F39" s="19">
        <v>0</v>
      </c>
      <c r="G39" s="19">
        <v>0</v>
      </c>
      <c r="H39" s="19">
        <v>0</v>
      </c>
      <c r="I39" s="62" t="s">
        <v>162</v>
      </c>
      <c r="J39" s="42">
        <f t="shared" si="0"/>
        <v>0</v>
      </c>
    </row>
    <row r="40" spans="1:18" s="10" customFormat="1" outlineLevel="1" x14ac:dyDescent="0.2">
      <c r="D40" s="75" t="s">
        <v>395</v>
      </c>
      <c r="E40" s="88"/>
      <c r="F40" s="80">
        <v>0</v>
      </c>
      <c r="G40" s="80">
        <v>0</v>
      </c>
      <c r="H40" s="80">
        <v>0</v>
      </c>
      <c r="I40" s="75" t="s">
        <v>162</v>
      </c>
      <c r="J40" s="42">
        <f t="shared" si="0"/>
        <v>0</v>
      </c>
    </row>
    <row r="41" spans="1:18" s="10" customFormat="1" outlineLevel="1" x14ac:dyDescent="0.2">
      <c r="D41" s="75" t="s">
        <v>396</v>
      </c>
      <c r="E41" s="88"/>
      <c r="F41" s="80">
        <v>0</v>
      </c>
      <c r="G41" s="80">
        <v>0</v>
      </c>
      <c r="H41" s="80">
        <v>0</v>
      </c>
      <c r="I41" s="75" t="s">
        <v>162</v>
      </c>
      <c r="J41" s="42">
        <f t="shared" si="0"/>
        <v>0</v>
      </c>
    </row>
    <row r="42" spans="1:18" s="10" customFormat="1" outlineLevel="1" x14ac:dyDescent="0.2">
      <c r="D42" s="75" t="s">
        <v>397</v>
      </c>
      <c r="E42" s="88"/>
      <c r="F42" s="80">
        <v>0</v>
      </c>
      <c r="G42" s="80">
        <v>0</v>
      </c>
      <c r="H42" s="80">
        <v>0</v>
      </c>
      <c r="I42" s="75" t="s">
        <v>162</v>
      </c>
      <c r="J42" s="42">
        <f t="shared" si="0"/>
        <v>0</v>
      </c>
    </row>
    <row r="43" spans="1:18" s="10" customFormat="1" outlineLevel="1" x14ac:dyDescent="0.2">
      <c r="D43" s="55" t="str">
        <f>Lang_Error_Check_Flags_If_Input_Econ_Cost_Is_Less_Than_Fin_Cost</f>
        <v>ERROR CHECK (FLAGS IF INPUT ECONOMIC COST IS LESS THAN FINANCIAL COST)</v>
      </c>
      <c r="J43" s="43">
        <f>IF(ISERROR(SUM(J28:J42)),1,MIN(SUM(J28:J42),1))</f>
        <v>0</v>
      </c>
    </row>
    <row r="44" spans="1:18" s="10" customFormat="1" outlineLevel="1" x14ac:dyDescent="0.2"/>
    <row r="45" spans="1:18" s="10" customFormat="1" outlineLevel="1" x14ac:dyDescent="0.2">
      <c r="D45" s="76" t="str">
        <f>Lang_GoTo&amp;" "&amp;HL_TOP_ACTV_4_Personnel_Outputs</f>
        <v>Go to IEC Soc Mob  Activity # 1 (Not in Use) Personnel - Outputs</v>
      </c>
    </row>
    <row r="46" spans="1:18" s="10" customFormat="1" x14ac:dyDescent="0.2"/>
    <row r="47" spans="1:18" s="13" customFormat="1" x14ac:dyDescent="0.2">
      <c r="A47" s="12" t="s">
        <v>127</v>
      </c>
      <c r="B47" s="13" t="str">
        <f>C49</f>
        <v>IEC Soc Mob  Activity # 1 (Not in Use) - Detailed Allowance Cost Assumptions</v>
      </c>
    </row>
    <row r="48" spans="1:18" s="10" customFormat="1" outlineLevel="1" x14ac:dyDescent="0.2"/>
    <row r="49" spans="3:10" s="10" customFormat="1" outlineLevel="1" x14ac:dyDescent="0.2">
      <c r="C49" s="71" t="str">
        <f>HL_TOP_ACTV_4_Name&amp;" - "&amp;Lang_Detailed_Allowance_Cost_Assumptions</f>
        <v>IEC Soc Mob  Activity # 1 (Not in Use) - Detailed Allowance Cost Assumptions</v>
      </c>
    </row>
    <row r="50" spans="3:10" s="10" customFormat="1" ht="48" outlineLevel="1" x14ac:dyDescent="0.2">
      <c r="D50" s="55" t="str">
        <f>Lang_Allowance_Type</f>
        <v>Allowance Type</v>
      </c>
      <c r="E50" s="85" t="str">
        <f>Lang_Allowance_Unit_Per_Day_Round_Trip_Travel</f>
        <v>Allowance Unit (e.g. Per Day, Round-trip Travel,etc.)</v>
      </c>
      <c r="F50" s="85" t="str">
        <f>Lang_Number_Of_Allowance_Units_Required</f>
        <v>Number of Allowance Units Required</v>
      </c>
      <c r="G50" s="86" t="str">
        <f ca="1">SOCMOB_Lu!$D$32&amp;" "&amp;Lang_Cost_Per_Activity_Unit&amp;" ("&amp;OFFSET(SOCMOB_Lu!$D$11,DD_TOP_ACTV_4_Detailed_Currency_Used,0)&amp;")"</f>
        <v>Financial Cost per Activity Unit (USD)</v>
      </c>
      <c r="H50" s="86" t="str">
        <f ca="1">SOCMOB_Lu!$D$33&amp;" "&amp;Lang_Cost_Per_Activity_Unit&amp;" ("&amp;OFFSET(SOCMOB_Lu!$D$11,DD_TOP_ACTV_4_Detailed_Currency_Used,0)&amp;")"</f>
        <v>Economic Cost per Activity Unit (USD)</v>
      </c>
      <c r="I50" s="87" t="str">
        <f>Lang_Evidence_For_Using_This_Cost_Information_Source_Or_Notes</f>
        <v>Evidence for Using this Cost Information (source or notes)</v>
      </c>
    </row>
    <row r="51" spans="3:10" s="10" customFormat="1" outlineLevel="1" x14ac:dyDescent="0.2">
      <c r="D51" s="75" t="s">
        <v>163</v>
      </c>
      <c r="E51" s="88"/>
      <c r="F51" s="80">
        <v>0</v>
      </c>
      <c r="G51" s="80">
        <v>0</v>
      </c>
      <c r="H51" s="80">
        <v>0</v>
      </c>
      <c r="I51" s="75" t="s">
        <v>162</v>
      </c>
      <c r="J51" s="42">
        <f t="shared" ref="J51:J60" si="1">IF(H51&lt;G51,1,0)</f>
        <v>0</v>
      </c>
    </row>
    <row r="52" spans="3:10" s="10" customFormat="1" outlineLevel="1" x14ac:dyDescent="0.2">
      <c r="D52" s="75" t="s">
        <v>164</v>
      </c>
      <c r="E52" s="88"/>
      <c r="F52" s="80">
        <v>0</v>
      </c>
      <c r="G52" s="80">
        <v>0</v>
      </c>
      <c r="H52" s="80">
        <v>0</v>
      </c>
      <c r="I52" s="75" t="s">
        <v>162</v>
      </c>
      <c r="J52" s="42">
        <f t="shared" si="1"/>
        <v>0</v>
      </c>
    </row>
    <row r="53" spans="3:10" s="10" customFormat="1" outlineLevel="1" x14ac:dyDescent="0.2">
      <c r="D53" s="75" t="s">
        <v>165</v>
      </c>
      <c r="E53" s="88"/>
      <c r="F53" s="80">
        <v>0</v>
      </c>
      <c r="G53" s="80">
        <v>0</v>
      </c>
      <c r="H53" s="80">
        <v>0</v>
      </c>
      <c r="I53" s="75" t="s">
        <v>162</v>
      </c>
      <c r="J53" s="42">
        <f t="shared" si="1"/>
        <v>0</v>
      </c>
    </row>
    <row r="54" spans="3:10" s="10" customFormat="1" outlineLevel="1" x14ac:dyDescent="0.2">
      <c r="D54" s="75" t="s">
        <v>166</v>
      </c>
      <c r="E54" s="88"/>
      <c r="F54" s="80">
        <v>0</v>
      </c>
      <c r="G54" s="80">
        <v>0</v>
      </c>
      <c r="H54" s="80">
        <v>0</v>
      </c>
      <c r="I54" s="75" t="s">
        <v>162</v>
      </c>
      <c r="J54" s="42">
        <f t="shared" si="1"/>
        <v>0</v>
      </c>
    </row>
    <row r="55" spans="3:10" s="10" customFormat="1" outlineLevel="1" x14ac:dyDescent="0.2">
      <c r="D55" s="75" t="s">
        <v>167</v>
      </c>
      <c r="E55" s="88"/>
      <c r="F55" s="80">
        <v>0</v>
      </c>
      <c r="G55" s="80">
        <v>0</v>
      </c>
      <c r="H55" s="80">
        <v>0</v>
      </c>
      <c r="I55" s="75" t="s">
        <v>162</v>
      </c>
      <c r="J55" s="42">
        <f t="shared" si="1"/>
        <v>0</v>
      </c>
    </row>
    <row r="56" spans="3:10" s="10" customFormat="1" outlineLevel="1" x14ac:dyDescent="0.2">
      <c r="D56" s="75" t="s">
        <v>168</v>
      </c>
      <c r="E56" s="88"/>
      <c r="F56" s="80">
        <v>0</v>
      </c>
      <c r="G56" s="80">
        <v>0</v>
      </c>
      <c r="H56" s="80">
        <v>0</v>
      </c>
      <c r="I56" s="75" t="s">
        <v>162</v>
      </c>
      <c r="J56" s="42">
        <f t="shared" si="1"/>
        <v>0</v>
      </c>
    </row>
    <row r="57" spans="3:10" s="10" customFormat="1" outlineLevel="1" x14ac:dyDescent="0.2">
      <c r="D57" s="75" t="s">
        <v>169</v>
      </c>
      <c r="E57" s="88"/>
      <c r="F57" s="80">
        <v>0</v>
      </c>
      <c r="G57" s="80">
        <v>0</v>
      </c>
      <c r="H57" s="80">
        <v>0</v>
      </c>
      <c r="I57" s="75" t="s">
        <v>162</v>
      </c>
      <c r="J57" s="42">
        <f t="shared" si="1"/>
        <v>0</v>
      </c>
    </row>
    <row r="58" spans="3:10" s="10" customFormat="1" outlineLevel="1" x14ac:dyDescent="0.2">
      <c r="D58" s="75" t="s">
        <v>170</v>
      </c>
      <c r="E58" s="88"/>
      <c r="F58" s="80">
        <v>0</v>
      </c>
      <c r="G58" s="80">
        <v>0</v>
      </c>
      <c r="H58" s="80">
        <v>0</v>
      </c>
      <c r="I58" s="75" t="s">
        <v>162</v>
      </c>
      <c r="J58" s="42">
        <f t="shared" si="1"/>
        <v>0</v>
      </c>
    </row>
    <row r="59" spans="3:10" s="10" customFormat="1" outlineLevel="1" x14ac:dyDescent="0.2">
      <c r="D59" s="75" t="s">
        <v>171</v>
      </c>
      <c r="E59" s="88"/>
      <c r="F59" s="80">
        <v>0</v>
      </c>
      <c r="G59" s="80">
        <v>0</v>
      </c>
      <c r="H59" s="80">
        <v>0</v>
      </c>
      <c r="I59" s="75" t="s">
        <v>162</v>
      </c>
      <c r="J59" s="42">
        <f t="shared" si="1"/>
        <v>0</v>
      </c>
    </row>
    <row r="60" spans="3:10" s="10" customFormat="1" outlineLevel="1" x14ac:dyDescent="0.2">
      <c r="D60" s="75" t="s">
        <v>172</v>
      </c>
      <c r="E60" s="88"/>
      <c r="F60" s="80">
        <v>0</v>
      </c>
      <c r="G60" s="80">
        <v>0</v>
      </c>
      <c r="H60" s="80">
        <v>0</v>
      </c>
      <c r="I60" s="75" t="s">
        <v>162</v>
      </c>
      <c r="J60" s="42">
        <f t="shared" si="1"/>
        <v>0</v>
      </c>
    </row>
    <row r="61" spans="3:10" s="10" customFormat="1" outlineLevel="1" x14ac:dyDescent="0.2">
      <c r="D61" s="55" t="str">
        <f>Lang_Error_Check_Flags_If_Input_Econ_Cost_Is_Less_Than_Fin_Cost</f>
        <v>ERROR CHECK (FLAGS IF INPUT ECONOMIC COST IS LESS THAN FINANCIAL COST)</v>
      </c>
      <c r="J61" s="43">
        <f>IF(ISERROR(SUM(J51:J60)),1,MIN(SUM(J51:J60),1))</f>
        <v>0</v>
      </c>
    </row>
    <row r="62" spans="3:10" s="10" customFormat="1" outlineLevel="1" x14ac:dyDescent="0.2"/>
    <row r="63" spans="3:10" s="10" customFormat="1" outlineLevel="1" x14ac:dyDescent="0.2">
      <c r="D63" s="76" t="str">
        <f>Lang_GoTo&amp;" "&amp;HL_TOP_ACTV_4_Out_A</f>
        <v>Go to IEC Soc Mob  Activity # 1 (Not in Use) Allowances - Outputs</v>
      </c>
    </row>
    <row r="64" spans="3:10" s="10" customFormat="1" x14ac:dyDescent="0.2"/>
    <row r="65" spans="1:10" s="13" customFormat="1" x14ac:dyDescent="0.2">
      <c r="A65" s="12" t="s">
        <v>127</v>
      </c>
      <c r="B65" s="13" t="str">
        <f>C67</f>
        <v>IEC Soc Mob  Activity # 1 (Not in Use) - Detailed Supply and Material Cost Assumptions</v>
      </c>
    </row>
    <row r="66" spans="1:10" s="10" customFormat="1" outlineLevel="1" x14ac:dyDescent="0.2"/>
    <row r="67" spans="1:10" s="10" customFormat="1" outlineLevel="1" x14ac:dyDescent="0.2">
      <c r="C67" s="71" t="str">
        <f>HL_TOP_ACTV_4_Name&amp;" - "&amp;Lang_Detailed_Supply_And_Material_Cost_Assumptions</f>
        <v>IEC Soc Mob  Activity # 1 (Not in Use) - Detailed Supply and Material Cost Assumptions</v>
      </c>
    </row>
    <row r="68" spans="1:10" s="10" customFormat="1" ht="48" outlineLevel="1" x14ac:dyDescent="0.2">
      <c r="D68" s="55" t="str">
        <f>Lang_Supply_Type</f>
        <v>Supply Type</v>
      </c>
      <c r="E68" s="85" t="str">
        <f>Lang_Supply_Unit_Each_Dozen_100_Pack</f>
        <v>Supply Unit (e.g. Each, Dozen, 100-pack,etc.)</v>
      </c>
      <c r="F68" s="85" t="str">
        <f>Lang_Number_Of_Supply_Units_Required</f>
        <v>Number of Supply Units Required</v>
      </c>
      <c r="G68" s="86" t="str">
        <f ca="1">SOCMOB_Lu!$D$32&amp;" "&amp;Lang_Cost_Per_Activity_Unit&amp;" ("&amp;OFFSET(SOCMOB_Lu!$D$11,DD_TOP_ACTV_4_Detailed_Currency_Used,0)&amp;")"</f>
        <v>Financial Cost per Activity Unit (USD)</v>
      </c>
      <c r="H68" s="86" t="str">
        <f ca="1">SOCMOB_Lu!$D$33&amp;" "&amp;Lang_Cost_Per_Activity_Unit&amp;" ("&amp;OFFSET(SOCMOB_Lu!$D$11,DD_TOP_ACTV_4_Detailed_Currency_Used,0)&amp;")"</f>
        <v>Economic Cost per Activity Unit (USD)</v>
      </c>
      <c r="I68" s="87" t="str">
        <f>Lang_Evidence_For_Using_This_Cost_Information_Source_Or_Notes</f>
        <v>Evidence for Using this Cost Information (source or notes)</v>
      </c>
    </row>
    <row r="69" spans="1:10" s="10" customFormat="1" outlineLevel="1" x14ac:dyDescent="0.2">
      <c r="D69" s="75" t="s">
        <v>173</v>
      </c>
      <c r="E69" s="88"/>
      <c r="F69" s="80">
        <v>0</v>
      </c>
      <c r="G69" s="80">
        <v>0</v>
      </c>
      <c r="H69" s="80">
        <v>0</v>
      </c>
      <c r="I69" s="75" t="s">
        <v>162</v>
      </c>
      <c r="J69" s="42">
        <f t="shared" ref="J69:J78" si="2">IF(H69&lt;G69,1,0)</f>
        <v>0</v>
      </c>
    </row>
    <row r="70" spans="1:10" s="10" customFormat="1" outlineLevel="1" x14ac:dyDescent="0.2">
      <c r="D70" s="75" t="s">
        <v>174</v>
      </c>
      <c r="E70" s="88"/>
      <c r="F70" s="80">
        <v>0</v>
      </c>
      <c r="G70" s="80">
        <v>0</v>
      </c>
      <c r="H70" s="80">
        <v>0</v>
      </c>
      <c r="I70" s="75" t="s">
        <v>162</v>
      </c>
      <c r="J70" s="42">
        <f t="shared" si="2"/>
        <v>0</v>
      </c>
    </row>
    <row r="71" spans="1:10" s="10" customFormat="1" outlineLevel="1" x14ac:dyDescent="0.2">
      <c r="D71" s="75" t="s">
        <v>175</v>
      </c>
      <c r="E71" s="88"/>
      <c r="F71" s="80">
        <v>0</v>
      </c>
      <c r="G71" s="80">
        <v>0</v>
      </c>
      <c r="H71" s="80">
        <v>0</v>
      </c>
      <c r="I71" s="75" t="s">
        <v>162</v>
      </c>
      <c r="J71" s="42">
        <f t="shared" si="2"/>
        <v>0</v>
      </c>
    </row>
    <row r="72" spans="1:10" s="10" customFormat="1" outlineLevel="1" x14ac:dyDescent="0.2">
      <c r="D72" s="75" t="s">
        <v>176</v>
      </c>
      <c r="E72" s="88"/>
      <c r="F72" s="80">
        <v>0</v>
      </c>
      <c r="G72" s="80">
        <v>0</v>
      </c>
      <c r="H72" s="80">
        <v>0</v>
      </c>
      <c r="I72" s="75" t="s">
        <v>162</v>
      </c>
      <c r="J72" s="42">
        <f t="shared" si="2"/>
        <v>0</v>
      </c>
    </row>
    <row r="73" spans="1:10" s="10" customFormat="1" outlineLevel="1" x14ac:dyDescent="0.2">
      <c r="D73" s="75" t="s">
        <v>177</v>
      </c>
      <c r="E73" s="88"/>
      <c r="F73" s="80">
        <v>0</v>
      </c>
      <c r="G73" s="80">
        <v>0</v>
      </c>
      <c r="H73" s="80">
        <v>0</v>
      </c>
      <c r="I73" s="75" t="s">
        <v>162</v>
      </c>
      <c r="J73" s="42">
        <f t="shared" si="2"/>
        <v>0</v>
      </c>
    </row>
    <row r="74" spans="1:10" s="10" customFormat="1" outlineLevel="1" x14ac:dyDescent="0.2">
      <c r="D74" s="75" t="s">
        <v>178</v>
      </c>
      <c r="E74" s="88"/>
      <c r="F74" s="80">
        <v>0</v>
      </c>
      <c r="G74" s="80">
        <v>0</v>
      </c>
      <c r="H74" s="80">
        <v>0</v>
      </c>
      <c r="I74" s="75" t="s">
        <v>162</v>
      </c>
      <c r="J74" s="42">
        <f t="shared" si="2"/>
        <v>0</v>
      </c>
    </row>
    <row r="75" spans="1:10" s="10" customFormat="1" outlineLevel="1" x14ac:dyDescent="0.2">
      <c r="D75" s="75" t="s">
        <v>179</v>
      </c>
      <c r="E75" s="88"/>
      <c r="F75" s="80">
        <v>0</v>
      </c>
      <c r="G75" s="80">
        <v>0</v>
      </c>
      <c r="H75" s="80">
        <v>0</v>
      </c>
      <c r="I75" s="75" t="s">
        <v>162</v>
      </c>
      <c r="J75" s="42">
        <f t="shared" si="2"/>
        <v>0</v>
      </c>
    </row>
    <row r="76" spans="1:10" s="10" customFormat="1" outlineLevel="1" x14ac:dyDescent="0.2">
      <c r="D76" s="75" t="s">
        <v>180</v>
      </c>
      <c r="E76" s="88"/>
      <c r="F76" s="80">
        <v>0</v>
      </c>
      <c r="G76" s="80">
        <v>0</v>
      </c>
      <c r="H76" s="80">
        <v>0</v>
      </c>
      <c r="I76" s="75" t="s">
        <v>162</v>
      </c>
      <c r="J76" s="42">
        <f t="shared" si="2"/>
        <v>0</v>
      </c>
    </row>
    <row r="77" spans="1:10" s="10" customFormat="1" outlineLevel="1" x14ac:dyDescent="0.2">
      <c r="D77" s="75" t="s">
        <v>181</v>
      </c>
      <c r="E77" s="88"/>
      <c r="F77" s="80">
        <v>0</v>
      </c>
      <c r="G77" s="80">
        <v>0</v>
      </c>
      <c r="H77" s="80">
        <v>0</v>
      </c>
      <c r="I77" s="75" t="s">
        <v>162</v>
      </c>
      <c r="J77" s="42">
        <f t="shared" si="2"/>
        <v>0</v>
      </c>
    </row>
    <row r="78" spans="1:10" s="10" customFormat="1" outlineLevel="1" x14ac:dyDescent="0.2">
      <c r="D78" s="75" t="s">
        <v>182</v>
      </c>
      <c r="E78" s="88"/>
      <c r="F78" s="80">
        <v>0</v>
      </c>
      <c r="G78" s="80">
        <v>0</v>
      </c>
      <c r="H78" s="80">
        <v>0</v>
      </c>
      <c r="I78" s="75" t="s">
        <v>162</v>
      </c>
      <c r="J78" s="42">
        <f t="shared" si="2"/>
        <v>0</v>
      </c>
    </row>
    <row r="79" spans="1:10" s="10" customFormat="1" outlineLevel="1" x14ac:dyDescent="0.2">
      <c r="D79" s="55" t="str">
        <f>Lang_Error_Check_Flags_If_Input_Econ_Cost_Is_Less_Than_Fin_Cost</f>
        <v>ERROR CHECK (FLAGS IF INPUT ECONOMIC COST IS LESS THAN FINANCIAL COST)</v>
      </c>
      <c r="J79" s="43">
        <f>IF(ISERROR(SUM(J69:J78)),1,MIN(SUM(J69:J78),1))</f>
        <v>0</v>
      </c>
    </row>
    <row r="80" spans="1:10" s="10" customFormat="1" outlineLevel="1" x14ac:dyDescent="0.2"/>
    <row r="81" spans="1:10" s="10" customFormat="1" outlineLevel="1" x14ac:dyDescent="0.2">
      <c r="D81" s="76" t="str">
        <f>Lang_GoTo&amp;" "&amp;HL_TOP_ACTV_4_Supplies_and_Materials_Outputs</f>
        <v>Go to IEC Soc Mob  Activity # 1 (Not in Use) Supplies and Materials - Outputs</v>
      </c>
    </row>
    <row r="82" spans="1:10" s="10" customFormat="1" x14ac:dyDescent="0.2"/>
    <row r="83" spans="1:10" s="13" customFormat="1" x14ac:dyDescent="0.2">
      <c r="A83" s="12" t="s">
        <v>127</v>
      </c>
      <c r="B83" s="13" t="str">
        <f>C85</f>
        <v>IEC Soc Mob  Activity # 1 (Not in Use) - Detailed Other Direct Cost Assumptions</v>
      </c>
    </row>
    <row r="84" spans="1:10" s="10" customFormat="1" outlineLevel="1" x14ac:dyDescent="0.2"/>
    <row r="85" spans="1:10" s="10" customFormat="1" outlineLevel="1" x14ac:dyDescent="0.2">
      <c r="C85" s="71" t="str">
        <f>HL_TOP_ACTV_4_Name&amp;" - "&amp;Lang_Detailed_Other_Direct_Cost_Assumptions</f>
        <v>IEC Soc Mob  Activity # 1 (Not in Use) - Detailed Other Direct Cost Assumptions</v>
      </c>
    </row>
    <row r="86" spans="1:10" s="10" customFormat="1" ht="48" outlineLevel="1" x14ac:dyDescent="0.2">
      <c r="D86" s="55" t="str">
        <f>Lang_Other_Direct_Cost_ODC_Type</f>
        <v>Other Direct Cost (ODC) Type</v>
      </c>
      <c r="E86" s="85" t="str">
        <f>Lang_ODC_Unit_Each_Dozen_100_Pack</f>
        <v>ODC Unit (e.g. Each, Dozen, 100-pack,etc.)</v>
      </c>
      <c r="F86" s="85" t="str">
        <f>Lang_Number_Of_ODC_Units_Required</f>
        <v>Number of ODC Units Required</v>
      </c>
      <c r="G86" s="86" t="str">
        <f ca="1">SOCMOB_Lu!$D$32&amp;" "&amp;Lang_Cost_Per_Activity_Unit&amp;" ("&amp;OFFSET(SOCMOB_Lu!$D$11,DD_TOP_ACTV_4_Detailed_Currency_Used,0)&amp;")"</f>
        <v>Financial Cost per Activity Unit (USD)</v>
      </c>
      <c r="H86" s="86" t="str">
        <f ca="1">SOCMOB_Lu!$D$33&amp;" "&amp;Lang_Cost_Per_Activity_Unit&amp;" ("&amp;OFFSET(SOCMOB_Lu!$D$11,DD_TOP_ACTV_4_Detailed_Currency_Used,0)&amp;")"</f>
        <v>Economic Cost per Activity Unit (USD)</v>
      </c>
      <c r="I86" s="87" t="str">
        <f>Lang_Evidence_For_Using_This_Cost_Information_Source_Or_Notes</f>
        <v>Evidence for Using this Cost Information (source or notes)</v>
      </c>
    </row>
    <row r="87" spans="1:10" s="10" customFormat="1" outlineLevel="1" x14ac:dyDescent="0.2">
      <c r="D87" s="75" t="s">
        <v>183</v>
      </c>
      <c r="E87" s="88"/>
      <c r="F87" s="80">
        <v>0</v>
      </c>
      <c r="G87" s="80">
        <v>0</v>
      </c>
      <c r="H87" s="80">
        <v>0</v>
      </c>
      <c r="I87" s="75" t="s">
        <v>162</v>
      </c>
      <c r="J87" s="42">
        <f t="shared" ref="J87:J96" si="3">IF(H87&lt;G87,1,0)</f>
        <v>0</v>
      </c>
    </row>
    <row r="88" spans="1:10" s="10" customFormat="1" outlineLevel="1" x14ac:dyDescent="0.2">
      <c r="D88" s="75" t="s">
        <v>184</v>
      </c>
      <c r="E88" s="88"/>
      <c r="F88" s="80">
        <v>0</v>
      </c>
      <c r="G88" s="80">
        <v>0</v>
      </c>
      <c r="H88" s="80">
        <v>0</v>
      </c>
      <c r="I88" s="75" t="s">
        <v>162</v>
      </c>
      <c r="J88" s="42">
        <f t="shared" si="3"/>
        <v>0</v>
      </c>
    </row>
    <row r="89" spans="1:10" s="10" customFormat="1" outlineLevel="1" x14ac:dyDescent="0.2">
      <c r="D89" s="75" t="s">
        <v>185</v>
      </c>
      <c r="E89" s="88"/>
      <c r="F89" s="80">
        <v>0</v>
      </c>
      <c r="G89" s="80">
        <v>0</v>
      </c>
      <c r="H89" s="80">
        <v>0</v>
      </c>
      <c r="I89" s="75" t="s">
        <v>162</v>
      </c>
      <c r="J89" s="42">
        <f t="shared" si="3"/>
        <v>0</v>
      </c>
    </row>
    <row r="90" spans="1:10" s="10" customFormat="1" outlineLevel="1" x14ac:dyDescent="0.2">
      <c r="D90" s="75" t="s">
        <v>186</v>
      </c>
      <c r="E90" s="88"/>
      <c r="F90" s="80">
        <v>0</v>
      </c>
      <c r="G90" s="80">
        <v>0</v>
      </c>
      <c r="H90" s="80">
        <v>0</v>
      </c>
      <c r="I90" s="75" t="s">
        <v>162</v>
      </c>
      <c r="J90" s="42">
        <f t="shared" si="3"/>
        <v>0</v>
      </c>
    </row>
    <row r="91" spans="1:10" s="10" customFormat="1" outlineLevel="1" x14ac:dyDescent="0.2">
      <c r="D91" s="75" t="s">
        <v>187</v>
      </c>
      <c r="E91" s="88"/>
      <c r="F91" s="80">
        <v>0</v>
      </c>
      <c r="G91" s="80">
        <v>0</v>
      </c>
      <c r="H91" s="80">
        <v>0</v>
      </c>
      <c r="I91" s="75" t="s">
        <v>162</v>
      </c>
      <c r="J91" s="42">
        <f t="shared" si="3"/>
        <v>0</v>
      </c>
    </row>
    <row r="92" spans="1:10" s="10" customFormat="1" outlineLevel="1" x14ac:dyDescent="0.2">
      <c r="D92" s="75" t="s">
        <v>188</v>
      </c>
      <c r="E92" s="88"/>
      <c r="F92" s="80">
        <v>0</v>
      </c>
      <c r="G92" s="80">
        <v>0</v>
      </c>
      <c r="H92" s="80">
        <v>0</v>
      </c>
      <c r="I92" s="75" t="s">
        <v>162</v>
      </c>
      <c r="J92" s="42">
        <f t="shared" si="3"/>
        <v>0</v>
      </c>
    </row>
    <row r="93" spans="1:10" s="10" customFormat="1" outlineLevel="1" x14ac:dyDescent="0.2">
      <c r="D93" s="75" t="s">
        <v>189</v>
      </c>
      <c r="E93" s="88"/>
      <c r="F93" s="80">
        <v>0</v>
      </c>
      <c r="G93" s="80">
        <v>0</v>
      </c>
      <c r="H93" s="80">
        <v>0</v>
      </c>
      <c r="I93" s="75" t="s">
        <v>162</v>
      </c>
      <c r="J93" s="42">
        <f t="shared" si="3"/>
        <v>0</v>
      </c>
    </row>
    <row r="94" spans="1:10" s="10" customFormat="1" outlineLevel="1" x14ac:dyDescent="0.2">
      <c r="D94" s="75" t="s">
        <v>190</v>
      </c>
      <c r="E94" s="88"/>
      <c r="F94" s="80">
        <v>0</v>
      </c>
      <c r="G94" s="80">
        <v>0</v>
      </c>
      <c r="H94" s="80">
        <v>0</v>
      </c>
      <c r="I94" s="75" t="s">
        <v>162</v>
      </c>
      <c r="J94" s="42">
        <f t="shared" si="3"/>
        <v>0</v>
      </c>
    </row>
    <row r="95" spans="1:10" s="10" customFormat="1" outlineLevel="1" x14ac:dyDescent="0.2">
      <c r="D95" s="75" t="s">
        <v>191</v>
      </c>
      <c r="E95" s="88"/>
      <c r="F95" s="80">
        <v>0</v>
      </c>
      <c r="G95" s="80">
        <v>0</v>
      </c>
      <c r="H95" s="80">
        <v>0</v>
      </c>
      <c r="I95" s="75" t="s">
        <v>162</v>
      </c>
      <c r="J95" s="42">
        <f t="shared" si="3"/>
        <v>0</v>
      </c>
    </row>
    <row r="96" spans="1:10" s="10" customFormat="1" outlineLevel="1" x14ac:dyDescent="0.2">
      <c r="D96" s="75" t="s">
        <v>192</v>
      </c>
      <c r="E96" s="88"/>
      <c r="F96" s="80">
        <v>0</v>
      </c>
      <c r="G96" s="80">
        <v>0</v>
      </c>
      <c r="H96" s="80">
        <v>0</v>
      </c>
      <c r="I96" s="75" t="s">
        <v>162</v>
      </c>
      <c r="J96" s="42">
        <f t="shared" si="3"/>
        <v>0</v>
      </c>
    </row>
    <row r="97" spans="1:10" s="10" customFormat="1" outlineLevel="1" x14ac:dyDescent="0.2">
      <c r="D97" s="55" t="str">
        <f>Lang_Error_Check_Flags_If_Input_Econ_Cost_Is_Less_Than_Fin_Cost</f>
        <v>ERROR CHECK (FLAGS IF INPUT ECONOMIC COST IS LESS THAN FINANCIAL COST)</v>
      </c>
      <c r="J97" s="43">
        <f>IF(ISERROR(SUM(J87:J96)),1,MIN(SUM(J87:J96),1))</f>
        <v>0</v>
      </c>
    </row>
    <row r="98" spans="1:10" s="10" customFormat="1" outlineLevel="1" x14ac:dyDescent="0.2"/>
    <row r="99" spans="1:10" s="10" customFormat="1" outlineLevel="1" x14ac:dyDescent="0.2">
      <c r="D99" s="76" t="str">
        <f>Lang_GoTo&amp;" "&amp;HL_TOP_ACTV_4_Other_Direct_Costs_Outputs</f>
        <v>Go to IEC Soc Mob  Activity # 1 (Not in Use) Other Direct Costs - Outputs</v>
      </c>
    </row>
    <row r="100" spans="1:10" s="10" customFormat="1" x14ac:dyDescent="0.2"/>
    <row r="101" spans="1:10" s="13" customFormat="1" x14ac:dyDescent="0.2">
      <c r="A101" s="12" t="s">
        <v>125</v>
      </c>
      <c r="B101" s="13" t="str">
        <f>C103</f>
        <v>IEC Soc Mob  Activity # 2 (Not in Use) -  Detailed Activity Costing Worksheet - Instructions</v>
      </c>
    </row>
    <row r="102" spans="1:10" s="10" customFormat="1" outlineLevel="1" x14ac:dyDescent="0.2"/>
    <row r="103" spans="1:10" s="10" customFormat="1" outlineLevel="1" x14ac:dyDescent="0.2">
      <c r="C103" s="71" t="str">
        <f>HL_TOP_ACTV_15_Name&amp;" -  "&amp;Lang_Detailed_Activity_Costing_Worksheet_Instructions</f>
        <v>IEC Soc Mob  Activity # 2 (Not in Use) -  Detailed Activity Costing Worksheet - Instructions</v>
      </c>
    </row>
    <row r="104" spans="1:10" s="10" customFormat="1" outlineLevel="1" x14ac:dyDescent="0.2"/>
    <row r="105" spans="1:10" s="10" customFormat="1" outlineLevel="1" x14ac:dyDescent="0.2">
      <c r="D105" s="50" t="str">
        <f>Lang_Detailed_Costing_Worksheets_Notes_1</f>
        <v>This detailed costing worksheet can be used to document the types and amounts of resources required to complete a single instance of an activity.</v>
      </c>
    </row>
    <row r="106" spans="1:10" s="10" customFormat="1" outlineLevel="1" x14ac:dyDescent="0.2">
      <c r="D106" s="50" t="str">
        <f>Lang_Detailed_Costing_Worksheets_Notes_2</f>
        <v>When completed, it will automatically provide a single activity cost in the general assumption worksheet.</v>
      </c>
    </row>
    <row r="107" spans="1:10" s="10" customFormat="1" outlineLevel="1" x14ac:dyDescent="0.2">
      <c r="D107" s="50" t="str">
        <f>Lang_Detailed_Costing_Worksheets_Notes_3</f>
        <v>The user may then choose to use the results of the detailed costing in the model, or override the detailed costing and insert alternate cost estimates.</v>
      </c>
    </row>
    <row r="108" spans="1:10" s="10" customFormat="1" x14ac:dyDescent="0.2"/>
    <row r="109" spans="1:10" s="13" customFormat="1" x14ac:dyDescent="0.2">
      <c r="A109" s="12" t="s">
        <v>125</v>
      </c>
      <c r="B109" s="13" t="str">
        <f>C111</f>
        <v>IEC Soc Mob  Activity # 2 (Not in Use) - Detailed Activity Costing Worksheet - Currency Selection</v>
      </c>
    </row>
    <row r="110" spans="1:10" s="10" customFormat="1" outlineLevel="1" x14ac:dyDescent="0.2"/>
    <row r="111" spans="1:10" s="10" customFormat="1" outlineLevel="1" x14ac:dyDescent="0.2">
      <c r="C111" s="71" t="str">
        <f>HL_TOP_ACTV_15_Name&amp;" - "&amp;Lang_Detailed_Activity_Costing_Worksheet_Currency_Selection</f>
        <v>IEC Soc Mob  Activity # 2 (Not in Use) - Detailed Activity Costing Worksheet - Currency Selection</v>
      </c>
    </row>
    <row r="112" spans="1:10" s="10" customFormat="1" outlineLevel="1" x14ac:dyDescent="0.2">
      <c r="D112" s="55" t="str">
        <f>Lang_Currency_Used_For_Cost_Inputs</f>
        <v>Currency Used for Cost Inputs</v>
      </c>
      <c r="E112" s="72">
        <v>1</v>
      </c>
    </row>
    <row r="113" spans="1:10" s="10" customFormat="1" outlineLevel="1" x14ac:dyDescent="0.2"/>
    <row r="114" spans="1:10" s="10" customFormat="1" outlineLevel="1" x14ac:dyDescent="0.2"/>
    <row r="115" spans="1:10" s="10" customFormat="1" outlineLevel="1" x14ac:dyDescent="0.2">
      <c r="D115" s="54" t="str">
        <f>Lang_Imported_From_Econ_Module</f>
        <v>Imported from Econ Module</v>
      </c>
    </row>
    <row r="116" spans="1:10" s="10" customFormat="1" outlineLevel="1" x14ac:dyDescent="0.2">
      <c r="D116" s="49" t="str">
        <f>ECONOMICS!F7</f>
        <v>USD</v>
      </c>
    </row>
    <row r="117" spans="1:10" s="10" customFormat="1" outlineLevel="1" x14ac:dyDescent="0.2">
      <c r="D117" s="49" t="str">
        <f>ECONOMICS!F8</f>
        <v>LCU</v>
      </c>
    </row>
    <row r="118" spans="1:10" s="10" customFormat="1" outlineLevel="1" x14ac:dyDescent="0.2"/>
    <row r="119" spans="1:10" s="10" customFormat="1" outlineLevel="1" x14ac:dyDescent="0.2">
      <c r="D119" s="50" t="str">
        <f>Lang_Exchange_Rate_From_Econ</f>
        <v>Exchange Rate (from Economics)</v>
      </c>
      <c r="E119" s="41">
        <f>ECONOMICS!E13</f>
        <v>1234.5</v>
      </c>
    </row>
    <row r="120" spans="1:10" s="10" customFormat="1" x14ac:dyDescent="0.2"/>
    <row r="121" spans="1:10" s="13" customFormat="1" x14ac:dyDescent="0.2">
      <c r="A121" s="12" t="s">
        <v>127</v>
      </c>
      <c r="B121" s="13" t="str">
        <f>C123</f>
        <v>IEC Soc Mob  Activity # 2 (Not in Use) - Detailed Personnel Cost Assumptions</v>
      </c>
    </row>
    <row r="122" spans="1:10" s="10" customFormat="1" outlineLevel="1" x14ac:dyDescent="0.2"/>
    <row r="123" spans="1:10" s="10" customFormat="1" outlineLevel="1" x14ac:dyDescent="0.2">
      <c r="C123" s="71" t="str">
        <f>HL_TOP_ACTV_15_Name&amp;" - "&amp;Lang_Detailed_Personnel_Cost_Assumptions</f>
        <v>IEC Soc Mob  Activity # 2 (Not in Use) - Detailed Personnel Cost Assumptions</v>
      </c>
    </row>
    <row r="124" spans="1:10" s="10" customFormat="1" ht="48" outlineLevel="1" x14ac:dyDescent="0.2">
      <c r="D124" s="55" t="str">
        <f>Lang_Personnel_Cadre_Type</f>
        <v>Personnel Cadre Type</v>
      </c>
      <c r="E124" s="85" t="str">
        <f>Lang_Activity_Unit_Day_Hour_Minute</f>
        <v>Activity Unit (e.g. Day, Hour, Minute)</v>
      </c>
      <c r="F124" s="85" t="str">
        <f>Lang_Number_Of_Activity_Units_Required</f>
        <v>Number of Activity Units Required</v>
      </c>
      <c r="G124" s="86" t="str">
        <f ca="1">SOCMOB_Lu!$D$67&amp;" "&amp;Lang_Cost_Per_Activity_Unit&amp;" ("&amp;OFFSET(SOCMOB_Lu!$D$46,DD_TOP_ACTV_15_Detailed_Currency_Used,0)&amp;")"</f>
        <v>Financial Cost per Activity Unit (USD)</v>
      </c>
      <c r="H124" s="86" t="str">
        <f ca="1">SOCMOB_Lu!$D$68&amp;" "&amp;Lang_Cost_Per_Activity_Unit&amp;" ("&amp;OFFSET(SOCMOB_Lu!$D$46,DD_TOP_ACTV_15_Detailed_Currency_Used,0)&amp;")"</f>
        <v>Economic Cost per Activity Unit (USD)</v>
      </c>
      <c r="I124" s="87" t="str">
        <f>Lang_Evidence_For_Using_This_Cost_Information_Source_Or_Notes</f>
        <v>Evidence for Using this Cost Information (source or notes)</v>
      </c>
    </row>
    <row r="125" spans="1:10" s="10" customFormat="1" outlineLevel="1" x14ac:dyDescent="0.2">
      <c r="D125" s="75" t="s">
        <v>152</v>
      </c>
      <c r="E125" s="88"/>
      <c r="F125" s="80">
        <v>0</v>
      </c>
      <c r="G125" s="80">
        <v>0</v>
      </c>
      <c r="H125" s="80">
        <v>0</v>
      </c>
      <c r="I125" s="75" t="s">
        <v>162</v>
      </c>
      <c r="J125" s="42">
        <f t="shared" ref="J125:J139" si="4">IF(H125&lt;G125,1,0)</f>
        <v>0</v>
      </c>
    </row>
    <row r="126" spans="1:10" s="10" customFormat="1" outlineLevel="1" x14ac:dyDescent="0.2">
      <c r="D126" s="75" t="s">
        <v>153</v>
      </c>
      <c r="E126" s="88"/>
      <c r="F126" s="80">
        <v>0</v>
      </c>
      <c r="G126" s="80">
        <v>0</v>
      </c>
      <c r="H126" s="80">
        <v>0</v>
      </c>
      <c r="I126" s="75" t="s">
        <v>162</v>
      </c>
      <c r="J126" s="42">
        <f t="shared" si="4"/>
        <v>0</v>
      </c>
    </row>
    <row r="127" spans="1:10" s="10" customFormat="1" outlineLevel="1" x14ac:dyDescent="0.2">
      <c r="D127" s="75" t="s">
        <v>154</v>
      </c>
      <c r="E127" s="88"/>
      <c r="F127" s="80">
        <v>0</v>
      </c>
      <c r="G127" s="80">
        <v>0</v>
      </c>
      <c r="H127" s="80">
        <v>0</v>
      </c>
      <c r="I127" s="75" t="s">
        <v>162</v>
      </c>
      <c r="J127" s="42">
        <f t="shared" si="4"/>
        <v>0</v>
      </c>
    </row>
    <row r="128" spans="1:10" s="10" customFormat="1" outlineLevel="1" x14ac:dyDescent="0.2">
      <c r="D128" s="75" t="s">
        <v>155</v>
      </c>
      <c r="E128" s="88"/>
      <c r="F128" s="80">
        <v>0</v>
      </c>
      <c r="G128" s="80">
        <v>0</v>
      </c>
      <c r="H128" s="80">
        <v>0</v>
      </c>
      <c r="I128" s="75" t="s">
        <v>162</v>
      </c>
      <c r="J128" s="42">
        <f t="shared" si="4"/>
        <v>0</v>
      </c>
    </row>
    <row r="129" spans="1:10" s="10" customFormat="1" outlineLevel="1" x14ac:dyDescent="0.2">
      <c r="D129" s="75" t="s">
        <v>156</v>
      </c>
      <c r="E129" s="88"/>
      <c r="F129" s="80">
        <v>0</v>
      </c>
      <c r="G129" s="80">
        <v>0</v>
      </c>
      <c r="H129" s="80">
        <v>0</v>
      </c>
      <c r="I129" s="75" t="s">
        <v>162</v>
      </c>
      <c r="J129" s="42">
        <f t="shared" si="4"/>
        <v>0</v>
      </c>
    </row>
    <row r="130" spans="1:10" s="10" customFormat="1" outlineLevel="1" x14ac:dyDescent="0.2">
      <c r="D130" s="75" t="s">
        <v>157</v>
      </c>
      <c r="E130" s="88"/>
      <c r="F130" s="80">
        <v>0</v>
      </c>
      <c r="G130" s="80">
        <v>0</v>
      </c>
      <c r="H130" s="80">
        <v>0</v>
      </c>
      <c r="I130" s="75" t="s">
        <v>162</v>
      </c>
      <c r="J130" s="42">
        <f t="shared" si="4"/>
        <v>0</v>
      </c>
    </row>
    <row r="131" spans="1:10" outlineLevel="1" x14ac:dyDescent="0.2">
      <c r="D131" s="62" t="s">
        <v>158</v>
      </c>
      <c r="E131" s="64"/>
      <c r="F131" s="19">
        <v>0</v>
      </c>
      <c r="G131" s="19">
        <v>0</v>
      </c>
      <c r="H131" s="19">
        <v>0</v>
      </c>
      <c r="I131" s="62" t="s">
        <v>162</v>
      </c>
      <c r="J131" s="42">
        <f t="shared" si="4"/>
        <v>0</v>
      </c>
    </row>
    <row r="132" spans="1:10" outlineLevel="1" x14ac:dyDescent="0.2">
      <c r="D132" s="62" t="s">
        <v>159</v>
      </c>
      <c r="E132" s="64"/>
      <c r="F132" s="19">
        <v>0</v>
      </c>
      <c r="G132" s="19">
        <v>0</v>
      </c>
      <c r="H132" s="19">
        <v>0</v>
      </c>
      <c r="I132" s="62" t="s">
        <v>162</v>
      </c>
      <c r="J132" s="42">
        <f t="shared" si="4"/>
        <v>0</v>
      </c>
    </row>
    <row r="133" spans="1:10" outlineLevel="1" x14ac:dyDescent="0.2">
      <c r="D133" s="62" t="s">
        <v>160</v>
      </c>
      <c r="E133" s="64"/>
      <c r="F133" s="19">
        <v>0</v>
      </c>
      <c r="G133" s="19">
        <v>0</v>
      </c>
      <c r="H133" s="19">
        <v>0</v>
      </c>
      <c r="I133" s="62" t="s">
        <v>162</v>
      </c>
      <c r="J133" s="42">
        <f t="shared" si="4"/>
        <v>0</v>
      </c>
    </row>
    <row r="134" spans="1:10" outlineLevel="1" x14ac:dyDescent="0.2">
      <c r="D134" s="62" t="s">
        <v>161</v>
      </c>
      <c r="E134" s="64"/>
      <c r="F134" s="19">
        <v>0</v>
      </c>
      <c r="G134" s="19">
        <v>0</v>
      </c>
      <c r="H134" s="19">
        <v>0</v>
      </c>
      <c r="I134" s="62" t="s">
        <v>162</v>
      </c>
      <c r="J134" s="42">
        <f t="shared" si="4"/>
        <v>0</v>
      </c>
    </row>
    <row r="135" spans="1:10" outlineLevel="1" x14ac:dyDescent="0.2">
      <c r="D135" s="62" t="s">
        <v>393</v>
      </c>
      <c r="E135" s="64"/>
      <c r="F135" s="19">
        <v>0</v>
      </c>
      <c r="G135" s="19">
        <v>0</v>
      </c>
      <c r="H135" s="19">
        <v>0</v>
      </c>
      <c r="I135" s="62" t="s">
        <v>162</v>
      </c>
      <c r="J135" s="42">
        <f t="shared" si="4"/>
        <v>0</v>
      </c>
    </row>
    <row r="136" spans="1:10" s="10" customFormat="1" outlineLevel="1" x14ac:dyDescent="0.2">
      <c r="D136" s="75" t="s">
        <v>394</v>
      </c>
      <c r="E136" s="88"/>
      <c r="F136" s="80">
        <v>0</v>
      </c>
      <c r="G136" s="80">
        <v>0</v>
      </c>
      <c r="H136" s="80">
        <v>0</v>
      </c>
      <c r="I136" s="75" t="s">
        <v>162</v>
      </c>
      <c r="J136" s="42">
        <f t="shared" si="4"/>
        <v>0</v>
      </c>
    </row>
    <row r="137" spans="1:10" s="10" customFormat="1" outlineLevel="1" x14ac:dyDescent="0.2">
      <c r="D137" s="75" t="s">
        <v>395</v>
      </c>
      <c r="E137" s="88"/>
      <c r="F137" s="80">
        <v>0</v>
      </c>
      <c r="G137" s="80">
        <v>0</v>
      </c>
      <c r="H137" s="80">
        <v>0</v>
      </c>
      <c r="I137" s="75" t="s">
        <v>162</v>
      </c>
      <c r="J137" s="42">
        <f t="shared" si="4"/>
        <v>0</v>
      </c>
    </row>
    <row r="138" spans="1:10" s="10" customFormat="1" outlineLevel="1" x14ac:dyDescent="0.2">
      <c r="D138" s="75" t="s">
        <v>396</v>
      </c>
      <c r="E138" s="88"/>
      <c r="F138" s="80">
        <v>0</v>
      </c>
      <c r="G138" s="80">
        <v>0</v>
      </c>
      <c r="H138" s="80">
        <v>0</v>
      </c>
      <c r="I138" s="75" t="s">
        <v>162</v>
      </c>
      <c r="J138" s="42">
        <f t="shared" si="4"/>
        <v>0</v>
      </c>
    </row>
    <row r="139" spans="1:10" s="10" customFormat="1" outlineLevel="1" x14ac:dyDescent="0.2">
      <c r="D139" s="75" t="s">
        <v>397</v>
      </c>
      <c r="E139" s="88"/>
      <c r="F139" s="80">
        <v>0</v>
      </c>
      <c r="G139" s="80">
        <v>0</v>
      </c>
      <c r="H139" s="80">
        <v>0</v>
      </c>
      <c r="I139" s="75" t="s">
        <v>162</v>
      </c>
      <c r="J139" s="42">
        <f t="shared" si="4"/>
        <v>0</v>
      </c>
    </row>
    <row r="140" spans="1:10" s="10" customFormat="1" outlineLevel="1" x14ac:dyDescent="0.2">
      <c r="D140" s="55" t="str">
        <f>Lang_Error_Check_Flags_If_Input_Econ_Cost_Is_Less_Than_Fin_Cost</f>
        <v>ERROR CHECK (FLAGS IF INPUT ECONOMIC COST IS LESS THAN FINANCIAL COST)</v>
      </c>
      <c r="J140" s="43">
        <f>IF(ISERROR(SUM(J125:J139)),1,MIN(SUM(J125:J139),1))</f>
        <v>0</v>
      </c>
    </row>
    <row r="141" spans="1:10" s="10" customFormat="1" outlineLevel="1" x14ac:dyDescent="0.2"/>
    <row r="142" spans="1:10" s="10" customFormat="1" outlineLevel="1" x14ac:dyDescent="0.2">
      <c r="D142" s="76" t="str">
        <f>Lang_GoTo&amp;" "&amp;HL_TOP_ACTV_15_Personnel_Outputs</f>
        <v>Go to IEC Soc Mob  Activity # 2 (Not in Use) Personnel - Outputs</v>
      </c>
    </row>
    <row r="143" spans="1:10" s="10" customFormat="1" x14ac:dyDescent="0.2"/>
    <row r="144" spans="1:10" s="13" customFormat="1" x14ac:dyDescent="0.2">
      <c r="A144" s="12" t="s">
        <v>127</v>
      </c>
      <c r="B144" s="13" t="str">
        <f>C146</f>
        <v>IEC Soc Mob  Activity # 2 (Not in Use) - Detailed Allowance Cost Assumptions</v>
      </c>
    </row>
    <row r="145" spans="3:10" s="10" customFormat="1" outlineLevel="1" x14ac:dyDescent="0.2"/>
    <row r="146" spans="3:10" s="10" customFormat="1" outlineLevel="1" x14ac:dyDescent="0.2">
      <c r="C146" s="71" t="str">
        <f>HL_TOP_ACTV_15_Name&amp;" - "&amp;Lang_Detailed_Allowance_Cost_Assumptions</f>
        <v>IEC Soc Mob  Activity # 2 (Not in Use) - Detailed Allowance Cost Assumptions</v>
      </c>
    </row>
    <row r="147" spans="3:10" s="10" customFormat="1" ht="48" outlineLevel="1" x14ac:dyDescent="0.2">
      <c r="D147" s="55" t="str">
        <f>Lang_Allowance_Type</f>
        <v>Allowance Type</v>
      </c>
      <c r="E147" s="85" t="str">
        <f>Lang_Allowance_Unit_Per_Day_Round_Trip_Travel</f>
        <v>Allowance Unit (e.g. Per Day, Round-trip Travel,etc.)</v>
      </c>
      <c r="F147" s="85" t="str">
        <f>Lang_Number_Of_Allowance_Units_Required</f>
        <v>Number of Allowance Units Required</v>
      </c>
      <c r="G147" s="86" t="str">
        <f ca="1">SOCMOB_Lu!$D$67&amp;" "&amp;Lang_Cost_Per_Activity_Unit&amp;" ("&amp;OFFSET(SOCMOB_Lu!$D$46,DD_TOP_ACTV_15_Detailed_Currency_Used,0)&amp;")"</f>
        <v>Financial Cost per Activity Unit (USD)</v>
      </c>
      <c r="H147" s="86" t="str">
        <f ca="1">SOCMOB_Lu!$D$68&amp;" "&amp;Lang_Cost_Per_Activity_Unit&amp;" ("&amp;OFFSET(SOCMOB_Lu!$D$46,DD_TOP_ACTV_15_Detailed_Currency_Used,0)&amp;")"</f>
        <v>Economic Cost per Activity Unit (USD)</v>
      </c>
      <c r="I147" s="87" t="str">
        <f>Lang_Evidence_For_Using_This_Cost_Information_Source_Or_Notes</f>
        <v>Evidence for Using this Cost Information (source or notes)</v>
      </c>
    </row>
    <row r="148" spans="3:10" s="10" customFormat="1" outlineLevel="1" x14ac:dyDescent="0.2">
      <c r="D148" s="75" t="s">
        <v>163</v>
      </c>
      <c r="E148" s="88"/>
      <c r="F148" s="80">
        <v>0</v>
      </c>
      <c r="G148" s="80">
        <v>0</v>
      </c>
      <c r="H148" s="80">
        <v>0</v>
      </c>
      <c r="I148" s="75" t="s">
        <v>162</v>
      </c>
      <c r="J148" s="42">
        <f t="shared" ref="J148:J157" si="5">IF(H148&lt;G148,1,0)</f>
        <v>0</v>
      </c>
    </row>
    <row r="149" spans="3:10" s="10" customFormat="1" outlineLevel="1" x14ac:dyDescent="0.2">
      <c r="D149" s="75" t="s">
        <v>164</v>
      </c>
      <c r="E149" s="88"/>
      <c r="F149" s="80">
        <v>0</v>
      </c>
      <c r="G149" s="80">
        <v>0</v>
      </c>
      <c r="H149" s="80">
        <v>0</v>
      </c>
      <c r="I149" s="75" t="s">
        <v>162</v>
      </c>
      <c r="J149" s="42">
        <f t="shared" si="5"/>
        <v>0</v>
      </c>
    </row>
    <row r="150" spans="3:10" s="10" customFormat="1" outlineLevel="1" x14ac:dyDescent="0.2">
      <c r="D150" s="75" t="s">
        <v>165</v>
      </c>
      <c r="E150" s="88"/>
      <c r="F150" s="80">
        <v>0</v>
      </c>
      <c r="G150" s="80">
        <v>0</v>
      </c>
      <c r="H150" s="80">
        <v>0</v>
      </c>
      <c r="I150" s="75" t="s">
        <v>162</v>
      </c>
      <c r="J150" s="42">
        <f t="shared" si="5"/>
        <v>0</v>
      </c>
    </row>
    <row r="151" spans="3:10" s="10" customFormat="1" outlineLevel="1" x14ac:dyDescent="0.2">
      <c r="D151" s="75" t="s">
        <v>166</v>
      </c>
      <c r="E151" s="88"/>
      <c r="F151" s="80">
        <v>0</v>
      </c>
      <c r="G151" s="80">
        <v>0</v>
      </c>
      <c r="H151" s="80">
        <v>0</v>
      </c>
      <c r="I151" s="75" t="s">
        <v>162</v>
      </c>
      <c r="J151" s="42">
        <f t="shared" si="5"/>
        <v>0</v>
      </c>
    </row>
    <row r="152" spans="3:10" s="10" customFormat="1" outlineLevel="1" x14ac:dyDescent="0.2">
      <c r="D152" s="75" t="s">
        <v>167</v>
      </c>
      <c r="E152" s="88"/>
      <c r="F152" s="80">
        <v>0</v>
      </c>
      <c r="G152" s="80">
        <v>0</v>
      </c>
      <c r="H152" s="80">
        <v>0</v>
      </c>
      <c r="I152" s="75" t="s">
        <v>162</v>
      </c>
      <c r="J152" s="42">
        <f t="shared" si="5"/>
        <v>0</v>
      </c>
    </row>
    <row r="153" spans="3:10" s="10" customFormat="1" outlineLevel="1" x14ac:dyDescent="0.2">
      <c r="D153" s="75" t="s">
        <v>168</v>
      </c>
      <c r="E153" s="88"/>
      <c r="F153" s="80">
        <v>0</v>
      </c>
      <c r="G153" s="80">
        <v>0</v>
      </c>
      <c r="H153" s="80">
        <v>0</v>
      </c>
      <c r="I153" s="75" t="s">
        <v>162</v>
      </c>
      <c r="J153" s="42">
        <f t="shared" si="5"/>
        <v>0</v>
      </c>
    </row>
    <row r="154" spans="3:10" s="10" customFormat="1" outlineLevel="1" x14ac:dyDescent="0.2">
      <c r="D154" s="75" t="s">
        <v>169</v>
      </c>
      <c r="E154" s="88"/>
      <c r="F154" s="80">
        <v>0</v>
      </c>
      <c r="G154" s="80">
        <v>0</v>
      </c>
      <c r="H154" s="80">
        <v>0</v>
      </c>
      <c r="I154" s="75" t="s">
        <v>162</v>
      </c>
      <c r="J154" s="42">
        <f t="shared" si="5"/>
        <v>0</v>
      </c>
    </row>
    <row r="155" spans="3:10" s="10" customFormat="1" outlineLevel="1" x14ac:dyDescent="0.2">
      <c r="D155" s="75" t="s">
        <v>170</v>
      </c>
      <c r="E155" s="88"/>
      <c r="F155" s="80">
        <v>0</v>
      </c>
      <c r="G155" s="80">
        <v>0</v>
      </c>
      <c r="H155" s="80">
        <v>0</v>
      </c>
      <c r="I155" s="75" t="s">
        <v>162</v>
      </c>
      <c r="J155" s="42">
        <f t="shared" si="5"/>
        <v>0</v>
      </c>
    </row>
    <row r="156" spans="3:10" s="10" customFormat="1" outlineLevel="1" x14ac:dyDescent="0.2">
      <c r="D156" s="75" t="s">
        <v>171</v>
      </c>
      <c r="E156" s="88"/>
      <c r="F156" s="80">
        <v>0</v>
      </c>
      <c r="G156" s="80">
        <v>0</v>
      </c>
      <c r="H156" s="80">
        <v>0</v>
      </c>
      <c r="I156" s="75" t="s">
        <v>162</v>
      </c>
      <c r="J156" s="42">
        <f t="shared" si="5"/>
        <v>0</v>
      </c>
    </row>
    <row r="157" spans="3:10" s="10" customFormat="1" outlineLevel="1" x14ac:dyDescent="0.2">
      <c r="D157" s="75" t="s">
        <v>172</v>
      </c>
      <c r="E157" s="88"/>
      <c r="F157" s="80">
        <v>0</v>
      </c>
      <c r="G157" s="80">
        <v>0</v>
      </c>
      <c r="H157" s="80">
        <v>0</v>
      </c>
      <c r="I157" s="75" t="s">
        <v>162</v>
      </c>
      <c r="J157" s="42">
        <f t="shared" si="5"/>
        <v>0</v>
      </c>
    </row>
    <row r="158" spans="3:10" s="10" customFormat="1" outlineLevel="1" x14ac:dyDescent="0.2">
      <c r="D158" s="55" t="str">
        <f>Lang_Error_Check_Flags_If_Input_Econ_Cost_Is_Less_Than_Fin_Cost</f>
        <v>ERROR CHECK (FLAGS IF INPUT ECONOMIC COST IS LESS THAN FINANCIAL COST)</v>
      </c>
      <c r="J158" s="43">
        <f>IF(ISERROR(SUM(J148:J157)),1,MIN(SUM(J148:J157),1))</f>
        <v>0</v>
      </c>
    </row>
    <row r="159" spans="3:10" s="10" customFormat="1" outlineLevel="1" x14ac:dyDescent="0.2"/>
    <row r="160" spans="3:10" s="10" customFormat="1" outlineLevel="1" x14ac:dyDescent="0.2">
      <c r="D160" s="76" t="str">
        <f>Lang_GoTo&amp;" "&amp;HL_TOP_ACTV_15_Out_A</f>
        <v>Go to IEC Soc Mob  Activity # 2 (Not in Use) Allowances - Outputs</v>
      </c>
    </row>
    <row r="161" spans="1:10" s="10" customFormat="1" x14ac:dyDescent="0.2"/>
    <row r="162" spans="1:10" s="13" customFormat="1" x14ac:dyDescent="0.2">
      <c r="A162" s="12" t="s">
        <v>127</v>
      </c>
      <c r="B162" s="13" t="str">
        <f>C164</f>
        <v>IEC Soc Mob  Activity # 2 (Not in Use) - Detailed Supply and Material Cost Assumptions</v>
      </c>
    </row>
    <row r="163" spans="1:10" s="10" customFormat="1" outlineLevel="1" x14ac:dyDescent="0.2"/>
    <row r="164" spans="1:10" s="10" customFormat="1" outlineLevel="1" x14ac:dyDescent="0.2">
      <c r="C164" s="71" t="str">
        <f>HL_TOP_ACTV_15_Name&amp;" - "&amp;Lang_Detailed_Supply_And_Material_Cost_Assumptions</f>
        <v>IEC Soc Mob  Activity # 2 (Not in Use) - Detailed Supply and Material Cost Assumptions</v>
      </c>
    </row>
    <row r="165" spans="1:10" s="10" customFormat="1" ht="48" outlineLevel="1" x14ac:dyDescent="0.2">
      <c r="D165" s="55" t="str">
        <f>Lang_Supply_Type</f>
        <v>Supply Type</v>
      </c>
      <c r="E165" s="85" t="str">
        <f>Lang_Supply_Unit_Each_Dozen_100_Pack</f>
        <v>Supply Unit (e.g. Each, Dozen, 100-pack,etc.)</v>
      </c>
      <c r="F165" s="85" t="str">
        <f>Lang_Number_Of_Supply_Units_Required</f>
        <v>Number of Supply Units Required</v>
      </c>
      <c r="G165" s="86" t="str">
        <f ca="1">SOCMOB_Lu!$D$67&amp;" "&amp;Lang_Cost_Per_Activity_Unit&amp;" ("&amp;OFFSET(SOCMOB_Lu!$D$46,DD_TOP_ACTV_15_Detailed_Currency_Used,0)&amp;")"</f>
        <v>Financial Cost per Activity Unit (USD)</v>
      </c>
      <c r="H165" s="86" t="str">
        <f ca="1">SOCMOB_Lu!$D$68&amp;" "&amp;Lang_Cost_Per_Activity_Unit&amp;" ("&amp;OFFSET(SOCMOB_Lu!$D$46,DD_TOP_ACTV_15_Detailed_Currency_Used,0)&amp;")"</f>
        <v>Economic Cost per Activity Unit (USD)</v>
      </c>
      <c r="I165" s="87" t="str">
        <f>Lang_Evidence_For_Using_This_Cost_Information_Source_Or_Notes</f>
        <v>Evidence for Using this Cost Information (source or notes)</v>
      </c>
    </row>
    <row r="166" spans="1:10" s="10" customFormat="1" outlineLevel="1" x14ac:dyDescent="0.2">
      <c r="D166" s="75" t="s">
        <v>173</v>
      </c>
      <c r="E166" s="88"/>
      <c r="F166" s="80">
        <v>0</v>
      </c>
      <c r="G166" s="80">
        <v>0</v>
      </c>
      <c r="H166" s="80">
        <v>0</v>
      </c>
      <c r="I166" s="75" t="s">
        <v>162</v>
      </c>
      <c r="J166" s="42">
        <f t="shared" ref="J166:J175" si="6">IF(H166&lt;G166,1,0)</f>
        <v>0</v>
      </c>
    </row>
    <row r="167" spans="1:10" s="10" customFormat="1" outlineLevel="1" x14ac:dyDescent="0.2">
      <c r="D167" s="75" t="s">
        <v>174</v>
      </c>
      <c r="E167" s="88"/>
      <c r="F167" s="80">
        <v>0</v>
      </c>
      <c r="G167" s="80">
        <v>0</v>
      </c>
      <c r="H167" s="80">
        <v>0</v>
      </c>
      <c r="I167" s="75" t="s">
        <v>162</v>
      </c>
      <c r="J167" s="42">
        <f t="shared" si="6"/>
        <v>0</v>
      </c>
    </row>
    <row r="168" spans="1:10" s="10" customFormat="1" outlineLevel="1" x14ac:dyDescent="0.2">
      <c r="D168" s="75" t="s">
        <v>175</v>
      </c>
      <c r="E168" s="88"/>
      <c r="F168" s="80">
        <v>0</v>
      </c>
      <c r="G168" s="80">
        <v>0</v>
      </c>
      <c r="H168" s="80">
        <v>0</v>
      </c>
      <c r="I168" s="75" t="s">
        <v>162</v>
      </c>
      <c r="J168" s="42">
        <f t="shared" si="6"/>
        <v>0</v>
      </c>
    </row>
    <row r="169" spans="1:10" s="10" customFormat="1" outlineLevel="1" x14ac:dyDescent="0.2">
      <c r="D169" s="75" t="s">
        <v>176</v>
      </c>
      <c r="E169" s="88"/>
      <c r="F169" s="80">
        <v>0</v>
      </c>
      <c r="G169" s="80">
        <v>0</v>
      </c>
      <c r="H169" s="80">
        <v>0</v>
      </c>
      <c r="I169" s="75" t="s">
        <v>162</v>
      </c>
      <c r="J169" s="42">
        <f t="shared" si="6"/>
        <v>0</v>
      </c>
    </row>
    <row r="170" spans="1:10" s="10" customFormat="1" outlineLevel="1" x14ac:dyDescent="0.2">
      <c r="D170" s="75" t="s">
        <v>177</v>
      </c>
      <c r="E170" s="88"/>
      <c r="F170" s="80">
        <v>0</v>
      </c>
      <c r="G170" s="80">
        <v>0</v>
      </c>
      <c r="H170" s="80">
        <v>0</v>
      </c>
      <c r="I170" s="75" t="s">
        <v>162</v>
      </c>
      <c r="J170" s="42">
        <f t="shared" si="6"/>
        <v>0</v>
      </c>
    </row>
    <row r="171" spans="1:10" s="10" customFormat="1" outlineLevel="1" x14ac:dyDescent="0.2">
      <c r="D171" s="75" t="s">
        <v>178</v>
      </c>
      <c r="E171" s="88"/>
      <c r="F171" s="80">
        <v>0</v>
      </c>
      <c r="G171" s="80">
        <v>0</v>
      </c>
      <c r="H171" s="80">
        <v>0</v>
      </c>
      <c r="I171" s="75" t="s">
        <v>162</v>
      </c>
      <c r="J171" s="42">
        <f t="shared" si="6"/>
        <v>0</v>
      </c>
    </row>
    <row r="172" spans="1:10" s="10" customFormat="1" outlineLevel="1" x14ac:dyDescent="0.2">
      <c r="D172" s="75" t="s">
        <v>179</v>
      </c>
      <c r="E172" s="88"/>
      <c r="F172" s="80">
        <v>0</v>
      </c>
      <c r="G172" s="80">
        <v>0</v>
      </c>
      <c r="H172" s="80">
        <v>0</v>
      </c>
      <c r="I172" s="75" t="s">
        <v>162</v>
      </c>
      <c r="J172" s="42">
        <f t="shared" si="6"/>
        <v>0</v>
      </c>
    </row>
    <row r="173" spans="1:10" s="10" customFormat="1" outlineLevel="1" x14ac:dyDescent="0.2">
      <c r="D173" s="75" t="s">
        <v>180</v>
      </c>
      <c r="E173" s="88"/>
      <c r="F173" s="80">
        <v>0</v>
      </c>
      <c r="G173" s="80">
        <v>0</v>
      </c>
      <c r="H173" s="80">
        <v>0</v>
      </c>
      <c r="I173" s="75" t="s">
        <v>162</v>
      </c>
      <c r="J173" s="42">
        <f t="shared" si="6"/>
        <v>0</v>
      </c>
    </row>
    <row r="174" spans="1:10" s="10" customFormat="1" outlineLevel="1" x14ac:dyDescent="0.2">
      <c r="D174" s="75" t="s">
        <v>181</v>
      </c>
      <c r="E174" s="88"/>
      <c r="F174" s="80">
        <v>0</v>
      </c>
      <c r="G174" s="80">
        <v>0</v>
      </c>
      <c r="H174" s="80">
        <v>0</v>
      </c>
      <c r="I174" s="75" t="s">
        <v>162</v>
      </c>
      <c r="J174" s="42">
        <f t="shared" si="6"/>
        <v>0</v>
      </c>
    </row>
    <row r="175" spans="1:10" s="10" customFormat="1" outlineLevel="1" x14ac:dyDescent="0.2">
      <c r="D175" s="75" t="s">
        <v>182</v>
      </c>
      <c r="E175" s="88"/>
      <c r="F175" s="80">
        <v>0</v>
      </c>
      <c r="G175" s="80">
        <v>0</v>
      </c>
      <c r="H175" s="80">
        <v>0</v>
      </c>
      <c r="I175" s="75" t="s">
        <v>162</v>
      </c>
      <c r="J175" s="42">
        <f t="shared" si="6"/>
        <v>0</v>
      </c>
    </row>
    <row r="176" spans="1:10" s="10" customFormat="1" outlineLevel="1" x14ac:dyDescent="0.2">
      <c r="D176" s="55" t="str">
        <f>Lang_Error_Check_Flags_If_Input_Econ_Cost_Is_Less_Than_Fin_Cost</f>
        <v>ERROR CHECK (FLAGS IF INPUT ECONOMIC COST IS LESS THAN FINANCIAL COST)</v>
      </c>
      <c r="J176" s="43">
        <f>IF(ISERROR(SUM(J166:J175)),1,MIN(SUM(J166:J175),1))</f>
        <v>0</v>
      </c>
    </row>
    <row r="177" spans="1:10" s="10" customFormat="1" outlineLevel="1" x14ac:dyDescent="0.2"/>
    <row r="178" spans="1:10" s="10" customFormat="1" outlineLevel="1" x14ac:dyDescent="0.2">
      <c r="D178" s="76" t="str">
        <f>Lang_GoTo&amp;" "&amp;HL_TOP_ACTV_15_Supplies_and_Materials_Outputs</f>
        <v>Go to IEC Soc Mob  Activity # 2 (Not in Use) Supplies and Materials - Outputs</v>
      </c>
    </row>
    <row r="179" spans="1:10" s="10" customFormat="1" x14ac:dyDescent="0.2"/>
    <row r="180" spans="1:10" s="13" customFormat="1" x14ac:dyDescent="0.2">
      <c r="A180" s="12" t="s">
        <v>127</v>
      </c>
      <c r="B180" s="13" t="str">
        <f>C182</f>
        <v>IEC Soc Mob  Activity # 2 (Not in Use) - Detailed Other Direct Cost Assumptions</v>
      </c>
    </row>
    <row r="181" spans="1:10" s="10" customFormat="1" outlineLevel="1" x14ac:dyDescent="0.2"/>
    <row r="182" spans="1:10" s="10" customFormat="1" outlineLevel="1" x14ac:dyDescent="0.2">
      <c r="C182" s="71" t="str">
        <f>HL_TOP_ACTV_15_Name&amp;" - "&amp;Lang_Detailed_Other_Direct_Cost_Assumptions</f>
        <v>IEC Soc Mob  Activity # 2 (Not in Use) - Detailed Other Direct Cost Assumptions</v>
      </c>
    </row>
    <row r="183" spans="1:10" s="10" customFormat="1" ht="48" outlineLevel="1" x14ac:dyDescent="0.2">
      <c r="D183" s="55" t="str">
        <f>Lang_Other_Direct_Cost_ODC_Type</f>
        <v>Other Direct Cost (ODC) Type</v>
      </c>
      <c r="E183" s="85" t="str">
        <f>Lang_ODC_Unit_Each_Dozen_100_Pack</f>
        <v>ODC Unit (e.g. Each, Dozen, 100-pack,etc.)</v>
      </c>
      <c r="F183" s="85" t="str">
        <f>Lang_Number_Of_ODC_Units_Required</f>
        <v>Number of ODC Units Required</v>
      </c>
      <c r="G183" s="86" t="str">
        <f ca="1">SOCMOB_Lu!$D$67&amp;" "&amp;Lang_Cost_Per_Activity_Unit&amp;" ("&amp;OFFSET(SOCMOB_Lu!$D$46,DD_TOP_ACTV_15_Detailed_Currency_Used,0)&amp;")"</f>
        <v>Financial Cost per Activity Unit (USD)</v>
      </c>
      <c r="H183" s="86" t="str">
        <f ca="1">SOCMOB_Lu!$D$68&amp;" "&amp;Lang_Cost_Per_Activity_Unit&amp;" ("&amp;OFFSET(SOCMOB_Lu!$D$46,DD_TOP_ACTV_15_Detailed_Currency_Used,0)&amp;")"</f>
        <v>Economic Cost per Activity Unit (USD)</v>
      </c>
      <c r="I183" s="87" t="str">
        <f>Lang_Evidence_For_Using_This_Cost_Information_Source_Or_Notes</f>
        <v>Evidence for Using this Cost Information (source or notes)</v>
      </c>
    </row>
    <row r="184" spans="1:10" s="10" customFormat="1" outlineLevel="1" x14ac:dyDescent="0.2">
      <c r="D184" s="75" t="s">
        <v>183</v>
      </c>
      <c r="E184" s="88"/>
      <c r="F184" s="80">
        <v>0</v>
      </c>
      <c r="G184" s="80">
        <v>0</v>
      </c>
      <c r="H184" s="80">
        <v>0</v>
      </c>
      <c r="I184" s="75" t="s">
        <v>162</v>
      </c>
      <c r="J184" s="42">
        <f t="shared" ref="J184:J193" si="7">IF(H184&lt;G184,1,0)</f>
        <v>0</v>
      </c>
    </row>
    <row r="185" spans="1:10" s="10" customFormat="1" outlineLevel="1" x14ac:dyDescent="0.2">
      <c r="D185" s="75" t="s">
        <v>184</v>
      </c>
      <c r="E185" s="88"/>
      <c r="F185" s="80">
        <v>0</v>
      </c>
      <c r="G185" s="80">
        <v>0</v>
      </c>
      <c r="H185" s="80">
        <v>0</v>
      </c>
      <c r="I185" s="75" t="s">
        <v>162</v>
      </c>
      <c r="J185" s="42">
        <f t="shared" si="7"/>
        <v>0</v>
      </c>
    </row>
    <row r="186" spans="1:10" s="10" customFormat="1" outlineLevel="1" x14ac:dyDescent="0.2">
      <c r="D186" s="75" t="s">
        <v>185</v>
      </c>
      <c r="E186" s="88"/>
      <c r="F186" s="80">
        <v>0</v>
      </c>
      <c r="G186" s="80">
        <v>0</v>
      </c>
      <c r="H186" s="80">
        <v>0</v>
      </c>
      <c r="I186" s="75" t="s">
        <v>162</v>
      </c>
      <c r="J186" s="42">
        <f t="shared" si="7"/>
        <v>0</v>
      </c>
    </row>
    <row r="187" spans="1:10" s="10" customFormat="1" outlineLevel="1" x14ac:dyDescent="0.2">
      <c r="D187" s="75" t="s">
        <v>186</v>
      </c>
      <c r="E187" s="88"/>
      <c r="F187" s="80">
        <v>0</v>
      </c>
      <c r="G187" s="80">
        <v>0</v>
      </c>
      <c r="H187" s="80">
        <v>0</v>
      </c>
      <c r="I187" s="75" t="s">
        <v>162</v>
      </c>
      <c r="J187" s="42">
        <f t="shared" si="7"/>
        <v>0</v>
      </c>
    </row>
    <row r="188" spans="1:10" s="10" customFormat="1" outlineLevel="1" x14ac:dyDescent="0.2">
      <c r="D188" s="75" t="s">
        <v>187</v>
      </c>
      <c r="E188" s="88"/>
      <c r="F188" s="80">
        <v>0</v>
      </c>
      <c r="G188" s="80">
        <v>0</v>
      </c>
      <c r="H188" s="80">
        <v>0</v>
      </c>
      <c r="I188" s="75" t="s">
        <v>162</v>
      </c>
      <c r="J188" s="42">
        <f t="shared" si="7"/>
        <v>0</v>
      </c>
    </row>
    <row r="189" spans="1:10" s="10" customFormat="1" outlineLevel="1" x14ac:dyDescent="0.2">
      <c r="D189" s="75" t="s">
        <v>188</v>
      </c>
      <c r="E189" s="88"/>
      <c r="F189" s="80">
        <v>0</v>
      </c>
      <c r="G189" s="80">
        <v>0</v>
      </c>
      <c r="H189" s="80">
        <v>0</v>
      </c>
      <c r="I189" s="75" t="s">
        <v>162</v>
      </c>
      <c r="J189" s="42">
        <f t="shared" si="7"/>
        <v>0</v>
      </c>
    </row>
    <row r="190" spans="1:10" s="10" customFormat="1" outlineLevel="1" x14ac:dyDescent="0.2">
      <c r="D190" s="75" t="s">
        <v>189</v>
      </c>
      <c r="E190" s="88"/>
      <c r="F190" s="80">
        <v>0</v>
      </c>
      <c r="G190" s="80">
        <v>0</v>
      </c>
      <c r="H190" s="80">
        <v>0</v>
      </c>
      <c r="I190" s="75" t="s">
        <v>162</v>
      </c>
      <c r="J190" s="42">
        <f t="shared" si="7"/>
        <v>0</v>
      </c>
    </row>
    <row r="191" spans="1:10" s="10" customFormat="1" outlineLevel="1" x14ac:dyDescent="0.2">
      <c r="D191" s="75" t="s">
        <v>190</v>
      </c>
      <c r="E191" s="88"/>
      <c r="F191" s="80">
        <v>0</v>
      </c>
      <c r="G191" s="80">
        <v>0</v>
      </c>
      <c r="H191" s="80">
        <v>0</v>
      </c>
      <c r="I191" s="75" t="s">
        <v>162</v>
      </c>
      <c r="J191" s="42">
        <f t="shared" si="7"/>
        <v>0</v>
      </c>
    </row>
    <row r="192" spans="1:10" s="10" customFormat="1" outlineLevel="1" x14ac:dyDescent="0.2">
      <c r="D192" s="75" t="s">
        <v>191</v>
      </c>
      <c r="E192" s="88"/>
      <c r="F192" s="80">
        <v>0</v>
      </c>
      <c r="G192" s="80">
        <v>0</v>
      </c>
      <c r="H192" s="80">
        <v>0</v>
      </c>
      <c r="I192" s="75" t="s">
        <v>162</v>
      </c>
      <c r="J192" s="42">
        <f t="shared" si="7"/>
        <v>0</v>
      </c>
    </row>
    <row r="193" spans="1:10" s="10" customFormat="1" outlineLevel="1" x14ac:dyDescent="0.2">
      <c r="D193" s="75" t="s">
        <v>192</v>
      </c>
      <c r="E193" s="88"/>
      <c r="F193" s="80">
        <v>0</v>
      </c>
      <c r="G193" s="80">
        <v>0</v>
      </c>
      <c r="H193" s="80">
        <v>0</v>
      </c>
      <c r="I193" s="75" t="s">
        <v>162</v>
      </c>
      <c r="J193" s="42">
        <f t="shared" si="7"/>
        <v>0</v>
      </c>
    </row>
    <row r="194" spans="1:10" s="10" customFormat="1" outlineLevel="1" x14ac:dyDescent="0.2">
      <c r="D194" s="55" t="str">
        <f>Lang_Error_Check_Flags_If_Input_Econ_Cost_Is_Less_Than_Fin_Cost</f>
        <v>ERROR CHECK (FLAGS IF INPUT ECONOMIC COST IS LESS THAN FINANCIAL COST)</v>
      </c>
      <c r="J194" s="43">
        <f>IF(ISERROR(SUM(J184:J193)),1,MIN(SUM(J184:J193),1))</f>
        <v>0</v>
      </c>
    </row>
    <row r="195" spans="1:10" s="10" customFormat="1" outlineLevel="1" x14ac:dyDescent="0.2"/>
    <row r="196" spans="1:10" s="10" customFormat="1" outlineLevel="1" x14ac:dyDescent="0.2">
      <c r="D196" s="76" t="str">
        <f>Lang_GoTo&amp;" "&amp;HL_TOP_ACTV_15_Other_Direct_Costs_Outputs</f>
        <v>Go to IEC Soc Mob  Activity # 2 (Not in Use) Other Direct Costs - Outputs</v>
      </c>
    </row>
    <row r="197" spans="1:10" s="10" customFormat="1" x14ac:dyDescent="0.2"/>
    <row r="198" spans="1:10" s="13" customFormat="1" x14ac:dyDescent="0.2">
      <c r="A198" s="12" t="s">
        <v>125</v>
      </c>
      <c r="B198" s="13" t="str">
        <f>C200</f>
        <v>IEC Soc Mob  Activity # 3 (Not in Use) -  Detailed Activity Costing Worksheet - Instructions</v>
      </c>
    </row>
    <row r="199" spans="1:10" s="10" customFormat="1" outlineLevel="1" x14ac:dyDescent="0.2"/>
    <row r="200" spans="1:10" s="10" customFormat="1" outlineLevel="1" x14ac:dyDescent="0.2">
      <c r="C200" s="71" t="str">
        <f>HL_TOP_ACTV_16_Name&amp;" -  "&amp;Lang_Detailed_Activity_Costing_Worksheet_Instructions</f>
        <v>IEC Soc Mob  Activity # 3 (Not in Use) -  Detailed Activity Costing Worksheet - Instructions</v>
      </c>
    </row>
    <row r="201" spans="1:10" s="10" customFormat="1" outlineLevel="1" x14ac:dyDescent="0.2"/>
    <row r="202" spans="1:10" s="10" customFormat="1" outlineLevel="1" x14ac:dyDescent="0.2">
      <c r="D202" s="50" t="str">
        <f>Lang_Detailed_Costing_Worksheets_Notes_1</f>
        <v>This detailed costing worksheet can be used to document the types and amounts of resources required to complete a single instance of an activity.</v>
      </c>
    </row>
    <row r="203" spans="1:10" s="10" customFormat="1" outlineLevel="1" x14ac:dyDescent="0.2">
      <c r="D203" s="50" t="str">
        <f>Lang_Detailed_Costing_Worksheets_Notes_2</f>
        <v>When completed, it will automatically provide a single activity cost in the general assumption worksheet.</v>
      </c>
    </row>
    <row r="204" spans="1:10" s="10" customFormat="1" outlineLevel="1" x14ac:dyDescent="0.2">
      <c r="D204" s="50" t="str">
        <f>Lang_Detailed_Costing_Worksheets_Notes_3</f>
        <v>The user may then choose to use the results of the detailed costing in the model, or override the detailed costing and insert alternate cost estimates.</v>
      </c>
    </row>
    <row r="205" spans="1:10" s="10" customFormat="1" x14ac:dyDescent="0.2"/>
    <row r="206" spans="1:10" s="13" customFormat="1" x14ac:dyDescent="0.2">
      <c r="A206" s="12" t="s">
        <v>125</v>
      </c>
      <c r="B206" s="13" t="str">
        <f>C208</f>
        <v>IEC Soc Mob  Activity # 3 (Not in Use) - Detailed Activity Costing Worksheet - Currency Selection</v>
      </c>
    </row>
    <row r="207" spans="1:10" s="10" customFormat="1" outlineLevel="1" x14ac:dyDescent="0.2"/>
    <row r="208" spans="1:10" s="10" customFormat="1" outlineLevel="1" x14ac:dyDescent="0.2">
      <c r="C208" s="71" t="str">
        <f>HL_TOP_ACTV_16_Name&amp;" - "&amp;Lang_Detailed_Activity_Costing_Worksheet_Currency_Selection</f>
        <v>IEC Soc Mob  Activity # 3 (Not in Use) - Detailed Activity Costing Worksheet - Currency Selection</v>
      </c>
    </row>
    <row r="209" spans="1:10" s="10" customFormat="1" outlineLevel="1" x14ac:dyDescent="0.2">
      <c r="D209" s="55" t="str">
        <f>Lang_Currency_Used_For_Cost_Inputs</f>
        <v>Currency Used for Cost Inputs</v>
      </c>
      <c r="E209" s="72">
        <v>1</v>
      </c>
    </row>
    <row r="210" spans="1:10" s="10" customFormat="1" outlineLevel="1" x14ac:dyDescent="0.2"/>
    <row r="211" spans="1:10" s="10" customFormat="1" outlineLevel="1" x14ac:dyDescent="0.2"/>
    <row r="212" spans="1:10" s="10" customFormat="1" outlineLevel="1" x14ac:dyDescent="0.2">
      <c r="D212" s="54" t="str">
        <f>Lang_Imported_From_Econ_Module</f>
        <v>Imported from Econ Module</v>
      </c>
    </row>
    <row r="213" spans="1:10" s="10" customFormat="1" outlineLevel="1" x14ac:dyDescent="0.2">
      <c r="D213" s="49" t="str">
        <f>ECONOMICS!F7</f>
        <v>USD</v>
      </c>
    </row>
    <row r="214" spans="1:10" s="10" customFormat="1" outlineLevel="1" x14ac:dyDescent="0.2">
      <c r="D214" s="49" t="str">
        <f>ECONOMICS!F8</f>
        <v>LCU</v>
      </c>
    </row>
    <row r="215" spans="1:10" s="10" customFormat="1" outlineLevel="1" x14ac:dyDescent="0.2"/>
    <row r="216" spans="1:10" s="10" customFormat="1" outlineLevel="1" x14ac:dyDescent="0.2">
      <c r="D216" s="50" t="str">
        <f>Lang_Exchange_Rate_From_Econ</f>
        <v>Exchange Rate (from Economics)</v>
      </c>
      <c r="E216" s="41">
        <f>ECONOMICS!E13</f>
        <v>1234.5</v>
      </c>
    </row>
    <row r="217" spans="1:10" s="10" customFormat="1" x14ac:dyDescent="0.2"/>
    <row r="218" spans="1:10" s="13" customFormat="1" x14ac:dyDescent="0.2">
      <c r="A218" s="12" t="s">
        <v>127</v>
      </c>
      <c r="B218" s="13" t="str">
        <f>C220</f>
        <v>IEC Soc Mob  Activity # 3 (Not in Use) - Detailed Personnel Cost Assumptions</v>
      </c>
    </row>
    <row r="219" spans="1:10" s="10" customFormat="1" outlineLevel="1" x14ac:dyDescent="0.2"/>
    <row r="220" spans="1:10" s="10" customFormat="1" outlineLevel="1" x14ac:dyDescent="0.2">
      <c r="C220" s="71" t="str">
        <f>HL_TOP_ACTV_16_Name&amp;" - "&amp;Lang_Detailed_Personnel_Cost_Assumptions</f>
        <v>IEC Soc Mob  Activity # 3 (Not in Use) - Detailed Personnel Cost Assumptions</v>
      </c>
    </row>
    <row r="221" spans="1:10" s="10" customFormat="1" ht="48" outlineLevel="1" x14ac:dyDescent="0.2">
      <c r="D221" s="55" t="str">
        <f>Lang_Personnel_Cadre_Type</f>
        <v>Personnel Cadre Type</v>
      </c>
      <c r="E221" s="85" t="str">
        <f>Lang_Activity_Unit_Day_Hour_Minute</f>
        <v>Activity Unit (e.g. Day, Hour, Minute)</v>
      </c>
      <c r="F221" s="85" t="str">
        <f>Lang_Number_Of_Activity_Units_Required</f>
        <v>Number of Activity Units Required</v>
      </c>
      <c r="G221" s="86" t="str">
        <f ca="1">SOCMOB_Lu!$D$102&amp;" "&amp;Lang_Cost_Per_Activity_Unit&amp;" ("&amp;OFFSET(SOCMOB_Lu!$D$81,DD_TOP_ACTV_16_Detailed_Currency_Used,0)&amp;")"</f>
        <v>Financial Cost per Activity Unit (USD)</v>
      </c>
      <c r="H221" s="86" t="str">
        <f ca="1">SOCMOB_Lu!$D$103&amp;" "&amp;Lang_Cost_Per_Activity_Unit&amp;" ("&amp;OFFSET(SOCMOB_Lu!$D$81,DD_TOP_ACTV_16_Detailed_Currency_Used,0)&amp;")"</f>
        <v>Economic Cost per Activity Unit (USD)</v>
      </c>
      <c r="I221" s="87" t="str">
        <f>Lang_Evidence_For_Using_This_Cost_Information_Source_Or_Notes</f>
        <v>Evidence for Using this Cost Information (source or notes)</v>
      </c>
    </row>
    <row r="222" spans="1:10" s="10" customFormat="1" outlineLevel="1" x14ac:dyDescent="0.2">
      <c r="D222" s="75" t="s">
        <v>152</v>
      </c>
      <c r="E222" s="88"/>
      <c r="F222" s="80">
        <v>0</v>
      </c>
      <c r="G222" s="80">
        <v>0</v>
      </c>
      <c r="H222" s="80">
        <v>0</v>
      </c>
      <c r="I222" s="75" t="s">
        <v>162</v>
      </c>
      <c r="J222" s="42">
        <f t="shared" ref="J222:J236" si="8">IF(H222&lt;G222,1,0)</f>
        <v>0</v>
      </c>
    </row>
    <row r="223" spans="1:10" s="10" customFormat="1" outlineLevel="1" x14ac:dyDescent="0.2">
      <c r="D223" s="75" t="s">
        <v>153</v>
      </c>
      <c r="E223" s="88"/>
      <c r="F223" s="80">
        <v>0</v>
      </c>
      <c r="G223" s="80">
        <v>0</v>
      </c>
      <c r="H223" s="80">
        <v>0</v>
      </c>
      <c r="I223" s="75" t="s">
        <v>162</v>
      </c>
      <c r="J223" s="42">
        <f t="shared" si="8"/>
        <v>0</v>
      </c>
    </row>
    <row r="224" spans="1:10" s="10" customFormat="1" outlineLevel="1" x14ac:dyDescent="0.2">
      <c r="D224" s="75" t="s">
        <v>154</v>
      </c>
      <c r="E224" s="88"/>
      <c r="F224" s="80">
        <v>0</v>
      </c>
      <c r="G224" s="80">
        <v>0</v>
      </c>
      <c r="H224" s="80">
        <v>0</v>
      </c>
      <c r="I224" s="75" t="s">
        <v>162</v>
      </c>
      <c r="J224" s="42">
        <f t="shared" si="8"/>
        <v>0</v>
      </c>
    </row>
    <row r="225" spans="4:10" s="10" customFormat="1" outlineLevel="1" x14ac:dyDescent="0.2">
      <c r="D225" s="75" t="s">
        <v>155</v>
      </c>
      <c r="E225" s="88"/>
      <c r="F225" s="80">
        <v>0</v>
      </c>
      <c r="G225" s="80">
        <v>0</v>
      </c>
      <c r="H225" s="80">
        <v>0</v>
      </c>
      <c r="I225" s="75" t="s">
        <v>162</v>
      </c>
      <c r="J225" s="42">
        <f t="shared" si="8"/>
        <v>0</v>
      </c>
    </row>
    <row r="226" spans="4:10" s="10" customFormat="1" outlineLevel="1" x14ac:dyDescent="0.2">
      <c r="D226" s="75" t="s">
        <v>156</v>
      </c>
      <c r="E226" s="88"/>
      <c r="F226" s="80">
        <v>0</v>
      </c>
      <c r="G226" s="80">
        <v>0</v>
      </c>
      <c r="H226" s="80">
        <v>0</v>
      </c>
      <c r="I226" s="75" t="s">
        <v>162</v>
      </c>
      <c r="J226" s="42">
        <f t="shared" si="8"/>
        <v>0</v>
      </c>
    </row>
    <row r="227" spans="4:10" s="10" customFormat="1" outlineLevel="1" x14ac:dyDescent="0.2">
      <c r="D227" s="75" t="s">
        <v>157</v>
      </c>
      <c r="E227" s="88"/>
      <c r="F227" s="80">
        <v>0</v>
      </c>
      <c r="G227" s="80">
        <v>0</v>
      </c>
      <c r="H227" s="80">
        <v>0</v>
      </c>
      <c r="I227" s="75" t="s">
        <v>162</v>
      </c>
      <c r="J227" s="42">
        <f t="shared" si="8"/>
        <v>0</v>
      </c>
    </row>
    <row r="228" spans="4:10" outlineLevel="1" x14ac:dyDescent="0.2">
      <c r="D228" s="62" t="s">
        <v>158</v>
      </c>
      <c r="E228" s="64"/>
      <c r="F228" s="19">
        <v>0</v>
      </c>
      <c r="G228" s="19">
        <v>0</v>
      </c>
      <c r="H228" s="19">
        <v>0</v>
      </c>
      <c r="I228" s="62" t="s">
        <v>162</v>
      </c>
      <c r="J228" s="42">
        <f t="shared" si="8"/>
        <v>0</v>
      </c>
    </row>
    <row r="229" spans="4:10" outlineLevel="1" x14ac:dyDescent="0.2">
      <c r="D229" s="62" t="s">
        <v>159</v>
      </c>
      <c r="E229" s="64"/>
      <c r="F229" s="19">
        <v>0</v>
      </c>
      <c r="G229" s="19">
        <v>0</v>
      </c>
      <c r="H229" s="19">
        <v>0</v>
      </c>
      <c r="I229" s="62" t="s">
        <v>162</v>
      </c>
      <c r="J229" s="42">
        <f t="shared" si="8"/>
        <v>0</v>
      </c>
    </row>
    <row r="230" spans="4:10" outlineLevel="1" x14ac:dyDescent="0.2">
      <c r="D230" s="62" t="s">
        <v>160</v>
      </c>
      <c r="E230" s="64"/>
      <c r="F230" s="19">
        <v>0</v>
      </c>
      <c r="G230" s="19">
        <v>0</v>
      </c>
      <c r="H230" s="19">
        <v>0</v>
      </c>
      <c r="I230" s="62" t="s">
        <v>162</v>
      </c>
      <c r="J230" s="42">
        <f t="shared" si="8"/>
        <v>0</v>
      </c>
    </row>
    <row r="231" spans="4:10" outlineLevel="1" x14ac:dyDescent="0.2">
      <c r="D231" s="62" t="s">
        <v>161</v>
      </c>
      <c r="E231" s="64"/>
      <c r="F231" s="19">
        <v>0</v>
      </c>
      <c r="G231" s="19">
        <v>0</v>
      </c>
      <c r="H231" s="19">
        <v>0</v>
      </c>
      <c r="I231" s="62" t="s">
        <v>162</v>
      </c>
      <c r="J231" s="42">
        <f t="shared" si="8"/>
        <v>0</v>
      </c>
    </row>
    <row r="232" spans="4:10" outlineLevel="1" x14ac:dyDescent="0.2">
      <c r="D232" s="62" t="s">
        <v>393</v>
      </c>
      <c r="E232" s="64"/>
      <c r="F232" s="19">
        <v>0</v>
      </c>
      <c r="G232" s="19">
        <v>0</v>
      </c>
      <c r="H232" s="19">
        <v>0</v>
      </c>
      <c r="I232" s="62" t="s">
        <v>162</v>
      </c>
      <c r="J232" s="42">
        <f t="shared" si="8"/>
        <v>0</v>
      </c>
    </row>
    <row r="233" spans="4:10" s="10" customFormat="1" outlineLevel="1" x14ac:dyDescent="0.2">
      <c r="D233" s="75" t="s">
        <v>394</v>
      </c>
      <c r="E233" s="88"/>
      <c r="F233" s="80">
        <v>0</v>
      </c>
      <c r="G233" s="80">
        <v>0</v>
      </c>
      <c r="H233" s="80">
        <v>0</v>
      </c>
      <c r="I233" s="75" t="s">
        <v>162</v>
      </c>
      <c r="J233" s="42">
        <f t="shared" si="8"/>
        <v>0</v>
      </c>
    </row>
    <row r="234" spans="4:10" s="10" customFormat="1" outlineLevel="1" x14ac:dyDescent="0.2">
      <c r="D234" s="75" t="s">
        <v>395</v>
      </c>
      <c r="E234" s="88"/>
      <c r="F234" s="80">
        <v>0</v>
      </c>
      <c r="G234" s="80">
        <v>0</v>
      </c>
      <c r="H234" s="80">
        <v>0</v>
      </c>
      <c r="I234" s="75" t="s">
        <v>162</v>
      </c>
      <c r="J234" s="42">
        <f t="shared" si="8"/>
        <v>0</v>
      </c>
    </row>
    <row r="235" spans="4:10" s="10" customFormat="1" outlineLevel="1" x14ac:dyDescent="0.2">
      <c r="D235" s="75" t="s">
        <v>396</v>
      </c>
      <c r="E235" s="88"/>
      <c r="F235" s="80">
        <v>0</v>
      </c>
      <c r="G235" s="80">
        <v>0</v>
      </c>
      <c r="H235" s="80">
        <v>0</v>
      </c>
      <c r="I235" s="75" t="s">
        <v>162</v>
      </c>
      <c r="J235" s="42">
        <f t="shared" si="8"/>
        <v>0</v>
      </c>
    </row>
    <row r="236" spans="4:10" s="10" customFormat="1" outlineLevel="1" x14ac:dyDescent="0.2">
      <c r="D236" s="75" t="s">
        <v>397</v>
      </c>
      <c r="E236" s="88"/>
      <c r="F236" s="80">
        <v>0</v>
      </c>
      <c r="G236" s="80">
        <v>0</v>
      </c>
      <c r="H236" s="80">
        <v>0</v>
      </c>
      <c r="I236" s="75" t="s">
        <v>162</v>
      </c>
      <c r="J236" s="42">
        <f t="shared" si="8"/>
        <v>0</v>
      </c>
    </row>
    <row r="237" spans="4:10" s="10" customFormat="1" outlineLevel="1" x14ac:dyDescent="0.2">
      <c r="D237" s="55" t="str">
        <f>Lang_Error_Check_Flags_If_Input_Econ_Cost_Is_Less_Than_Fin_Cost</f>
        <v>ERROR CHECK (FLAGS IF INPUT ECONOMIC COST IS LESS THAN FINANCIAL COST)</v>
      </c>
      <c r="J237" s="43">
        <f>IF(ISERROR(SUM(J222:J236)),1,MIN(SUM(J222:J236),1))</f>
        <v>0</v>
      </c>
    </row>
    <row r="238" spans="4:10" s="10" customFormat="1" outlineLevel="1" x14ac:dyDescent="0.2"/>
    <row r="239" spans="4:10" s="10" customFormat="1" outlineLevel="1" x14ac:dyDescent="0.2">
      <c r="D239" s="76" t="str">
        <f>Lang_GoTo&amp;" "&amp;HL_TOP_ACTV_16_Personnel_Outputs</f>
        <v>Go to IEC Soc Mob  Activity # 3 (Not in Use) Personnel - Outputs</v>
      </c>
    </row>
    <row r="240" spans="4:10" s="10" customFormat="1" x14ac:dyDescent="0.2"/>
    <row r="241" spans="1:10" s="13" customFormat="1" x14ac:dyDescent="0.2">
      <c r="A241" s="12" t="s">
        <v>127</v>
      </c>
      <c r="B241" s="13" t="str">
        <f>C243</f>
        <v>IEC Soc Mob  Activity # 3 (Not in Use) - Detailed Allowance Cost Assumptions</v>
      </c>
    </row>
    <row r="242" spans="1:10" s="10" customFormat="1" outlineLevel="1" x14ac:dyDescent="0.2"/>
    <row r="243" spans="1:10" s="10" customFormat="1" outlineLevel="1" x14ac:dyDescent="0.2">
      <c r="C243" s="71" t="str">
        <f>HL_TOP_ACTV_16_Name&amp;" - "&amp;Lang_Detailed_Allowance_Cost_Assumptions</f>
        <v>IEC Soc Mob  Activity # 3 (Not in Use) - Detailed Allowance Cost Assumptions</v>
      </c>
    </row>
    <row r="244" spans="1:10" s="10" customFormat="1" ht="48" outlineLevel="1" x14ac:dyDescent="0.2">
      <c r="D244" s="55" t="str">
        <f>Lang_Allowance_Type</f>
        <v>Allowance Type</v>
      </c>
      <c r="E244" s="85" t="str">
        <f>Lang_Allowance_Unit_Per_Day_Round_Trip_Travel</f>
        <v>Allowance Unit (e.g. Per Day, Round-trip Travel,etc.)</v>
      </c>
      <c r="F244" s="85" t="str">
        <f>Lang_Number_Of_Allowance_Units_Required</f>
        <v>Number of Allowance Units Required</v>
      </c>
      <c r="G244" s="86" t="str">
        <f ca="1">SOCMOB_Lu!$D$102&amp;" "&amp;Lang_Cost_Per_Activity_Unit&amp;" ("&amp;OFFSET(SOCMOB_Lu!$D$81,DD_TOP_ACTV_16_Detailed_Currency_Used,0)&amp;")"</f>
        <v>Financial Cost per Activity Unit (USD)</v>
      </c>
      <c r="H244" s="86" t="str">
        <f ca="1">SOCMOB_Lu!$D$103&amp;" "&amp;Lang_Cost_Per_Activity_Unit&amp;" ("&amp;OFFSET(SOCMOB_Lu!$D$81,DD_TOP_ACTV_16_Detailed_Currency_Used,0)&amp;")"</f>
        <v>Economic Cost per Activity Unit (USD)</v>
      </c>
      <c r="I244" s="87" t="str">
        <f>Lang_Evidence_For_Using_This_Cost_Information_Source_Or_Notes</f>
        <v>Evidence for Using this Cost Information (source or notes)</v>
      </c>
    </row>
    <row r="245" spans="1:10" s="10" customFormat="1" outlineLevel="1" x14ac:dyDescent="0.2">
      <c r="D245" s="75" t="s">
        <v>163</v>
      </c>
      <c r="E245" s="88"/>
      <c r="F245" s="80">
        <v>0</v>
      </c>
      <c r="G245" s="80">
        <v>0</v>
      </c>
      <c r="H245" s="80">
        <v>0</v>
      </c>
      <c r="I245" s="75" t="s">
        <v>162</v>
      </c>
      <c r="J245" s="42">
        <f t="shared" ref="J245:J254" si="9">IF(H245&lt;G245,1,0)</f>
        <v>0</v>
      </c>
    </row>
    <row r="246" spans="1:10" s="10" customFormat="1" outlineLevel="1" x14ac:dyDescent="0.2">
      <c r="D246" s="75" t="s">
        <v>164</v>
      </c>
      <c r="E246" s="88"/>
      <c r="F246" s="80">
        <v>0</v>
      </c>
      <c r="G246" s="80">
        <v>0</v>
      </c>
      <c r="H246" s="80">
        <v>0</v>
      </c>
      <c r="I246" s="75" t="s">
        <v>162</v>
      </c>
      <c r="J246" s="42">
        <f t="shared" si="9"/>
        <v>0</v>
      </c>
    </row>
    <row r="247" spans="1:10" s="10" customFormat="1" outlineLevel="1" x14ac:dyDescent="0.2">
      <c r="D247" s="75" t="s">
        <v>165</v>
      </c>
      <c r="E247" s="88"/>
      <c r="F247" s="80">
        <v>0</v>
      </c>
      <c r="G247" s="80">
        <v>0</v>
      </c>
      <c r="H247" s="80">
        <v>0</v>
      </c>
      <c r="I247" s="75" t="s">
        <v>162</v>
      </c>
      <c r="J247" s="42">
        <f t="shared" si="9"/>
        <v>0</v>
      </c>
    </row>
    <row r="248" spans="1:10" s="10" customFormat="1" outlineLevel="1" x14ac:dyDescent="0.2">
      <c r="D248" s="75" t="s">
        <v>166</v>
      </c>
      <c r="E248" s="88"/>
      <c r="F248" s="80">
        <v>0</v>
      </c>
      <c r="G248" s="80">
        <v>0</v>
      </c>
      <c r="H248" s="80">
        <v>0</v>
      </c>
      <c r="I248" s="75" t="s">
        <v>162</v>
      </c>
      <c r="J248" s="42">
        <f t="shared" si="9"/>
        <v>0</v>
      </c>
    </row>
    <row r="249" spans="1:10" s="10" customFormat="1" outlineLevel="1" x14ac:dyDescent="0.2">
      <c r="D249" s="75" t="s">
        <v>167</v>
      </c>
      <c r="E249" s="88"/>
      <c r="F249" s="80">
        <v>0</v>
      </c>
      <c r="G249" s="80">
        <v>0</v>
      </c>
      <c r="H249" s="80">
        <v>0</v>
      </c>
      <c r="I249" s="75" t="s">
        <v>162</v>
      </c>
      <c r="J249" s="42">
        <f t="shared" si="9"/>
        <v>0</v>
      </c>
    </row>
    <row r="250" spans="1:10" s="10" customFormat="1" outlineLevel="1" x14ac:dyDescent="0.2">
      <c r="D250" s="75" t="s">
        <v>168</v>
      </c>
      <c r="E250" s="88"/>
      <c r="F250" s="80">
        <v>0</v>
      </c>
      <c r="G250" s="80">
        <v>0</v>
      </c>
      <c r="H250" s="80">
        <v>0</v>
      </c>
      <c r="I250" s="75" t="s">
        <v>162</v>
      </c>
      <c r="J250" s="42">
        <f t="shared" si="9"/>
        <v>0</v>
      </c>
    </row>
    <row r="251" spans="1:10" s="10" customFormat="1" outlineLevel="1" x14ac:dyDescent="0.2">
      <c r="D251" s="75" t="s">
        <v>169</v>
      </c>
      <c r="E251" s="88"/>
      <c r="F251" s="80">
        <v>0</v>
      </c>
      <c r="G251" s="80">
        <v>0</v>
      </c>
      <c r="H251" s="80">
        <v>0</v>
      </c>
      <c r="I251" s="75" t="s">
        <v>162</v>
      </c>
      <c r="J251" s="42">
        <f t="shared" si="9"/>
        <v>0</v>
      </c>
    </row>
    <row r="252" spans="1:10" s="10" customFormat="1" outlineLevel="1" x14ac:dyDescent="0.2">
      <c r="D252" s="75" t="s">
        <v>170</v>
      </c>
      <c r="E252" s="88"/>
      <c r="F252" s="80">
        <v>0</v>
      </c>
      <c r="G252" s="80">
        <v>0</v>
      </c>
      <c r="H252" s="80">
        <v>0</v>
      </c>
      <c r="I252" s="75" t="s">
        <v>162</v>
      </c>
      <c r="J252" s="42">
        <f t="shared" si="9"/>
        <v>0</v>
      </c>
    </row>
    <row r="253" spans="1:10" s="10" customFormat="1" outlineLevel="1" x14ac:dyDescent="0.2">
      <c r="D253" s="75" t="s">
        <v>171</v>
      </c>
      <c r="E253" s="88"/>
      <c r="F253" s="80">
        <v>0</v>
      </c>
      <c r="G253" s="80">
        <v>0</v>
      </c>
      <c r="H253" s="80">
        <v>0</v>
      </c>
      <c r="I253" s="75" t="s">
        <v>162</v>
      </c>
      <c r="J253" s="42">
        <f t="shared" si="9"/>
        <v>0</v>
      </c>
    </row>
    <row r="254" spans="1:10" s="10" customFormat="1" outlineLevel="1" x14ac:dyDescent="0.2">
      <c r="D254" s="75" t="s">
        <v>172</v>
      </c>
      <c r="E254" s="88"/>
      <c r="F254" s="80">
        <v>0</v>
      </c>
      <c r="G254" s="80">
        <v>0</v>
      </c>
      <c r="H254" s="80">
        <v>0</v>
      </c>
      <c r="I254" s="75" t="s">
        <v>162</v>
      </c>
      <c r="J254" s="42">
        <f t="shared" si="9"/>
        <v>0</v>
      </c>
    </row>
    <row r="255" spans="1:10" s="10" customFormat="1" outlineLevel="1" x14ac:dyDescent="0.2">
      <c r="D255" s="55" t="str">
        <f>Lang_Error_Check_Flags_If_Input_Econ_Cost_Is_Less_Than_Fin_Cost</f>
        <v>ERROR CHECK (FLAGS IF INPUT ECONOMIC COST IS LESS THAN FINANCIAL COST)</v>
      </c>
      <c r="J255" s="43">
        <f>IF(ISERROR(SUM(J245:J254)),1,MIN(SUM(J245:J254),1))</f>
        <v>0</v>
      </c>
    </row>
    <row r="256" spans="1:10" s="10" customFormat="1" outlineLevel="1" x14ac:dyDescent="0.2"/>
    <row r="257" spans="1:10" s="10" customFormat="1" outlineLevel="1" x14ac:dyDescent="0.2">
      <c r="D257" s="76" t="str">
        <f>Lang_GoTo&amp;" "&amp;HL_TOP_ACTV_16_Out_A</f>
        <v>Go to IEC Soc Mob  Activity # 3 (Not in Use) Allowances - Outputs</v>
      </c>
    </row>
    <row r="258" spans="1:10" s="10" customFormat="1" x14ac:dyDescent="0.2"/>
    <row r="259" spans="1:10" s="13" customFormat="1" x14ac:dyDescent="0.2">
      <c r="A259" s="12" t="s">
        <v>127</v>
      </c>
      <c r="B259" s="13" t="str">
        <f>C261</f>
        <v>IEC Soc Mob  Activity # 3 (Not in Use) - Detailed Supply and Material Cost Assumptions</v>
      </c>
    </row>
    <row r="260" spans="1:10" s="10" customFormat="1" outlineLevel="1" x14ac:dyDescent="0.2"/>
    <row r="261" spans="1:10" s="10" customFormat="1" outlineLevel="1" x14ac:dyDescent="0.2">
      <c r="C261" s="71" t="str">
        <f>HL_TOP_ACTV_16_Name&amp;" - "&amp;Lang_Detailed_Supply_And_Material_Cost_Assumptions</f>
        <v>IEC Soc Mob  Activity # 3 (Not in Use) - Detailed Supply and Material Cost Assumptions</v>
      </c>
    </row>
    <row r="262" spans="1:10" s="10" customFormat="1" ht="48" outlineLevel="1" x14ac:dyDescent="0.2">
      <c r="D262" s="55" t="str">
        <f>Lang_Supply_Type</f>
        <v>Supply Type</v>
      </c>
      <c r="E262" s="85" t="str">
        <f>Lang_Supply_Unit_Each_Dozen_100_Pack</f>
        <v>Supply Unit (e.g. Each, Dozen, 100-pack,etc.)</v>
      </c>
      <c r="F262" s="85" t="str">
        <f>Lang_Number_Of_Supply_Units_Required</f>
        <v>Number of Supply Units Required</v>
      </c>
      <c r="G262" s="86" t="str">
        <f ca="1">SOCMOB_Lu!$D$102&amp;" "&amp;Lang_Cost_Per_Activity_Unit&amp;" ("&amp;OFFSET(SOCMOB_Lu!$D$81,DD_TOP_ACTV_16_Detailed_Currency_Used,0)&amp;")"</f>
        <v>Financial Cost per Activity Unit (USD)</v>
      </c>
      <c r="H262" s="86" t="str">
        <f ca="1">SOCMOB_Lu!$D$103&amp;" "&amp;Lang_Cost_Per_Activity_Unit&amp;" ("&amp;OFFSET(SOCMOB_Lu!$D$81,DD_TOP_ACTV_16_Detailed_Currency_Used,0)&amp;")"</f>
        <v>Economic Cost per Activity Unit (USD)</v>
      </c>
      <c r="I262" s="87" t="str">
        <f>Lang_Evidence_For_Using_This_Cost_Information_Source_Or_Notes</f>
        <v>Evidence for Using this Cost Information (source or notes)</v>
      </c>
    </row>
    <row r="263" spans="1:10" s="10" customFormat="1" outlineLevel="1" x14ac:dyDescent="0.2">
      <c r="D263" s="75" t="s">
        <v>173</v>
      </c>
      <c r="E263" s="88"/>
      <c r="F263" s="80">
        <v>0</v>
      </c>
      <c r="G263" s="80">
        <v>0</v>
      </c>
      <c r="H263" s="80">
        <v>0</v>
      </c>
      <c r="I263" s="75" t="s">
        <v>162</v>
      </c>
      <c r="J263" s="42">
        <f t="shared" ref="J263:J272" si="10">IF(H263&lt;G263,1,0)</f>
        <v>0</v>
      </c>
    </row>
    <row r="264" spans="1:10" s="10" customFormat="1" outlineLevel="1" x14ac:dyDescent="0.2">
      <c r="D264" s="75" t="s">
        <v>174</v>
      </c>
      <c r="E264" s="88"/>
      <c r="F264" s="80">
        <v>0</v>
      </c>
      <c r="G264" s="80">
        <v>0</v>
      </c>
      <c r="H264" s="80">
        <v>0</v>
      </c>
      <c r="I264" s="75" t="s">
        <v>162</v>
      </c>
      <c r="J264" s="42">
        <f t="shared" si="10"/>
        <v>0</v>
      </c>
    </row>
    <row r="265" spans="1:10" s="10" customFormat="1" outlineLevel="1" x14ac:dyDescent="0.2">
      <c r="D265" s="75" t="s">
        <v>175</v>
      </c>
      <c r="E265" s="88"/>
      <c r="F265" s="80">
        <v>0</v>
      </c>
      <c r="G265" s="80">
        <v>0</v>
      </c>
      <c r="H265" s="80">
        <v>0</v>
      </c>
      <c r="I265" s="75" t="s">
        <v>162</v>
      </c>
      <c r="J265" s="42">
        <f t="shared" si="10"/>
        <v>0</v>
      </c>
    </row>
    <row r="266" spans="1:10" s="10" customFormat="1" outlineLevel="1" x14ac:dyDescent="0.2">
      <c r="D266" s="75" t="s">
        <v>176</v>
      </c>
      <c r="E266" s="88"/>
      <c r="F266" s="80">
        <v>0</v>
      </c>
      <c r="G266" s="80">
        <v>0</v>
      </c>
      <c r="H266" s="80">
        <v>0</v>
      </c>
      <c r="I266" s="75" t="s">
        <v>162</v>
      </c>
      <c r="J266" s="42">
        <f t="shared" si="10"/>
        <v>0</v>
      </c>
    </row>
    <row r="267" spans="1:10" s="10" customFormat="1" outlineLevel="1" x14ac:dyDescent="0.2">
      <c r="D267" s="75" t="s">
        <v>177</v>
      </c>
      <c r="E267" s="88"/>
      <c r="F267" s="80">
        <v>0</v>
      </c>
      <c r="G267" s="80">
        <v>0</v>
      </c>
      <c r="H267" s="80">
        <v>0</v>
      </c>
      <c r="I267" s="75" t="s">
        <v>162</v>
      </c>
      <c r="J267" s="42">
        <f t="shared" si="10"/>
        <v>0</v>
      </c>
    </row>
    <row r="268" spans="1:10" s="10" customFormat="1" outlineLevel="1" x14ac:dyDescent="0.2">
      <c r="D268" s="75" t="s">
        <v>178</v>
      </c>
      <c r="E268" s="88"/>
      <c r="F268" s="80">
        <v>0</v>
      </c>
      <c r="G268" s="80">
        <v>0</v>
      </c>
      <c r="H268" s="80">
        <v>0</v>
      </c>
      <c r="I268" s="75" t="s">
        <v>162</v>
      </c>
      <c r="J268" s="42">
        <f t="shared" si="10"/>
        <v>0</v>
      </c>
    </row>
    <row r="269" spans="1:10" s="10" customFormat="1" outlineLevel="1" x14ac:dyDescent="0.2">
      <c r="D269" s="75" t="s">
        <v>179</v>
      </c>
      <c r="E269" s="88"/>
      <c r="F269" s="80">
        <v>0</v>
      </c>
      <c r="G269" s="80">
        <v>0</v>
      </c>
      <c r="H269" s="80">
        <v>0</v>
      </c>
      <c r="I269" s="75" t="s">
        <v>162</v>
      </c>
      <c r="J269" s="42">
        <f t="shared" si="10"/>
        <v>0</v>
      </c>
    </row>
    <row r="270" spans="1:10" s="10" customFormat="1" outlineLevel="1" x14ac:dyDescent="0.2">
      <c r="D270" s="75" t="s">
        <v>180</v>
      </c>
      <c r="E270" s="88"/>
      <c r="F270" s="80">
        <v>0</v>
      </c>
      <c r="G270" s="80">
        <v>0</v>
      </c>
      <c r="H270" s="80">
        <v>0</v>
      </c>
      <c r="I270" s="75" t="s">
        <v>162</v>
      </c>
      <c r="J270" s="42">
        <f t="shared" si="10"/>
        <v>0</v>
      </c>
    </row>
    <row r="271" spans="1:10" s="10" customFormat="1" outlineLevel="1" x14ac:dyDescent="0.2">
      <c r="D271" s="75" t="s">
        <v>181</v>
      </c>
      <c r="E271" s="88"/>
      <c r="F271" s="80">
        <v>0</v>
      </c>
      <c r="G271" s="80">
        <v>0</v>
      </c>
      <c r="H271" s="80">
        <v>0</v>
      </c>
      <c r="I271" s="75" t="s">
        <v>162</v>
      </c>
      <c r="J271" s="42">
        <f t="shared" si="10"/>
        <v>0</v>
      </c>
    </row>
    <row r="272" spans="1:10" s="10" customFormat="1" outlineLevel="1" x14ac:dyDescent="0.2">
      <c r="D272" s="75" t="s">
        <v>182</v>
      </c>
      <c r="E272" s="88"/>
      <c r="F272" s="80">
        <v>0</v>
      </c>
      <c r="G272" s="80">
        <v>0</v>
      </c>
      <c r="H272" s="80">
        <v>0</v>
      </c>
      <c r="I272" s="75" t="s">
        <v>162</v>
      </c>
      <c r="J272" s="42">
        <f t="shared" si="10"/>
        <v>0</v>
      </c>
    </row>
    <row r="273" spans="1:10" s="10" customFormat="1" outlineLevel="1" x14ac:dyDescent="0.2">
      <c r="D273" s="55" t="str">
        <f>Lang_Error_Check_Flags_If_Input_Econ_Cost_Is_Less_Than_Fin_Cost</f>
        <v>ERROR CHECK (FLAGS IF INPUT ECONOMIC COST IS LESS THAN FINANCIAL COST)</v>
      </c>
      <c r="J273" s="43">
        <f>IF(ISERROR(SUM(J263:J272)),1,MIN(SUM(J263:J272),1))</f>
        <v>0</v>
      </c>
    </row>
    <row r="274" spans="1:10" s="10" customFormat="1" outlineLevel="1" x14ac:dyDescent="0.2"/>
    <row r="275" spans="1:10" s="10" customFormat="1" outlineLevel="1" x14ac:dyDescent="0.2">
      <c r="D275" s="76" t="str">
        <f>Lang_GoTo&amp;" "&amp;HL_TOP_ACTV_16_Supplies_and_Materials_Outputs</f>
        <v>Go to IEC Soc Mob  Activity # 3 (Not in Use) Supplies and Materials - Outputs</v>
      </c>
    </row>
    <row r="277" spans="1:10" s="13" customFormat="1" x14ac:dyDescent="0.2">
      <c r="A277" s="6" t="s">
        <v>127</v>
      </c>
      <c r="B277" s="13" t="str">
        <f>C279</f>
        <v>IEC Soc Mob  Activity # 3 (Not in Use) - Detailed Other Direct Cost Assumptions</v>
      </c>
    </row>
    <row r="278" spans="1:10" outlineLevel="1" x14ac:dyDescent="0.2"/>
    <row r="279" spans="1:10" outlineLevel="1" x14ac:dyDescent="0.2">
      <c r="C279" s="18" t="str">
        <f>HL_TOP_ACTV_16_Name&amp;" - "&amp;Lang_Detailed_Other_Direct_Cost_Assumptions</f>
        <v>IEC Soc Mob  Activity # 3 (Not in Use) - Detailed Other Direct Cost Assumptions</v>
      </c>
    </row>
    <row r="280" spans="1:10" ht="48" outlineLevel="1" x14ac:dyDescent="0.2">
      <c r="D280" s="55" t="str">
        <f>Lang_Other_Direct_Cost_ODC_Type</f>
        <v>Other Direct Cost (ODC) Type</v>
      </c>
      <c r="E280" s="85" t="str">
        <f>Lang_ODC_Unit_Each_Dozen_100_Pack</f>
        <v>ODC Unit (e.g. Each, Dozen, 100-pack,etc.)</v>
      </c>
      <c r="F280" s="85" t="str">
        <f>Lang_Number_Of_ODC_Units_Required</f>
        <v>Number of ODC Units Required</v>
      </c>
      <c r="G280" s="63" t="str">
        <f ca="1">SOCMOB_Lu!$D$102&amp;" "&amp;Lang_Cost_Per_Activity_Unit&amp;" ("&amp;OFFSET(SOCMOB_Lu!$D$81,DD_TOP_ACTV_16_Detailed_Currency_Used,0)&amp;")"</f>
        <v>Financial Cost per Activity Unit (USD)</v>
      </c>
      <c r="H280" s="63" t="str">
        <f ca="1">SOCMOB_Lu!$D$103&amp;" "&amp;Lang_Cost_Per_Activity_Unit&amp;" ("&amp;OFFSET(SOCMOB_Lu!$D$81,DD_TOP_ACTV_16_Detailed_Currency_Used,0)&amp;")"</f>
        <v>Economic Cost per Activity Unit (USD)</v>
      </c>
      <c r="I280" s="87" t="str">
        <f>Lang_Evidence_For_Using_This_Cost_Information_Source_Or_Notes</f>
        <v>Evidence for Using this Cost Information (source or notes)</v>
      </c>
    </row>
    <row r="281" spans="1:10" outlineLevel="1" x14ac:dyDescent="0.2">
      <c r="D281" s="62" t="s">
        <v>183</v>
      </c>
      <c r="E281" s="64"/>
      <c r="F281" s="19">
        <v>0</v>
      </c>
      <c r="G281" s="19">
        <v>0</v>
      </c>
      <c r="H281" s="19">
        <v>0</v>
      </c>
      <c r="I281" s="62" t="s">
        <v>162</v>
      </c>
      <c r="J281" s="42">
        <f t="shared" ref="J281:J290" si="11">IF(H281&lt;G281,1,0)</f>
        <v>0</v>
      </c>
    </row>
    <row r="282" spans="1:10" outlineLevel="1" x14ac:dyDescent="0.2">
      <c r="D282" s="62" t="s">
        <v>184</v>
      </c>
      <c r="E282" s="64"/>
      <c r="F282" s="19">
        <v>0</v>
      </c>
      <c r="G282" s="19">
        <v>0</v>
      </c>
      <c r="H282" s="19">
        <v>0</v>
      </c>
      <c r="I282" s="62" t="s">
        <v>162</v>
      </c>
      <c r="J282" s="42">
        <f t="shared" si="11"/>
        <v>0</v>
      </c>
    </row>
    <row r="283" spans="1:10" outlineLevel="1" x14ac:dyDescent="0.2">
      <c r="D283" s="62" t="s">
        <v>185</v>
      </c>
      <c r="E283" s="64"/>
      <c r="F283" s="19">
        <v>0</v>
      </c>
      <c r="G283" s="19">
        <v>0</v>
      </c>
      <c r="H283" s="19">
        <v>0</v>
      </c>
      <c r="I283" s="62" t="s">
        <v>162</v>
      </c>
      <c r="J283" s="42">
        <f t="shared" si="11"/>
        <v>0</v>
      </c>
    </row>
    <row r="284" spans="1:10" outlineLevel="1" x14ac:dyDescent="0.2">
      <c r="D284" s="62" t="s">
        <v>186</v>
      </c>
      <c r="E284" s="64"/>
      <c r="F284" s="19">
        <v>0</v>
      </c>
      <c r="G284" s="19">
        <v>0</v>
      </c>
      <c r="H284" s="19">
        <v>0</v>
      </c>
      <c r="I284" s="62" t="s">
        <v>162</v>
      </c>
      <c r="J284" s="42">
        <f t="shared" si="11"/>
        <v>0</v>
      </c>
    </row>
    <row r="285" spans="1:10" outlineLevel="1" x14ac:dyDescent="0.2">
      <c r="D285" s="62" t="s">
        <v>187</v>
      </c>
      <c r="E285" s="64"/>
      <c r="F285" s="19">
        <v>0</v>
      </c>
      <c r="G285" s="19">
        <v>0</v>
      </c>
      <c r="H285" s="19">
        <v>0</v>
      </c>
      <c r="I285" s="62" t="s">
        <v>162</v>
      </c>
      <c r="J285" s="42">
        <f t="shared" si="11"/>
        <v>0</v>
      </c>
    </row>
    <row r="286" spans="1:10" outlineLevel="1" x14ac:dyDescent="0.2">
      <c r="D286" s="62" t="s">
        <v>188</v>
      </c>
      <c r="E286" s="64"/>
      <c r="F286" s="19">
        <v>0</v>
      </c>
      <c r="G286" s="19">
        <v>0</v>
      </c>
      <c r="H286" s="19">
        <v>0</v>
      </c>
      <c r="I286" s="62" t="s">
        <v>162</v>
      </c>
      <c r="J286" s="42">
        <f t="shared" si="11"/>
        <v>0</v>
      </c>
    </row>
    <row r="287" spans="1:10" outlineLevel="1" x14ac:dyDescent="0.2">
      <c r="D287" s="62" t="s">
        <v>189</v>
      </c>
      <c r="E287" s="64"/>
      <c r="F287" s="19">
        <v>0</v>
      </c>
      <c r="G287" s="19">
        <v>0</v>
      </c>
      <c r="H287" s="19">
        <v>0</v>
      </c>
      <c r="I287" s="62" t="s">
        <v>162</v>
      </c>
      <c r="J287" s="42">
        <f t="shared" si="11"/>
        <v>0</v>
      </c>
    </row>
    <row r="288" spans="1:10" outlineLevel="1" x14ac:dyDescent="0.2">
      <c r="D288" s="62" t="s">
        <v>190</v>
      </c>
      <c r="E288" s="64"/>
      <c r="F288" s="19">
        <v>0</v>
      </c>
      <c r="G288" s="19">
        <v>0</v>
      </c>
      <c r="H288" s="19">
        <v>0</v>
      </c>
      <c r="I288" s="62" t="s">
        <v>162</v>
      </c>
      <c r="J288" s="42">
        <f t="shared" si="11"/>
        <v>0</v>
      </c>
    </row>
    <row r="289" spans="1:10" outlineLevel="1" x14ac:dyDescent="0.2">
      <c r="D289" s="62" t="s">
        <v>191</v>
      </c>
      <c r="E289" s="64"/>
      <c r="F289" s="19">
        <v>0</v>
      </c>
      <c r="G289" s="19">
        <v>0</v>
      </c>
      <c r="H289" s="19">
        <v>0</v>
      </c>
      <c r="I289" s="62" t="s">
        <v>162</v>
      </c>
      <c r="J289" s="42">
        <f t="shared" si="11"/>
        <v>0</v>
      </c>
    </row>
    <row r="290" spans="1:10" outlineLevel="1" x14ac:dyDescent="0.2">
      <c r="D290" s="62" t="s">
        <v>192</v>
      </c>
      <c r="E290" s="64"/>
      <c r="F290" s="19">
        <v>0</v>
      </c>
      <c r="G290" s="19">
        <v>0</v>
      </c>
      <c r="H290" s="19">
        <v>0</v>
      </c>
      <c r="I290" s="62" t="s">
        <v>162</v>
      </c>
      <c r="J290" s="42">
        <f t="shared" si="11"/>
        <v>0</v>
      </c>
    </row>
    <row r="291" spans="1:10" outlineLevel="1" x14ac:dyDescent="0.2">
      <c r="D291" s="55" t="str">
        <f>Lang_Error_Check_Flags_If_Input_Econ_Cost_Is_Less_Than_Fin_Cost</f>
        <v>ERROR CHECK (FLAGS IF INPUT ECONOMIC COST IS LESS THAN FINANCIAL COST)</v>
      </c>
      <c r="J291" s="43">
        <f>IF(ISERROR(SUM(J281:J290)),1,MIN(SUM(J281:J290),1))</f>
        <v>0</v>
      </c>
    </row>
    <row r="292" spans="1:10" outlineLevel="1" x14ac:dyDescent="0.2"/>
    <row r="293" spans="1:10" outlineLevel="1" x14ac:dyDescent="0.2">
      <c r="D293" s="47" t="str">
        <f>Lang_GoTo&amp;" "&amp;HL_TOP_ACTV_16_Other_Direct_Costs_Outputs</f>
        <v>Go to IEC Soc Mob  Activity # 3 (Not in Use) Other Direct Costs - Outputs</v>
      </c>
    </row>
    <row r="294" spans="1:10" s="10" customFormat="1" x14ac:dyDescent="0.2"/>
    <row r="295" spans="1:10" s="13" customFormat="1" x14ac:dyDescent="0.2">
      <c r="A295" s="6" t="s">
        <v>125</v>
      </c>
      <c r="B295" s="13" t="str">
        <f>C297</f>
        <v>IEC Soc Mob  Activity # 4  (Not in Use) -  Detailed Activity Costing Worksheet - Instructions</v>
      </c>
    </row>
    <row r="296" spans="1:10" s="10" customFormat="1" outlineLevel="1" x14ac:dyDescent="0.2"/>
    <row r="297" spans="1:10" s="10" customFormat="1" outlineLevel="1" x14ac:dyDescent="0.2">
      <c r="C297" s="71" t="str">
        <f>HL_LVL2_ACTV_4_Name&amp;" -  "&amp;Lang_Detailed_Activity_Costing_Worksheet_Instructions</f>
        <v>IEC Soc Mob  Activity # 4  (Not in Use) -  Detailed Activity Costing Worksheet - Instructions</v>
      </c>
    </row>
    <row r="298" spans="1:10" s="10" customFormat="1" outlineLevel="1" x14ac:dyDescent="0.2"/>
    <row r="299" spans="1:10" s="10" customFormat="1" outlineLevel="1" x14ac:dyDescent="0.2">
      <c r="D299" s="50" t="str">
        <f>Lang_Detailed_Costing_Worksheets_Notes_1</f>
        <v>This detailed costing worksheet can be used to document the types and amounts of resources required to complete a single instance of an activity.</v>
      </c>
    </row>
    <row r="300" spans="1:10" s="10" customFormat="1" outlineLevel="1" x14ac:dyDescent="0.2">
      <c r="D300" s="50" t="str">
        <f>Lang_Detailed_Costing_Worksheets_Notes_2</f>
        <v>When completed, it will automatically provide a single activity cost in the general assumption worksheet.</v>
      </c>
    </row>
    <row r="301" spans="1:10" s="10" customFormat="1" outlineLevel="1" x14ac:dyDescent="0.2">
      <c r="D301" s="50" t="str">
        <f>Lang_Detailed_Costing_Worksheets_Notes_3</f>
        <v>The user may then choose to use the results of the detailed costing in the model, or override the detailed costing and insert alternate cost estimates.</v>
      </c>
    </row>
    <row r="302" spans="1:10" s="10" customFormat="1" outlineLevel="1" x14ac:dyDescent="0.2"/>
    <row r="303" spans="1:10" s="10" customFormat="1" x14ac:dyDescent="0.2"/>
    <row r="304" spans="1:10" s="13" customFormat="1" x14ac:dyDescent="0.2">
      <c r="A304" s="12" t="s">
        <v>125</v>
      </c>
      <c r="B304" s="13" t="str">
        <f>C306</f>
        <v>IEC Soc Mob  Activity # 4  (Not in Use) - Detailed Activity Costing Worksheet - Currency Selection</v>
      </c>
    </row>
    <row r="305" spans="1:9" s="10" customFormat="1" outlineLevel="1" x14ac:dyDescent="0.2"/>
    <row r="306" spans="1:9" s="10" customFormat="1" outlineLevel="1" x14ac:dyDescent="0.2">
      <c r="C306" s="71" t="str">
        <f>HL_LVL2_ACTV_4_Name&amp;" - "&amp;Lang_Detailed_Activity_Costing_Worksheet_Currency_Selection</f>
        <v>IEC Soc Mob  Activity # 4  (Not in Use) - Detailed Activity Costing Worksheet - Currency Selection</v>
      </c>
    </row>
    <row r="307" spans="1:9" s="10" customFormat="1" outlineLevel="1" x14ac:dyDescent="0.2"/>
    <row r="308" spans="1:9" s="10" customFormat="1" outlineLevel="1" x14ac:dyDescent="0.2">
      <c r="D308" s="55" t="str">
        <f>Lang_Currency_Used_For_Cost_Inputs</f>
        <v>Currency Used for Cost Inputs</v>
      </c>
      <c r="E308" s="72">
        <v>1</v>
      </c>
    </row>
    <row r="309" spans="1:9" s="10" customFormat="1" outlineLevel="1" x14ac:dyDescent="0.2"/>
    <row r="310" spans="1:9" s="10" customFormat="1" outlineLevel="1" x14ac:dyDescent="0.2"/>
    <row r="311" spans="1:9" s="10" customFormat="1" outlineLevel="1" x14ac:dyDescent="0.2">
      <c r="D311" s="54" t="str">
        <f>Lang_Imported_From_Econ_Module</f>
        <v>Imported from Econ Module</v>
      </c>
    </row>
    <row r="312" spans="1:9" s="10" customFormat="1" outlineLevel="1" x14ac:dyDescent="0.2">
      <c r="D312" s="49" t="str">
        <f>ECONOMICS!F7</f>
        <v>USD</v>
      </c>
    </row>
    <row r="313" spans="1:9" s="10" customFormat="1" outlineLevel="1" x14ac:dyDescent="0.2">
      <c r="D313" s="49" t="str">
        <f>ECONOMICS!F8</f>
        <v>LCU</v>
      </c>
    </row>
    <row r="314" spans="1:9" s="10" customFormat="1" outlineLevel="1" x14ac:dyDescent="0.2"/>
    <row r="315" spans="1:9" s="10" customFormat="1" outlineLevel="1" x14ac:dyDescent="0.2">
      <c r="D315" s="50" t="str">
        <f>Lang_Exchange_Rate_From_Econ</f>
        <v>Exchange Rate (from Economics)</v>
      </c>
      <c r="E315" s="41">
        <f>ECONOMICS!E13</f>
        <v>1234.5</v>
      </c>
    </row>
    <row r="316" spans="1:9" s="10" customFormat="1" x14ac:dyDescent="0.2"/>
    <row r="317" spans="1:9" s="13" customFormat="1" x14ac:dyDescent="0.2">
      <c r="A317" s="6" t="s">
        <v>127</v>
      </c>
      <c r="B317" s="13" t="str">
        <f>C319</f>
        <v>IEC Soc Mob  Activity # 4  (Not in Use) - Detailed Personnel Cost Assumptions</v>
      </c>
    </row>
    <row r="318" spans="1:9" outlineLevel="1" x14ac:dyDescent="0.2"/>
    <row r="319" spans="1:9" s="10" customFormat="1" outlineLevel="1" x14ac:dyDescent="0.2">
      <c r="C319" s="18" t="str">
        <f>HL_LVL2_ACTV_4_Name&amp;" - "&amp;Lang_Detailed_Personnel_Cost_Assumptions</f>
        <v>IEC Soc Mob  Activity # 4  (Not in Use) - Detailed Personnel Cost Assumptions</v>
      </c>
    </row>
    <row r="320" spans="1:9" s="10" customFormat="1" ht="48" outlineLevel="1" x14ac:dyDescent="0.2">
      <c r="D320" s="55" t="str">
        <f>Lang_Personnel_Cadre_Type</f>
        <v>Personnel Cadre Type</v>
      </c>
      <c r="E320" s="85" t="str">
        <f>Lang_Activity_Unit_Day_Hour_Minute</f>
        <v>Activity Unit (e.g. Day, Hour, Minute)</v>
      </c>
      <c r="F320" s="85" t="str">
        <f>Lang_Number_Of_Activity_Units_Required</f>
        <v>Number of Activity Units Required</v>
      </c>
      <c r="G320" s="63" t="str">
        <f ca="1">SOCMOB_Lu!$D$137&amp;" "&amp;Lang_Cost_Per_Activity_Unit&amp;" ("&amp;OFFSET(SOCMOB_Lu!$D$116,DD_LVL2_ACTV_4_Currency_Selected,0)&amp;")"</f>
        <v>Financial Cost per Activity Unit (USD)</v>
      </c>
      <c r="H320" s="63" t="str">
        <f ca="1">SOCMOB_Lu!$D$138&amp;" "&amp;Lang_Cost_Per_Activity_Unit&amp;" ("&amp;OFFSET(SOCMOB_Lu!$D$116,DD_LVL2_ACTV_4_Currency_Selected,0)&amp;")"</f>
        <v>Economic Cost per Activity Unit (USD)</v>
      </c>
      <c r="I320" s="87" t="str">
        <f>Lang_Evidence_For_Using_This_Cost_Information_Source_Or_Notes</f>
        <v>Evidence for Using this Cost Information (source or notes)</v>
      </c>
    </row>
    <row r="321" spans="4:10" s="10" customFormat="1" outlineLevel="1" x14ac:dyDescent="0.2">
      <c r="D321" s="62" t="s">
        <v>152</v>
      </c>
      <c r="E321" s="64"/>
      <c r="F321" s="19">
        <v>0</v>
      </c>
      <c r="G321" s="19">
        <v>0</v>
      </c>
      <c r="H321" s="19">
        <v>0</v>
      </c>
      <c r="I321" s="62" t="s">
        <v>162</v>
      </c>
      <c r="J321" s="42">
        <f t="shared" ref="J321:J335" si="12">IF(H321&lt;G321,1,0)</f>
        <v>0</v>
      </c>
    </row>
    <row r="322" spans="4:10" s="10" customFormat="1" outlineLevel="1" x14ac:dyDescent="0.2">
      <c r="D322" s="62" t="s">
        <v>153</v>
      </c>
      <c r="E322" s="64"/>
      <c r="F322" s="19">
        <v>0</v>
      </c>
      <c r="G322" s="19">
        <v>0</v>
      </c>
      <c r="H322" s="19">
        <v>0</v>
      </c>
      <c r="I322" s="62" t="s">
        <v>162</v>
      </c>
      <c r="J322" s="42">
        <f t="shared" si="12"/>
        <v>0</v>
      </c>
    </row>
    <row r="323" spans="4:10" s="10" customFormat="1" outlineLevel="1" x14ac:dyDescent="0.2">
      <c r="D323" s="62" t="s">
        <v>154</v>
      </c>
      <c r="E323" s="64"/>
      <c r="F323" s="19">
        <v>0</v>
      </c>
      <c r="G323" s="19">
        <v>0</v>
      </c>
      <c r="H323" s="19">
        <v>0</v>
      </c>
      <c r="I323" s="62" t="s">
        <v>162</v>
      </c>
      <c r="J323" s="42">
        <f t="shared" si="12"/>
        <v>0</v>
      </c>
    </row>
    <row r="324" spans="4:10" s="10" customFormat="1" outlineLevel="1" x14ac:dyDescent="0.2">
      <c r="D324" s="62" t="s">
        <v>155</v>
      </c>
      <c r="E324" s="64"/>
      <c r="F324" s="19">
        <v>0</v>
      </c>
      <c r="G324" s="19">
        <v>0</v>
      </c>
      <c r="H324" s="19">
        <v>0</v>
      </c>
      <c r="I324" s="62" t="s">
        <v>162</v>
      </c>
      <c r="J324" s="42">
        <f t="shared" si="12"/>
        <v>0</v>
      </c>
    </row>
    <row r="325" spans="4:10" s="10" customFormat="1" outlineLevel="1" x14ac:dyDescent="0.2">
      <c r="D325" s="62" t="s">
        <v>156</v>
      </c>
      <c r="E325" s="64"/>
      <c r="F325" s="19">
        <v>0</v>
      </c>
      <c r="G325" s="19">
        <v>0</v>
      </c>
      <c r="H325" s="19">
        <v>0</v>
      </c>
      <c r="I325" s="62" t="s">
        <v>162</v>
      </c>
      <c r="J325" s="42">
        <f t="shared" si="12"/>
        <v>0</v>
      </c>
    </row>
    <row r="326" spans="4:10" s="10" customFormat="1" outlineLevel="1" x14ac:dyDescent="0.2">
      <c r="D326" s="62" t="s">
        <v>157</v>
      </c>
      <c r="E326" s="64"/>
      <c r="F326" s="19">
        <v>0</v>
      </c>
      <c r="G326" s="19">
        <v>0</v>
      </c>
      <c r="H326" s="19">
        <v>0</v>
      </c>
      <c r="I326" s="62" t="s">
        <v>162</v>
      </c>
      <c r="J326" s="42">
        <f t="shared" si="12"/>
        <v>0</v>
      </c>
    </row>
    <row r="327" spans="4:10" outlineLevel="1" x14ac:dyDescent="0.2">
      <c r="D327" s="62" t="s">
        <v>158</v>
      </c>
      <c r="E327" s="64"/>
      <c r="F327" s="19">
        <v>0</v>
      </c>
      <c r="G327" s="19">
        <v>0</v>
      </c>
      <c r="H327" s="19">
        <v>0</v>
      </c>
      <c r="I327" s="62" t="s">
        <v>162</v>
      </c>
      <c r="J327" s="42">
        <f t="shared" si="12"/>
        <v>0</v>
      </c>
    </row>
    <row r="328" spans="4:10" outlineLevel="1" x14ac:dyDescent="0.2">
      <c r="D328" s="62" t="s">
        <v>159</v>
      </c>
      <c r="E328" s="64"/>
      <c r="F328" s="19">
        <v>0</v>
      </c>
      <c r="G328" s="19">
        <v>0</v>
      </c>
      <c r="H328" s="19">
        <v>0</v>
      </c>
      <c r="I328" s="62" t="s">
        <v>162</v>
      </c>
      <c r="J328" s="42">
        <f t="shared" si="12"/>
        <v>0</v>
      </c>
    </row>
    <row r="329" spans="4:10" outlineLevel="1" x14ac:dyDescent="0.2">
      <c r="D329" s="62" t="s">
        <v>160</v>
      </c>
      <c r="E329" s="64"/>
      <c r="F329" s="19">
        <v>0</v>
      </c>
      <c r="G329" s="19">
        <v>0</v>
      </c>
      <c r="H329" s="19">
        <v>0</v>
      </c>
      <c r="I329" s="62" t="s">
        <v>162</v>
      </c>
      <c r="J329" s="42">
        <f t="shared" si="12"/>
        <v>0</v>
      </c>
    </row>
    <row r="330" spans="4:10" outlineLevel="1" x14ac:dyDescent="0.2">
      <c r="D330" s="62" t="s">
        <v>161</v>
      </c>
      <c r="E330" s="64"/>
      <c r="F330" s="19">
        <v>0</v>
      </c>
      <c r="G330" s="19">
        <v>0</v>
      </c>
      <c r="H330" s="19">
        <v>0</v>
      </c>
      <c r="I330" s="62" t="s">
        <v>162</v>
      </c>
      <c r="J330" s="42">
        <f t="shared" si="12"/>
        <v>0</v>
      </c>
    </row>
    <row r="331" spans="4:10" outlineLevel="1" x14ac:dyDescent="0.2">
      <c r="D331" s="62" t="s">
        <v>393</v>
      </c>
      <c r="E331" s="64"/>
      <c r="F331" s="19">
        <v>0</v>
      </c>
      <c r="G331" s="19">
        <v>0</v>
      </c>
      <c r="H331" s="19">
        <v>0</v>
      </c>
      <c r="I331" s="62" t="s">
        <v>162</v>
      </c>
      <c r="J331" s="42">
        <f t="shared" si="12"/>
        <v>0</v>
      </c>
    </row>
    <row r="332" spans="4:10" s="10" customFormat="1" outlineLevel="1" x14ac:dyDescent="0.2">
      <c r="D332" s="62" t="s">
        <v>394</v>
      </c>
      <c r="E332" s="64"/>
      <c r="F332" s="19">
        <v>0</v>
      </c>
      <c r="G332" s="19">
        <v>0</v>
      </c>
      <c r="H332" s="19">
        <v>0</v>
      </c>
      <c r="I332" s="62" t="s">
        <v>162</v>
      </c>
      <c r="J332" s="42">
        <f t="shared" si="12"/>
        <v>0</v>
      </c>
    </row>
    <row r="333" spans="4:10" s="10" customFormat="1" outlineLevel="1" x14ac:dyDescent="0.2">
      <c r="D333" s="62" t="s">
        <v>395</v>
      </c>
      <c r="E333" s="64"/>
      <c r="F333" s="19">
        <v>0</v>
      </c>
      <c r="G333" s="19">
        <v>0</v>
      </c>
      <c r="H333" s="19">
        <v>0</v>
      </c>
      <c r="I333" s="62" t="s">
        <v>162</v>
      </c>
      <c r="J333" s="42">
        <f t="shared" si="12"/>
        <v>0</v>
      </c>
    </row>
    <row r="334" spans="4:10" s="10" customFormat="1" outlineLevel="1" x14ac:dyDescent="0.2">
      <c r="D334" s="62" t="s">
        <v>396</v>
      </c>
      <c r="E334" s="64"/>
      <c r="F334" s="19">
        <v>0</v>
      </c>
      <c r="G334" s="19">
        <v>0</v>
      </c>
      <c r="H334" s="19">
        <v>0</v>
      </c>
      <c r="I334" s="62" t="s">
        <v>162</v>
      </c>
      <c r="J334" s="42">
        <f t="shared" si="12"/>
        <v>0</v>
      </c>
    </row>
    <row r="335" spans="4:10" s="10" customFormat="1" outlineLevel="1" x14ac:dyDescent="0.2">
      <c r="D335" s="62" t="s">
        <v>397</v>
      </c>
      <c r="E335" s="64"/>
      <c r="F335" s="19">
        <v>0</v>
      </c>
      <c r="G335" s="19">
        <v>0</v>
      </c>
      <c r="H335" s="19">
        <v>0</v>
      </c>
      <c r="I335" s="62" t="s">
        <v>162</v>
      </c>
      <c r="J335" s="42">
        <f t="shared" si="12"/>
        <v>0</v>
      </c>
    </row>
    <row r="336" spans="4:10" s="10" customFormat="1" outlineLevel="1" x14ac:dyDescent="0.2">
      <c r="D336" s="55" t="str">
        <f>Lang_Error_Check_Flags_If_Input_Econ_Cost_Is_Less_Than_Fin_Cost</f>
        <v>ERROR CHECK (FLAGS IF INPUT ECONOMIC COST IS LESS THAN FINANCIAL COST)</v>
      </c>
      <c r="J336" s="43">
        <f>IF(ISERROR(SUM(J321:J335)),1,MIN(SUM(J321:J335),1))</f>
        <v>0</v>
      </c>
    </row>
    <row r="337" spans="1:10" s="10" customFormat="1" outlineLevel="1" x14ac:dyDescent="0.2"/>
    <row r="338" spans="1:10" s="10" customFormat="1" outlineLevel="1" x14ac:dyDescent="0.2">
      <c r="D338" s="47" t="str">
        <f>Lang_GoTo&amp;" "&amp;HL_LVL2_ACTV_4_Personnel_Outputs</f>
        <v>Go to IEC Soc Mob  Activity # 4  (Not in Use) Personnel - Outputs</v>
      </c>
    </row>
    <row r="339" spans="1:10" s="10" customFormat="1" x14ac:dyDescent="0.2"/>
    <row r="340" spans="1:10" s="13" customFormat="1" x14ac:dyDescent="0.2">
      <c r="A340" s="6" t="s">
        <v>127</v>
      </c>
      <c r="B340" s="13" t="str">
        <f>C342</f>
        <v>IEC Soc Mob  Activity # 4  (Not in Use) - Detailed Allowance Cost Assumptions</v>
      </c>
    </row>
    <row r="341" spans="1:10" outlineLevel="1" x14ac:dyDescent="0.2"/>
    <row r="342" spans="1:10" s="10" customFormat="1" outlineLevel="1" x14ac:dyDescent="0.2">
      <c r="C342" s="18" t="str">
        <f>HL_LVL2_ACTV_4_Name&amp;" - "&amp;Lang_Detailed_Allowance_Cost_Assumptions</f>
        <v>IEC Soc Mob  Activity # 4  (Not in Use) - Detailed Allowance Cost Assumptions</v>
      </c>
    </row>
    <row r="343" spans="1:10" s="10" customFormat="1" ht="48" outlineLevel="1" x14ac:dyDescent="0.2">
      <c r="D343" s="55" t="str">
        <f>Lang_Allowance_Type</f>
        <v>Allowance Type</v>
      </c>
      <c r="E343" s="85" t="str">
        <f>Lang_Allowance_Unit_Per_Day_Round_Trip_Travel</f>
        <v>Allowance Unit (e.g. Per Day, Round-trip Travel,etc.)</v>
      </c>
      <c r="F343" s="85" t="str">
        <f>Lang_Number_Of_Allowance_Units_Required</f>
        <v>Number of Allowance Units Required</v>
      </c>
      <c r="G343" s="63" t="str">
        <f ca="1">SOCMOB_Lu!$D$137&amp;" "&amp;Lang_Cost_Per_Activity_Unit&amp;" ("&amp;OFFSET(SOCMOB_Lu!$D$116,DD_LVL2_ACTV_4_Currency_Selected,0)&amp;")"</f>
        <v>Financial Cost per Activity Unit (USD)</v>
      </c>
      <c r="H343" s="63" t="str">
        <f ca="1">SOCMOB_Lu!$D$138&amp;" "&amp;Lang_Cost_Per_Activity_Unit&amp;" ("&amp;OFFSET(SOCMOB_Lu!$D$116,DD_LVL2_ACTV_4_Currency_Selected,0)&amp;")"</f>
        <v>Economic Cost per Activity Unit (USD)</v>
      </c>
      <c r="I343" s="87" t="str">
        <f>Lang_Evidence_For_Using_This_Cost_Information_Source_Or_Notes</f>
        <v>Evidence for Using this Cost Information (source or notes)</v>
      </c>
    </row>
    <row r="344" spans="1:10" s="10" customFormat="1" outlineLevel="1" x14ac:dyDescent="0.2">
      <c r="D344" s="62" t="s">
        <v>163</v>
      </c>
      <c r="E344" s="64"/>
      <c r="F344" s="19">
        <v>0</v>
      </c>
      <c r="G344" s="19">
        <v>0</v>
      </c>
      <c r="H344" s="19">
        <v>0</v>
      </c>
      <c r="I344" s="62" t="s">
        <v>162</v>
      </c>
      <c r="J344" s="42">
        <f t="shared" ref="J344:J353" si="13">IF(H344&lt;G344,1,0)</f>
        <v>0</v>
      </c>
    </row>
    <row r="345" spans="1:10" s="10" customFormat="1" outlineLevel="1" x14ac:dyDescent="0.2">
      <c r="D345" s="62" t="s">
        <v>164</v>
      </c>
      <c r="E345" s="64"/>
      <c r="F345" s="19">
        <v>0</v>
      </c>
      <c r="G345" s="19">
        <v>0</v>
      </c>
      <c r="H345" s="19">
        <v>0</v>
      </c>
      <c r="I345" s="62" t="s">
        <v>162</v>
      </c>
      <c r="J345" s="42">
        <f t="shared" si="13"/>
        <v>0</v>
      </c>
    </row>
    <row r="346" spans="1:10" s="10" customFormat="1" outlineLevel="1" x14ac:dyDescent="0.2">
      <c r="D346" s="62" t="s">
        <v>165</v>
      </c>
      <c r="E346" s="64"/>
      <c r="F346" s="19">
        <v>0</v>
      </c>
      <c r="G346" s="19">
        <v>0</v>
      </c>
      <c r="H346" s="19">
        <v>0</v>
      </c>
      <c r="I346" s="62" t="s">
        <v>162</v>
      </c>
      <c r="J346" s="42">
        <f t="shared" si="13"/>
        <v>0</v>
      </c>
    </row>
    <row r="347" spans="1:10" s="10" customFormat="1" outlineLevel="1" x14ac:dyDescent="0.2">
      <c r="D347" s="62" t="s">
        <v>166</v>
      </c>
      <c r="E347" s="64"/>
      <c r="F347" s="19">
        <v>0</v>
      </c>
      <c r="G347" s="19">
        <v>0</v>
      </c>
      <c r="H347" s="19">
        <v>0</v>
      </c>
      <c r="I347" s="62" t="s">
        <v>162</v>
      </c>
      <c r="J347" s="42">
        <f t="shared" si="13"/>
        <v>0</v>
      </c>
    </row>
    <row r="348" spans="1:10" s="10" customFormat="1" outlineLevel="1" x14ac:dyDescent="0.2">
      <c r="D348" s="62" t="s">
        <v>167</v>
      </c>
      <c r="E348" s="64"/>
      <c r="F348" s="19">
        <v>0</v>
      </c>
      <c r="G348" s="19">
        <v>0</v>
      </c>
      <c r="H348" s="19">
        <v>0</v>
      </c>
      <c r="I348" s="62" t="s">
        <v>162</v>
      </c>
      <c r="J348" s="42">
        <f t="shared" si="13"/>
        <v>0</v>
      </c>
    </row>
    <row r="349" spans="1:10" s="10" customFormat="1" outlineLevel="1" x14ac:dyDescent="0.2">
      <c r="D349" s="62" t="s">
        <v>168</v>
      </c>
      <c r="E349" s="64"/>
      <c r="F349" s="19">
        <v>0</v>
      </c>
      <c r="G349" s="19">
        <v>0</v>
      </c>
      <c r="H349" s="19">
        <v>0</v>
      </c>
      <c r="I349" s="62" t="s">
        <v>162</v>
      </c>
      <c r="J349" s="42">
        <f t="shared" si="13"/>
        <v>0</v>
      </c>
    </row>
    <row r="350" spans="1:10" s="10" customFormat="1" outlineLevel="1" x14ac:dyDescent="0.2">
      <c r="D350" s="62" t="s">
        <v>169</v>
      </c>
      <c r="E350" s="64"/>
      <c r="F350" s="19">
        <v>0</v>
      </c>
      <c r="G350" s="19">
        <v>0</v>
      </c>
      <c r="H350" s="19">
        <v>0</v>
      </c>
      <c r="I350" s="62" t="s">
        <v>162</v>
      </c>
      <c r="J350" s="42">
        <f t="shared" si="13"/>
        <v>0</v>
      </c>
    </row>
    <row r="351" spans="1:10" s="10" customFormat="1" outlineLevel="1" x14ac:dyDescent="0.2">
      <c r="D351" s="62" t="s">
        <v>170</v>
      </c>
      <c r="E351" s="64"/>
      <c r="F351" s="19">
        <v>0</v>
      </c>
      <c r="G351" s="19">
        <v>0</v>
      </c>
      <c r="H351" s="19">
        <v>0</v>
      </c>
      <c r="I351" s="62" t="s">
        <v>162</v>
      </c>
      <c r="J351" s="42">
        <f t="shared" si="13"/>
        <v>0</v>
      </c>
    </row>
    <row r="352" spans="1:10" s="10" customFormat="1" outlineLevel="1" x14ac:dyDescent="0.2">
      <c r="D352" s="62" t="s">
        <v>171</v>
      </c>
      <c r="E352" s="64"/>
      <c r="F352" s="19">
        <v>0</v>
      </c>
      <c r="G352" s="19">
        <v>0</v>
      </c>
      <c r="H352" s="19">
        <v>0</v>
      </c>
      <c r="I352" s="62" t="s">
        <v>162</v>
      </c>
      <c r="J352" s="42">
        <f t="shared" si="13"/>
        <v>0</v>
      </c>
    </row>
    <row r="353" spans="1:10" s="10" customFormat="1" outlineLevel="1" x14ac:dyDescent="0.2">
      <c r="D353" s="62" t="s">
        <v>172</v>
      </c>
      <c r="E353" s="64"/>
      <c r="F353" s="19">
        <v>0</v>
      </c>
      <c r="G353" s="19">
        <v>0</v>
      </c>
      <c r="H353" s="19">
        <v>0</v>
      </c>
      <c r="I353" s="62" t="s">
        <v>162</v>
      </c>
      <c r="J353" s="42">
        <f t="shared" si="13"/>
        <v>0</v>
      </c>
    </row>
    <row r="354" spans="1:10" s="10" customFormat="1" outlineLevel="1" x14ac:dyDescent="0.2">
      <c r="D354" s="55" t="str">
        <f>Lang_Error_Check_Flags_If_Input_Econ_Cost_Is_Less_Than_Fin_Cost</f>
        <v>ERROR CHECK (FLAGS IF INPUT ECONOMIC COST IS LESS THAN FINANCIAL COST)</v>
      </c>
      <c r="J354" s="43">
        <f>IF(ISERROR(SUM(J344:J353)),1,MIN(SUM(J344:J353),1))</f>
        <v>0</v>
      </c>
    </row>
    <row r="355" spans="1:10" s="10" customFormat="1" outlineLevel="1" x14ac:dyDescent="0.2"/>
    <row r="356" spans="1:10" s="10" customFormat="1" outlineLevel="1" x14ac:dyDescent="0.2">
      <c r="D356" s="47" t="str">
        <f>Lang_GoTo&amp;" "&amp;HL_LVL2_ACTV_4_Out_A</f>
        <v>Go to IEC Soc Mob  Activity # 4  (Not in Use) Allowances - Outputs</v>
      </c>
    </row>
    <row r="357" spans="1:10" s="10" customFormat="1" x14ac:dyDescent="0.2"/>
    <row r="358" spans="1:10" s="13" customFormat="1" x14ac:dyDescent="0.2">
      <c r="A358" s="6" t="s">
        <v>127</v>
      </c>
      <c r="B358" s="13" t="str">
        <f>C360</f>
        <v>IEC Soc Mob  Activity # 4  (Not in Use) - Detailed Supply and Material Cost Assumptions</v>
      </c>
    </row>
    <row r="359" spans="1:10" outlineLevel="1" x14ac:dyDescent="0.2"/>
    <row r="360" spans="1:10" s="10" customFormat="1" outlineLevel="1" x14ac:dyDescent="0.2">
      <c r="C360" s="18" t="str">
        <f>HL_LVL2_ACTV_4_Name&amp;" - "&amp;Lang_Detailed_Supply_And_Material_Cost_Assumptions</f>
        <v>IEC Soc Mob  Activity # 4  (Not in Use) - Detailed Supply and Material Cost Assumptions</v>
      </c>
    </row>
    <row r="361" spans="1:10" s="10" customFormat="1" ht="48" outlineLevel="1" x14ac:dyDescent="0.2">
      <c r="D361" s="55" t="str">
        <f>Lang_Supply_Type</f>
        <v>Supply Type</v>
      </c>
      <c r="E361" s="85" t="str">
        <f>Lang_Supply_Unit_Each_Dozen_100_Pack</f>
        <v>Supply Unit (e.g. Each, Dozen, 100-pack,etc.)</v>
      </c>
      <c r="F361" s="85" t="str">
        <f>Lang_Number_Of_Supply_Units_Required</f>
        <v>Number of Supply Units Required</v>
      </c>
      <c r="G361" s="63" t="str">
        <f ca="1">SOCMOB_Lu!$D$137&amp;" "&amp;Lang_Cost_Per_Activity_Unit&amp;" ("&amp;OFFSET(SOCMOB_Lu!$D$116,DD_LVL2_ACTV_4_Currency_Selected,0)&amp;")"</f>
        <v>Financial Cost per Activity Unit (USD)</v>
      </c>
      <c r="H361" s="63" t="str">
        <f ca="1">SOCMOB_Lu!$D$138&amp;" "&amp;Lang_Cost_Per_Activity_Unit&amp;" ("&amp;OFFSET(SOCMOB_Lu!$D$116,DD_LVL2_ACTV_4_Currency_Selected,0)&amp;")"</f>
        <v>Economic Cost per Activity Unit (USD)</v>
      </c>
      <c r="I361" s="87" t="str">
        <f>Lang_Evidence_For_Using_This_Cost_Information_Source_Or_Notes</f>
        <v>Evidence for Using this Cost Information (source or notes)</v>
      </c>
    </row>
    <row r="362" spans="1:10" s="10" customFormat="1" outlineLevel="1" x14ac:dyDescent="0.2">
      <c r="D362" s="62" t="s">
        <v>173</v>
      </c>
      <c r="E362" s="64"/>
      <c r="F362" s="19">
        <v>0</v>
      </c>
      <c r="G362" s="19">
        <v>0</v>
      </c>
      <c r="H362" s="19">
        <v>0</v>
      </c>
      <c r="I362" s="62" t="s">
        <v>162</v>
      </c>
      <c r="J362" s="42">
        <f t="shared" ref="J362:J371" si="14">IF(H362&lt;G362,1,0)</f>
        <v>0</v>
      </c>
    </row>
    <row r="363" spans="1:10" s="10" customFormat="1" outlineLevel="1" x14ac:dyDescent="0.2">
      <c r="D363" s="62" t="s">
        <v>174</v>
      </c>
      <c r="E363" s="64"/>
      <c r="F363" s="19">
        <v>0</v>
      </c>
      <c r="G363" s="19">
        <v>0</v>
      </c>
      <c r="H363" s="19">
        <v>0</v>
      </c>
      <c r="I363" s="62" t="s">
        <v>162</v>
      </c>
      <c r="J363" s="42">
        <f t="shared" si="14"/>
        <v>0</v>
      </c>
    </row>
    <row r="364" spans="1:10" s="10" customFormat="1" outlineLevel="1" x14ac:dyDescent="0.2">
      <c r="D364" s="62" t="s">
        <v>175</v>
      </c>
      <c r="E364" s="64"/>
      <c r="F364" s="19">
        <v>0</v>
      </c>
      <c r="G364" s="19">
        <v>0</v>
      </c>
      <c r="H364" s="19">
        <v>0</v>
      </c>
      <c r="I364" s="62" t="s">
        <v>162</v>
      </c>
      <c r="J364" s="42">
        <f t="shared" si="14"/>
        <v>0</v>
      </c>
    </row>
    <row r="365" spans="1:10" s="10" customFormat="1" outlineLevel="1" x14ac:dyDescent="0.2">
      <c r="D365" s="62" t="s">
        <v>176</v>
      </c>
      <c r="E365" s="64"/>
      <c r="F365" s="19">
        <v>0</v>
      </c>
      <c r="G365" s="19">
        <v>0</v>
      </c>
      <c r="H365" s="19">
        <v>0</v>
      </c>
      <c r="I365" s="62" t="s">
        <v>162</v>
      </c>
      <c r="J365" s="42">
        <f t="shared" si="14"/>
        <v>0</v>
      </c>
    </row>
    <row r="366" spans="1:10" s="10" customFormat="1" outlineLevel="1" x14ac:dyDescent="0.2">
      <c r="D366" s="62" t="s">
        <v>177</v>
      </c>
      <c r="E366" s="64"/>
      <c r="F366" s="19">
        <v>0</v>
      </c>
      <c r="G366" s="19">
        <v>0</v>
      </c>
      <c r="H366" s="19">
        <v>0</v>
      </c>
      <c r="I366" s="62" t="s">
        <v>162</v>
      </c>
      <c r="J366" s="42">
        <f t="shared" si="14"/>
        <v>0</v>
      </c>
    </row>
    <row r="367" spans="1:10" s="10" customFormat="1" outlineLevel="1" x14ac:dyDescent="0.2">
      <c r="D367" s="62" t="s">
        <v>178</v>
      </c>
      <c r="E367" s="64"/>
      <c r="F367" s="19">
        <v>0</v>
      </c>
      <c r="G367" s="19">
        <v>0</v>
      </c>
      <c r="H367" s="19">
        <v>0</v>
      </c>
      <c r="I367" s="62" t="s">
        <v>162</v>
      </c>
      <c r="J367" s="42">
        <f t="shared" si="14"/>
        <v>0</v>
      </c>
    </row>
    <row r="368" spans="1:10" s="10" customFormat="1" outlineLevel="1" x14ac:dyDescent="0.2">
      <c r="D368" s="62" t="s">
        <v>179</v>
      </c>
      <c r="E368" s="64"/>
      <c r="F368" s="19">
        <v>0</v>
      </c>
      <c r="G368" s="19">
        <v>0</v>
      </c>
      <c r="H368" s="19">
        <v>0</v>
      </c>
      <c r="I368" s="62" t="s">
        <v>162</v>
      </c>
      <c r="J368" s="42">
        <f t="shared" si="14"/>
        <v>0</v>
      </c>
    </row>
    <row r="369" spans="1:10" s="10" customFormat="1" outlineLevel="1" x14ac:dyDescent="0.2">
      <c r="D369" s="62" t="s">
        <v>180</v>
      </c>
      <c r="E369" s="64"/>
      <c r="F369" s="19">
        <v>0</v>
      </c>
      <c r="G369" s="19">
        <v>0</v>
      </c>
      <c r="H369" s="19">
        <v>0</v>
      </c>
      <c r="I369" s="62" t="s">
        <v>162</v>
      </c>
      <c r="J369" s="42">
        <f t="shared" si="14"/>
        <v>0</v>
      </c>
    </row>
    <row r="370" spans="1:10" s="10" customFormat="1" outlineLevel="1" x14ac:dyDescent="0.2">
      <c r="D370" s="62" t="s">
        <v>181</v>
      </c>
      <c r="E370" s="64"/>
      <c r="F370" s="19">
        <v>0</v>
      </c>
      <c r="G370" s="19">
        <v>0</v>
      </c>
      <c r="H370" s="19">
        <v>0</v>
      </c>
      <c r="I370" s="62" t="s">
        <v>162</v>
      </c>
      <c r="J370" s="42">
        <f t="shared" si="14"/>
        <v>0</v>
      </c>
    </row>
    <row r="371" spans="1:10" s="10" customFormat="1" outlineLevel="1" x14ac:dyDescent="0.2">
      <c r="D371" s="62" t="s">
        <v>182</v>
      </c>
      <c r="E371" s="64"/>
      <c r="F371" s="19">
        <v>0</v>
      </c>
      <c r="G371" s="19">
        <v>0</v>
      </c>
      <c r="H371" s="19">
        <v>0</v>
      </c>
      <c r="I371" s="62" t="s">
        <v>162</v>
      </c>
      <c r="J371" s="42">
        <f t="shared" si="14"/>
        <v>0</v>
      </c>
    </row>
    <row r="372" spans="1:10" s="10" customFormat="1" outlineLevel="1" x14ac:dyDescent="0.2">
      <c r="D372" s="55" t="str">
        <f>Lang_Error_Check_Flags_If_Input_Econ_Cost_Is_Less_Than_Fin_Cost</f>
        <v>ERROR CHECK (FLAGS IF INPUT ECONOMIC COST IS LESS THAN FINANCIAL COST)</v>
      </c>
      <c r="J372" s="43">
        <f>IF(ISERROR(SUM(J362:J371)),1,MIN(SUM(J362:J371),1))</f>
        <v>0</v>
      </c>
    </row>
    <row r="373" spans="1:10" s="10" customFormat="1" outlineLevel="1" x14ac:dyDescent="0.2"/>
    <row r="374" spans="1:10" s="10" customFormat="1" outlineLevel="1" x14ac:dyDescent="0.2">
      <c r="D374" s="47" t="str">
        <f>Lang_GoTo&amp;" "&amp;HL_LVL2_ACTV_4_Supplies_and_Materials_Outputs</f>
        <v>Go to IEC Soc Mob  Activity # 4  (Not in Use) Supplies and Materials - Outputs</v>
      </c>
    </row>
    <row r="375" spans="1:10" s="10" customFormat="1" x14ac:dyDescent="0.2"/>
    <row r="376" spans="1:10" s="13" customFormat="1" x14ac:dyDescent="0.2">
      <c r="A376" s="6" t="s">
        <v>127</v>
      </c>
      <c r="B376" s="13" t="str">
        <f>C378</f>
        <v>IEC Soc Mob  Activity # 4  (Not in Use) - Detailed Other Direct Cost Assumptions</v>
      </c>
    </row>
    <row r="377" spans="1:10" outlineLevel="1" x14ac:dyDescent="0.2"/>
    <row r="378" spans="1:10" s="10" customFormat="1" outlineLevel="1" x14ac:dyDescent="0.2">
      <c r="C378" s="18" t="str">
        <f>HL_LVL2_ACTV_4_Name&amp;" - "&amp;Lang_Detailed_Other_Direct_Cost_Assumptions</f>
        <v>IEC Soc Mob  Activity # 4  (Not in Use) - Detailed Other Direct Cost Assumptions</v>
      </c>
    </row>
    <row r="379" spans="1:10" s="10" customFormat="1" ht="48" outlineLevel="1" x14ac:dyDescent="0.2">
      <c r="D379" s="55" t="str">
        <f>Lang_Other_Direct_Cost_ODC_Type</f>
        <v>Other Direct Cost (ODC) Type</v>
      </c>
      <c r="E379" s="85" t="str">
        <f>Lang_ODC_Unit_Each_Dozen_100_Pack</f>
        <v>ODC Unit (e.g. Each, Dozen, 100-pack,etc.)</v>
      </c>
      <c r="F379" s="85" t="str">
        <f>Lang_Number_Of_ODC_Units_Required</f>
        <v>Number of ODC Units Required</v>
      </c>
      <c r="G379" s="63" t="str">
        <f ca="1">SOCMOB_Lu!$D$137&amp;" "&amp;Lang_Cost_Per_Activity_Unit&amp;" ("&amp;OFFSET(SOCMOB_Lu!$D$116,DD_LVL2_ACTV_4_Currency_Selected,0)&amp;")"</f>
        <v>Financial Cost per Activity Unit (USD)</v>
      </c>
      <c r="H379" s="63" t="str">
        <f ca="1">SOCMOB_Lu!$D$138&amp;" "&amp;Lang_Cost_Per_Activity_Unit&amp;" ("&amp;OFFSET(SOCMOB_Lu!$D$116,DD_LVL2_ACTV_4_Currency_Selected,0)&amp;")"</f>
        <v>Economic Cost per Activity Unit (USD)</v>
      </c>
      <c r="I379" s="87" t="str">
        <f>Lang_Evidence_For_Using_This_Cost_Information_Source_Or_Notes</f>
        <v>Evidence for Using this Cost Information (source or notes)</v>
      </c>
    </row>
    <row r="380" spans="1:10" s="10" customFormat="1" outlineLevel="1" x14ac:dyDescent="0.2">
      <c r="D380" s="62" t="s">
        <v>183</v>
      </c>
      <c r="E380" s="64"/>
      <c r="F380" s="19">
        <v>0</v>
      </c>
      <c r="G380" s="19">
        <v>0</v>
      </c>
      <c r="H380" s="19">
        <v>0</v>
      </c>
      <c r="I380" s="62" t="s">
        <v>162</v>
      </c>
      <c r="J380" s="42">
        <f t="shared" ref="J380:J389" si="15">IF(H380&lt;G380,1,0)</f>
        <v>0</v>
      </c>
    </row>
    <row r="381" spans="1:10" s="10" customFormat="1" outlineLevel="1" x14ac:dyDescent="0.2">
      <c r="D381" s="62" t="s">
        <v>184</v>
      </c>
      <c r="E381" s="64"/>
      <c r="F381" s="19">
        <v>0</v>
      </c>
      <c r="G381" s="19">
        <v>0</v>
      </c>
      <c r="H381" s="19">
        <v>0</v>
      </c>
      <c r="I381" s="62" t="s">
        <v>162</v>
      </c>
      <c r="J381" s="42">
        <f t="shared" si="15"/>
        <v>0</v>
      </c>
    </row>
    <row r="382" spans="1:10" s="10" customFormat="1" outlineLevel="1" x14ac:dyDescent="0.2">
      <c r="D382" s="62" t="s">
        <v>185</v>
      </c>
      <c r="E382" s="64"/>
      <c r="F382" s="19">
        <v>0</v>
      </c>
      <c r="G382" s="19">
        <v>0</v>
      </c>
      <c r="H382" s="19">
        <v>0</v>
      </c>
      <c r="I382" s="62" t="s">
        <v>162</v>
      </c>
      <c r="J382" s="42">
        <f t="shared" si="15"/>
        <v>0</v>
      </c>
    </row>
    <row r="383" spans="1:10" s="10" customFormat="1" outlineLevel="1" x14ac:dyDescent="0.2">
      <c r="D383" s="62" t="s">
        <v>186</v>
      </c>
      <c r="E383" s="64"/>
      <c r="F383" s="19">
        <v>0</v>
      </c>
      <c r="G383" s="19">
        <v>0</v>
      </c>
      <c r="H383" s="19">
        <v>0</v>
      </c>
      <c r="I383" s="62" t="s">
        <v>162</v>
      </c>
      <c r="J383" s="42">
        <f t="shared" si="15"/>
        <v>0</v>
      </c>
    </row>
    <row r="384" spans="1:10" s="10" customFormat="1" outlineLevel="1" x14ac:dyDescent="0.2">
      <c r="D384" s="62" t="s">
        <v>187</v>
      </c>
      <c r="E384" s="64"/>
      <c r="F384" s="19">
        <v>0</v>
      </c>
      <c r="G384" s="19">
        <v>0</v>
      </c>
      <c r="H384" s="19">
        <v>0</v>
      </c>
      <c r="I384" s="62" t="s">
        <v>162</v>
      </c>
      <c r="J384" s="42">
        <f t="shared" si="15"/>
        <v>0</v>
      </c>
    </row>
    <row r="385" spans="1:10" s="10" customFormat="1" outlineLevel="1" x14ac:dyDescent="0.2">
      <c r="D385" s="62" t="s">
        <v>188</v>
      </c>
      <c r="E385" s="64"/>
      <c r="F385" s="19">
        <v>0</v>
      </c>
      <c r="G385" s="19">
        <v>0</v>
      </c>
      <c r="H385" s="19">
        <v>0</v>
      </c>
      <c r="I385" s="62" t="s">
        <v>162</v>
      </c>
      <c r="J385" s="42">
        <f t="shared" si="15"/>
        <v>0</v>
      </c>
    </row>
    <row r="386" spans="1:10" s="10" customFormat="1" outlineLevel="1" x14ac:dyDescent="0.2">
      <c r="D386" s="62" t="s">
        <v>189</v>
      </c>
      <c r="E386" s="64"/>
      <c r="F386" s="19">
        <v>0</v>
      </c>
      <c r="G386" s="19">
        <v>0</v>
      </c>
      <c r="H386" s="19">
        <v>0</v>
      </c>
      <c r="I386" s="62" t="s">
        <v>162</v>
      </c>
      <c r="J386" s="42">
        <f t="shared" si="15"/>
        <v>0</v>
      </c>
    </row>
    <row r="387" spans="1:10" s="10" customFormat="1" outlineLevel="1" x14ac:dyDescent="0.2">
      <c r="D387" s="62" t="s">
        <v>190</v>
      </c>
      <c r="E387" s="64"/>
      <c r="F387" s="19">
        <v>0</v>
      </c>
      <c r="G387" s="19">
        <v>0</v>
      </c>
      <c r="H387" s="19">
        <v>0</v>
      </c>
      <c r="I387" s="62" t="s">
        <v>162</v>
      </c>
      <c r="J387" s="42">
        <f t="shared" si="15"/>
        <v>0</v>
      </c>
    </row>
    <row r="388" spans="1:10" s="10" customFormat="1" outlineLevel="1" x14ac:dyDescent="0.2">
      <c r="D388" s="62" t="s">
        <v>191</v>
      </c>
      <c r="E388" s="64"/>
      <c r="F388" s="19">
        <v>0</v>
      </c>
      <c r="G388" s="19">
        <v>0</v>
      </c>
      <c r="H388" s="19">
        <v>0</v>
      </c>
      <c r="I388" s="62" t="s">
        <v>162</v>
      </c>
      <c r="J388" s="42">
        <f t="shared" si="15"/>
        <v>0</v>
      </c>
    </row>
    <row r="389" spans="1:10" s="10" customFormat="1" outlineLevel="1" x14ac:dyDescent="0.2">
      <c r="D389" s="62" t="s">
        <v>192</v>
      </c>
      <c r="E389" s="64"/>
      <c r="F389" s="19">
        <v>0</v>
      </c>
      <c r="G389" s="19">
        <v>0</v>
      </c>
      <c r="H389" s="19">
        <v>0</v>
      </c>
      <c r="I389" s="62" t="s">
        <v>162</v>
      </c>
      <c r="J389" s="42">
        <f t="shared" si="15"/>
        <v>0</v>
      </c>
    </row>
    <row r="390" spans="1:10" s="10" customFormat="1" outlineLevel="1" x14ac:dyDescent="0.2">
      <c r="D390" s="55" t="str">
        <f>Lang_Error_Check_Flags_If_Input_Econ_Cost_Is_Less_Than_Fin_Cost</f>
        <v>ERROR CHECK (FLAGS IF INPUT ECONOMIC COST IS LESS THAN FINANCIAL COST)</v>
      </c>
      <c r="J390" s="43">
        <f>IF(ISERROR(SUM(J380:J389)),1,MIN(SUM(J380:J389),1))</f>
        <v>0</v>
      </c>
    </row>
    <row r="391" spans="1:10" s="10" customFormat="1" outlineLevel="1" x14ac:dyDescent="0.2"/>
    <row r="392" spans="1:10" s="10" customFormat="1" outlineLevel="1" x14ac:dyDescent="0.2">
      <c r="D392" s="47" t="str">
        <f>Lang_GoTo&amp;" "&amp;HL_LVL2_ACTV_4_Other_Direct_Costs_Outputs</f>
        <v>Go to IEC Soc Mob  Activity # 4  (Not in Use) Other Direct Costs - Outputs</v>
      </c>
    </row>
    <row r="394" spans="1:10" s="13" customFormat="1" x14ac:dyDescent="0.2">
      <c r="A394" s="6" t="s">
        <v>125</v>
      </c>
      <c r="B394" s="13" t="str">
        <f>C396</f>
        <v>IEC Soc Mob  Activity # 5  (Not in Use) -  Detailed Activity Costing Worksheet - Instructions</v>
      </c>
    </row>
    <row r="395" spans="1:10" s="10" customFormat="1" outlineLevel="1" collapsed="1" x14ac:dyDescent="0.2"/>
    <row r="396" spans="1:10" s="10" customFormat="1" outlineLevel="1" x14ac:dyDescent="0.2">
      <c r="C396" s="71" t="str">
        <f>HL_LVL2_ACTV_10_Name&amp;" -  "&amp;Lang_Detailed_Activity_Costing_Worksheet_Instructions</f>
        <v>IEC Soc Mob  Activity # 5  (Not in Use) -  Detailed Activity Costing Worksheet - Instructions</v>
      </c>
    </row>
    <row r="397" spans="1:10" s="10" customFormat="1" outlineLevel="1" x14ac:dyDescent="0.2"/>
    <row r="398" spans="1:10" s="10" customFormat="1" outlineLevel="1" x14ac:dyDescent="0.2">
      <c r="D398" s="50" t="str">
        <f>Lang_Detailed_Costing_Worksheets_Notes_1</f>
        <v>This detailed costing worksheet can be used to document the types and amounts of resources required to complete a single instance of an activity.</v>
      </c>
    </row>
    <row r="399" spans="1:10" s="10" customFormat="1" outlineLevel="1" x14ac:dyDescent="0.2">
      <c r="D399" s="50" t="str">
        <f>Lang_Detailed_Costing_Worksheets_Notes_2</f>
        <v>When completed, it will automatically provide a single activity cost in the general assumption worksheet.</v>
      </c>
    </row>
    <row r="400" spans="1:10" s="10" customFormat="1" outlineLevel="1" x14ac:dyDescent="0.2">
      <c r="D400" s="50" t="str">
        <f>Lang_Detailed_Costing_Worksheets_Notes_3</f>
        <v>The user may then choose to use the results of the detailed costing in the model, or override the detailed costing and insert alternate cost estimates.</v>
      </c>
    </row>
    <row r="401" spans="1:5" s="10" customFormat="1" outlineLevel="1" x14ac:dyDescent="0.2"/>
    <row r="402" spans="1:5" s="10" customFormat="1" x14ac:dyDescent="0.2"/>
    <row r="403" spans="1:5" s="13" customFormat="1" x14ac:dyDescent="0.2">
      <c r="A403" s="12" t="s">
        <v>125</v>
      </c>
      <c r="B403" s="13" t="str">
        <f>C405</f>
        <v>IEC Soc Mob  Activity # 5  (Not in Use) - Detailed Activity Costing Worksheet - Currency Selection</v>
      </c>
    </row>
    <row r="404" spans="1:5" s="10" customFormat="1" outlineLevel="1" x14ac:dyDescent="0.2"/>
    <row r="405" spans="1:5" s="10" customFormat="1" outlineLevel="1" x14ac:dyDescent="0.2">
      <c r="C405" s="71" t="str">
        <f>HL_LVL2_ACTV_10_Name&amp;" - "&amp;Lang_Detailed_Activity_Costing_Worksheet_Currency_Selection</f>
        <v>IEC Soc Mob  Activity # 5  (Not in Use) - Detailed Activity Costing Worksheet - Currency Selection</v>
      </c>
    </row>
    <row r="406" spans="1:5" s="10" customFormat="1" outlineLevel="1" x14ac:dyDescent="0.2"/>
    <row r="407" spans="1:5" s="10" customFormat="1" outlineLevel="1" x14ac:dyDescent="0.2">
      <c r="D407" s="55" t="str">
        <f>Lang_Currency_Used_For_Cost_Inputs</f>
        <v>Currency Used for Cost Inputs</v>
      </c>
      <c r="E407" s="72">
        <v>1</v>
      </c>
    </row>
    <row r="408" spans="1:5" s="10" customFormat="1" outlineLevel="1" x14ac:dyDescent="0.2"/>
    <row r="409" spans="1:5" s="10" customFormat="1" outlineLevel="1" x14ac:dyDescent="0.2"/>
    <row r="410" spans="1:5" s="10" customFormat="1" outlineLevel="1" x14ac:dyDescent="0.2">
      <c r="D410" s="54" t="str">
        <f>Lang_Imported_From_Econ_Module</f>
        <v>Imported from Econ Module</v>
      </c>
    </row>
    <row r="411" spans="1:5" s="10" customFormat="1" outlineLevel="1" x14ac:dyDescent="0.2">
      <c r="D411" s="49" t="str">
        <f>ECONOMICS!F7</f>
        <v>USD</v>
      </c>
    </row>
    <row r="412" spans="1:5" s="10" customFormat="1" outlineLevel="1" x14ac:dyDescent="0.2">
      <c r="D412" s="49" t="str">
        <f>ECONOMICS!F8</f>
        <v>LCU</v>
      </c>
    </row>
    <row r="413" spans="1:5" s="10" customFormat="1" outlineLevel="1" x14ac:dyDescent="0.2"/>
    <row r="414" spans="1:5" s="10" customFormat="1" outlineLevel="1" x14ac:dyDescent="0.2">
      <c r="D414" s="50" t="str">
        <f>Lang_Exchange_Rate_From_Econ</f>
        <v>Exchange Rate (from Economics)</v>
      </c>
      <c r="E414" s="41">
        <f>ECONOMICS!E13</f>
        <v>1234.5</v>
      </c>
    </row>
    <row r="416" spans="1:5" s="13" customFormat="1" x14ac:dyDescent="0.2">
      <c r="A416" s="6" t="s">
        <v>127</v>
      </c>
      <c r="B416" s="13" t="str">
        <f>C418</f>
        <v>IEC Soc Mob  Activity # 5  (Not in Use) - Detailed Personnel Cost Assumptions</v>
      </c>
    </row>
    <row r="417" spans="3:10" outlineLevel="1" x14ac:dyDescent="0.2"/>
    <row r="418" spans="3:10" outlineLevel="1" x14ac:dyDescent="0.2">
      <c r="C418" s="18" t="str">
        <f>HL_LVL2_ACTV_10_Name&amp;" - "&amp;Lang_Detailed_Personnel_Cost_Assumptions</f>
        <v>IEC Soc Mob  Activity # 5  (Not in Use) - Detailed Personnel Cost Assumptions</v>
      </c>
    </row>
    <row r="419" spans="3:10" ht="48" outlineLevel="1" x14ac:dyDescent="0.2">
      <c r="D419" s="55" t="str">
        <f>Lang_Personnel_Cadre_Type</f>
        <v>Personnel Cadre Type</v>
      </c>
      <c r="E419" s="85" t="str">
        <f>Lang_Activity_Unit_Day_Hour_Minute</f>
        <v>Activity Unit (e.g. Day, Hour, Minute)</v>
      </c>
      <c r="F419" s="85" t="str">
        <f>Lang_Number_Of_Activity_Units_Required</f>
        <v>Number of Activity Units Required</v>
      </c>
      <c r="G419" s="63" t="str">
        <f ca="1">SOCMOB_Lu!$D$172&amp;" "&amp;Lang_Cost_Per_Activity_Unit&amp;" ("&amp;OFFSET(SOCMOB_Lu!$D$151,DD_LVL2_ACTV_10_Currency_Selected,0)&amp;")"</f>
        <v>Financial Cost per Activity Unit (USD)</v>
      </c>
      <c r="H419" s="63" t="str">
        <f ca="1">SOCMOB_Lu!$D$173&amp;" "&amp;Lang_Cost_Per_Activity_Unit&amp;" ("&amp;OFFSET(SOCMOB_Lu!$D$151,DD_LVL2_ACTV_10_Currency_Selected,0)&amp;")"</f>
        <v>Economic Cost per Activity Unit (USD)</v>
      </c>
      <c r="I419" s="87" t="str">
        <f>Lang_Evidence_For_Using_This_Cost_Information_Source_Or_Notes</f>
        <v>Evidence for Using this Cost Information (source or notes)</v>
      </c>
    </row>
    <row r="420" spans="3:10" outlineLevel="1" x14ac:dyDescent="0.2">
      <c r="D420" s="62" t="s">
        <v>152</v>
      </c>
      <c r="E420" s="64"/>
      <c r="F420" s="19">
        <v>0</v>
      </c>
      <c r="G420" s="19">
        <v>0</v>
      </c>
      <c r="H420" s="19">
        <v>0</v>
      </c>
      <c r="I420" s="62" t="s">
        <v>162</v>
      </c>
      <c r="J420" s="42">
        <f t="shared" ref="J420:J434" si="16">IF(H420&lt;G420,1,0)</f>
        <v>0</v>
      </c>
    </row>
    <row r="421" spans="3:10" outlineLevel="1" x14ac:dyDescent="0.2">
      <c r="D421" s="62" t="s">
        <v>153</v>
      </c>
      <c r="E421" s="64"/>
      <c r="F421" s="19">
        <v>0</v>
      </c>
      <c r="G421" s="19">
        <v>0</v>
      </c>
      <c r="H421" s="19">
        <v>0</v>
      </c>
      <c r="I421" s="62" t="s">
        <v>162</v>
      </c>
      <c r="J421" s="42">
        <f t="shared" si="16"/>
        <v>0</v>
      </c>
    </row>
    <row r="422" spans="3:10" outlineLevel="1" x14ac:dyDescent="0.2">
      <c r="D422" s="62" t="s">
        <v>154</v>
      </c>
      <c r="E422" s="64"/>
      <c r="F422" s="19">
        <v>0</v>
      </c>
      <c r="G422" s="19">
        <v>0</v>
      </c>
      <c r="H422" s="19">
        <v>0</v>
      </c>
      <c r="I422" s="62" t="s">
        <v>162</v>
      </c>
      <c r="J422" s="42">
        <f t="shared" si="16"/>
        <v>0</v>
      </c>
    </row>
    <row r="423" spans="3:10" outlineLevel="1" x14ac:dyDescent="0.2">
      <c r="D423" s="62" t="s">
        <v>155</v>
      </c>
      <c r="E423" s="64"/>
      <c r="F423" s="19">
        <v>0</v>
      </c>
      <c r="G423" s="19">
        <v>0</v>
      </c>
      <c r="H423" s="19">
        <v>0</v>
      </c>
      <c r="I423" s="62" t="s">
        <v>162</v>
      </c>
      <c r="J423" s="42">
        <f t="shared" si="16"/>
        <v>0</v>
      </c>
    </row>
    <row r="424" spans="3:10" outlineLevel="1" x14ac:dyDescent="0.2">
      <c r="D424" s="62" t="s">
        <v>156</v>
      </c>
      <c r="E424" s="64"/>
      <c r="F424" s="19">
        <v>0</v>
      </c>
      <c r="G424" s="19">
        <v>0</v>
      </c>
      <c r="H424" s="19">
        <v>0</v>
      </c>
      <c r="I424" s="62" t="s">
        <v>162</v>
      </c>
      <c r="J424" s="42">
        <f t="shared" si="16"/>
        <v>0</v>
      </c>
    </row>
    <row r="425" spans="3:10" outlineLevel="1" x14ac:dyDescent="0.2">
      <c r="D425" s="62" t="s">
        <v>157</v>
      </c>
      <c r="E425" s="64"/>
      <c r="F425" s="19">
        <v>0</v>
      </c>
      <c r="G425" s="19">
        <v>0</v>
      </c>
      <c r="H425" s="19">
        <v>0</v>
      </c>
      <c r="I425" s="62" t="s">
        <v>162</v>
      </c>
      <c r="J425" s="42">
        <f t="shared" si="16"/>
        <v>0</v>
      </c>
    </row>
    <row r="426" spans="3:10" outlineLevel="1" x14ac:dyDescent="0.2">
      <c r="D426" s="62" t="s">
        <v>158</v>
      </c>
      <c r="E426" s="64"/>
      <c r="F426" s="19">
        <v>0</v>
      </c>
      <c r="G426" s="19">
        <v>0</v>
      </c>
      <c r="H426" s="19">
        <v>0</v>
      </c>
      <c r="I426" s="62" t="s">
        <v>162</v>
      </c>
      <c r="J426" s="42">
        <f t="shared" si="16"/>
        <v>0</v>
      </c>
    </row>
    <row r="427" spans="3:10" outlineLevel="1" x14ac:dyDescent="0.2">
      <c r="D427" s="62" t="s">
        <v>159</v>
      </c>
      <c r="E427" s="64"/>
      <c r="F427" s="19">
        <v>0</v>
      </c>
      <c r="G427" s="19">
        <v>0</v>
      </c>
      <c r="H427" s="19">
        <v>0</v>
      </c>
      <c r="I427" s="62" t="s">
        <v>162</v>
      </c>
      <c r="J427" s="42">
        <f t="shared" si="16"/>
        <v>0</v>
      </c>
    </row>
    <row r="428" spans="3:10" outlineLevel="1" x14ac:dyDescent="0.2">
      <c r="D428" s="62" t="s">
        <v>160</v>
      </c>
      <c r="E428" s="64"/>
      <c r="F428" s="19">
        <v>0</v>
      </c>
      <c r="G428" s="19">
        <v>0</v>
      </c>
      <c r="H428" s="19">
        <v>0</v>
      </c>
      <c r="I428" s="62" t="s">
        <v>162</v>
      </c>
      <c r="J428" s="42">
        <f t="shared" si="16"/>
        <v>0</v>
      </c>
    </row>
    <row r="429" spans="3:10" outlineLevel="1" x14ac:dyDescent="0.2">
      <c r="D429" s="62" t="s">
        <v>161</v>
      </c>
      <c r="E429" s="64"/>
      <c r="F429" s="19">
        <v>0</v>
      </c>
      <c r="G429" s="19">
        <v>0</v>
      </c>
      <c r="H429" s="19">
        <v>0</v>
      </c>
      <c r="I429" s="62" t="s">
        <v>162</v>
      </c>
      <c r="J429" s="42">
        <f t="shared" si="16"/>
        <v>0</v>
      </c>
    </row>
    <row r="430" spans="3:10" outlineLevel="1" x14ac:dyDescent="0.2">
      <c r="D430" s="62" t="s">
        <v>393</v>
      </c>
      <c r="E430" s="64"/>
      <c r="F430" s="19">
        <v>0</v>
      </c>
      <c r="G430" s="19">
        <v>0</v>
      </c>
      <c r="H430" s="19">
        <v>0</v>
      </c>
      <c r="I430" s="62" t="s">
        <v>162</v>
      </c>
      <c r="J430" s="42">
        <f t="shared" si="16"/>
        <v>0</v>
      </c>
    </row>
    <row r="431" spans="3:10" outlineLevel="1" x14ac:dyDescent="0.2">
      <c r="D431" s="62" t="s">
        <v>394</v>
      </c>
      <c r="E431" s="64"/>
      <c r="F431" s="19">
        <v>0</v>
      </c>
      <c r="G431" s="19">
        <v>0</v>
      </c>
      <c r="H431" s="19">
        <v>0</v>
      </c>
      <c r="I431" s="62" t="s">
        <v>162</v>
      </c>
      <c r="J431" s="42">
        <f t="shared" si="16"/>
        <v>0</v>
      </c>
    </row>
    <row r="432" spans="3:10" outlineLevel="1" x14ac:dyDescent="0.2">
      <c r="D432" s="62" t="s">
        <v>395</v>
      </c>
      <c r="E432" s="64"/>
      <c r="F432" s="19">
        <v>0</v>
      </c>
      <c r="G432" s="19">
        <v>0</v>
      </c>
      <c r="H432" s="19">
        <v>0</v>
      </c>
      <c r="I432" s="62" t="s">
        <v>162</v>
      </c>
      <c r="J432" s="42">
        <f t="shared" si="16"/>
        <v>0</v>
      </c>
    </row>
    <row r="433" spans="1:10" outlineLevel="1" x14ac:dyDescent="0.2">
      <c r="D433" s="62" t="s">
        <v>396</v>
      </c>
      <c r="E433" s="64"/>
      <c r="F433" s="19">
        <v>0</v>
      </c>
      <c r="G433" s="19">
        <v>0</v>
      </c>
      <c r="H433" s="19">
        <v>0</v>
      </c>
      <c r="I433" s="62" t="s">
        <v>162</v>
      </c>
      <c r="J433" s="42">
        <f t="shared" si="16"/>
        <v>0</v>
      </c>
    </row>
    <row r="434" spans="1:10" outlineLevel="1" x14ac:dyDescent="0.2">
      <c r="D434" s="62" t="s">
        <v>397</v>
      </c>
      <c r="E434" s="64"/>
      <c r="F434" s="19">
        <v>0</v>
      </c>
      <c r="G434" s="19">
        <v>0</v>
      </c>
      <c r="H434" s="19">
        <v>0</v>
      </c>
      <c r="I434" s="62" t="s">
        <v>162</v>
      </c>
      <c r="J434" s="42">
        <f t="shared" si="16"/>
        <v>0</v>
      </c>
    </row>
    <row r="435" spans="1:10" outlineLevel="1" x14ac:dyDescent="0.2">
      <c r="D435" s="55" t="str">
        <f>Lang_Error_Check_Flags_If_Input_Econ_Cost_Is_Less_Than_Fin_Cost</f>
        <v>ERROR CHECK (FLAGS IF INPUT ECONOMIC COST IS LESS THAN FINANCIAL COST)</v>
      </c>
      <c r="J435" s="43">
        <f>IF(ISERROR(SUM(J420:J434)),1,MIN(SUM(J420:J434),1))</f>
        <v>0</v>
      </c>
    </row>
    <row r="436" spans="1:10" outlineLevel="1" x14ac:dyDescent="0.2"/>
    <row r="437" spans="1:10" outlineLevel="1" x14ac:dyDescent="0.2">
      <c r="D437" s="47" t="str">
        <f>Lang_GoTo&amp;" "&amp;HL_LVL2_ACTV_10_Personnel_Outputs</f>
        <v>Go to IEC Soc Mob  Activity # 5  (Not in Use) Personnel - Outputs</v>
      </c>
    </row>
    <row r="439" spans="1:10" s="13" customFormat="1" x14ac:dyDescent="0.2">
      <c r="A439" s="6" t="s">
        <v>127</v>
      </c>
      <c r="B439" s="13" t="str">
        <f>C441</f>
        <v>IEC Soc Mob  Activity # 5  (Not in Use) - Detailed Allowance Cost Assumptions</v>
      </c>
    </row>
    <row r="440" spans="1:10" outlineLevel="1" x14ac:dyDescent="0.2"/>
    <row r="441" spans="1:10" outlineLevel="1" x14ac:dyDescent="0.2">
      <c r="C441" s="18" t="str">
        <f>HL_LVL2_ACTV_10_Name&amp;" - "&amp;Lang_Detailed_Allowance_Cost_Assumptions</f>
        <v>IEC Soc Mob  Activity # 5  (Not in Use) - Detailed Allowance Cost Assumptions</v>
      </c>
    </row>
    <row r="442" spans="1:10" ht="48" outlineLevel="1" x14ac:dyDescent="0.2">
      <c r="D442" s="55" t="str">
        <f>Lang_Allowance_Type</f>
        <v>Allowance Type</v>
      </c>
      <c r="E442" s="85" t="str">
        <f>Lang_Allowance_Unit_Per_Day_Round_Trip_Travel</f>
        <v>Allowance Unit (e.g. Per Day, Round-trip Travel,etc.)</v>
      </c>
      <c r="F442" s="85" t="str">
        <f>Lang_Number_Of_Allowance_Units_Required</f>
        <v>Number of Allowance Units Required</v>
      </c>
      <c r="G442" s="63" t="str">
        <f ca="1">SOCMOB_Lu!$D$172&amp;" "&amp;Lang_Cost_Per_Activity_Unit&amp;" ("&amp;OFFSET(SOCMOB_Lu!$D$151,DD_LVL2_ACTV_10_Currency_Selected,0)&amp;")"</f>
        <v>Financial Cost per Activity Unit (USD)</v>
      </c>
      <c r="H442" s="63" t="str">
        <f ca="1">SOCMOB_Lu!$D$173&amp;" "&amp;Lang_Cost_Per_Activity_Unit&amp;" ("&amp;OFFSET(SOCMOB_Lu!$D$151,DD_LVL2_ACTV_10_Currency_Selected,0)&amp;")"</f>
        <v>Economic Cost per Activity Unit (USD)</v>
      </c>
      <c r="I442" s="87" t="str">
        <f>Lang_Evidence_For_Using_This_Cost_Information_Source_Or_Notes</f>
        <v>Evidence for Using this Cost Information (source or notes)</v>
      </c>
    </row>
    <row r="443" spans="1:10" outlineLevel="1" x14ac:dyDescent="0.2">
      <c r="D443" s="62" t="s">
        <v>163</v>
      </c>
      <c r="E443" s="64"/>
      <c r="F443" s="19">
        <v>0</v>
      </c>
      <c r="G443" s="19">
        <v>0</v>
      </c>
      <c r="H443" s="19">
        <v>0</v>
      </c>
      <c r="I443" s="62" t="s">
        <v>162</v>
      </c>
      <c r="J443" s="42">
        <f t="shared" ref="J443:J452" si="17">IF(H443&lt;G443,1,0)</f>
        <v>0</v>
      </c>
    </row>
    <row r="444" spans="1:10" outlineLevel="1" x14ac:dyDescent="0.2">
      <c r="D444" s="62" t="s">
        <v>164</v>
      </c>
      <c r="E444" s="64"/>
      <c r="F444" s="19">
        <v>0</v>
      </c>
      <c r="G444" s="19">
        <v>0</v>
      </c>
      <c r="H444" s="19">
        <v>0</v>
      </c>
      <c r="I444" s="62" t="s">
        <v>162</v>
      </c>
      <c r="J444" s="42">
        <f t="shared" si="17"/>
        <v>0</v>
      </c>
    </row>
    <row r="445" spans="1:10" outlineLevel="1" x14ac:dyDescent="0.2">
      <c r="D445" s="62" t="s">
        <v>165</v>
      </c>
      <c r="E445" s="64"/>
      <c r="F445" s="19">
        <v>0</v>
      </c>
      <c r="G445" s="19">
        <v>0</v>
      </c>
      <c r="H445" s="19">
        <v>0</v>
      </c>
      <c r="I445" s="62" t="s">
        <v>162</v>
      </c>
      <c r="J445" s="42">
        <f t="shared" si="17"/>
        <v>0</v>
      </c>
    </row>
    <row r="446" spans="1:10" outlineLevel="1" x14ac:dyDescent="0.2">
      <c r="D446" s="62" t="s">
        <v>166</v>
      </c>
      <c r="E446" s="64"/>
      <c r="F446" s="19">
        <v>0</v>
      </c>
      <c r="G446" s="19">
        <v>0</v>
      </c>
      <c r="H446" s="19">
        <v>0</v>
      </c>
      <c r="I446" s="62" t="s">
        <v>162</v>
      </c>
      <c r="J446" s="42">
        <f t="shared" si="17"/>
        <v>0</v>
      </c>
    </row>
    <row r="447" spans="1:10" outlineLevel="1" x14ac:dyDescent="0.2">
      <c r="D447" s="62" t="s">
        <v>167</v>
      </c>
      <c r="E447" s="64"/>
      <c r="F447" s="19">
        <v>0</v>
      </c>
      <c r="G447" s="19">
        <v>0</v>
      </c>
      <c r="H447" s="19">
        <v>0</v>
      </c>
      <c r="I447" s="62" t="s">
        <v>162</v>
      </c>
      <c r="J447" s="42">
        <f t="shared" si="17"/>
        <v>0</v>
      </c>
    </row>
    <row r="448" spans="1:10" outlineLevel="1" x14ac:dyDescent="0.2">
      <c r="D448" s="62" t="s">
        <v>168</v>
      </c>
      <c r="E448" s="64"/>
      <c r="F448" s="19">
        <v>0</v>
      </c>
      <c r="G448" s="19">
        <v>0</v>
      </c>
      <c r="H448" s="19">
        <v>0</v>
      </c>
      <c r="I448" s="62" t="s">
        <v>162</v>
      </c>
      <c r="J448" s="42">
        <f t="shared" si="17"/>
        <v>0</v>
      </c>
    </row>
    <row r="449" spans="1:10" outlineLevel="1" x14ac:dyDescent="0.2">
      <c r="D449" s="62" t="s">
        <v>169</v>
      </c>
      <c r="E449" s="64"/>
      <c r="F449" s="19">
        <v>0</v>
      </c>
      <c r="G449" s="19">
        <v>0</v>
      </c>
      <c r="H449" s="19">
        <v>0</v>
      </c>
      <c r="I449" s="62" t="s">
        <v>162</v>
      </c>
      <c r="J449" s="42">
        <f t="shared" si="17"/>
        <v>0</v>
      </c>
    </row>
    <row r="450" spans="1:10" outlineLevel="1" x14ac:dyDescent="0.2">
      <c r="D450" s="62" t="s">
        <v>170</v>
      </c>
      <c r="E450" s="64"/>
      <c r="F450" s="19">
        <v>0</v>
      </c>
      <c r="G450" s="19">
        <v>0</v>
      </c>
      <c r="H450" s="19">
        <v>0</v>
      </c>
      <c r="I450" s="62" t="s">
        <v>162</v>
      </c>
      <c r="J450" s="42">
        <f t="shared" si="17"/>
        <v>0</v>
      </c>
    </row>
    <row r="451" spans="1:10" outlineLevel="1" x14ac:dyDescent="0.2">
      <c r="D451" s="62" t="s">
        <v>171</v>
      </c>
      <c r="E451" s="64"/>
      <c r="F451" s="19">
        <v>0</v>
      </c>
      <c r="G451" s="19">
        <v>0</v>
      </c>
      <c r="H451" s="19">
        <v>0</v>
      </c>
      <c r="I451" s="62" t="s">
        <v>162</v>
      </c>
      <c r="J451" s="42">
        <f t="shared" si="17"/>
        <v>0</v>
      </c>
    </row>
    <row r="452" spans="1:10" outlineLevel="1" x14ac:dyDescent="0.2">
      <c r="D452" s="62" t="s">
        <v>172</v>
      </c>
      <c r="E452" s="64"/>
      <c r="F452" s="19">
        <v>0</v>
      </c>
      <c r="G452" s="19">
        <v>0</v>
      </c>
      <c r="H452" s="19">
        <v>0</v>
      </c>
      <c r="I452" s="62" t="s">
        <v>162</v>
      </c>
      <c r="J452" s="42">
        <f t="shared" si="17"/>
        <v>0</v>
      </c>
    </row>
    <row r="453" spans="1:10" outlineLevel="1" x14ac:dyDescent="0.2">
      <c r="D453" s="55" t="str">
        <f>Lang_Error_Check_Flags_If_Input_Econ_Cost_Is_Less_Than_Fin_Cost</f>
        <v>ERROR CHECK (FLAGS IF INPUT ECONOMIC COST IS LESS THAN FINANCIAL COST)</v>
      </c>
      <c r="J453" s="43">
        <f>IF(ISERROR(SUM(J443:J452)),1,MIN(SUM(J443:J452),1))</f>
        <v>0</v>
      </c>
    </row>
    <row r="454" spans="1:10" outlineLevel="1" x14ac:dyDescent="0.2"/>
    <row r="455" spans="1:10" outlineLevel="1" x14ac:dyDescent="0.2">
      <c r="D455" s="47" t="str">
        <f>Lang_GoTo&amp;" "&amp;HL_LVL2_ACTV_10_Out_A</f>
        <v>Go to IEC Soc Mob  Activity # 5  (Not in Use) Allowances - Outputs</v>
      </c>
    </row>
    <row r="457" spans="1:10" s="13" customFormat="1" x14ac:dyDescent="0.2">
      <c r="A457" s="6" t="s">
        <v>127</v>
      </c>
      <c r="B457" s="13" t="str">
        <f>C459</f>
        <v>IEC Soc Mob  Activity # 5  (Not in Use) - Detailed Supply and Material Cost Assumptions</v>
      </c>
    </row>
    <row r="458" spans="1:10" outlineLevel="1" x14ac:dyDescent="0.2"/>
    <row r="459" spans="1:10" outlineLevel="1" x14ac:dyDescent="0.2">
      <c r="C459" s="18" t="str">
        <f>HL_LVL2_ACTV_10_Name&amp;" - "&amp;Lang_Detailed_Supply_And_Material_Cost_Assumptions</f>
        <v>IEC Soc Mob  Activity # 5  (Not in Use) - Detailed Supply and Material Cost Assumptions</v>
      </c>
    </row>
    <row r="460" spans="1:10" ht="48" outlineLevel="1" x14ac:dyDescent="0.2">
      <c r="D460" s="55" t="str">
        <f>Lang_Supply_Type</f>
        <v>Supply Type</v>
      </c>
      <c r="E460" s="85" t="str">
        <f>Lang_Supply_Unit_Each_Dozen_100_Pack</f>
        <v>Supply Unit (e.g. Each, Dozen, 100-pack,etc.)</v>
      </c>
      <c r="F460" s="85" t="str">
        <f>Lang_Number_Of_Supply_Units_Required</f>
        <v>Number of Supply Units Required</v>
      </c>
      <c r="G460" s="63" t="str">
        <f ca="1">SOCMOB_Lu!$D$172&amp;" "&amp;Lang_Cost_Per_Activity_Unit&amp;" ("&amp;OFFSET(SOCMOB_Lu!$D$151,DD_LVL2_ACTV_10_Currency_Selected,0)&amp;")"</f>
        <v>Financial Cost per Activity Unit (USD)</v>
      </c>
      <c r="H460" s="63" t="str">
        <f ca="1">SOCMOB_Lu!$D$173&amp;" "&amp;Lang_Cost_Per_Activity_Unit&amp;" ("&amp;OFFSET(SOCMOB_Lu!$D$151,DD_LVL2_ACTV_10_Currency_Selected,0)&amp;")"</f>
        <v>Economic Cost per Activity Unit (USD)</v>
      </c>
      <c r="I460" s="87" t="str">
        <f>Lang_Evidence_For_Using_This_Cost_Information_Source_Or_Notes</f>
        <v>Evidence for Using this Cost Information (source or notes)</v>
      </c>
    </row>
    <row r="461" spans="1:10" outlineLevel="1" x14ac:dyDescent="0.2">
      <c r="D461" s="62" t="s">
        <v>173</v>
      </c>
      <c r="E461" s="64"/>
      <c r="F461" s="19">
        <v>0</v>
      </c>
      <c r="G461" s="19">
        <v>0</v>
      </c>
      <c r="H461" s="19">
        <v>0</v>
      </c>
      <c r="I461" s="62" t="s">
        <v>162</v>
      </c>
      <c r="J461" s="42">
        <f t="shared" ref="J461:J470" si="18">IF(H461&lt;G461,1,0)</f>
        <v>0</v>
      </c>
    </row>
    <row r="462" spans="1:10" outlineLevel="1" x14ac:dyDescent="0.2">
      <c r="D462" s="62" t="s">
        <v>174</v>
      </c>
      <c r="E462" s="64"/>
      <c r="F462" s="19">
        <v>0</v>
      </c>
      <c r="G462" s="19">
        <v>0</v>
      </c>
      <c r="H462" s="19">
        <v>0</v>
      </c>
      <c r="I462" s="62" t="s">
        <v>162</v>
      </c>
      <c r="J462" s="42">
        <f t="shared" si="18"/>
        <v>0</v>
      </c>
    </row>
    <row r="463" spans="1:10" outlineLevel="1" x14ac:dyDescent="0.2">
      <c r="D463" s="62" t="s">
        <v>175</v>
      </c>
      <c r="E463" s="64"/>
      <c r="F463" s="19">
        <v>0</v>
      </c>
      <c r="G463" s="19">
        <v>0</v>
      </c>
      <c r="H463" s="19">
        <v>0</v>
      </c>
      <c r="I463" s="62" t="s">
        <v>162</v>
      </c>
      <c r="J463" s="42">
        <f t="shared" si="18"/>
        <v>0</v>
      </c>
    </row>
    <row r="464" spans="1:10" outlineLevel="1" x14ac:dyDescent="0.2">
      <c r="D464" s="62" t="s">
        <v>176</v>
      </c>
      <c r="E464" s="64"/>
      <c r="F464" s="19">
        <v>0</v>
      </c>
      <c r="G464" s="19">
        <v>0</v>
      </c>
      <c r="H464" s="19">
        <v>0</v>
      </c>
      <c r="I464" s="62" t="s">
        <v>162</v>
      </c>
      <c r="J464" s="42">
        <f t="shared" si="18"/>
        <v>0</v>
      </c>
    </row>
    <row r="465" spans="1:10" outlineLevel="1" x14ac:dyDescent="0.2">
      <c r="D465" s="62" t="s">
        <v>177</v>
      </c>
      <c r="E465" s="64"/>
      <c r="F465" s="19">
        <v>0</v>
      </c>
      <c r="G465" s="19">
        <v>0</v>
      </c>
      <c r="H465" s="19">
        <v>0</v>
      </c>
      <c r="I465" s="62" t="s">
        <v>162</v>
      </c>
      <c r="J465" s="42">
        <f t="shared" si="18"/>
        <v>0</v>
      </c>
    </row>
    <row r="466" spans="1:10" outlineLevel="1" x14ac:dyDescent="0.2">
      <c r="D466" s="62" t="s">
        <v>178</v>
      </c>
      <c r="E466" s="64"/>
      <c r="F466" s="19">
        <v>0</v>
      </c>
      <c r="G466" s="19">
        <v>0</v>
      </c>
      <c r="H466" s="19">
        <v>0</v>
      </c>
      <c r="I466" s="62" t="s">
        <v>162</v>
      </c>
      <c r="J466" s="42">
        <f t="shared" si="18"/>
        <v>0</v>
      </c>
    </row>
    <row r="467" spans="1:10" outlineLevel="1" x14ac:dyDescent="0.2">
      <c r="D467" s="62" t="s">
        <v>179</v>
      </c>
      <c r="E467" s="64"/>
      <c r="F467" s="19">
        <v>0</v>
      </c>
      <c r="G467" s="19">
        <v>0</v>
      </c>
      <c r="H467" s="19">
        <v>0</v>
      </c>
      <c r="I467" s="62" t="s">
        <v>162</v>
      </c>
      <c r="J467" s="42">
        <f t="shared" si="18"/>
        <v>0</v>
      </c>
    </row>
    <row r="468" spans="1:10" outlineLevel="1" x14ac:dyDescent="0.2">
      <c r="D468" s="62" t="s">
        <v>180</v>
      </c>
      <c r="E468" s="64"/>
      <c r="F468" s="19">
        <v>0</v>
      </c>
      <c r="G468" s="19">
        <v>0</v>
      </c>
      <c r="H468" s="19">
        <v>0</v>
      </c>
      <c r="I468" s="62" t="s">
        <v>162</v>
      </c>
      <c r="J468" s="42">
        <f t="shared" si="18"/>
        <v>0</v>
      </c>
    </row>
    <row r="469" spans="1:10" outlineLevel="1" x14ac:dyDescent="0.2">
      <c r="D469" s="62" t="s">
        <v>181</v>
      </c>
      <c r="E469" s="64"/>
      <c r="F469" s="19">
        <v>0</v>
      </c>
      <c r="G469" s="19">
        <v>0</v>
      </c>
      <c r="H469" s="19">
        <v>0</v>
      </c>
      <c r="I469" s="62" t="s">
        <v>162</v>
      </c>
      <c r="J469" s="42">
        <f t="shared" si="18"/>
        <v>0</v>
      </c>
    </row>
    <row r="470" spans="1:10" outlineLevel="1" x14ac:dyDescent="0.2">
      <c r="D470" s="62" t="s">
        <v>182</v>
      </c>
      <c r="E470" s="64"/>
      <c r="F470" s="19">
        <v>0</v>
      </c>
      <c r="G470" s="19">
        <v>0</v>
      </c>
      <c r="H470" s="19">
        <v>0</v>
      </c>
      <c r="I470" s="62" t="s">
        <v>162</v>
      </c>
      <c r="J470" s="42">
        <f t="shared" si="18"/>
        <v>0</v>
      </c>
    </row>
    <row r="471" spans="1:10" outlineLevel="1" x14ac:dyDescent="0.2">
      <c r="D471" s="55" t="str">
        <f>Lang_Error_Check_Flags_If_Input_Econ_Cost_Is_Less_Than_Fin_Cost</f>
        <v>ERROR CHECK (FLAGS IF INPUT ECONOMIC COST IS LESS THAN FINANCIAL COST)</v>
      </c>
      <c r="J471" s="43">
        <f>IF(ISERROR(SUM(J461:J470)),1,MIN(SUM(J461:J470),1))</f>
        <v>0</v>
      </c>
    </row>
    <row r="472" spans="1:10" outlineLevel="1" x14ac:dyDescent="0.2"/>
    <row r="473" spans="1:10" outlineLevel="1" x14ac:dyDescent="0.2">
      <c r="D473" s="47" t="str">
        <f>Lang_GoTo&amp;" "&amp;HL_LVL2_ACTV_10_Supplies_and_Materials_Outputs</f>
        <v>Go to IEC Soc Mob  Activity # 5  (Not in Use) Supplies and Materials - Outputs</v>
      </c>
    </row>
    <row r="475" spans="1:10" s="13" customFormat="1" x14ac:dyDescent="0.2">
      <c r="A475" s="6" t="s">
        <v>127</v>
      </c>
      <c r="B475" s="13" t="str">
        <f>C477</f>
        <v>IEC Soc Mob  Activity # 5  (Not in Use) - Detailed Other Direct Cost Assumptions</v>
      </c>
    </row>
    <row r="476" spans="1:10" outlineLevel="1" x14ac:dyDescent="0.2"/>
    <row r="477" spans="1:10" outlineLevel="1" x14ac:dyDescent="0.2">
      <c r="C477" s="18" t="str">
        <f>HL_LVL2_ACTV_10_Name&amp;" - "&amp;Lang_Detailed_Other_Direct_Cost_Assumptions</f>
        <v>IEC Soc Mob  Activity # 5  (Not in Use) - Detailed Other Direct Cost Assumptions</v>
      </c>
    </row>
    <row r="478" spans="1:10" ht="48" outlineLevel="1" x14ac:dyDescent="0.2">
      <c r="D478" s="55" t="str">
        <f>Lang_Other_Direct_Cost_ODC_Type</f>
        <v>Other Direct Cost (ODC) Type</v>
      </c>
      <c r="E478" s="85" t="str">
        <f>Lang_ODC_Unit_Each_Dozen_100_Pack</f>
        <v>ODC Unit (e.g. Each, Dozen, 100-pack,etc.)</v>
      </c>
      <c r="F478" s="85" t="str">
        <f>Lang_Number_Of_ODC_Units_Required</f>
        <v>Number of ODC Units Required</v>
      </c>
      <c r="G478" s="63" t="str">
        <f ca="1">SOCMOB_Lu!$D$172&amp;" "&amp;Lang_Cost_Per_Activity_Unit&amp;" ("&amp;OFFSET(SOCMOB_Lu!$D$151,DD_LVL2_ACTV_10_Currency_Selected,0)&amp;")"</f>
        <v>Financial Cost per Activity Unit (USD)</v>
      </c>
      <c r="H478" s="63" t="str">
        <f ca="1">SOCMOB_Lu!$D$173&amp;" "&amp;Lang_Cost_Per_Activity_Unit&amp;" ("&amp;OFFSET(SOCMOB_Lu!$D$151,DD_LVL2_ACTV_10_Currency_Selected,0)&amp;")"</f>
        <v>Economic Cost per Activity Unit (USD)</v>
      </c>
      <c r="I478" s="87" t="str">
        <f>Lang_Evidence_For_Using_This_Cost_Information_Source_Or_Notes</f>
        <v>Evidence for Using this Cost Information (source or notes)</v>
      </c>
    </row>
    <row r="479" spans="1:10" outlineLevel="1" x14ac:dyDescent="0.2">
      <c r="D479" s="62" t="s">
        <v>183</v>
      </c>
      <c r="E479" s="64"/>
      <c r="F479" s="19">
        <v>0</v>
      </c>
      <c r="G479" s="19">
        <v>0</v>
      </c>
      <c r="H479" s="19">
        <v>0</v>
      </c>
      <c r="I479" s="62" t="s">
        <v>162</v>
      </c>
      <c r="J479" s="42">
        <f t="shared" ref="J479:J488" si="19">IF(H479&lt;G479,1,0)</f>
        <v>0</v>
      </c>
    </row>
    <row r="480" spans="1:10" outlineLevel="1" x14ac:dyDescent="0.2">
      <c r="D480" s="62" t="s">
        <v>184</v>
      </c>
      <c r="E480" s="64"/>
      <c r="F480" s="19">
        <v>0</v>
      </c>
      <c r="G480" s="19">
        <v>0</v>
      </c>
      <c r="H480" s="19">
        <v>0</v>
      </c>
      <c r="I480" s="62" t="s">
        <v>162</v>
      </c>
      <c r="J480" s="42">
        <f t="shared" si="19"/>
        <v>0</v>
      </c>
    </row>
    <row r="481" spans="1:10" outlineLevel="1" x14ac:dyDescent="0.2">
      <c r="D481" s="62" t="s">
        <v>185</v>
      </c>
      <c r="E481" s="64"/>
      <c r="F481" s="19">
        <v>0</v>
      </c>
      <c r="G481" s="19">
        <v>0</v>
      </c>
      <c r="H481" s="19">
        <v>0</v>
      </c>
      <c r="I481" s="62" t="s">
        <v>162</v>
      </c>
      <c r="J481" s="42">
        <f t="shared" si="19"/>
        <v>0</v>
      </c>
    </row>
    <row r="482" spans="1:10" outlineLevel="1" x14ac:dyDescent="0.2">
      <c r="D482" s="62" t="s">
        <v>186</v>
      </c>
      <c r="E482" s="64"/>
      <c r="F482" s="19">
        <v>0</v>
      </c>
      <c r="G482" s="19">
        <v>0</v>
      </c>
      <c r="H482" s="19">
        <v>0</v>
      </c>
      <c r="I482" s="62" t="s">
        <v>162</v>
      </c>
      <c r="J482" s="42">
        <f t="shared" si="19"/>
        <v>0</v>
      </c>
    </row>
    <row r="483" spans="1:10" outlineLevel="1" x14ac:dyDescent="0.2">
      <c r="D483" s="62" t="s">
        <v>187</v>
      </c>
      <c r="E483" s="64"/>
      <c r="F483" s="19">
        <v>0</v>
      </c>
      <c r="G483" s="19">
        <v>0</v>
      </c>
      <c r="H483" s="19">
        <v>0</v>
      </c>
      <c r="I483" s="62" t="s">
        <v>162</v>
      </c>
      <c r="J483" s="42">
        <f t="shared" si="19"/>
        <v>0</v>
      </c>
    </row>
    <row r="484" spans="1:10" outlineLevel="1" x14ac:dyDescent="0.2">
      <c r="D484" s="62" t="s">
        <v>188</v>
      </c>
      <c r="E484" s="64"/>
      <c r="F484" s="19">
        <v>0</v>
      </c>
      <c r="G484" s="19">
        <v>0</v>
      </c>
      <c r="H484" s="19">
        <v>0</v>
      </c>
      <c r="I484" s="62" t="s">
        <v>162</v>
      </c>
      <c r="J484" s="42">
        <f t="shared" si="19"/>
        <v>0</v>
      </c>
    </row>
    <row r="485" spans="1:10" outlineLevel="1" x14ac:dyDescent="0.2">
      <c r="D485" s="62" t="s">
        <v>189</v>
      </c>
      <c r="E485" s="64"/>
      <c r="F485" s="19">
        <v>0</v>
      </c>
      <c r="G485" s="19">
        <v>0</v>
      </c>
      <c r="H485" s="19">
        <v>0</v>
      </c>
      <c r="I485" s="62" t="s">
        <v>162</v>
      </c>
      <c r="J485" s="42">
        <f t="shared" si="19"/>
        <v>0</v>
      </c>
    </row>
    <row r="486" spans="1:10" outlineLevel="1" x14ac:dyDescent="0.2">
      <c r="D486" s="62" t="s">
        <v>190</v>
      </c>
      <c r="E486" s="64"/>
      <c r="F486" s="19">
        <v>0</v>
      </c>
      <c r="G486" s="19">
        <v>0</v>
      </c>
      <c r="H486" s="19">
        <v>0</v>
      </c>
      <c r="I486" s="62" t="s">
        <v>162</v>
      </c>
      <c r="J486" s="42">
        <f t="shared" si="19"/>
        <v>0</v>
      </c>
    </row>
    <row r="487" spans="1:10" outlineLevel="1" x14ac:dyDescent="0.2">
      <c r="D487" s="62" t="s">
        <v>191</v>
      </c>
      <c r="E487" s="64"/>
      <c r="F487" s="19">
        <v>0</v>
      </c>
      <c r="G487" s="19">
        <v>0</v>
      </c>
      <c r="H487" s="19">
        <v>0</v>
      </c>
      <c r="I487" s="62" t="s">
        <v>162</v>
      </c>
      <c r="J487" s="42">
        <f t="shared" si="19"/>
        <v>0</v>
      </c>
    </row>
    <row r="488" spans="1:10" outlineLevel="1" x14ac:dyDescent="0.2">
      <c r="D488" s="62" t="s">
        <v>192</v>
      </c>
      <c r="E488" s="64"/>
      <c r="F488" s="19">
        <v>0</v>
      </c>
      <c r="G488" s="19">
        <v>0</v>
      </c>
      <c r="H488" s="19">
        <v>0</v>
      </c>
      <c r="I488" s="62" t="s">
        <v>162</v>
      </c>
      <c r="J488" s="42">
        <f t="shared" si="19"/>
        <v>0</v>
      </c>
    </row>
    <row r="489" spans="1:10" outlineLevel="1" x14ac:dyDescent="0.2">
      <c r="D489" s="55" t="str">
        <f>Lang_Error_Check_Flags_If_Input_Econ_Cost_Is_Less_Than_Fin_Cost</f>
        <v>ERROR CHECK (FLAGS IF INPUT ECONOMIC COST IS LESS THAN FINANCIAL COST)</v>
      </c>
      <c r="J489" s="43">
        <f>IF(ISERROR(SUM(J479:J488)),1,MIN(SUM(J479:J488),1))</f>
        <v>0</v>
      </c>
    </row>
    <row r="490" spans="1:10" outlineLevel="1" x14ac:dyDescent="0.2"/>
    <row r="491" spans="1:10" outlineLevel="1" x14ac:dyDescent="0.2">
      <c r="D491" s="47" t="str">
        <f>Lang_GoTo&amp;" "&amp;HL_LVL2_ACTV_10_Other_Direct_Costs_Outputs</f>
        <v>Go to IEC Soc Mob  Activity # 5  (Not in Use) Other Direct Costs - Outputs</v>
      </c>
    </row>
    <row r="492" spans="1:10" s="10" customFormat="1" x14ac:dyDescent="0.2"/>
    <row r="493" spans="1:10" s="13" customFormat="1" x14ac:dyDescent="0.2">
      <c r="A493" s="12" t="s">
        <v>125</v>
      </c>
      <c r="B493" s="13" t="str">
        <f>C495</f>
        <v>IEC Soc Mob  Activity # 6 (Not in Use) -  Detailed Activity Costing Worksheet - Instructions</v>
      </c>
    </row>
    <row r="494" spans="1:10" s="10" customFormat="1" outlineLevel="1" x14ac:dyDescent="0.2"/>
    <row r="495" spans="1:10" s="10" customFormat="1" outlineLevel="1" x14ac:dyDescent="0.2">
      <c r="C495" s="71" t="str">
        <f>HL_LVL2_ACTV_11_Name&amp;" -  "&amp;Lang_Detailed_Activity_Costing_Worksheet_Instructions</f>
        <v>IEC Soc Mob  Activity # 6 (Not in Use) -  Detailed Activity Costing Worksheet - Instructions</v>
      </c>
    </row>
    <row r="496" spans="1:10" s="10" customFormat="1" outlineLevel="1" x14ac:dyDescent="0.2"/>
    <row r="497" spans="1:5" s="10" customFormat="1" outlineLevel="1" x14ac:dyDescent="0.2">
      <c r="D497" s="50" t="str">
        <f>Lang_Detailed_Costing_Worksheets_Notes_1</f>
        <v>This detailed costing worksheet can be used to document the types and amounts of resources required to complete a single instance of an activity.</v>
      </c>
    </row>
    <row r="498" spans="1:5" s="10" customFormat="1" outlineLevel="1" x14ac:dyDescent="0.2">
      <c r="D498" s="50" t="str">
        <f>Lang_Detailed_Costing_Worksheets_Notes_2</f>
        <v>When completed, it will automatically provide a single activity cost in the general assumption worksheet.</v>
      </c>
    </row>
    <row r="499" spans="1:5" s="10" customFormat="1" outlineLevel="1" x14ac:dyDescent="0.2">
      <c r="D499" s="50" t="str">
        <f>Lang_Detailed_Costing_Worksheets_Notes_3</f>
        <v>The user may then choose to use the results of the detailed costing in the model, or override the detailed costing and insert alternate cost estimates.</v>
      </c>
    </row>
    <row r="500" spans="1:5" s="10" customFormat="1" outlineLevel="1" x14ac:dyDescent="0.2"/>
    <row r="501" spans="1:5" s="10" customFormat="1" x14ac:dyDescent="0.2"/>
    <row r="502" spans="1:5" s="13" customFormat="1" x14ac:dyDescent="0.2">
      <c r="A502" s="12" t="s">
        <v>125</v>
      </c>
      <c r="B502" s="13" t="str">
        <f>C504</f>
        <v>IEC Soc Mob  Activity # 6 (Not in Use) - Detailed Activity Costing Worksheet - Currency Selection</v>
      </c>
    </row>
    <row r="503" spans="1:5" s="10" customFormat="1" outlineLevel="1" x14ac:dyDescent="0.2"/>
    <row r="504" spans="1:5" s="10" customFormat="1" outlineLevel="1" x14ac:dyDescent="0.2">
      <c r="C504" s="71" t="str">
        <f>HL_LVL2_ACTV_11_Name&amp;" - "&amp;Lang_Detailed_Activity_Costing_Worksheet_Currency_Selection</f>
        <v>IEC Soc Mob  Activity # 6 (Not in Use) - Detailed Activity Costing Worksheet - Currency Selection</v>
      </c>
    </row>
    <row r="505" spans="1:5" s="10" customFormat="1" outlineLevel="1" x14ac:dyDescent="0.2"/>
    <row r="506" spans="1:5" s="10" customFormat="1" outlineLevel="1" x14ac:dyDescent="0.2">
      <c r="D506" s="55" t="str">
        <f>Lang_Currency_Used_For_Cost_Inputs</f>
        <v>Currency Used for Cost Inputs</v>
      </c>
      <c r="E506" s="72">
        <v>1</v>
      </c>
    </row>
    <row r="507" spans="1:5" s="10" customFormat="1" outlineLevel="1" x14ac:dyDescent="0.2"/>
    <row r="508" spans="1:5" s="10" customFormat="1" outlineLevel="1" x14ac:dyDescent="0.2"/>
    <row r="509" spans="1:5" s="10" customFormat="1" outlineLevel="1" x14ac:dyDescent="0.2">
      <c r="D509" s="54" t="str">
        <f>Lang_Imported_From_Econ_Module</f>
        <v>Imported from Econ Module</v>
      </c>
    </row>
    <row r="510" spans="1:5" s="10" customFormat="1" outlineLevel="1" x14ac:dyDescent="0.2">
      <c r="D510" s="49" t="str">
        <f>ECONOMICS!F7</f>
        <v>USD</v>
      </c>
    </row>
    <row r="511" spans="1:5" s="10" customFormat="1" outlineLevel="1" x14ac:dyDescent="0.2">
      <c r="D511" s="49" t="str">
        <f>ECONOMICS!F8</f>
        <v>LCU</v>
      </c>
    </row>
    <row r="512" spans="1:5" s="10" customFormat="1" outlineLevel="1" x14ac:dyDescent="0.2"/>
    <row r="513" spans="1:10" s="10" customFormat="1" outlineLevel="1" x14ac:dyDescent="0.2">
      <c r="D513" s="50" t="str">
        <f>Lang_Exchange_Rate_From_Econ</f>
        <v>Exchange Rate (from Economics)</v>
      </c>
      <c r="E513" s="41">
        <f>ECONOMICS!E13</f>
        <v>1234.5</v>
      </c>
    </row>
    <row r="515" spans="1:10" s="13" customFormat="1" x14ac:dyDescent="0.2">
      <c r="A515" s="6" t="s">
        <v>127</v>
      </c>
      <c r="B515" s="13" t="str">
        <f>C517</f>
        <v>IEC Soc Mob  Activity # 6 (Not in Use) - Detailed Personnel Cost Assumptions</v>
      </c>
    </row>
    <row r="516" spans="1:10" outlineLevel="1" x14ac:dyDescent="0.2"/>
    <row r="517" spans="1:10" outlineLevel="1" x14ac:dyDescent="0.2">
      <c r="C517" s="18" t="str">
        <f>HL_LVL2_ACTV_11_Name&amp;" - "&amp;Lang_Detailed_Personnel_Cost_Assumptions</f>
        <v>IEC Soc Mob  Activity # 6 (Not in Use) - Detailed Personnel Cost Assumptions</v>
      </c>
    </row>
    <row r="518" spans="1:10" ht="48" outlineLevel="1" x14ac:dyDescent="0.2">
      <c r="D518" s="55" t="str">
        <f>Lang_Personnel_Cadre_Type</f>
        <v>Personnel Cadre Type</v>
      </c>
      <c r="E518" s="85" t="str">
        <f>Lang_Activity_Unit_Day_Hour_Minute</f>
        <v>Activity Unit (e.g. Day, Hour, Minute)</v>
      </c>
      <c r="F518" s="85" t="str">
        <f>Lang_Number_Of_Activity_Units_Required</f>
        <v>Number of Activity Units Required</v>
      </c>
      <c r="G518" s="63" t="str">
        <f ca="1">SOCMOB_Lu!$D$207&amp;" "&amp;Lang_Cost_Per_Activity_Unit&amp;" ("&amp;OFFSET(SOCMOB_Lu!$D$186,DD_LVL2_ACTV_11_Currency_Selected,0)&amp;")"</f>
        <v>Financial Cost per Activity Unit (USD)</v>
      </c>
      <c r="H518" s="63" t="str">
        <f ca="1">SOCMOB_Lu!$D$208&amp;" "&amp;Lang_Cost_Per_Activity_Unit&amp;" ("&amp;OFFSET(SOCMOB_Lu!$D$186,DD_LVL2_ACTV_11_Currency_Selected,0)&amp;")"</f>
        <v>Economic Cost per Activity Unit (USD)</v>
      </c>
      <c r="I518" s="87" t="str">
        <f>Lang_Evidence_For_Using_This_Cost_Information_Source_Or_Notes</f>
        <v>Evidence for Using this Cost Information (source or notes)</v>
      </c>
    </row>
    <row r="519" spans="1:10" outlineLevel="1" x14ac:dyDescent="0.2">
      <c r="D519" s="62" t="s">
        <v>152</v>
      </c>
      <c r="E519" s="64"/>
      <c r="F519" s="19">
        <v>0</v>
      </c>
      <c r="G519" s="19">
        <v>0</v>
      </c>
      <c r="H519" s="19">
        <v>0</v>
      </c>
      <c r="I519" s="62" t="s">
        <v>162</v>
      </c>
      <c r="J519" s="42">
        <f t="shared" ref="J519:J533" si="20">IF(H519&lt;G519,1,0)</f>
        <v>0</v>
      </c>
    </row>
    <row r="520" spans="1:10" outlineLevel="1" x14ac:dyDescent="0.2">
      <c r="D520" s="62" t="s">
        <v>153</v>
      </c>
      <c r="E520" s="64"/>
      <c r="F520" s="19">
        <v>0</v>
      </c>
      <c r="G520" s="19">
        <v>0</v>
      </c>
      <c r="H520" s="19">
        <v>0</v>
      </c>
      <c r="I520" s="62" t="s">
        <v>162</v>
      </c>
      <c r="J520" s="42">
        <f t="shared" si="20"/>
        <v>0</v>
      </c>
    </row>
    <row r="521" spans="1:10" outlineLevel="1" x14ac:dyDescent="0.2">
      <c r="D521" s="62" t="s">
        <v>154</v>
      </c>
      <c r="E521" s="64"/>
      <c r="F521" s="19">
        <v>0</v>
      </c>
      <c r="G521" s="19">
        <v>0</v>
      </c>
      <c r="H521" s="19">
        <v>0</v>
      </c>
      <c r="I521" s="62" t="s">
        <v>162</v>
      </c>
      <c r="J521" s="42">
        <f t="shared" si="20"/>
        <v>0</v>
      </c>
    </row>
    <row r="522" spans="1:10" outlineLevel="1" x14ac:dyDescent="0.2">
      <c r="D522" s="62" t="s">
        <v>155</v>
      </c>
      <c r="E522" s="64"/>
      <c r="F522" s="19">
        <v>0</v>
      </c>
      <c r="G522" s="19">
        <v>0</v>
      </c>
      <c r="H522" s="19">
        <v>0</v>
      </c>
      <c r="I522" s="62" t="s">
        <v>162</v>
      </c>
      <c r="J522" s="42">
        <f t="shared" si="20"/>
        <v>0</v>
      </c>
    </row>
    <row r="523" spans="1:10" outlineLevel="1" x14ac:dyDescent="0.2">
      <c r="D523" s="62" t="s">
        <v>156</v>
      </c>
      <c r="E523" s="64"/>
      <c r="F523" s="19">
        <v>0</v>
      </c>
      <c r="G523" s="19">
        <v>0</v>
      </c>
      <c r="H523" s="19">
        <v>0</v>
      </c>
      <c r="I523" s="62" t="s">
        <v>162</v>
      </c>
      <c r="J523" s="42">
        <f t="shared" si="20"/>
        <v>0</v>
      </c>
    </row>
    <row r="524" spans="1:10" outlineLevel="1" x14ac:dyDescent="0.2">
      <c r="D524" s="62" t="s">
        <v>157</v>
      </c>
      <c r="E524" s="64"/>
      <c r="F524" s="19">
        <v>0</v>
      </c>
      <c r="G524" s="19">
        <v>0</v>
      </c>
      <c r="H524" s="19">
        <v>0</v>
      </c>
      <c r="I524" s="62" t="s">
        <v>162</v>
      </c>
      <c r="J524" s="42">
        <f t="shared" si="20"/>
        <v>0</v>
      </c>
    </row>
    <row r="525" spans="1:10" outlineLevel="1" x14ac:dyDescent="0.2">
      <c r="D525" s="62" t="s">
        <v>158</v>
      </c>
      <c r="E525" s="64"/>
      <c r="F525" s="19">
        <v>0</v>
      </c>
      <c r="G525" s="19">
        <v>0</v>
      </c>
      <c r="H525" s="19">
        <v>0</v>
      </c>
      <c r="I525" s="62" t="s">
        <v>162</v>
      </c>
      <c r="J525" s="42">
        <f t="shared" si="20"/>
        <v>0</v>
      </c>
    </row>
    <row r="526" spans="1:10" outlineLevel="1" x14ac:dyDescent="0.2">
      <c r="D526" s="62" t="s">
        <v>159</v>
      </c>
      <c r="E526" s="64"/>
      <c r="F526" s="19">
        <v>0</v>
      </c>
      <c r="G526" s="19">
        <v>0</v>
      </c>
      <c r="H526" s="19">
        <v>0</v>
      </c>
      <c r="I526" s="62" t="s">
        <v>162</v>
      </c>
      <c r="J526" s="42">
        <f t="shared" si="20"/>
        <v>0</v>
      </c>
    </row>
    <row r="527" spans="1:10" outlineLevel="1" x14ac:dyDescent="0.2">
      <c r="D527" s="62" t="s">
        <v>160</v>
      </c>
      <c r="E527" s="64"/>
      <c r="F527" s="19">
        <v>0</v>
      </c>
      <c r="G527" s="19">
        <v>0</v>
      </c>
      <c r="H527" s="19">
        <v>0</v>
      </c>
      <c r="I527" s="62" t="s">
        <v>162</v>
      </c>
      <c r="J527" s="42">
        <f t="shared" si="20"/>
        <v>0</v>
      </c>
    </row>
    <row r="528" spans="1:10" outlineLevel="1" x14ac:dyDescent="0.2">
      <c r="D528" s="62" t="s">
        <v>161</v>
      </c>
      <c r="E528" s="64"/>
      <c r="F528" s="19">
        <v>0</v>
      </c>
      <c r="G528" s="19">
        <v>0</v>
      </c>
      <c r="H528" s="19">
        <v>0</v>
      </c>
      <c r="I528" s="62" t="s">
        <v>162</v>
      </c>
      <c r="J528" s="42">
        <f t="shared" si="20"/>
        <v>0</v>
      </c>
    </row>
    <row r="529" spans="1:10" outlineLevel="1" x14ac:dyDescent="0.2">
      <c r="D529" s="62" t="s">
        <v>393</v>
      </c>
      <c r="E529" s="64"/>
      <c r="F529" s="19">
        <v>0</v>
      </c>
      <c r="G529" s="19">
        <v>0</v>
      </c>
      <c r="H529" s="19">
        <v>0</v>
      </c>
      <c r="I529" s="62" t="s">
        <v>162</v>
      </c>
      <c r="J529" s="42">
        <f t="shared" si="20"/>
        <v>0</v>
      </c>
    </row>
    <row r="530" spans="1:10" outlineLevel="1" x14ac:dyDescent="0.2">
      <c r="D530" s="62" t="s">
        <v>394</v>
      </c>
      <c r="E530" s="64"/>
      <c r="F530" s="19">
        <v>0</v>
      </c>
      <c r="G530" s="19">
        <v>0</v>
      </c>
      <c r="H530" s="19">
        <v>0</v>
      </c>
      <c r="I530" s="62" t="s">
        <v>162</v>
      </c>
      <c r="J530" s="42">
        <f t="shared" si="20"/>
        <v>0</v>
      </c>
    </row>
    <row r="531" spans="1:10" outlineLevel="1" x14ac:dyDescent="0.2">
      <c r="D531" s="62" t="s">
        <v>395</v>
      </c>
      <c r="E531" s="64"/>
      <c r="F531" s="19">
        <v>0</v>
      </c>
      <c r="G531" s="19">
        <v>0</v>
      </c>
      <c r="H531" s="19">
        <v>0</v>
      </c>
      <c r="I531" s="62" t="s">
        <v>162</v>
      </c>
      <c r="J531" s="42">
        <f t="shared" si="20"/>
        <v>0</v>
      </c>
    </row>
    <row r="532" spans="1:10" outlineLevel="1" x14ac:dyDescent="0.2">
      <c r="D532" s="62" t="s">
        <v>396</v>
      </c>
      <c r="E532" s="64"/>
      <c r="F532" s="19">
        <v>0</v>
      </c>
      <c r="G532" s="19">
        <v>0</v>
      </c>
      <c r="H532" s="19">
        <v>0</v>
      </c>
      <c r="I532" s="62" t="s">
        <v>162</v>
      </c>
      <c r="J532" s="42">
        <f t="shared" si="20"/>
        <v>0</v>
      </c>
    </row>
    <row r="533" spans="1:10" outlineLevel="1" x14ac:dyDescent="0.2">
      <c r="D533" s="62" t="s">
        <v>397</v>
      </c>
      <c r="E533" s="64"/>
      <c r="F533" s="19">
        <v>0</v>
      </c>
      <c r="G533" s="19">
        <v>0</v>
      </c>
      <c r="H533" s="19">
        <v>0</v>
      </c>
      <c r="I533" s="62" t="s">
        <v>162</v>
      </c>
      <c r="J533" s="42">
        <f t="shared" si="20"/>
        <v>0</v>
      </c>
    </row>
    <row r="534" spans="1:10" outlineLevel="1" x14ac:dyDescent="0.2">
      <c r="D534" s="55" t="str">
        <f>Lang_Error_Check_Flags_If_Input_Econ_Cost_Is_Less_Than_Fin_Cost</f>
        <v>ERROR CHECK (FLAGS IF INPUT ECONOMIC COST IS LESS THAN FINANCIAL COST)</v>
      </c>
      <c r="J534" s="43">
        <f>IF(ISERROR(SUM(J519:J533)),1,MIN(SUM(J519:J533),1))</f>
        <v>0</v>
      </c>
    </row>
    <row r="535" spans="1:10" outlineLevel="1" x14ac:dyDescent="0.2"/>
    <row r="536" spans="1:10" outlineLevel="1" x14ac:dyDescent="0.2">
      <c r="D536" s="47" t="str">
        <f>Lang_GoTo&amp;" "&amp;HL_LVL2_ACTV_11_Personnel_Outputs</f>
        <v>Go to IEC Soc Mob  Activity # 6 (Not in Use) Personnel - Outputs</v>
      </c>
    </row>
    <row r="538" spans="1:10" s="13" customFormat="1" x14ac:dyDescent="0.2">
      <c r="A538" s="6" t="s">
        <v>127</v>
      </c>
      <c r="B538" s="13" t="str">
        <f>C540</f>
        <v>IEC Soc Mob  Activity # 6 (Not in Use) - Detailed Allowance Cost Assumptions</v>
      </c>
    </row>
    <row r="539" spans="1:10" outlineLevel="1" x14ac:dyDescent="0.2"/>
    <row r="540" spans="1:10" outlineLevel="1" x14ac:dyDescent="0.2">
      <c r="C540" s="18" t="str">
        <f>HL_LVL2_ACTV_11_Name&amp;" - "&amp;Lang_Detailed_Allowance_Cost_Assumptions</f>
        <v>IEC Soc Mob  Activity # 6 (Not in Use) - Detailed Allowance Cost Assumptions</v>
      </c>
    </row>
    <row r="541" spans="1:10" ht="48" outlineLevel="1" x14ac:dyDescent="0.2">
      <c r="D541" s="55" t="str">
        <f>Lang_Allowance_Type</f>
        <v>Allowance Type</v>
      </c>
      <c r="E541" s="85" t="str">
        <f>Lang_Allowance_Unit_Per_Day_Round_Trip_Travel</f>
        <v>Allowance Unit (e.g. Per Day, Round-trip Travel,etc.)</v>
      </c>
      <c r="F541" s="85" t="str">
        <f>Lang_Number_Of_Allowance_Units_Required</f>
        <v>Number of Allowance Units Required</v>
      </c>
      <c r="G541" s="63" t="str">
        <f ca="1">SOCMOB_Lu!$D$207&amp;" "&amp;Lang_Cost_Per_Activity_Unit&amp;" ("&amp;OFFSET(SOCMOB_Lu!$D$186,DD_LVL2_ACTV_11_Currency_Selected,0)&amp;")"</f>
        <v>Financial Cost per Activity Unit (USD)</v>
      </c>
      <c r="H541" s="63" t="str">
        <f ca="1">SOCMOB_Lu!$D$208&amp;" "&amp;Lang_Cost_Per_Activity_Unit&amp;" ("&amp;OFFSET(SOCMOB_Lu!$D$186,DD_LVL2_ACTV_11_Currency_Selected,0)&amp;")"</f>
        <v>Economic Cost per Activity Unit (USD)</v>
      </c>
      <c r="I541" s="87" t="str">
        <f>Lang_Evidence_For_Using_This_Cost_Information_Source_Or_Notes</f>
        <v>Evidence for Using this Cost Information (source or notes)</v>
      </c>
    </row>
    <row r="542" spans="1:10" outlineLevel="1" x14ac:dyDescent="0.2">
      <c r="D542" s="62" t="s">
        <v>163</v>
      </c>
      <c r="E542" s="64"/>
      <c r="F542" s="19">
        <v>0</v>
      </c>
      <c r="G542" s="19">
        <v>0</v>
      </c>
      <c r="H542" s="19">
        <v>0</v>
      </c>
      <c r="I542" s="62" t="s">
        <v>162</v>
      </c>
      <c r="J542" s="42">
        <f t="shared" ref="J542:J551" si="21">IF(H542&lt;G542,1,0)</f>
        <v>0</v>
      </c>
    </row>
    <row r="543" spans="1:10" outlineLevel="1" x14ac:dyDescent="0.2">
      <c r="D543" s="62" t="s">
        <v>164</v>
      </c>
      <c r="E543" s="64"/>
      <c r="F543" s="19">
        <v>0</v>
      </c>
      <c r="G543" s="19">
        <v>0</v>
      </c>
      <c r="H543" s="19">
        <v>0</v>
      </c>
      <c r="I543" s="62" t="s">
        <v>162</v>
      </c>
      <c r="J543" s="42">
        <f t="shared" si="21"/>
        <v>0</v>
      </c>
    </row>
    <row r="544" spans="1:10" outlineLevel="1" x14ac:dyDescent="0.2">
      <c r="D544" s="62" t="s">
        <v>165</v>
      </c>
      <c r="E544" s="64"/>
      <c r="F544" s="19">
        <v>0</v>
      </c>
      <c r="G544" s="19">
        <v>0</v>
      </c>
      <c r="H544" s="19">
        <v>0</v>
      </c>
      <c r="I544" s="62" t="s">
        <v>162</v>
      </c>
      <c r="J544" s="42">
        <f t="shared" si="21"/>
        <v>0</v>
      </c>
    </row>
    <row r="545" spans="1:10" outlineLevel="1" x14ac:dyDescent="0.2">
      <c r="D545" s="62" t="s">
        <v>166</v>
      </c>
      <c r="E545" s="64"/>
      <c r="F545" s="19">
        <v>0</v>
      </c>
      <c r="G545" s="19">
        <v>0</v>
      </c>
      <c r="H545" s="19">
        <v>0</v>
      </c>
      <c r="I545" s="62" t="s">
        <v>162</v>
      </c>
      <c r="J545" s="42">
        <f t="shared" si="21"/>
        <v>0</v>
      </c>
    </row>
    <row r="546" spans="1:10" outlineLevel="1" x14ac:dyDescent="0.2">
      <c r="D546" s="62" t="s">
        <v>167</v>
      </c>
      <c r="E546" s="64"/>
      <c r="F546" s="19">
        <v>0</v>
      </c>
      <c r="G546" s="19">
        <v>0</v>
      </c>
      <c r="H546" s="19">
        <v>0</v>
      </c>
      <c r="I546" s="62" t="s">
        <v>162</v>
      </c>
      <c r="J546" s="42">
        <f t="shared" si="21"/>
        <v>0</v>
      </c>
    </row>
    <row r="547" spans="1:10" outlineLevel="1" x14ac:dyDescent="0.2">
      <c r="D547" s="62" t="s">
        <v>168</v>
      </c>
      <c r="E547" s="64"/>
      <c r="F547" s="19">
        <v>0</v>
      </c>
      <c r="G547" s="19">
        <v>0</v>
      </c>
      <c r="H547" s="19">
        <v>0</v>
      </c>
      <c r="I547" s="62" t="s">
        <v>162</v>
      </c>
      <c r="J547" s="42">
        <f t="shared" si="21"/>
        <v>0</v>
      </c>
    </row>
    <row r="548" spans="1:10" outlineLevel="1" x14ac:dyDescent="0.2">
      <c r="D548" s="62" t="s">
        <v>169</v>
      </c>
      <c r="E548" s="64"/>
      <c r="F548" s="19">
        <v>0</v>
      </c>
      <c r="G548" s="19">
        <v>0</v>
      </c>
      <c r="H548" s="19">
        <v>0</v>
      </c>
      <c r="I548" s="62" t="s">
        <v>162</v>
      </c>
      <c r="J548" s="42">
        <f t="shared" si="21"/>
        <v>0</v>
      </c>
    </row>
    <row r="549" spans="1:10" outlineLevel="1" x14ac:dyDescent="0.2">
      <c r="D549" s="62" t="s">
        <v>170</v>
      </c>
      <c r="E549" s="64"/>
      <c r="F549" s="19">
        <v>0</v>
      </c>
      <c r="G549" s="19">
        <v>0</v>
      </c>
      <c r="H549" s="19">
        <v>0</v>
      </c>
      <c r="I549" s="62" t="s">
        <v>162</v>
      </c>
      <c r="J549" s="42">
        <f t="shared" si="21"/>
        <v>0</v>
      </c>
    </row>
    <row r="550" spans="1:10" outlineLevel="1" x14ac:dyDescent="0.2">
      <c r="D550" s="62" t="s">
        <v>171</v>
      </c>
      <c r="E550" s="64"/>
      <c r="F550" s="19">
        <v>0</v>
      </c>
      <c r="G550" s="19">
        <v>0</v>
      </c>
      <c r="H550" s="19">
        <v>0</v>
      </c>
      <c r="I550" s="62" t="s">
        <v>162</v>
      </c>
      <c r="J550" s="42">
        <f t="shared" si="21"/>
        <v>0</v>
      </c>
    </row>
    <row r="551" spans="1:10" outlineLevel="1" x14ac:dyDescent="0.2">
      <c r="D551" s="62" t="s">
        <v>172</v>
      </c>
      <c r="E551" s="64"/>
      <c r="F551" s="19">
        <v>0</v>
      </c>
      <c r="G551" s="19">
        <v>0</v>
      </c>
      <c r="H551" s="19">
        <v>0</v>
      </c>
      <c r="I551" s="62" t="s">
        <v>162</v>
      </c>
      <c r="J551" s="42">
        <f t="shared" si="21"/>
        <v>0</v>
      </c>
    </row>
    <row r="552" spans="1:10" outlineLevel="1" x14ac:dyDescent="0.2">
      <c r="D552" s="55" t="str">
        <f>Lang_Error_Check_Flags_If_Input_Econ_Cost_Is_Less_Than_Fin_Cost</f>
        <v>ERROR CHECK (FLAGS IF INPUT ECONOMIC COST IS LESS THAN FINANCIAL COST)</v>
      </c>
      <c r="J552" s="43">
        <f>IF(ISERROR(SUM(J542:J551)),1,MIN(SUM(J542:J551),1))</f>
        <v>0</v>
      </c>
    </row>
    <row r="553" spans="1:10" outlineLevel="1" x14ac:dyDescent="0.2"/>
    <row r="554" spans="1:10" outlineLevel="1" x14ac:dyDescent="0.2">
      <c r="D554" s="47" t="str">
        <f>Lang_GoTo&amp;" "&amp;HL_LVL2_ACTV_11_Out_A</f>
        <v>Go to IEC Soc Mob  Activity # 6 (Not in Use) Allowances - Outputs</v>
      </c>
    </row>
    <row r="556" spans="1:10" s="13" customFormat="1" x14ac:dyDescent="0.2">
      <c r="A556" s="6" t="s">
        <v>127</v>
      </c>
      <c r="B556" s="13" t="str">
        <f>C558</f>
        <v>IEC Soc Mob  Activity # 6 (Not in Use) - Detailed Supply and Material Cost Assumptions</v>
      </c>
    </row>
    <row r="557" spans="1:10" outlineLevel="1" x14ac:dyDescent="0.2"/>
    <row r="558" spans="1:10" outlineLevel="1" x14ac:dyDescent="0.2">
      <c r="C558" s="18" t="str">
        <f>HL_LVL2_ACTV_11_Name&amp;" - "&amp;Lang_Detailed_Supply_And_Material_Cost_Assumptions</f>
        <v>IEC Soc Mob  Activity # 6 (Not in Use) - Detailed Supply and Material Cost Assumptions</v>
      </c>
    </row>
    <row r="559" spans="1:10" ht="48" outlineLevel="1" x14ac:dyDescent="0.2">
      <c r="D559" s="55" t="str">
        <f>Lang_Supply_Type</f>
        <v>Supply Type</v>
      </c>
      <c r="E559" s="85" t="str">
        <f>Lang_Supply_Unit_Each_Dozen_100_Pack</f>
        <v>Supply Unit (e.g. Each, Dozen, 100-pack,etc.)</v>
      </c>
      <c r="F559" s="85" t="str">
        <f>Lang_Number_Of_Supply_Units_Required</f>
        <v>Number of Supply Units Required</v>
      </c>
      <c r="G559" s="63" t="str">
        <f ca="1">SOCMOB_Lu!$D$207&amp;" "&amp;Lang_Cost_Per_Activity_Unit&amp;" ("&amp;OFFSET(SOCMOB_Lu!$D$186,DD_LVL2_ACTV_11_Currency_Selected,0)&amp;")"</f>
        <v>Financial Cost per Activity Unit (USD)</v>
      </c>
      <c r="H559" s="63" t="str">
        <f ca="1">SOCMOB_Lu!$D$208&amp;" "&amp;Lang_Cost_Per_Activity_Unit&amp;" ("&amp;OFFSET(SOCMOB_Lu!$D$186,DD_LVL2_ACTV_11_Currency_Selected,0)&amp;")"</f>
        <v>Economic Cost per Activity Unit (USD)</v>
      </c>
      <c r="I559" s="87" t="str">
        <f>Lang_Evidence_For_Using_This_Cost_Information_Source_Or_Notes</f>
        <v>Evidence for Using this Cost Information (source or notes)</v>
      </c>
    </row>
    <row r="560" spans="1:10" outlineLevel="1" x14ac:dyDescent="0.2">
      <c r="D560" s="62" t="s">
        <v>173</v>
      </c>
      <c r="E560" s="64"/>
      <c r="F560" s="19">
        <v>0</v>
      </c>
      <c r="G560" s="19">
        <v>0</v>
      </c>
      <c r="H560" s="19">
        <v>0</v>
      </c>
      <c r="I560" s="62" t="s">
        <v>162</v>
      </c>
      <c r="J560" s="42">
        <f t="shared" ref="J560:J569" si="22">IF(H560&lt;G560,1,0)</f>
        <v>0</v>
      </c>
    </row>
    <row r="561" spans="1:10" outlineLevel="1" x14ac:dyDescent="0.2">
      <c r="D561" s="62" t="s">
        <v>174</v>
      </c>
      <c r="E561" s="64"/>
      <c r="F561" s="19">
        <v>0</v>
      </c>
      <c r="G561" s="19">
        <v>0</v>
      </c>
      <c r="H561" s="19">
        <v>0</v>
      </c>
      <c r="I561" s="62" t="s">
        <v>162</v>
      </c>
      <c r="J561" s="42">
        <f t="shared" si="22"/>
        <v>0</v>
      </c>
    </row>
    <row r="562" spans="1:10" outlineLevel="1" x14ac:dyDescent="0.2">
      <c r="D562" s="62" t="s">
        <v>175</v>
      </c>
      <c r="E562" s="64"/>
      <c r="F562" s="19">
        <v>0</v>
      </c>
      <c r="G562" s="19">
        <v>0</v>
      </c>
      <c r="H562" s="19">
        <v>0</v>
      </c>
      <c r="I562" s="62" t="s">
        <v>162</v>
      </c>
      <c r="J562" s="42">
        <f t="shared" si="22"/>
        <v>0</v>
      </c>
    </row>
    <row r="563" spans="1:10" outlineLevel="1" x14ac:dyDescent="0.2">
      <c r="D563" s="62" t="s">
        <v>176</v>
      </c>
      <c r="E563" s="64"/>
      <c r="F563" s="19">
        <v>0</v>
      </c>
      <c r="G563" s="19">
        <v>0</v>
      </c>
      <c r="H563" s="19">
        <v>0</v>
      </c>
      <c r="I563" s="62" t="s">
        <v>162</v>
      </c>
      <c r="J563" s="42">
        <f t="shared" si="22"/>
        <v>0</v>
      </c>
    </row>
    <row r="564" spans="1:10" outlineLevel="1" x14ac:dyDescent="0.2">
      <c r="D564" s="62" t="s">
        <v>177</v>
      </c>
      <c r="E564" s="64"/>
      <c r="F564" s="19">
        <v>0</v>
      </c>
      <c r="G564" s="19">
        <v>0</v>
      </c>
      <c r="H564" s="19">
        <v>0</v>
      </c>
      <c r="I564" s="62" t="s">
        <v>162</v>
      </c>
      <c r="J564" s="42">
        <f t="shared" si="22"/>
        <v>0</v>
      </c>
    </row>
    <row r="565" spans="1:10" outlineLevel="1" x14ac:dyDescent="0.2">
      <c r="D565" s="62" t="s">
        <v>178</v>
      </c>
      <c r="E565" s="64"/>
      <c r="F565" s="19">
        <v>0</v>
      </c>
      <c r="G565" s="19">
        <v>0</v>
      </c>
      <c r="H565" s="19">
        <v>0</v>
      </c>
      <c r="I565" s="62" t="s">
        <v>162</v>
      </c>
      <c r="J565" s="42">
        <f t="shared" si="22"/>
        <v>0</v>
      </c>
    </row>
    <row r="566" spans="1:10" outlineLevel="1" x14ac:dyDescent="0.2">
      <c r="D566" s="62" t="s">
        <v>179</v>
      </c>
      <c r="E566" s="64"/>
      <c r="F566" s="19">
        <v>0</v>
      </c>
      <c r="G566" s="19">
        <v>0</v>
      </c>
      <c r="H566" s="19">
        <v>0</v>
      </c>
      <c r="I566" s="62" t="s">
        <v>162</v>
      </c>
      <c r="J566" s="42">
        <f t="shared" si="22"/>
        <v>0</v>
      </c>
    </row>
    <row r="567" spans="1:10" outlineLevel="1" x14ac:dyDescent="0.2">
      <c r="D567" s="62" t="s">
        <v>180</v>
      </c>
      <c r="E567" s="64"/>
      <c r="F567" s="19">
        <v>0</v>
      </c>
      <c r="G567" s="19">
        <v>0</v>
      </c>
      <c r="H567" s="19">
        <v>0</v>
      </c>
      <c r="I567" s="62" t="s">
        <v>162</v>
      </c>
      <c r="J567" s="42">
        <f t="shared" si="22"/>
        <v>0</v>
      </c>
    </row>
    <row r="568" spans="1:10" outlineLevel="1" x14ac:dyDescent="0.2">
      <c r="D568" s="62" t="s">
        <v>181</v>
      </c>
      <c r="E568" s="64"/>
      <c r="F568" s="19">
        <v>0</v>
      </c>
      <c r="G568" s="19">
        <v>0</v>
      </c>
      <c r="H568" s="19">
        <v>0</v>
      </c>
      <c r="I568" s="62" t="s">
        <v>162</v>
      </c>
      <c r="J568" s="42">
        <f t="shared" si="22"/>
        <v>0</v>
      </c>
    </row>
    <row r="569" spans="1:10" outlineLevel="1" x14ac:dyDescent="0.2">
      <c r="D569" s="62" t="s">
        <v>182</v>
      </c>
      <c r="E569" s="64"/>
      <c r="F569" s="19">
        <v>0</v>
      </c>
      <c r="G569" s="19">
        <v>0</v>
      </c>
      <c r="H569" s="19">
        <v>0</v>
      </c>
      <c r="I569" s="62" t="s">
        <v>162</v>
      </c>
      <c r="J569" s="42">
        <f t="shared" si="22"/>
        <v>0</v>
      </c>
    </row>
    <row r="570" spans="1:10" outlineLevel="1" x14ac:dyDescent="0.2">
      <c r="D570" s="55" t="str">
        <f>Lang_Error_Check_Flags_If_Input_Econ_Cost_Is_Less_Than_Fin_Cost</f>
        <v>ERROR CHECK (FLAGS IF INPUT ECONOMIC COST IS LESS THAN FINANCIAL COST)</v>
      </c>
      <c r="J570" s="43">
        <f>IF(ISERROR(SUM(J560:J569)),1,MIN(SUM(J560:J569),1))</f>
        <v>0</v>
      </c>
    </row>
    <row r="571" spans="1:10" outlineLevel="1" x14ac:dyDescent="0.2"/>
    <row r="572" spans="1:10" outlineLevel="1" x14ac:dyDescent="0.2">
      <c r="D572" s="47" t="str">
        <f>Lang_GoTo&amp;" "&amp;HL_LVL2_ACTV_11_Supplies_and_Materials_Outputs</f>
        <v>Go to IEC Soc Mob  Activity # 6 (Not in Use) Supplies and Materials - Outputs</v>
      </c>
    </row>
    <row r="574" spans="1:10" s="13" customFormat="1" x14ac:dyDescent="0.2">
      <c r="A574" s="6" t="s">
        <v>127</v>
      </c>
      <c r="B574" s="13" t="str">
        <f>C576</f>
        <v>IEC Soc Mob  Activity # 6 (Not in Use) - Detailed Other Direct Cost Assumptions</v>
      </c>
    </row>
    <row r="575" spans="1:10" outlineLevel="1" x14ac:dyDescent="0.2"/>
    <row r="576" spans="1:10" outlineLevel="1" x14ac:dyDescent="0.2">
      <c r="C576" s="18" t="str">
        <f>HL_LVL2_ACTV_11_Name&amp;" - "&amp;Lang_Detailed_Other_Direct_Cost_Assumptions</f>
        <v>IEC Soc Mob  Activity # 6 (Not in Use) - Detailed Other Direct Cost Assumptions</v>
      </c>
    </row>
    <row r="577" spans="1:10" ht="48" outlineLevel="1" x14ac:dyDescent="0.2">
      <c r="D577" s="55" t="str">
        <f>Lang_Other_Direct_Cost_ODC_Type</f>
        <v>Other Direct Cost (ODC) Type</v>
      </c>
      <c r="E577" s="85" t="str">
        <f>Lang_ODC_Unit_Each_Dozen_100_Pack</f>
        <v>ODC Unit (e.g. Each, Dozen, 100-pack,etc.)</v>
      </c>
      <c r="F577" s="85" t="str">
        <f>Lang_Number_Of_ODC_Units_Required</f>
        <v>Number of ODC Units Required</v>
      </c>
      <c r="G577" s="63" t="str">
        <f ca="1">SOCMOB_Lu!$D$207&amp;" "&amp;Lang_Cost_Per_Activity_Unit&amp;" ("&amp;OFFSET(SOCMOB_Lu!$D$186,DD_LVL2_ACTV_11_Currency_Selected,0)&amp;")"</f>
        <v>Financial Cost per Activity Unit (USD)</v>
      </c>
      <c r="H577" s="63" t="str">
        <f ca="1">SOCMOB_Lu!$D$208&amp;" "&amp;Lang_Cost_Per_Activity_Unit&amp;" ("&amp;OFFSET(SOCMOB_Lu!$D$186,DD_LVL2_ACTV_11_Currency_Selected,0)&amp;")"</f>
        <v>Economic Cost per Activity Unit (USD)</v>
      </c>
      <c r="I577" s="87" t="str">
        <f>Lang_Evidence_For_Using_This_Cost_Information_Source_Or_Notes</f>
        <v>Evidence for Using this Cost Information (source or notes)</v>
      </c>
    </row>
    <row r="578" spans="1:10" outlineLevel="1" x14ac:dyDescent="0.2">
      <c r="D578" s="62" t="s">
        <v>183</v>
      </c>
      <c r="E578" s="64"/>
      <c r="F578" s="19">
        <v>0</v>
      </c>
      <c r="G578" s="19">
        <v>0</v>
      </c>
      <c r="H578" s="19">
        <v>0</v>
      </c>
      <c r="I578" s="62" t="s">
        <v>162</v>
      </c>
      <c r="J578" s="42">
        <f t="shared" ref="J578:J587" si="23">IF(H578&lt;G578,1,0)</f>
        <v>0</v>
      </c>
    </row>
    <row r="579" spans="1:10" outlineLevel="1" x14ac:dyDescent="0.2">
      <c r="D579" s="62" t="s">
        <v>184</v>
      </c>
      <c r="E579" s="64"/>
      <c r="F579" s="19">
        <v>0</v>
      </c>
      <c r="G579" s="19">
        <v>0</v>
      </c>
      <c r="H579" s="19">
        <v>0</v>
      </c>
      <c r="I579" s="62" t="s">
        <v>162</v>
      </c>
      <c r="J579" s="42">
        <f t="shared" si="23"/>
        <v>0</v>
      </c>
    </row>
    <row r="580" spans="1:10" outlineLevel="1" x14ac:dyDescent="0.2">
      <c r="D580" s="62" t="s">
        <v>185</v>
      </c>
      <c r="E580" s="64"/>
      <c r="F580" s="19">
        <v>0</v>
      </c>
      <c r="G580" s="19">
        <v>0</v>
      </c>
      <c r="H580" s="19">
        <v>0</v>
      </c>
      <c r="I580" s="62" t="s">
        <v>162</v>
      </c>
      <c r="J580" s="42">
        <f t="shared" si="23"/>
        <v>0</v>
      </c>
    </row>
    <row r="581" spans="1:10" outlineLevel="1" x14ac:dyDescent="0.2">
      <c r="D581" s="62" t="s">
        <v>186</v>
      </c>
      <c r="E581" s="64"/>
      <c r="F581" s="19">
        <v>0</v>
      </c>
      <c r="G581" s="19">
        <v>0</v>
      </c>
      <c r="H581" s="19">
        <v>0</v>
      </c>
      <c r="I581" s="62" t="s">
        <v>162</v>
      </c>
      <c r="J581" s="42">
        <f t="shared" si="23"/>
        <v>0</v>
      </c>
    </row>
    <row r="582" spans="1:10" outlineLevel="1" x14ac:dyDescent="0.2">
      <c r="D582" s="62" t="s">
        <v>187</v>
      </c>
      <c r="E582" s="64"/>
      <c r="F582" s="19">
        <v>0</v>
      </c>
      <c r="G582" s="19">
        <v>0</v>
      </c>
      <c r="H582" s="19">
        <v>0</v>
      </c>
      <c r="I582" s="62" t="s">
        <v>162</v>
      </c>
      <c r="J582" s="42">
        <f t="shared" si="23"/>
        <v>0</v>
      </c>
    </row>
    <row r="583" spans="1:10" outlineLevel="1" x14ac:dyDescent="0.2">
      <c r="D583" s="62" t="s">
        <v>188</v>
      </c>
      <c r="E583" s="64"/>
      <c r="F583" s="19">
        <v>0</v>
      </c>
      <c r="G583" s="19">
        <v>0</v>
      </c>
      <c r="H583" s="19">
        <v>0</v>
      </c>
      <c r="I583" s="62" t="s">
        <v>162</v>
      </c>
      <c r="J583" s="42">
        <f t="shared" si="23"/>
        <v>0</v>
      </c>
    </row>
    <row r="584" spans="1:10" outlineLevel="1" x14ac:dyDescent="0.2">
      <c r="D584" s="62" t="s">
        <v>189</v>
      </c>
      <c r="E584" s="64"/>
      <c r="F584" s="19">
        <v>0</v>
      </c>
      <c r="G584" s="19">
        <v>0</v>
      </c>
      <c r="H584" s="19">
        <v>0</v>
      </c>
      <c r="I584" s="62" t="s">
        <v>162</v>
      </c>
      <c r="J584" s="42">
        <f t="shared" si="23"/>
        <v>0</v>
      </c>
    </row>
    <row r="585" spans="1:10" outlineLevel="1" x14ac:dyDescent="0.2">
      <c r="D585" s="62" t="s">
        <v>190</v>
      </c>
      <c r="E585" s="64"/>
      <c r="F585" s="19">
        <v>0</v>
      </c>
      <c r="G585" s="19">
        <v>0</v>
      </c>
      <c r="H585" s="19">
        <v>0</v>
      </c>
      <c r="I585" s="62" t="s">
        <v>162</v>
      </c>
      <c r="J585" s="42">
        <f t="shared" si="23"/>
        <v>0</v>
      </c>
    </row>
    <row r="586" spans="1:10" outlineLevel="1" x14ac:dyDescent="0.2">
      <c r="D586" s="62" t="s">
        <v>191</v>
      </c>
      <c r="E586" s="64"/>
      <c r="F586" s="19">
        <v>0</v>
      </c>
      <c r="G586" s="19">
        <v>0</v>
      </c>
      <c r="H586" s="19">
        <v>0</v>
      </c>
      <c r="I586" s="62" t="s">
        <v>162</v>
      </c>
      <c r="J586" s="42">
        <f t="shared" si="23"/>
        <v>0</v>
      </c>
    </row>
    <row r="587" spans="1:10" outlineLevel="1" x14ac:dyDescent="0.2">
      <c r="D587" s="62" t="s">
        <v>192</v>
      </c>
      <c r="E587" s="64"/>
      <c r="F587" s="19">
        <v>0</v>
      </c>
      <c r="G587" s="19">
        <v>0</v>
      </c>
      <c r="H587" s="19">
        <v>0</v>
      </c>
      <c r="I587" s="62" t="s">
        <v>162</v>
      </c>
      <c r="J587" s="42">
        <f t="shared" si="23"/>
        <v>0</v>
      </c>
    </row>
    <row r="588" spans="1:10" outlineLevel="1" x14ac:dyDescent="0.2">
      <c r="D588" s="55" t="str">
        <f>Lang_Error_Check_Flags_If_Input_Econ_Cost_Is_Less_Than_Fin_Cost</f>
        <v>ERROR CHECK (FLAGS IF INPUT ECONOMIC COST IS LESS THAN FINANCIAL COST)</v>
      </c>
      <c r="J588" s="43">
        <f>IF(ISERROR(SUM(J578:J587)),1,MIN(SUM(J578:J587),1))</f>
        <v>0</v>
      </c>
    </row>
    <row r="589" spans="1:10" outlineLevel="1" x14ac:dyDescent="0.2"/>
    <row r="590" spans="1:10" outlineLevel="1" x14ac:dyDescent="0.2">
      <c r="D590" s="47" t="str">
        <f>Lang_GoTo&amp;" "&amp;HL_LVL2_ACTV_11_Other_Direct_Costs_Outputs</f>
        <v>Go to IEC Soc Mob  Activity # 6 (Not in Use) Other Direct Costs - Outputs</v>
      </c>
    </row>
    <row r="592" spans="1:10" s="13" customFormat="1" x14ac:dyDescent="0.2">
      <c r="A592" s="6" t="s">
        <v>125</v>
      </c>
      <c r="B592" s="13" t="str">
        <f>C594</f>
        <v>IEC Soc Mob  Activity # 7 (Not in Use) -  Detailed Activity Costing Worksheet - Instructions</v>
      </c>
    </row>
    <row r="593" spans="1:5" outlineLevel="1" x14ac:dyDescent="0.2"/>
    <row r="594" spans="1:5" outlineLevel="1" x14ac:dyDescent="0.2">
      <c r="C594" s="18" t="str">
        <f>HL_LVL2_ACTV_8_Name&amp;" -  "&amp;Lang_Detailed_Activity_Costing_Worksheet_Instructions</f>
        <v>IEC Soc Mob  Activity # 7 (Not in Use) -  Detailed Activity Costing Worksheet - Instructions</v>
      </c>
    </row>
    <row r="595" spans="1:5" outlineLevel="1" x14ac:dyDescent="0.2"/>
    <row r="596" spans="1:5" outlineLevel="1" x14ac:dyDescent="0.2">
      <c r="D596" s="50" t="str">
        <f>Lang_Detailed_Costing_Worksheets_Notes_1</f>
        <v>This detailed costing worksheet can be used to document the types and amounts of resources required to complete a single instance of an activity.</v>
      </c>
    </row>
    <row r="597" spans="1:5" outlineLevel="1" x14ac:dyDescent="0.2">
      <c r="D597" s="50" t="str">
        <f>Lang_Detailed_Costing_Worksheets_Notes_2</f>
        <v>When completed, it will automatically provide a single activity cost in the general assumption worksheet.</v>
      </c>
    </row>
    <row r="598" spans="1:5" outlineLevel="1" x14ac:dyDescent="0.2">
      <c r="D598" s="50" t="str">
        <f>Lang_Detailed_Costing_Worksheets_Notes_3</f>
        <v>The user may then choose to use the results of the detailed costing in the model, or override the detailed costing and insert alternate cost estimates.</v>
      </c>
    </row>
    <row r="599" spans="1:5" outlineLevel="1" x14ac:dyDescent="0.2"/>
    <row r="601" spans="1:5" s="13" customFormat="1" x14ac:dyDescent="0.2">
      <c r="A601" s="6" t="s">
        <v>125</v>
      </c>
      <c r="B601" s="13" t="str">
        <f>C603</f>
        <v>IEC Soc Mob  Activity # 7 (Not in Use) - Detailed Activity Costing Worksheet - Currency Selection</v>
      </c>
    </row>
    <row r="602" spans="1:5" outlineLevel="1" x14ac:dyDescent="0.2"/>
    <row r="603" spans="1:5" outlineLevel="1" x14ac:dyDescent="0.2">
      <c r="C603" s="18" t="str">
        <f>HL_LVL2_ACTV_8_Name&amp;" - "&amp;Lang_Detailed_Activity_Costing_Worksheet_Currency_Selection</f>
        <v>IEC Soc Mob  Activity # 7 (Not in Use) - Detailed Activity Costing Worksheet - Currency Selection</v>
      </c>
    </row>
    <row r="604" spans="1:5" outlineLevel="1" x14ac:dyDescent="0.2"/>
    <row r="605" spans="1:5" outlineLevel="1" x14ac:dyDescent="0.2">
      <c r="D605" s="55" t="str">
        <f>Lang_Currency_Used_For_Cost_Inputs</f>
        <v>Currency Used for Cost Inputs</v>
      </c>
      <c r="E605" s="22">
        <v>1</v>
      </c>
    </row>
    <row r="606" spans="1:5" outlineLevel="1" x14ac:dyDescent="0.2"/>
    <row r="607" spans="1:5" outlineLevel="1" x14ac:dyDescent="0.2"/>
    <row r="608" spans="1:5" outlineLevel="1" x14ac:dyDescent="0.2">
      <c r="D608" s="54" t="str">
        <f>Lang_Imported_From_Econ_Module</f>
        <v>Imported from Econ Module</v>
      </c>
    </row>
    <row r="609" spans="1:10" outlineLevel="1" x14ac:dyDescent="0.2">
      <c r="D609" s="49" t="str">
        <f>ECONOMICS!F7</f>
        <v>USD</v>
      </c>
    </row>
    <row r="610" spans="1:10" outlineLevel="1" x14ac:dyDescent="0.2">
      <c r="D610" s="49" t="str">
        <f>ECONOMICS!F8</f>
        <v>LCU</v>
      </c>
    </row>
    <row r="611" spans="1:10" outlineLevel="1" x14ac:dyDescent="0.2"/>
    <row r="612" spans="1:10" outlineLevel="1" x14ac:dyDescent="0.2">
      <c r="D612" s="50" t="str">
        <f>Lang_Exchange_Rate_From_Econ</f>
        <v>Exchange Rate (from Economics)</v>
      </c>
      <c r="E612" s="41">
        <f>ECONOMICS!E13</f>
        <v>1234.5</v>
      </c>
    </row>
    <row r="614" spans="1:10" s="13" customFormat="1" x14ac:dyDescent="0.2">
      <c r="A614" s="6" t="s">
        <v>127</v>
      </c>
      <c r="B614" s="13" t="str">
        <f>C616</f>
        <v>IEC Soc Mob  Activity # 7 (Not in Use) - Detailed Personnel Cost Assumptions</v>
      </c>
    </row>
    <row r="615" spans="1:10" outlineLevel="1" x14ac:dyDescent="0.2"/>
    <row r="616" spans="1:10" outlineLevel="1" x14ac:dyDescent="0.2">
      <c r="C616" s="18" t="str">
        <f>HL_LVL2_ACTV_8_Name&amp;" - "&amp;Lang_Detailed_Personnel_Cost_Assumptions</f>
        <v>IEC Soc Mob  Activity # 7 (Not in Use) - Detailed Personnel Cost Assumptions</v>
      </c>
    </row>
    <row r="617" spans="1:10" ht="48" outlineLevel="1" x14ac:dyDescent="0.2">
      <c r="D617" s="55" t="str">
        <f>Lang_Personnel_Cadre_Type</f>
        <v>Personnel Cadre Type</v>
      </c>
      <c r="E617" s="85" t="str">
        <f>Lang_Activity_Unit_Day_Hour_Minute</f>
        <v>Activity Unit (e.g. Day, Hour, Minute)</v>
      </c>
      <c r="F617" s="85" t="str">
        <f>Lang_Number_Of_Activity_Units_Required</f>
        <v>Number of Activity Units Required</v>
      </c>
      <c r="G617" s="63" t="str">
        <f ca="1">SOCMOB_Lu!$D$242&amp;" "&amp;Lang_Cost_Per_Activity_Unit&amp;" ("&amp;OFFSET(SOCMOB_Lu!$D$221,DD_LVL2_ACTV_8_Currency_Selected,0)&amp;")"</f>
        <v>Financial Cost per Activity Unit (USD)</v>
      </c>
      <c r="H617" s="63" t="str">
        <f ca="1">SOCMOB_Lu!$D$243&amp;" "&amp;Lang_Cost_Per_Activity_Unit&amp;" ("&amp;OFFSET(SOCMOB_Lu!$D$221,DD_LVL2_ACTV_8_Currency_Selected,0)&amp;")"</f>
        <v>Economic Cost per Activity Unit (USD)</v>
      </c>
      <c r="I617" s="87" t="str">
        <f>Lang_Evidence_For_Using_This_Cost_Information_Source_Or_Notes</f>
        <v>Evidence for Using this Cost Information (source or notes)</v>
      </c>
    </row>
    <row r="618" spans="1:10" outlineLevel="1" x14ac:dyDescent="0.2">
      <c r="D618" s="62" t="s">
        <v>152</v>
      </c>
      <c r="E618" s="64"/>
      <c r="F618" s="19">
        <v>0</v>
      </c>
      <c r="G618" s="19">
        <v>0</v>
      </c>
      <c r="H618" s="19">
        <v>0</v>
      </c>
      <c r="I618" s="62" t="s">
        <v>162</v>
      </c>
      <c r="J618" s="42">
        <f t="shared" ref="J618:J632" si="24">IF(H618&lt;G618,1,0)</f>
        <v>0</v>
      </c>
    </row>
    <row r="619" spans="1:10" outlineLevel="1" x14ac:dyDescent="0.2">
      <c r="D619" s="62" t="s">
        <v>153</v>
      </c>
      <c r="E619" s="64"/>
      <c r="F619" s="19">
        <v>0</v>
      </c>
      <c r="G619" s="19">
        <v>0</v>
      </c>
      <c r="H619" s="19">
        <v>0</v>
      </c>
      <c r="I619" s="62" t="s">
        <v>162</v>
      </c>
      <c r="J619" s="42">
        <f t="shared" si="24"/>
        <v>0</v>
      </c>
    </row>
    <row r="620" spans="1:10" outlineLevel="1" x14ac:dyDescent="0.2">
      <c r="D620" s="62" t="s">
        <v>154</v>
      </c>
      <c r="E620" s="64"/>
      <c r="F620" s="19">
        <v>0</v>
      </c>
      <c r="G620" s="19">
        <v>0</v>
      </c>
      <c r="H620" s="19">
        <v>0</v>
      </c>
      <c r="I620" s="62" t="s">
        <v>162</v>
      </c>
      <c r="J620" s="42">
        <f t="shared" si="24"/>
        <v>0</v>
      </c>
    </row>
    <row r="621" spans="1:10" outlineLevel="1" x14ac:dyDescent="0.2">
      <c r="D621" s="62" t="s">
        <v>155</v>
      </c>
      <c r="E621" s="64"/>
      <c r="F621" s="19">
        <v>0</v>
      </c>
      <c r="G621" s="19">
        <v>0</v>
      </c>
      <c r="H621" s="19">
        <v>0</v>
      </c>
      <c r="I621" s="62" t="s">
        <v>162</v>
      </c>
      <c r="J621" s="42">
        <f t="shared" si="24"/>
        <v>0</v>
      </c>
    </row>
    <row r="622" spans="1:10" outlineLevel="1" x14ac:dyDescent="0.2">
      <c r="D622" s="62" t="s">
        <v>156</v>
      </c>
      <c r="E622" s="64"/>
      <c r="F622" s="19">
        <v>0</v>
      </c>
      <c r="G622" s="19">
        <v>0</v>
      </c>
      <c r="H622" s="19">
        <v>0</v>
      </c>
      <c r="I622" s="62" t="s">
        <v>162</v>
      </c>
      <c r="J622" s="42">
        <f t="shared" si="24"/>
        <v>0</v>
      </c>
    </row>
    <row r="623" spans="1:10" outlineLevel="1" x14ac:dyDescent="0.2">
      <c r="D623" s="62" t="s">
        <v>157</v>
      </c>
      <c r="E623" s="64"/>
      <c r="F623" s="19">
        <v>0</v>
      </c>
      <c r="G623" s="19">
        <v>0</v>
      </c>
      <c r="H623" s="19">
        <v>0</v>
      </c>
      <c r="I623" s="62" t="s">
        <v>162</v>
      </c>
      <c r="J623" s="42">
        <f t="shared" si="24"/>
        <v>0</v>
      </c>
    </row>
    <row r="624" spans="1:10" outlineLevel="1" x14ac:dyDescent="0.2">
      <c r="D624" s="62" t="s">
        <v>158</v>
      </c>
      <c r="E624" s="64"/>
      <c r="F624" s="19">
        <v>0</v>
      </c>
      <c r="G624" s="19">
        <v>0</v>
      </c>
      <c r="H624" s="19">
        <v>0</v>
      </c>
      <c r="I624" s="62" t="s">
        <v>162</v>
      </c>
      <c r="J624" s="42">
        <f t="shared" si="24"/>
        <v>0</v>
      </c>
    </row>
    <row r="625" spans="1:10" outlineLevel="1" x14ac:dyDescent="0.2">
      <c r="D625" s="62" t="s">
        <v>159</v>
      </c>
      <c r="E625" s="64"/>
      <c r="F625" s="19">
        <v>0</v>
      </c>
      <c r="G625" s="19">
        <v>0</v>
      </c>
      <c r="H625" s="19">
        <v>0</v>
      </c>
      <c r="I625" s="62" t="s">
        <v>162</v>
      </c>
      <c r="J625" s="42">
        <f t="shared" si="24"/>
        <v>0</v>
      </c>
    </row>
    <row r="626" spans="1:10" outlineLevel="1" x14ac:dyDescent="0.2">
      <c r="D626" s="62" t="s">
        <v>160</v>
      </c>
      <c r="E626" s="64"/>
      <c r="F626" s="19">
        <v>0</v>
      </c>
      <c r="G626" s="19">
        <v>0</v>
      </c>
      <c r="H626" s="19">
        <v>0</v>
      </c>
      <c r="I626" s="62" t="s">
        <v>162</v>
      </c>
      <c r="J626" s="42">
        <f t="shared" si="24"/>
        <v>0</v>
      </c>
    </row>
    <row r="627" spans="1:10" outlineLevel="1" x14ac:dyDescent="0.2">
      <c r="D627" s="62" t="s">
        <v>161</v>
      </c>
      <c r="E627" s="64"/>
      <c r="F627" s="19">
        <v>0</v>
      </c>
      <c r="G627" s="19">
        <v>0</v>
      </c>
      <c r="H627" s="19">
        <v>0</v>
      </c>
      <c r="I627" s="62" t="s">
        <v>162</v>
      </c>
      <c r="J627" s="42">
        <f t="shared" si="24"/>
        <v>0</v>
      </c>
    </row>
    <row r="628" spans="1:10" outlineLevel="1" x14ac:dyDescent="0.2">
      <c r="D628" s="62" t="s">
        <v>393</v>
      </c>
      <c r="E628" s="64"/>
      <c r="F628" s="19">
        <v>0</v>
      </c>
      <c r="G628" s="19">
        <v>0</v>
      </c>
      <c r="H628" s="19">
        <v>0</v>
      </c>
      <c r="I628" s="62" t="s">
        <v>162</v>
      </c>
      <c r="J628" s="42">
        <f t="shared" si="24"/>
        <v>0</v>
      </c>
    </row>
    <row r="629" spans="1:10" outlineLevel="1" x14ac:dyDescent="0.2">
      <c r="D629" s="62" t="s">
        <v>394</v>
      </c>
      <c r="E629" s="64"/>
      <c r="F629" s="19">
        <v>0</v>
      </c>
      <c r="G629" s="19">
        <v>0</v>
      </c>
      <c r="H629" s="19">
        <v>0</v>
      </c>
      <c r="I629" s="62" t="s">
        <v>162</v>
      </c>
      <c r="J629" s="42">
        <f t="shared" si="24"/>
        <v>0</v>
      </c>
    </row>
    <row r="630" spans="1:10" outlineLevel="1" x14ac:dyDescent="0.2">
      <c r="D630" s="62" t="s">
        <v>395</v>
      </c>
      <c r="E630" s="64"/>
      <c r="F630" s="19">
        <v>0</v>
      </c>
      <c r="G630" s="19">
        <v>0</v>
      </c>
      <c r="H630" s="19">
        <v>0</v>
      </c>
      <c r="I630" s="62" t="s">
        <v>162</v>
      </c>
      <c r="J630" s="42">
        <f t="shared" si="24"/>
        <v>0</v>
      </c>
    </row>
    <row r="631" spans="1:10" outlineLevel="1" x14ac:dyDescent="0.2">
      <c r="D631" s="62" t="s">
        <v>396</v>
      </c>
      <c r="E631" s="64"/>
      <c r="F631" s="19">
        <v>0</v>
      </c>
      <c r="G631" s="19">
        <v>0</v>
      </c>
      <c r="H631" s="19">
        <v>0</v>
      </c>
      <c r="I631" s="62" t="s">
        <v>162</v>
      </c>
      <c r="J631" s="42">
        <f t="shared" si="24"/>
        <v>0</v>
      </c>
    </row>
    <row r="632" spans="1:10" outlineLevel="1" x14ac:dyDescent="0.2">
      <c r="D632" s="62" t="s">
        <v>397</v>
      </c>
      <c r="E632" s="64"/>
      <c r="F632" s="19">
        <v>0</v>
      </c>
      <c r="G632" s="19">
        <v>0</v>
      </c>
      <c r="H632" s="19">
        <v>0</v>
      </c>
      <c r="I632" s="62" t="s">
        <v>162</v>
      </c>
      <c r="J632" s="42">
        <f t="shared" si="24"/>
        <v>0</v>
      </c>
    </row>
    <row r="633" spans="1:10" outlineLevel="1" x14ac:dyDescent="0.2">
      <c r="D633" s="55" t="str">
        <f>Lang_Error_Check_Flags_If_Input_Econ_Cost_Is_Less_Than_Fin_Cost</f>
        <v>ERROR CHECK (FLAGS IF INPUT ECONOMIC COST IS LESS THAN FINANCIAL COST)</v>
      </c>
      <c r="J633" s="43">
        <f>IF(ISERROR(SUM(J618:J632)),1,MIN(SUM(J618:J632),1))</f>
        <v>0</v>
      </c>
    </row>
    <row r="634" spans="1:10" outlineLevel="1" x14ac:dyDescent="0.2"/>
    <row r="635" spans="1:10" outlineLevel="1" x14ac:dyDescent="0.2">
      <c r="D635" s="47" t="str">
        <f>Lang_GoTo&amp;" "&amp;HL_LVL2_ACTV_8_Personnel_Outputs</f>
        <v>Go to IEC Soc Mob  Activity # 7 (Not in Use) Personnel - Outputs</v>
      </c>
    </row>
    <row r="637" spans="1:10" s="13" customFormat="1" x14ac:dyDescent="0.2">
      <c r="A637" s="6" t="s">
        <v>127</v>
      </c>
      <c r="B637" s="13" t="str">
        <f>C639</f>
        <v>IEC Soc Mob  Activity # 7 (Not in Use) - Detailed Allowance Cost Assumptions</v>
      </c>
    </row>
    <row r="638" spans="1:10" outlineLevel="1" x14ac:dyDescent="0.2"/>
    <row r="639" spans="1:10" outlineLevel="1" x14ac:dyDescent="0.2">
      <c r="C639" s="18" t="str">
        <f>HL_LVL2_ACTV_8_Name&amp;" - "&amp;Lang_Detailed_Allowance_Cost_Assumptions</f>
        <v>IEC Soc Mob  Activity # 7 (Not in Use) - Detailed Allowance Cost Assumptions</v>
      </c>
    </row>
    <row r="640" spans="1:10" ht="48" outlineLevel="1" x14ac:dyDescent="0.2">
      <c r="D640" s="55" t="str">
        <f>Lang_Allowance_Type</f>
        <v>Allowance Type</v>
      </c>
      <c r="E640" s="85" t="str">
        <f>Lang_Allowance_Unit_Per_Day_Round_Trip_Travel</f>
        <v>Allowance Unit (e.g. Per Day, Round-trip Travel,etc.)</v>
      </c>
      <c r="F640" s="85" t="str">
        <f>Lang_Number_Of_Allowance_Units_Required</f>
        <v>Number of Allowance Units Required</v>
      </c>
      <c r="G640" s="63" t="str">
        <f ca="1">SOCMOB_Lu!$D$242&amp;" "&amp;Lang_Cost_Per_Activity_Unit&amp;" ("&amp;OFFSET(SOCMOB_Lu!$D$221,DD_LVL2_ACTV_8_Currency_Selected,0)&amp;")"</f>
        <v>Financial Cost per Activity Unit (USD)</v>
      </c>
      <c r="H640" s="63" t="str">
        <f ca="1">SOCMOB_Lu!$D$243&amp;" "&amp;Lang_Cost_Per_Activity_Unit&amp;" ("&amp;OFFSET(SOCMOB_Lu!$D$221,DD_LVL2_ACTV_8_Currency_Selected,0)&amp;")"</f>
        <v>Economic Cost per Activity Unit (USD)</v>
      </c>
      <c r="I640" s="87" t="str">
        <f>Lang_Evidence_For_Using_This_Cost_Information_Source_Or_Notes</f>
        <v>Evidence for Using this Cost Information (source or notes)</v>
      </c>
    </row>
    <row r="641" spans="1:10" outlineLevel="1" x14ac:dyDescent="0.2">
      <c r="D641" s="62" t="s">
        <v>163</v>
      </c>
      <c r="E641" s="64"/>
      <c r="F641" s="19">
        <v>0</v>
      </c>
      <c r="G641" s="19">
        <v>0</v>
      </c>
      <c r="H641" s="19">
        <v>0</v>
      </c>
      <c r="I641" s="62" t="s">
        <v>162</v>
      </c>
      <c r="J641" s="42">
        <f t="shared" ref="J641:J650" si="25">IF(H641&lt;G641,1,0)</f>
        <v>0</v>
      </c>
    </row>
    <row r="642" spans="1:10" outlineLevel="1" x14ac:dyDescent="0.2">
      <c r="D642" s="62" t="s">
        <v>164</v>
      </c>
      <c r="E642" s="64"/>
      <c r="F642" s="19">
        <v>0</v>
      </c>
      <c r="G642" s="19">
        <v>0</v>
      </c>
      <c r="H642" s="19">
        <v>0</v>
      </c>
      <c r="I642" s="62" t="s">
        <v>162</v>
      </c>
      <c r="J642" s="42">
        <f t="shared" si="25"/>
        <v>0</v>
      </c>
    </row>
    <row r="643" spans="1:10" outlineLevel="1" x14ac:dyDescent="0.2">
      <c r="D643" s="62" t="s">
        <v>165</v>
      </c>
      <c r="E643" s="64"/>
      <c r="F643" s="19">
        <v>0</v>
      </c>
      <c r="G643" s="19">
        <v>0</v>
      </c>
      <c r="H643" s="19">
        <v>0</v>
      </c>
      <c r="I643" s="62" t="s">
        <v>162</v>
      </c>
      <c r="J643" s="42">
        <f t="shared" si="25"/>
        <v>0</v>
      </c>
    </row>
    <row r="644" spans="1:10" outlineLevel="1" x14ac:dyDescent="0.2">
      <c r="D644" s="62" t="s">
        <v>166</v>
      </c>
      <c r="E644" s="64"/>
      <c r="F644" s="19">
        <v>0</v>
      </c>
      <c r="G644" s="19">
        <v>0</v>
      </c>
      <c r="H644" s="19">
        <v>0</v>
      </c>
      <c r="I644" s="62" t="s">
        <v>162</v>
      </c>
      <c r="J644" s="42">
        <f t="shared" si="25"/>
        <v>0</v>
      </c>
    </row>
    <row r="645" spans="1:10" outlineLevel="1" x14ac:dyDescent="0.2">
      <c r="D645" s="62" t="s">
        <v>167</v>
      </c>
      <c r="E645" s="64"/>
      <c r="F645" s="19">
        <v>0</v>
      </c>
      <c r="G645" s="19">
        <v>0</v>
      </c>
      <c r="H645" s="19">
        <v>0</v>
      </c>
      <c r="I645" s="62" t="s">
        <v>162</v>
      </c>
      <c r="J645" s="42">
        <f t="shared" si="25"/>
        <v>0</v>
      </c>
    </row>
    <row r="646" spans="1:10" outlineLevel="1" x14ac:dyDescent="0.2">
      <c r="D646" s="62" t="s">
        <v>168</v>
      </c>
      <c r="E646" s="64"/>
      <c r="F646" s="19">
        <v>0</v>
      </c>
      <c r="G646" s="19">
        <v>0</v>
      </c>
      <c r="H646" s="19">
        <v>0</v>
      </c>
      <c r="I646" s="62" t="s">
        <v>162</v>
      </c>
      <c r="J646" s="42">
        <f t="shared" si="25"/>
        <v>0</v>
      </c>
    </row>
    <row r="647" spans="1:10" outlineLevel="1" x14ac:dyDescent="0.2">
      <c r="D647" s="62" t="s">
        <v>169</v>
      </c>
      <c r="E647" s="64"/>
      <c r="F647" s="19">
        <v>0</v>
      </c>
      <c r="G647" s="19">
        <v>0</v>
      </c>
      <c r="H647" s="19">
        <v>0</v>
      </c>
      <c r="I647" s="62" t="s">
        <v>162</v>
      </c>
      <c r="J647" s="42">
        <f t="shared" si="25"/>
        <v>0</v>
      </c>
    </row>
    <row r="648" spans="1:10" outlineLevel="1" x14ac:dyDescent="0.2">
      <c r="D648" s="62" t="s">
        <v>170</v>
      </c>
      <c r="E648" s="64"/>
      <c r="F648" s="19">
        <v>0</v>
      </c>
      <c r="G648" s="19">
        <v>0</v>
      </c>
      <c r="H648" s="19">
        <v>0</v>
      </c>
      <c r="I648" s="62" t="s">
        <v>162</v>
      </c>
      <c r="J648" s="42">
        <f t="shared" si="25"/>
        <v>0</v>
      </c>
    </row>
    <row r="649" spans="1:10" outlineLevel="1" x14ac:dyDescent="0.2">
      <c r="D649" s="62" t="s">
        <v>171</v>
      </c>
      <c r="E649" s="64"/>
      <c r="F649" s="19">
        <v>0</v>
      </c>
      <c r="G649" s="19">
        <v>0</v>
      </c>
      <c r="H649" s="19">
        <v>0</v>
      </c>
      <c r="I649" s="62" t="s">
        <v>162</v>
      </c>
      <c r="J649" s="42">
        <f t="shared" si="25"/>
        <v>0</v>
      </c>
    </row>
    <row r="650" spans="1:10" outlineLevel="1" x14ac:dyDescent="0.2">
      <c r="D650" s="62" t="s">
        <v>172</v>
      </c>
      <c r="E650" s="64"/>
      <c r="F650" s="19">
        <v>0</v>
      </c>
      <c r="G650" s="19">
        <v>0</v>
      </c>
      <c r="H650" s="19">
        <v>0</v>
      </c>
      <c r="I650" s="62" t="s">
        <v>162</v>
      </c>
      <c r="J650" s="42">
        <f t="shared" si="25"/>
        <v>0</v>
      </c>
    </row>
    <row r="651" spans="1:10" outlineLevel="1" x14ac:dyDescent="0.2">
      <c r="D651" s="55" t="str">
        <f>Lang_Error_Check_Flags_If_Input_Econ_Cost_Is_Less_Than_Fin_Cost</f>
        <v>ERROR CHECK (FLAGS IF INPUT ECONOMIC COST IS LESS THAN FINANCIAL COST)</v>
      </c>
      <c r="J651" s="43">
        <f>IF(ISERROR(SUM(J641:J650)),1,MIN(SUM(J641:J650),1))</f>
        <v>0</v>
      </c>
    </row>
    <row r="652" spans="1:10" outlineLevel="1" x14ac:dyDescent="0.2"/>
    <row r="653" spans="1:10" outlineLevel="1" x14ac:dyDescent="0.2">
      <c r="D653" s="47" t="str">
        <f>Lang_GoTo&amp;" "&amp;HL_LVL2_ACTV_8_Out_A</f>
        <v>Go to IEC Soc Mob  Activity # 7 (Not in Use) Allowances - Outputs</v>
      </c>
    </row>
    <row r="655" spans="1:10" s="13" customFormat="1" x14ac:dyDescent="0.2">
      <c r="A655" s="6" t="s">
        <v>127</v>
      </c>
      <c r="B655" s="13" t="str">
        <f>C657</f>
        <v>IEC Soc Mob  Activity # 7 (Not in Use) - Detailed Supply and Material Cost Assumptions</v>
      </c>
    </row>
    <row r="656" spans="1:10" outlineLevel="1" x14ac:dyDescent="0.2"/>
    <row r="657" spans="3:10" outlineLevel="1" x14ac:dyDescent="0.2">
      <c r="C657" s="18" t="str">
        <f>HL_LVL2_ACTV_8_Name&amp;" - "&amp;Lang_Detailed_Supply_And_Material_Cost_Assumptions</f>
        <v>IEC Soc Mob  Activity # 7 (Not in Use) - Detailed Supply and Material Cost Assumptions</v>
      </c>
    </row>
    <row r="658" spans="3:10" ht="48" outlineLevel="1" x14ac:dyDescent="0.2">
      <c r="D658" s="55" t="str">
        <f>Lang_Supply_Type</f>
        <v>Supply Type</v>
      </c>
      <c r="E658" s="85" t="str">
        <f>Lang_Supply_Unit_Each_Dozen_100_Pack</f>
        <v>Supply Unit (e.g. Each, Dozen, 100-pack,etc.)</v>
      </c>
      <c r="F658" s="85" t="str">
        <f>Lang_Number_Of_Supply_Units_Required</f>
        <v>Number of Supply Units Required</v>
      </c>
      <c r="G658" s="63" t="str">
        <f ca="1">SOCMOB_Lu!$D$242&amp;" "&amp;Lang_Cost_Per_Activity_Unit&amp;" ("&amp;OFFSET(SOCMOB_Lu!$D$221,DD_LVL2_ACTV_8_Currency_Selected,0)&amp;")"</f>
        <v>Financial Cost per Activity Unit (USD)</v>
      </c>
      <c r="H658" s="63" t="str">
        <f ca="1">SOCMOB_Lu!$D$243&amp;" "&amp;Lang_Cost_Per_Activity_Unit&amp;" ("&amp;OFFSET(SOCMOB_Lu!$D$221,DD_LVL2_ACTV_8_Currency_Selected,0)&amp;")"</f>
        <v>Economic Cost per Activity Unit (USD)</v>
      </c>
      <c r="I658" s="87" t="str">
        <f>Lang_Evidence_For_Using_This_Cost_Information_Source_Or_Notes</f>
        <v>Evidence for Using this Cost Information (source or notes)</v>
      </c>
    </row>
    <row r="659" spans="3:10" outlineLevel="1" x14ac:dyDescent="0.2">
      <c r="D659" s="62" t="s">
        <v>173</v>
      </c>
      <c r="E659" s="64"/>
      <c r="F659" s="19">
        <v>0</v>
      </c>
      <c r="G659" s="19">
        <v>0</v>
      </c>
      <c r="H659" s="19">
        <v>0</v>
      </c>
      <c r="I659" s="62" t="s">
        <v>162</v>
      </c>
      <c r="J659" s="42">
        <f t="shared" ref="J659:J668" si="26">IF(H659&lt;G659,1,0)</f>
        <v>0</v>
      </c>
    </row>
    <row r="660" spans="3:10" outlineLevel="1" x14ac:dyDescent="0.2">
      <c r="D660" s="62" t="s">
        <v>174</v>
      </c>
      <c r="E660" s="64"/>
      <c r="F660" s="19">
        <v>0</v>
      </c>
      <c r="G660" s="19">
        <v>0</v>
      </c>
      <c r="H660" s="19">
        <v>0</v>
      </c>
      <c r="I660" s="62" t="s">
        <v>162</v>
      </c>
      <c r="J660" s="42">
        <f t="shared" si="26"/>
        <v>0</v>
      </c>
    </row>
    <row r="661" spans="3:10" outlineLevel="1" x14ac:dyDescent="0.2">
      <c r="D661" s="62" t="s">
        <v>175</v>
      </c>
      <c r="E661" s="64"/>
      <c r="F661" s="19">
        <v>0</v>
      </c>
      <c r="G661" s="19">
        <v>0</v>
      </c>
      <c r="H661" s="19">
        <v>0</v>
      </c>
      <c r="I661" s="62" t="s">
        <v>162</v>
      </c>
      <c r="J661" s="42">
        <f t="shared" si="26"/>
        <v>0</v>
      </c>
    </row>
    <row r="662" spans="3:10" outlineLevel="1" x14ac:dyDescent="0.2">
      <c r="D662" s="62" t="s">
        <v>176</v>
      </c>
      <c r="E662" s="64"/>
      <c r="F662" s="19">
        <v>0</v>
      </c>
      <c r="G662" s="19">
        <v>0</v>
      </c>
      <c r="H662" s="19">
        <v>0</v>
      </c>
      <c r="I662" s="62" t="s">
        <v>162</v>
      </c>
      <c r="J662" s="42">
        <f t="shared" si="26"/>
        <v>0</v>
      </c>
    </row>
    <row r="663" spans="3:10" outlineLevel="1" x14ac:dyDescent="0.2">
      <c r="D663" s="62" t="s">
        <v>177</v>
      </c>
      <c r="E663" s="64"/>
      <c r="F663" s="19">
        <v>0</v>
      </c>
      <c r="G663" s="19">
        <v>0</v>
      </c>
      <c r="H663" s="19">
        <v>0</v>
      </c>
      <c r="I663" s="62" t="s">
        <v>162</v>
      </c>
      <c r="J663" s="42">
        <f t="shared" si="26"/>
        <v>0</v>
      </c>
    </row>
    <row r="664" spans="3:10" outlineLevel="1" x14ac:dyDescent="0.2">
      <c r="D664" s="62" t="s">
        <v>178</v>
      </c>
      <c r="E664" s="64"/>
      <c r="F664" s="19">
        <v>0</v>
      </c>
      <c r="G664" s="19">
        <v>0</v>
      </c>
      <c r="H664" s="19">
        <v>0</v>
      </c>
      <c r="I664" s="62" t="s">
        <v>162</v>
      </c>
      <c r="J664" s="42">
        <f t="shared" si="26"/>
        <v>0</v>
      </c>
    </row>
    <row r="665" spans="3:10" outlineLevel="1" x14ac:dyDescent="0.2">
      <c r="D665" s="62" t="s">
        <v>179</v>
      </c>
      <c r="E665" s="64"/>
      <c r="F665" s="19">
        <v>0</v>
      </c>
      <c r="G665" s="19">
        <v>0</v>
      </c>
      <c r="H665" s="19">
        <v>0</v>
      </c>
      <c r="I665" s="62" t="s">
        <v>162</v>
      </c>
      <c r="J665" s="42">
        <f t="shared" si="26"/>
        <v>0</v>
      </c>
    </row>
    <row r="666" spans="3:10" outlineLevel="1" x14ac:dyDescent="0.2">
      <c r="D666" s="62" t="s">
        <v>180</v>
      </c>
      <c r="E666" s="64"/>
      <c r="F666" s="19">
        <v>0</v>
      </c>
      <c r="G666" s="19">
        <v>0</v>
      </c>
      <c r="H666" s="19">
        <v>0</v>
      </c>
      <c r="I666" s="62" t="s">
        <v>162</v>
      </c>
      <c r="J666" s="42">
        <f t="shared" si="26"/>
        <v>0</v>
      </c>
    </row>
    <row r="667" spans="3:10" outlineLevel="1" x14ac:dyDescent="0.2">
      <c r="D667" s="62" t="s">
        <v>181</v>
      </c>
      <c r="E667" s="64"/>
      <c r="F667" s="19">
        <v>0</v>
      </c>
      <c r="G667" s="19">
        <v>0</v>
      </c>
      <c r="H667" s="19">
        <v>0</v>
      </c>
      <c r="I667" s="62" t="s">
        <v>162</v>
      </c>
      <c r="J667" s="42">
        <f t="shared" si="26"/>
        <v>0</v>
      </c>
    </row>
    <row r="668" spans="3:10" outlineLevel="1" x14ac:dyDescent="0.2">
      <c r="D668" s="62" t="s">
        <v>182</v>
      </c>
      <c r="E668" s="64"/>
      <c r="F668" s="19">
        <v>0</v>
      </c>
      <c r="G668" s="19">
        <v>0</v>
      </c>
      <c r="H668" s="19">
        <v>0</v>
      </c>
      <c r="I668" s="62" t="s">
        <v>162</v>
      </c>
      <c r="J668" s="42">
        <f t="shared" si="26"/>
        <v>0</v>
      </c>
    </row>
    <row r="669" spans="3:10" outlineLevel="1" x14ac:dyDescent="0.2">
      <c r="D669" s="55" t="str">
        <f>Lang_Error_Check_Flags_If_Input_Econ_Cost_Is_Less_Than_Fin_Cost</f>
        <v>ERROR CHECK (FLAGS IF INPUT ECONOMIC COST IS LESS THAN FINANCIAL COST)</v>
      </c>
      <c r="J669" s="43">
        <f>IF(ISERROR(SUM(J659:J668)),1,MIN(SUM(J659:J668),1))</f>
        <v>0</v>
      </c>
    </row>
    <row r="670" spans="3:10" outlineLevel="1" x14ac:dyDescent="0.2"/>
    <row r="671" spans="3:10" outlineLevel="1" x14ac:dyDescent="0.2">
      <c r="D671" s="47" t="str">
        <f>Lang_GoTo&amp;" "&amp;HL_LVL2_ACTV_8_Supplies_and_Materials_Outputs</f>
        <v>Go to IEC Soc Mob  Activity # 7 (Not in Use) Supplies and Materials - Outputs</v>
      </c>
    </row>
    <row r="673" spans="1:10" s="13" customFormat="1" x14ac:dyDescent="0.2">
      <c r="A673" s="6" t="s">
        <v>127</v>
      </c>
      <c r="B673" s="13" t="str">
        <f>C675</f>
        <v>IEC Soc Mob  Activity # 7 (Not in Use) - Detailed Other Direct Cost Assumptions</v>
      </c>
    </row>
    <row r="674" spans="1:10" outlineLevel="1" x14ac:dyDescent="0.2"/>
    <row r="675" spans="1:10" outlineLevel="1" x14ac:dyDescent="0.2">
      <c r="C675" s="18" t="str">
        <f>HL_LVL2_ACTV_8_Name&amp;" - "&amp;Lang_Detailed_Other_Direct_Cost_Assumptions</f>
        <v>IEC Soc Mob  Activity # 7 (Not in Use) - Detailed Other Direct Cost Assumptions</v>
      </c>
    </row>
    <row r="676" spans="1:10" ht="48" outlineLevel="1" x14ac:dyDescent="0.2">
      <c r="D676" s="55" t="str">
        <f>Lang_Other_Direct_Cost_ODC_Type</f>
        <v>Other Direct Cost (ODC) Type</v>
      </c>
      <c r="E676" s="85" t="str">
        <f>Lang_ODC_Unit_Each_Dozen_100_Pack</f>
        <v>ODC Unit (e.g. Each, Dozen, 100-pack,etc.)</v>
      </c>
      <c r="F676" s="85" t="str">
        <f>Lang_Number_Of_ODC_Units_Required</f>
        <v>Number of ODC Units Required</v>
      </c>
      <c r="G676" s="63" t="str">
        <f ca="1">SOCMOB_Lu!$D$242&amp;" "&amp;Lang_Cost_Per_Activity_Unit&amp;" ("&amp;OFFSET(SOCMOB_Lu!$D$221,DD_LVL2_ACTV_8_Currency_Selected,0)&amp;")"</f>
        <v>Financial Cost per Activity Unit (USD)</v>
      </c>
      <c r="H676" s="63" t="str">
        <f ca="1">SOCMOB_Lu!$D$243&amp;" "&amp;Lang_Cost_Per_Activity_Unit&amp;" ("&amp;OFFSET(SOCMOB_Lu!$D$221,DD_LVL2_ACTV_8_Currency_Selected,0)&amp;")"</f>
        <v>Economic Cost per Activity Unit (USD)</v>
      </c>
      <c r="I676" s="87" t="str">
        <f>Lang_Evidence_For_Using_This_Cost_Information_Source_Or_Notes</f>
        <v>Evidence for Using this Cost Information (source or notes)</v>
      </c>
    </row>
    <row r="677" spans="1:10" outlineLevel="1" x14ac:dyDescent="0.2">
      <c r="D677" s="62" t="s">
        <v>183</v>
      </c>
      <c r="E677" s="64"/>
      <c r="F677" s="19">
        <v>0</v>
      </c>
      <c r="G677" s="19">
        <v>0</v>
      </c>
      <c r="H677" s="19">
        <v>0</v>
      </c>
      <c r="I677" s="62" t="s">
        <v>162</v>
      </c>
      <c r="J677" s="42">
        <f t="shared" ref="J677:J686" si="27">IF(H677&lt;G677,1,0)</f>
        <v>0</v>
      </c>
    </row>
    <row r="678" spans="1:10" outlineLevel="1" x14ac:dyDescent="0.2">
      <c r="D678" s="62" t="s">
        <v>184</v>
      </c>
      <c r="E678" s="64"/>
      <c r="F678" s="19">
        <v>0</v>
      </c>
      <c r="G678" s="19">
        <v>0</v>
      </c>
      <c r="H678" s="19">
        <v>0</v>
      </c>
      <c r="I678" s="62" t="s">
        <v>162</v>
      </c>
      <c r="J678" s="42">
        <f t="shared" si="27"/>
        <v>0</v>
      </c>
    </row>
    <row r="679" spans="1:10" outlineLevel="1" x14ac:dyDescent="0.2">
      <c r="D679" s="62" t="s">
        <v>185</v>
      </c>
      <c r="E679" s="64"/>
      <c r="F679" s="19">
        <v>0</v>
      </c>
      <c r="G679" s="19">
        <v>0</v>
      </c>
      <c r="H679" s="19">
        <v>0</v>
      </c>
      <c r="I679" s="62" t="s">
        <v>162</v>
      </c>
      <c r="J679" s="42">
        <f t="shared" si="27"/>
        <v>0</v>
      </c>
    </row>
    <row r="680" spans="1:10" outlineLevel="1" x14ac:dyDescent="0.2">
      <c r="D680" s="62" t="s">
        <v>186</v>
      </c>
      <c r="E680" s="64"/>
      <c r="F680" s="19">
        <v>0</v>
      </c>
      <c r="G680" s="19">
        <v>0</v>
      </c>
      <c r="H680" s="19">
        <v>0</v>
      </c>
      <c r="I680" s="62" t="s">
        <v>162</v>
      </c>
      <c r="J680" s="42">
        <f t="shared" si="27"/>
        <v>0</v>
      </c>
    </row>
    <row r="681" spans="1:10" outlineLevel="1" x14ac:dyDescent="0.2">
      <c r="D681" s="62" t="s">
        <v>187</v>
      </c>
      <c r="E681" s="64"/>
      <c r="F681" s="19">
        <v>0</v>
      </c>
      <c r="G681" s="19">
        <v>0</v>
      </c>
      <c r="H681" s="19">
        <v>0</v>
      </c>
      <c r="I681" s="62" t="s">
        <v>162</v>
      </c>
      <c r="J681" s="42">
        <f t="shared" si="27"/>
        <v>0</v>
      </c>
    </row>
    <row r="682" spans="1:10" outlineLevel="1" x14ac:dyDescent="0.2">
      <c r="D682" s="62" t="s">
        <v>188</v>
      </c>
      <c r="E682" s="64"/>
      <c r="F682" s="19">
        <v>0</v>
      </c>
      <c r="G682" s="19">
        <v>0</v>
      </c>
      <c r="H682" s="19">
        <v>0</v>
      </c>
      <c r="I682" s="62" t="s">
        <v>162</v>
      </c>
      <c r="J682" s="42">
        <f t="shared" si="27"/>
        <v>0</v>
      </c>
    </row>
    <row r="683" spans="1:10" outlineLevel="1" x14ac:dyDescent="0.2">
      <c r="D683" s="62" t="s">
        <v>189</v>
      </c>
      <c r="E683" s="64"/>
      <c r="F683" s="19">
        <v>0</v>
      </c>
      <c r="G683" s="19">
        <v>0</v>
      </c>
      <c r="H683" s="19">
        <v>0</v>
      </c>
      <c r="I683" s="62" t="s">
        <v>162</v>
      </c>
      <c r="J683" s="42">
        <f t="shared" si="27"/>
        <v>0</v>
      </c>
    </row>
    <row r="684" spans="1:10" outlineLevel="1" x14ac:dyDescent="0.2">
      <c r="D684" s="62" t="s">
        <v>190</v>
      </c>
      <c r="E684" s="64"/>
      <c r="F684" s="19">
        <v>0</v>
      </c>
      <c r="G684" s="19">
        <v>0</v>
      </c>
      <c r="H684" s="19">
        <v>0</v>
      </c>
      <c r="I684" s="62" t="s">
        <v>162</v>
      </c>
      <c r="J684" s="42">
        <f t="shared" si="27"/>
        <v>0</v>
      </c>
    </row>
    <row r="685" spans="1:10" outlineLevel="1" x14ac:dyDescent="0.2">
      <c r="D685" s="62" t="s">
        <v>191</v>
      </c>
      <c r="E685" s="64"/>
      <c r="F685" s="19">
        <v>0</v>
      </c>
      <c r="G685" s="19">
        <v>0</v>
      </c>
      <c r="H685" s="19">
        <v>0</v>
      </c>
      <c r="I685" s="62" t="s">
        <v>162</v>
      </c>
      <c r="J685" s="42">
        <f t="shared" si="27"/>
        <v>0</v>
      </c>
    </row>
    <row r="686" spans="1:10" outlineLevel="1" x14ac:dyDescent="0.2">
      <c r="D686" s="62" t="s">
        <v>192</v>
      </c>
      <c r="E686" s="64"/>
      <c r="F686" s="19">
        <v>0</v>
      </c>
      <c r="G686" s="19">
        <v>0</v>
      </c>
      <c r="H686" s="19">
        <v>0</v>
      </c>
      <c r="I686" s="62" t="s">
        <v>162</v>
      </c>
      <c r="J686" s="42">
        <f t="shared" si="27"/>
        <v>0</v>
      </c>
    </row>
    <row r="687" spans="1:10" outlineLevel="1" x14ac:dyDescent="0.2">
      <c r="D687" s="55" t="str">
        <f>Lang_Error_Check_Flags_If_Input_Econ_Cost_Is_Less_Than_Fin_Cost</f>
        <v>ERROR CHECK (FLAGS IF INPUT ECONOMIC COST IS LESS THAN FINANCIAL COST)</v>
      </c>
      <c r="J687" s="43">
        <f>IF(ISERROR(SUM(J677:J686)),1,MIN(SUM(J677:J686),1))</f>
        <v>0</v>
      </c>
    </row>
    <row r="688" spans="1:10" outlineLevel="1" x14ac:dyDescent="0.2"/>
    <row r="689" spans="1:5" outlineLevel="1" x14ac:dyDescent="0.2">
      <c r="D689" s="47" t="str">
        <f>Lang_GoTo&amp;" "&amp;HL_LVL2_ACTV_8_Other_Direct_Costs_Outputs</f>
        <v>Go to IEC Soc Mob  Activity # 7 (Not in Use) Other Direct Costs - Outputs</v>
      </c>
    </row>
    <row r="690" spans="1:5" s="10" customFormat="1" x14ac:dyDescent="0.2"/>
    <row r="691" spans="1:5" s="13" customFormat="1" x14ac:dyDescent="0.2">
      <c r="A691" s="12" t="s">
        <v>125</v>
      </c>
      <c r="B691" s="13" t="str">
        <f>C693</f>
        <v>IEC Soc Mob  Activity # 8 (Not in Use) -  Detailed Activity Costing Worksheet - Instructions</v>
      </c>
    </row>
    <row r="692" spans="1:5" outlineLevel="1" x14ac:dyDescent="0.2"/>
    <row r="693" spans="1:5" outlineLevel="1" x14ac:dyDescent="0.2">
      <c r="C693" s="18" t="str">
        <f>HL_LVL2_ACTV_21_Name&amp;" -  "&amp;Lang_Detailed_Activity_Costing_Worksheet_Instructions</f>
        <v>IEC Soc Mob  Activity # 8 (Not in Use) -  Detailed Activity Costing Worksheet - Instructions</v>
      </c>
    </row>
    <row r="694" spans="1:5" outlineLevel="1" x14ac:dyDescent="0.2"/>
    <row r="695" spans="1:5" outlineLevel="1" x14ac:dyDescent="0.2">
      <c r="D695" s="50" t="str">
        <f>Lang_Detailed_Costing_Worksheets_Notes_1</f>
        <v>This detailed costing worksheet can be used to document the types and amounts of resources required to complete a single instance of an activity.</v>
      </c>
    </row>
    <row r="696" spans="1:5" outlineLevel="1" x14ac:dyDescent="0.2">
      <c r="D696" s="50" t="str">
        <f>Lang_Detailed_Costing_Worksheets_Notes_2</f>
        <v>When completed, it will automatically provide a single activity cost in the general assumption worksheet.</v>
      </c>
    </row>
    <row r="697" spans="1:5" outlineLevel="1" x14ac:dyDescent="0.2">
      <c r="D697" s="50" t="str">
        <f>Lang_Detailed_Costing_Worksheets_Notes_3</f>
        <v>The user may then choose to use the results of the detailed costing in the model, or override the detailed costing and insert alternate cost estimates.</v>
      </c>
    </row>
    <row r="698" spans="1:5" outlineLevel="1" x14ac:dyDescent="0.2"/>
    <row r="700" spans="1:5" s="13" customFormat="1" x14ac:dyDescent="0.2">
      <c r="A700" s="6" t="s">
        <v>125</v>
      </c>
      <c r="B700" s="13" t="str">
        <f>C702</f>
        <v>IEC Soc Mob  Activity # 8 (Not in Use) - Detailed Activity Costing Worksheet - Currency Selection</v>
      </c>
    </row>
    <row r="701" spans="1:5" outlineLevel="1" x14ac:dyDescent="0.2"/>
    <row r="702" spans="1:5" outlineLevel="1" x14ac:dyDescent="0.2">
      <c r="C702" s="18" t="str">
        <f>HL_LVL2_ACTV_21_Name&amp;" - "&amp;Lang_Detailed_Activity_Costing_Worksheet_Currency_Selection</f>
        <v>IEC Soc Mob  Activity # 8 (Not in Use) - Detailed Activity Costing Worksheet - Currency Selection</v>
      </c>
    </row>
    <row r="703" spans="1:5" outlineLevel="1" x14ac:dyDescent="0.2"/>
    <row r="704" spans="1:5" outlineLevel="1" x14ac:dyDescent="0.2">
      <c r="D704" s="55" t="str">
        <f>Lang_Currency_Used_For_Cost_Inputs</f>
        <v>Currency Used for Cost Inputs</v>
      </c>
      <c r="E704" s="22">
        <v>1</v>
      </c>
    </row>
    <row r="705" spans="1:10" outlineLevel="1" x14ac:dyDescent="0.2"/>
    <row r="706" spans="1:10" outlineLevel="1" x14ac:dyDescent="0.2"/>
    <row r="707" spans="1:10" outlineLevel="1" x14ac:dyDescent="0.2">
      <c r="D707" s="54" t="str">
        <f>Lang_Imported_From_Econ_Module</f>
        <v>Imported from Econ Module</v>
      </c>
    </row>
    <row r="708" spans="1:10" outlineLevel="1" x14ac:dyDescent="0.2">
      <c r="D708" s="49" t="str">
        <f>ECONOMICS!F7</f>
        <v>USD</v>
      </c>
    </row>
    <row r="709" spans="1:10" outlineLevel="1" x14ac:dyDescent="0.2">
      <c r="D709" s="49" t="str">
        <f>ECONOMICS!F8</f>
        <v>LCU</v>
      </c>
    </row>
    <row r="710" spans="1:10" outlineLevel="1" x14ac:dyDescent="0.2"/>
    <row r="711" spans="1:10" outlineLevel="1" x14ac:dyDescent="0.2">
      <c r="D711" s="50" t="str">
        <f>Lang_Exchange_Rate_From_Econ</f>
        <v>Exchange Rate (from Economics)</v>
      </c>
      <c r="E711" s="41">
        <f>ECONOMICS!E13</f>
        <v>1234.5</v>
      </c>
    </row>
    <row r="713" spans="1:10" s="13" customFormat="1" x14ac:dyDescent="0.2">
      <c r="A713" s="6" t="s">
        <v>127</v>
      </c>
      <c r="B713" s="13" t="str">
        <f>C715</f>
        <v>IEC Soc Mob  Activity # 8 (Not in Use) - Detailed Personnel Cost Assumptions</v>
      </c>
    </row>
    <row r="714" spans="1:10" outlineLevel="1" x14ac:dyDescent="0.2"/>
    <row r="715" spans="1:10" outlineLevel="1" x14ac:dyDescent="0.2">
      <c r="C715" s="18" t="str">
        <f>HL_LVL2_ACTV_21_Name&amp;" - "&amp;Lang_Detailed_Personnel_Cost_Assumptions</f>
        <v>IEC Soc Mob  Activity # 8 (Not in Use) - Detailed Personnel Cost Assumptions</v>
      </c>
    </row>
    <row r="716" spans="1:10" ht="48" outlineLevel="1" x14ac:dyDescent="0.2">
      <c r="D716" s="55" t="str">
        <f>Lang_Personnel_Cadre_Type</f>
        <v>Personnel Cadre Type</v>
      </c>
      <c r="E716" s="85" t="str">
        <f>Lang_Activity_Unit_Day_Hour_Minute</f>
        <v>Activity Unit (e.g. Day, Hour, Minute)</v>
      </c>
      <c r="F716" s="85" t="str">
        <f>Lang_Number_Of_Activity_Units_Required</f>
        <v>Number of Activity Units Required</v>
      </c>
      <c r="G716" s="63" t="str">
        <f ca="1">SOCMOB_Lu!$D$277&amp;" "&amp;Lang_Cost_Per_Activity_Unit&amp;" ("&amp;OFFSET(SOCMOB_Lu!$D$256,DD_LVL2_ACTV_21_Currency_Selected,0)&amp;")"</f>
        <v>Financial Cost per Activity Unit (USD)</v>
      </c>
      <c r="H716" s="63" t="str">
        <f ca="1">SOCMOB_Lu!$D$278&amp;" "&amp;Lang_Cost_Per_Activity_Unit&amp;" ("&amp;OFFSET(SOCMOB_Lu!$D$256,DD_LVL2_ACTV_21_Currency_Selected,0)&amp;")"</f>
        <v>Economic Cost per Activity Unit (USD)</v>
      </c>
      <c r="I716" s="87" t="str">
        <f>Lang_Evidence_For_Using_This_Cost_Information_Source_Or_Notes</f>
        <v>Evidence for Using this Cost Information (source or notes)</v>
      </c>
    </row>
    <row r="717" spans="1:10" outlineLevel="1" x14ac:dyDescent="0.2">
      <c r="D717" s="62" t="s">
        <v>152</v>
      </c>
      <c r="E717" s="64"/>
      <c r="F717" s="19">
        <v>0</v>
      </c>
      <c r="G717" s="19">
        <v>0</v>
      </c>
      <c r="H717" s="19">
        <v>0</v>
      </c>
      <c r="I717" s="62" t="s">
        <v>162</v>
      </c>
      <c r="J717" s="42">
        <f t="shared" ref="J717:J731" si="28">IF(H717&lt;G717,1,0)</f>
        <v>0</v>
      </c>
    </row>
    <row r="718" spans="1:10" outlineLevel="1" x14ac:dyDescent="0.2">
      <c r="D718" s="62" t="s">
        <v>153</v>
      </c>
      <c r="E718" s="64"/>
      <c r="F718" s="19">
        <v>0</v>
      </c>
      <c r="G718" s="19">
        <v>0</v>
      </c>
      <c r="H718" s="19">
        <v>0</v>
      </c>
      <c r="I718" s="62" t="s">
        <v>162</v>
      </c>
      <c r="J718" s="42">
        <f t="shared" si="28"/>
        <v>0</v>
      </c>
    </row>
    <row r="719" spans="1:10" outlineLevel="1" x14ac:dyDescent="0.2">
      <c r="D719" s="62" t="s">
        <v>154</v>
      </c>
      <c r="E719" s="64"/>
      <c r="F719" s="19">
        <v>0</v>
      </c>
      <c r="G719" s="19">
        <v>0</v>
      </c>
      <c r="H719" s="19">
        <v>0</v>
      </c>
      <c r="I719" s="62" t="s">
        <v>162</v>
      </c>
      <c r="J719" s="42">
        <f t="shared" si="28"/>
        <v>0</v>
      </c>
    </row>
    <row r="720" spans="1:10" outlineLevel="1" x14ac:dyDescent="0.2">
      <c r="D720" s="62" t="s">
        <v>155</v>
      </c>
      <c r="E720" s="64"/>
      <c r="F720" s="19">
        <v>0</v>
      </c>
      <c r="G720" s="19">
        <v>0</v>
      </c>
      <c r="H720" s="19">
        <v>0</v>
      </c>
      <c r="I720" s="62" t="s">
        <v>162</v>
      </c>
      <c r="J720" s="42">
        <f t="shared" si="28"/>
        <v>0</v>
      </c>
    </row>
    <row r="721" spans="1:10" outlineLevel="1" x14ac:dyDescent="0.2">
      <c r="D721" s="62" t="s">
        <v>156</v>
      </c>
      <c r="E721" s="64"/>
      <c r="F721" s="19">
        <v>0</v>
      </c>
      <c r="G721" s="19">
        <v>0</v>
      </c>
      <c r="H721" s="19">
        <v>0</v>
      </c>
      <c r="I721" s="62" t="s">
        <v>162</v>
      </c>
      <c r="J721" s="42">
        <f t="shared" si="28"/>
        <v>0</v>
      </c>
    </row>
    <row r="722" spans="1:10" outlineLevel="1" x14ac:dyDescent="0.2">
      <c r="D722" s="62" t="s">
        <v>157</v>
      </c>
      <c r="E722" s="64"/>
      <c r="F722" s="19">
        <v>0</v>
      </c>
      <c r="G722" s="19">
        <v>0</v>
      </c>
      <c r="H722" s="19">
        <v>0</v>
      </c>
      <c r="I722" s="62" t="s">
        <v>162</v>
      </c>
      <c r="J722" s="42">
        <f t="shared" si="28"/>
        <v>0</v>
      </c>
    </row>
    <row r="723" spans="1:10" outlineLevel="1" x14ac:dyDescent="0.2">
      <c r="D723" s="62" t="s">
        <v>158</v>
      </c>
      <c r="E723" s="64"/>
      <c r="F723" s="19">
        <v>0</v>
      </c>
      <c r="G723" s="19">
        <v>0</v>
      </c>
      <c r="H723" s="19">
        <v>0</v>
      </c>
      <c r="I723" s="62" t="s">
        <v>162</v>
      </c>
      <c r="J723" s="42">
        <f t="shared" si="28"/>
        <v>0</v>
      </c>
    </row>
    <row r="724" spans="1:10" outlineLevel="1" x14ac:dyDescent="0.2">
      <c r="D724" s="62" t="s">
        <v>159</v>
      </c>
      <c r="E724" s="64"/>
      <c r="F724" s="19">
        <v>0</v>
      </c>
      <c r="G724" s="19">
        <v>0</v>
      </c>
      <c r="H724" s="19">
        <v>0</v>
      </c>
      <c r="I724" s="62" t="s">
        <v>162</v>
      </c>
      <c r="J724" s="42">
        <f t="shared" si="28"/>
        <v>0</v>
      </c>
    </row>
    <row r="725" spans="1:10" outlineLevel="1" x14ac:dyDescent="0.2">
      <c r="D725" s="62" t="s">
        <v>160</v>
      </c>
      <c r="E725" s="64"/>
      <c r="F725" s="19">
        <v>0</v>
      </c>
      <c r="G725" s="19">
        <v>0</v>
      </c>
      <c r="H725" s="19">
        <v>0</v>
      </c>
      <c r="I725" s="62" t="s">
        <v>162</v>
      </c>
      <c r="J725" s="42">
        <f t="shared" si="28"/>
        <v>0</v>
      </c>
    </row>
    <row r="726" spans="1:10" outlineLevel="1" x14ac:dyDescent="0.2">
      <c r="D726" s="62" t="s">
        <v>161</v>
      </c>
      <c r="E726" s="64"/>
      <c r="F726" s="19">
        <v>0</v>
      </c>
      <c r="G726" s="19">
        <v>0</v>
      </c>
      <c r="H726" s="19">
        <v>0</v>
      </c>
      <c r="I726" s="62" t="s">
        <v>162</v>
      </c>
      <c r="J726" s="42">
        <f t="shared" si="28"/>
        <v>0</v>
      </c>
    </row>
    <row r="727" spans="1:10" outlineLevel="1" x14ac:dyDescent="0.2">
      <c r="D727" s="62" t="s">
        <v>393</v>
      </c>
      <c r="E727" s="64"/>
      <c r="F727" s="19">
        <v>0</v>
      </c>
      <c r="G727" s="19">
        <v>0</v>
      </c>
      <c r="H727" s="19">
        <v>0</v>
      </c>
      <c r="I727" s="62" t="s">
        <v>162</v>
      </c>
      <c r="J727" s="42">
        <f t="shared" si="28"/>
        <v>0</v>
      </c>
    </row>
    <row r="728" spans="1:10" outlineLevel="1" x14ac:dyDescent="0.2">
      <c r="D728" s="62" t="s">
        <v>394</v>
      </c>
      <c r="E728" s="64"/>
      <c r="F728" s="19">
        <v>0</v>
      </c>
      <c r="G728" s="19">
        <v>0</v>
      </c>
      <c r="H728" s="19">
        <v>0</v>
      </c>
      <c r="I728" s="62" t="s">
        <v>162</v>
      </c>
      <c r="J728" s="42">
        <f t="shared" si="28"/>
        <v>0</v>
      </c>
    </row>
    <row r="729" spans="1:10" outlineLevel="1" x14ac:dyDescent="0.2">
      <c r="D729" s="62" t="s">
        <v>395</v>
      </c>
      <c r="E729" s="64"/>
      <c r="F729" s="19">
        <v>0</v>
      </c>
      <c r="G729" s="19">
        <v>0</v>
      </c>
      <c r="H729" s="19">
        <v>0</v>
      </c>
      <c r="I729" s="62" t="s">
        <v>162</v>
      </c>
      <c r="J729" s="42">
        <f t="shared" si="28"/>
        <v>0</v>
      </c>
    </row>
    <row r="730" spans="1:10" outlineLevel="1" x14ac:dyDescent="0.2">
      <c r="D730" s="62" t="s">
        <v>396</v>
      </c>
      <c r="E730" s="64"/>
      <c r="F730" s="19">
        <v>0</v>
      </c>
      <c r="G730" s="19">
        <v>0</v>
      </c>
      <c r="H730" s="19">
        <v>0</v>
      </c>
      <c r="I730" s="62" t="s">
        <v>162</v>
      </c>
      <c r="J730" s="42">
        <f t="shared" si="28"/>
        <v>0</v>
      </c>
    </row>
    <row r="731" spans="1:10" outlineLevel="1" x14ac:dyDescent="0.2">
      <c r="D731" s="62" t="s">
        <v>397</v>
      </c>
      <c r="E731" s="64"/>
      <c r="F731" s="19">
        <v>0</v>
      </c>
      <c r="G731" s="19">
        <v>0</v>
      </c>
      <c r="H731" s="19">
        <v>0</v>
      </c>
      <c r="I731" s="62" t="s">
        <v>162</v>
      </c>
      <c r="J731" s="42">
        <f t="shared" si="28"/>
        <v>0</v>
      </c>
    </row>
    <row r="732" spans="1:10" outlineLevel="1" x14ac:dyDescent="0.2">
      <c r="D732" s="55" t="str">
        <f>Lang_Error_Check_Flags_If_Input_Econ_Cost_Is_Less_Than_Fin_Cost</f>
        <v>ERROR CHECK (FLAGS IF INPUT ECONOMIC COST IS LESS THAN FINANCIAL COST)</v>
      </c>
      <c r="J732" s="43">
        <f>IF(ISERROR(SUM(J717:J731)),1,MIN(SUM(J717:J731),1))</f>
        <v>0</v>
      </c>
    </row>
    <row r="733" spans="1:10" outlineLevel="1" x14ac:dyDescent="0.2"/>
    <row r="734" spans="1:10" outlineLevel="1" x14ac:dyDescent="0.2">
      <c r="D734" s="47" t="str">
        <f>Lang_GoTo&amp;" "&amp;HL_LVL2_ACTV_21_Personnel_Outputs</f>
        <v>Go to IEC Soc Mob  Activity # 8 (Not in Use) Personnel - Outputs</v>
      </c>
    </row>
    <row r="736" spans="1:10" s="13" customFormat="1" x14ac:dyDescent="0.2">
      <c r="A736" s="6" t="s">
        <v>127</v>
      </c>
      <c r="B736" s="13" t="str">
        <f>C738</f>
        <v>IEC Soc Mob  Activity # 8 (Not in Use) - Detailed Allowance Cost Assumptions</v>
      </c>
    </row>
    <row r="737" spans="3:10" outlineLevel="1" x14ac:dyDescent="0.2"/>
    <row r="738" spans="3:10" outlineLevel="1" x14ac:dyDescent="0.2">
      <c r="C738" s="18" t="str">
        <f>HL_LVL2_ACTV_21_Name&amp;" - "&amp;Lang_Detailed_Allowance_Cost_Assumptions</f>
        <v>IEC Soc Mob  Activity # 8 (Not in Use) - Detailed Allowance Cost Assumptions</v>
      </c>
    </row>
    <row r="739" spans="3:10" ht="48" outlineLevel="1" x14ac:dyDescent="0.2">
      <c r="D739" s="55" t="str">
        <f>Lang_Allowance_Type</f>
        <v>Allowance Type</v>
      </c>
      <c r="E739" s="85" t="str">
        <f>Lang_Allowance_Unit_Per_Day_Round_Trip_Travel</f>
        <v>Allowance Unit (e.g. Per Day, Round-trip Travel,etc.)</v>
      </c>
      <c r="F739" s="85" t="str">
        <f>Lang_Number_Of_Allowance_Units_Required</f>
        <v>Number of Allowance Units Required</v>
      </c>
      <c r="G739" s="63" t="str">
        <f ca="1">SOCMOB_Lu!$D$277&amp;" "&amp;Lang_Cost_Per_Activity_Unit&amp;" ("&amp;OFFSET(SOCMOB_Lu!$D$256,DD_LVL2_ACTV_21_Currency_Selected,0)&amp;")"</f>
        <v>Financial Cost per Activity Unit (USD)</v>
      </c>
      <c r="H739" s="63" t="str">
        <f ca="1">SOCMOB_Lu!$D$278&amp;" "&amp;Lang_Cost_Per_Activity_Unit&amp;" ("&amp;OFFSET(SOCMOB_Lu!$D$256,DD_LVL2_ACTV_21_Currency_Selected,0)&amp;")"</f>
        <v>Economic Cost per Activity Unit (USD)</v>
      </c>
      <c r="I739" s="87" t="str">
        <f>Lang_Evidence_For_Using_This_Cost_Information_Source_Or_Notes</f>
        <v>Evidence for Using this Cost Information (source or notes)</v>
      </c>
    </row>
    <row r="740" spans="3:10" outlineLevel="1" x14ac:dyDescent="0.2">
      <c r="D740" s="62" t="s">
        <v>163</v>
      </c>
      <c r="E740" s="64"/>
      <c r="F740" s="19">
        <v>0</v>
      </c>
      <c r="G740" s="19">
        <v>0</v>
      </c>
      <c r="H740" s="19">
        <v>0</v>
      </c>
      <c r="I740" s="62" t="s">
        <v>162</v>
      </c>
      <c r="J740" s="42">
        <f t="shared" ref="J740:J749" si="29">IF(H740&lt;G740,1,0)</f>
        <v>0</v>
      </c>
    </row>
    <row r="741" spans="3:10" outlineLevel="1" x14ac:dyDescent="0.2">
      <c r="D741" s="62" t="s">
        <v>164</v>
      </c>
      <c r="E741" s="64"/>
      <c r="F741" s="19">
        <v>0</v>
      </c>
      <c r="G741" s="19">
        <v>0</v>
      </c>
      <c r="H741" s="19">
        <v>0</v>
      </c>
      <c r="I741" s="62" t="s">
        <v>162</v>
      </c>
      <c r="J741" s="42">
        <f t="shared" si="29"/>
        <v>0</v>
      </c>
    </row>
    <row r="742" spans="3:10" outlineLevel="1" x14ac:dyDescent="0.2">
      <c r="D742" s="62" t="s">
        <v>165</v>
      </c>
      <c r="E742" s="64"/>
      <c r="F742" s="19">
        <v>0</v>
      </c>
      <c r="G742" s="19">
        <v>0</v>
      </c>
      <c r="H742" s="19">
        <v>0</v>
      </c>
      <c r="I742" s="62" t="s">
        <v>162</v>
      </c>
      <c r="J742" s="42">
        <f t="shared" si="29"/>
        <v>0</v>
      </c>
    </row>
    <row r="743" spans="3:10" outlineLevel="1" x14ac:dyDescent="0.2">
      <c r="D743" s="62" t="s">
        <v>166</v>
      </c>
      <c r="E743" s="64"/>
      <c r="F743" s="19">
        <v>0</v>
      </c>
      <c r="G743" s="19">
        <v>0</v>
      </c>
      <c r="H743" s="19">
        <v>0</v>
      </c>
      <c r="I743" s="62" t="s">
        <v>162</v>
      </c>
      <c r="J743" s="42">
        <f t="shared" si="29"/>
        <v>0</v>
      </c>
    </row>
    <row r="744" spans="3:10" outlineLevel="1" x14ac:dyDescent="0.2">
      <c r="D744" s="62" t="s">
        <v>167</v>
      </c>
      <c r="E744" s="64"/>
      <c r="F744" s="19">
        <v>0</v>
      </c>
      <c r="G744" s="19">
        <v>0</v>
      </c>
      <c r="H744" s="19">
        <v>0</v>
      </c>
      <c r="I744" s="62" t="s">
        <v>162</v>
      </c>
      <c r="J744" s="42">
        <f t="shared" si="29"/>
        <v>0</v>
      </c>
    </row>
    <row r="745" spans="3:10" outlineLevel="1" x14ac:dyDescent="0.2">
      <c r="D745" s="62" t="s">
        <v>168</v>
      </c>
      <c r="E745" s="64"/>
      <c r="F745" s="19">
        <v>0</v>
      </c>
      <c r="G745" s="19">
        <v>0</v>
      </c>
      <c r="H745" s="19">
        <v>0</v>
      </c>
      <c r="I745" s="62" t="s">
        <v>162</v>
      </c>
      <c r="J745" s="42">
        <f t="shared" si="29"/>
        <v>0</v>
      </c>
    </row>
    <row r="746" spans="3:10" outlineLevel="1" x14ac:dyDescent="0.2">
      <c r="D746" s="62" t="s">
        <v>169</v>
      </c>
      <c r="E746" s="64"/>
      <c r="F746" s="19">
        <v>0</v>
      </c>
      <c r="G746" s="19">
        <v>0</v>
      </c>
      <c r="H746" s="19">
        <v>0</v>
      </c>
      <c r="I746" s="62" t="s">
        <v>162</v>
      </c>
      <c r="J746" s="42">
        <f t="shared" si="29"/>
        <v>0</v>
      </c>
    </row>
    <row r="747" spans="3:10" outlineLevel="1" x14ac:dyDescent="0.2">
      <c r="D747" s="62" t="s">
        <v>170</v>
      </c>
      <c r="E747" s="64"/>
      <c r="F747" s="19">
        <v>0</v>
      </c>
      <c r="G747" s="19">
        <v>0</v>
      </c>
      <c r="H747" s="19">
        <v>0</v>
      </c>
      <c r="I747" s="62" t="s">
        <v>162</v>
      </c>
      <c r="J747" s="42">
        <f t="shared" si="29"/>
        <v>0</v>
      </c>
    </row>
    <row r="748" spans="3:10" outlineLevel="1" x14ac:dyDescent="0.2">
      <c r="D748" s="62" t="s">
        <v>171</v>
      </c>
      <c r="E748" s="64"/>
      <c r="F748" s="19">
        <v>0</v>
      </c>
      <c r="G748" s="19">
        <v>0</v>
      </c>
      <c r="H748" s="19">
        <v>0</v>
      </c>
      <c r="I748" s="62" t="s">
        <v>162</v>
      </c>
      <c r="J748" s="42">
        <f t="shared" si="29"/>
        <v>0</v>
      </c>
    </row>
    <row r="749" spans="3:10" outlineLevel="1" x14ac:dyDescent="0.2">
      <c r="D749" s="62" t="s">
        <v>172</v>
      </c>
      <c r="E749" s="64"/>
      <c r="F749" s="19">
        <v>0</v>
      </c>
      <c r="G749" s="19">
        <v>0</v>
      </c>
      <c r="H749" s="19">
        <v>0</v>
      </c>
      <c r="I749" s="62" t="s">
        <v>162</v>
      </c>
      <c r="J749" s="42">
        <f t="shared" si="29"/>
        <v>0</v>
      </c>
    </row>
    <row r="750" spans="3:10" outlineLevel="1" x14ac:dyDescent="0.2">
      <c r="D750" s="55" t="str">
        <f>Lang_Error_Check_Flags_If_Input_Econ_Cost_Is_Less_Than_Fin_Cost</f>
        <v>ERROR CHECK (FLAGS IF INPUT ECONOMIC COST IS LESS THAN FINANCIAL COST)</v>
      </c>
      <c r="J750" s="43">
        <f>IF(ISERROR(SUM(J740:J749)),1,MIN(SUM(J740:J749),1))</f>
        <v>0</v>
      </c>
    </row>
    <row r="751" spans="3:10" outlineLevel="1" x14ac:dyDescent="0.2"/>
    <row r="752" spans="3:10" outlineLevel="1" x14ac:dyDescent="0.2">
      <c r="D752" s="47" t="str">
        <f>Lang_GoTo&amp;" "&amp;HL_LVL2_ACTV_21_Out_A</f>
        <v>Go to IEC Soc Mob  Activity # 8 (Not in Use) Allowances - Outputs</v>
      </c>
    </row>
    <row r="754" spans="1:10" s="13" customFormat="1" x14ac:dyDescent="0.2">
      <c r="A754" s="6" t="s">
        <v>127</v>
      </c>
      <c r="B754" s="13" t="str">
        <f>C756</f>
        <v>IEC Soc Mob  Activity # 8 (Not in Use) - Detailed Supply and Material Cost Assumptions</v>
      </c>
    </row>
    <row r="755" spans="1:10" outlineLevel="1" x14ac:dyDescent="0.2"/>
    <row r="756" spans="1:10" outlineLevel="1" x14ac:dyDescent="0.2">
      <c r="C756" s="18" t="str">
        <f>HL_LVL2_ACTV_21_Name&amp;" - "&amp;Lang_Detailed_Supply_And_Material_Cost_Assumptions</f>
        <v>IEC Soc Mob  Activity # 8 (Not in Use) - Detailed Supply and Material Cost Assumptions</v>
      </c>
    </row>
    <row r="757" spans="1:10" ht="48" outlineLevel="1" x14ac:dyDescent="0.2">
      <c r="D757" s="55" t="str">
        <f>Lang_Supply_Type</f>
        <v>Supply Type</v>
      </c>
      <c r="E757" s="85" t="str">
        <f>Lang_Supply_Unit_Each_Dozen_100_Pack</f>
        <v>Supply Unit (e.g. Each, Dozen, 100-pack,etc.)</v>
      </c>
      <c r="F757" s="85" t="str">
        <f>Lang_Number_Of_Supply_Units_Required</f>
        <v>Number of Supply Units Required</v>
      </c>
      <c r="G757" s="63" t="str">
        <f ca="1">SOCMOB_Lu!$D$277&amp;" "&amp;Lang_Cost_Per_Activity_Unit&amp;" ("&amp;OFFSET(SOCMOB_Lu!$D$256,DD_LVL2_ACTV_21_Currency_Selected,0)&amp;")"</f>
        <v>Financial Cost per Activity Unit (USD)</v>
      </c>
      <c r="H757" s="63" t="str">
        <f ca="1">SOCMOB_Lu!$D$278&amp;" "&amp;Lang_Cost_Per_Activity_Unit&amp;" ("&amp;OFFSET(SOCMOB_Lu!$D$256,DD_LVL2_ACTV_21_Currency_Selected,0)&amp;")"</f>
        <v>Economic Cost per Activity Unit (USD)</v>
      </c>
      <c r="I757" s="87" t="str">
        <f>Lang_Evidence_For_Using_This_Cost_Information_Source_Or_Notes</f>
        <v>Evidence for Using this Cost Information (source or notes)</v>
      </c>
    </row>
    <row r="758" spans="1:10" outlineLevel="1" x14ac:dyDescent="0.2">
      <c r="D758" s="62" t="s">
        <v>173</v>
      </c>
      <c r="E758" s="64"/>
      <c r="F758" s="19">
        <v>0</v>
      </c>
      <c r="G758" s="19">
        <v>0</v>
      </c>
      <c r="H758" s="19">
        <v>0</v>
      </c>
      <c r="I758" s="62" t="s">
        <v>162</v>
      </c>
      <c r="J758" s="42">
        <f t="shared" ref="J758:J767" si="30">IF(H758&lt;G758,1,0)</f>
        <v>0</v>
      </c>
    </row>
    <row r="759" spans="1:10" outlineLevel="1" x14ac:dyDescent="0.2">
      <c r="D759" s="62" t="s">
        <v>174</v>
      </c>
      <c r="E759" s="64"/>
      <c r="F759" s="19">
        <v>0</v>
      </c>
      <c r="G759" s="19">
        <v>0</v>
      </c>
      <c r="H759" s="19">
        <v>0</v>
      </c>
      <c r="I759" s="62" t="s">
        <v>162</v>
      </c>
      <c r="J759" s="42">
        <f t="shared" si="30"/>
        <v>0</v>
      </c>
    </row>
    <row r="760" spans="1:10" outlineLevel="1" x14ac:dyDescent="0.2">
      <c r="D760" s="62" t="s">
        <v>175</v>
      </c>
      <c r="E760" s="64"/>
      <c r="F760" s="19">
        <v>0</v>
      </c>
      <c r="G760" s="19">
        <v>0</v>
      </c>
      <c r="H760" s="19">
        <v>0</v>
      </c>
      <c r="I760" s="62" t="s">
        <v>162</v>
      </c>
      <c r="J760" s="42">
        <f t="shared" si="30"/>
        <v>0</v>
      </c>
    </row>
    <row r="761" spans="1:10" outlineLevel="1" x14ac:dyDescent="0.2">
      <c r="D761" s="62" t="s">
        <v>176</v>
      </c>
      <c r="E761" s="64"/>
      <c r="F761" s="19">
        <v>0</v>
      </c>
      <c r="G761" s="19">
        <v>0</v>
      </c>
      <c r="H761" s="19">
        <v>0</v>
      </c>
      <c r="I761" s="62" t="s">
        <v>162</v>
      </c>
      <c r="J761" s="42">
        <f t="shared" si="30"/>
        <v>0</v>
      </c>
    </row>
    <row r="762" spans="1:10" outlineLevel="1" x14ac:dyDescent="0.2">
      <c r="D762" s="62" t="s">
        <v>177</v>
      </c>
      <c r="E762" s="64"/>
      <c r="F762" s="19">
        <v>0</v>
      </c>
      <c r="G762" s="19">
        <v>0</v>
      </c>
      <c r="H762" s="19">
        <v>0</v>
      </c>
      <c r="I762" s="62" t="s">
        <v>162</v>
      </c>
      <c r="J762" s="42">
        <f t="shared" si="30"/>
        <v>0</v>
      </c>
    </row>
    <row r="763" spans="1:10" outlineLevel="1" x14ac:dyDescent="0.2">
      <c r="D763" s="62" t="s">
        <v>178</v>
      </c>
      <c r="E763" s="64"/>
      <c r="F763" s="19">
        <v>0</v>
      </c>
      <c r="G763" s="19">
        <v>0</v>
      </c>
      <c r="H763" s="19">
        <v>0</v>
      </c>
      <c r="I763" s="62" t="s">
        <v>162</v>
      </c>
      <c r="J763" s="42">
        <f t="shared" si="30"/>
        <v>0</v>
      </c>
    </row>
    <row r="764" spans="1:10" outlineLevel="1" x14ac:dyDescent="0.2">
      <c r="D764" s="62" t="s">
        <v>179</v>
      </c>
      <c r="E764" s="64"/>
      <c r="F764" s="19">
        <v>0</v>
      </c>
      <c r="G764" s="19">
        <v>0</v>
      </c>
      <c r="H764" s="19">
        <v>0</v>
      </c>
      <c r="I764" s="62" t="s">
        <v>162</v>
      </c>
      <c r="J764" s="42">
        <f t="shared" si="30"/>
        <v>0</v>
      </c>
    </row>
    <row r="765" spans="1:10" outlineLevel="1" x14ac:dyDescent="0.2">
      <c r="D765" s="62" t="s">
        <v>180</v>
      </c>
      <c r="E765" s="64"/>
      <c r="F765" s="19">
        <v>0</v>
      </c>
      <c r="G765" s="19">
        <v>0</v>
      </c>
      <c r="H765" s="19">
        <v>0</v>
      </c>
      <c r="I765" s="62" t="s">
        <v>162</v>
      </c>
      <c r="J765" s="42">
        <f t="shared" si="30"/>
        <v>0</v>
      </c>
    </row>
    <row r="766" spans="1:10" outlineLevel="1" x14ac:dyDescent="0.2">
      <c r="D766" s="62" t="s">
        <v>181</v>
      </c>
      <c r="E766" s="64"/>
      <c r="F766" s="19">
        <v>0</v>
      </c>
      <c r="G766" s="19">
        <v>0</v>
      </c>
      <c r="H766" s="19">
        <v>0</v>
      </c>
      <c r="I766" s="62" t="s">
        <v>162</v>
      </c>
      <c r="J766" s="42">
        <f t="shared" si="30"/>
        <v>0</v>
      </c>
    </row>
    <row r="767" spans="1:10" outlineLevel="1" x14ac:dyDescent="0.2">
      <c r="D767" s="62" t="s">
        <v>182</v>
      </c>
      <c r="E767" s="64"/>
      <c r="F767" s="19">
        <v>0</v>
      </c>
      <c r="G767" s="19">
        <v>0</v>
      </c>
      <c r="H767" s="19">
        <v>0</v>
      </c>
      <c r="I767" s="62" t="s">
        <v>162</v>
      </c>
      <c r="J767" s="42">
        <f t="shared" si="30"/>
        <v>0</v>
      </c>
    </row>
    <row r="768" spans="1:10" outlineLevel="1" x14ac:dyDescent="0.2">
      <c r="D768" s="55" t="str">
        <f>Lang_Error_Check_Flags_If_Input_Econ_Cost_Is_Less_Than_Fin_Cost</f>
        <v>ERROR CHECK (FLAGS IF INPUT ECONOMIC COST IS LESS THAN FINANCIAL COST)</v>
      </c>
      <c r="J768" s="43">
        <f>IF(ISERROR(SUM(J758:J767)),1,MIN(SUM(J758:J767),1))</f>
        <v>0</v>
      </c>
    </row>
    <row r="769" spans="1:10" outlineLevel="1" x14ac:dyDescent="0.2"/>
    <row r="770" spans="1:10" outlineLevel="1" x14ac:dyDescent="0.2">
      <c r="D770" s="47" t="str">
        <f>Lang_GoTo&amp;" "&amp;HL_LVL2_ACTV_21_Supplies_and_Materials_Outputs</f>
        <v>Go to IEC Soc Mob  Activity # 8 (Not in Use) Supplies and Materials - Outputs</v>
      </c>
    </row>
    <row r="772" spans="1:10" s="13" customFormat="1" x14ac:dyDescent="0.2">
      <c r="A772" s="6" t="s">
        <v>127</v>
      </c>
      <c r="B772" s="13" t="str">
        <f>C774</f>
        <v>IEC Soc Mob  Activity # 8 (Not in Use) - Detailed Other Direct Cost Assumptions</v>
      </c>
    </row>
    <row r="773" spans="1:10" outlineLevel="1" x14ac:dyDescent="0.2"/>
    <row r="774" spans="1:10" outlineLevel="1" x14ac:dyDescent="0.2">
      <c r="C774" s="18" t="str">
        <f>HL_LVL2_ACTV_21_Name&amp;" - "&amp;Lang_Detailed_Other_Direct_Cost_Assumptions</f>
        <v>IEC Soc Mob  Activity # 8 (Not in Use) - Detailed Other Direct Cost Assumptions</v>
      </c>
    </row>
    <row r="775" spans="1:10" ht="48" outlineLevel="1" x14ac:dyDescent="0.2">
      <c r="D775" s="55" t="str">
        <f>Lang_Other_Direct_Cost_ODC_Type</f>
        <v>Other Direct Cost (ODC) Type</v>
      </c>
      <c r="E775" s="85" t="str">
        <f>Lang_ODC_Unit_Each_Dozen_100_Pack</f>
        <v>ODC Unit (e.g. Each, Dozen, 100-pack,etc.)</v>
      </c>
      <c r="F775" s="85" t="str">
        <f>Lang_Number_Of_ODC_Units_Required</f>
        <v>Number of ODC Units Required</v>
      </c>
      <c r="G775" s="63" t="str">
        <f ca="1">SOCMOB_Lu!$D$277&amp;" "&amp;Lang_Cost_Per_Activity_Unit&amp;" ("&amp;OFFSET(SOCMOB_Lu!$D$256,DD_LVL2_ACTV_21_Currency_Selected,0)&amp;")"</f>
        <v>Financial Cost per Activity Unit (USD)</v>
      </c>
      <c r="H775" s="63" t="str">
        <f ca="1">SOCMOB_Lu!$D$278&amp;" "&amp;Lang_Cost_Per_Activity_Unit&amp;" ("&amp;OFFSET(SOCMOB_Lu!$D$256,DD_LVL2_ACTV_21_Currency_Selected,0)&amp;")"</f>
        <v>Economic Cost per Activity Unit (USD)</v>
      </c>
      <c r="I775" s="87" t="str">
        <f>Lang_Evidence_For_Using_This_Cost_Information_Source_Or_Notes</f>
        <v>Evidence for Using this Cost Information (source or notes)</v>
      </c>
    </row>
    <row r="776" spans="1:10" outlineLevel="1" x14ac:dyDescent="0.2">
      <c r="D776" s="62" t="s">
        <v>183</v>
      </c>
      <c r="E776" s="64"/>
      <c r="F776" s="19">
        <v>0</v>
      </c>
      <c r="G776" s="19">
        <v>0</v>
      </c>
      <c r="H776" s="19">
        <v>0</v>
      </c>
      <c r="I776" s="62" t="s">
        <v>162</v>
      </c>
      <c r="J776" s="42">
        <f t="shared" ref="J776:J785" si="31">IF(H776&lt;G776,1,0)</f>
        <v>0</v>
      </c>
    </row>
    <row r="777" spans="1:10" outlineLevel="1" x14ac:dyDescent="0.2">
      <c r="D777" s="62" t="s">
        <v>184</v>
      </c>
      <c r="E777" s="64"/>
      <c r="F777" s="19">
        <v>0</v>
      </c>
      <c r="G777" s="19">
        <v>0</v>
      </c>
      <c r="H777" s="19">
        <v>0</v>
      </c>
      <c r="I777" s="62" t="s">
        <v>162</v>
      </c>
      <c r="J777" s="42">
        <f t="shared" si="31"/>
        <v>0</v>
      </c>
    </row>
    <row r="778" spans="1:10" outlineLevel="1" x14ac:dyDescent="0.2">
      <c r="D778" s="62" t="s">
        <v>185</v>
      </c>
      <c r="E778" s="64"/>
      <c r="F778" s="19">
        <v>0</v>
      </c>
      <c r="G778" s="19">
        <v>0</v>
      </c>
      <c r="H778" s="19">
        <v>0</v>
      </c>
      <c r="I778" s="62" t="s">
        <v>162</v>
      </c>
      <c r="J778" s="42">
        <f t="shared" si="31"/>
        <v>0</v>
      </c>
    </row>
    <row r="779" spans="1:10" outlineLevel="1" x14ac:dyDescent="0.2">
      <c r="D779" s="62" t="s">
        <v>186</v>
      </c>
      <c r="E779" s="64"/>
      <c r="F779" s="19">
        <v>0</v>
      </c>
      <c r="G779" s="19">
        <v>0</v>
      </c>
      <c r="H779" s="19">
        <v>0</v>
      </c>
      <c r="I779" s="62" t="s">
        <v>162</v>
      </c>
      <c r="J779" s="42">
        <f t="shared" si="31"/>
        <v>0</v>
      </c>
    </row>
    <row r="780" spans="1:10" outlineLevel="1" x14ac:dyDescent="0.2">
      <c r="D780" s="62" t="s">
        <v>187</v>
      </c>
      <c r="E780" s="64"/>
      <c r="F780" s="19">
        <v>0</v>
      </c>
      <c r="G780" s="19">
        <v>0</v>
      </c>
      <c r="H780" s="19">
        <v>0</v>
      </c>
      <c r="I780" s="62" t="s">
        <v>162</v>
      </c>
      <c r="J780" s="42">
        <f t="shared" si="31"/>
        <v>0</v>
      </c>
    </row>
    <row r="781" spans="1:10" outlineLevel="1" x14ac:dyDescent="0.2">
      <c r="D781" s="62" t="s">
        <v>188</v>
      </c>
      <c r="E781" s="64"/>
      <c r="F781" s="19">
        <v>0</v>
      </c>
      <c r="G781" s="19">
        <v>0</v>
      </c>
      <c r="H781" s="19">
        <v>0</v>
      </c>
      <c r="I781" s="62" t="s">
        <v>162</v>
      </c>
      <c r="J781" s="42">
        <f t="shared" si="31"/>
        <v>0</v>
      </c>
    </row>
    <row r="782" spans="1:10" outlineLevel="1" x14ac:dyDescent="0.2">
      <c r="D782" s="62" t="s">
        <v>189</v>
      </c>
      <c r="E782" s="64"/>
      <c r="F782" s="19">
        <v>0</v>
      </c>
      <c r="G782" s="19">
        <v>0</v>
      </c>
      <c r="H782" s="19">
        <v>0</v>
      </c>
      <c r="I782" s="62" t="s">
        <v>162</v>
      </c>
      <c r="J782" s="42">
        <f t="shared" si="31"/>
        <v>0</v>
      </c>
    </row>
    <row r="783" spans="1:10" outlineLevel="1" x14ac:dyDescent="0.2">
      <c r="D783" s="62" t="s">
        <v>190</v>
      </c>
      <c r="E783" s="64"/>
      <c r="F783" s="19">
        <v>0</v>
      </c>
      <c r="G783" s="19">
        <v>0</v>
      </c>
      <c r="H783" s="19">
        <v>0</v>
      </c>
      <c r="I783" s="62" t="s">
        <v>162</v>
      </c>
      <c r="J783" s="42">
        <f t="shared" si="31"/>
        <v>0</v>
      </c>
    </row>
    <row r="784" spans="1:10" outlineLevel="1" x14ac:dyDescent="0.2">
      <c r="D784" s="62" t="s">
        <v>191</v>
      </c>
      <c r="E784" s="64"/>
      <c r="F784" s="19">
        <v>0</v>
      </c>
      <c r="G784" s="19">
        <v>0</v>
      </c>
      <c r="H784" s="19">
        <v>0</v>
      </c>
      <c r="I784" s="62" t="s">
        <v>162</v>
      </c>
      <c r="J784" s="42">
        <f t="shared" si="31"/>
        <v>0</v>
      </c>
    </row>
    <row r="785" spans="4:10" outlineLevel="1" x14ac:dyDescent="0.2">
      <c r="D785" s="62" t="s">
        <v>192</v>
      </c>
      <c r="E785" s="64"/>
      <c r="F785" s="19">
        <v>0</v>
      </c>
      <c r="G785" s="19">
        <v>0</v>
      </c>
      <c r="H785" s="19">
        <v>0</v>
      </c>
      <c r="I785" s="62" t="s">
        <v>162</v>
      </c>
      <c r="J785" s="42">
        <f t="shared" si="31"/>
        <v>0</v>
      </c>
    </row>
    <row r="786" spans="4:10" outlineLevel="1" x14ac:dyDescent="0.2">
      <c r="D786" s="55" t="str">
        <f>Lang_Error_Check_Flags_If_Input_Econ_Cost_Is_Less_Than_Fin_Cost</f>
        <v>ERROR CHECK (FLAGS IF INPUT ECONOMIC COST IS LESS THAN FINANCIAL COST)</v>
      </c>
      <c r="J786" s="43">
        <f>IF(ISERROR(SUM(J776:J785)),1,MIN(SUM(J776:J785),1))</f>
        <v>0</v>
      </c>
    </row>
    <row r="787" spans="4:10" outlineLevel="1" x14ac:dyDescent="0.2"/>
    <row r="788" spans="4:10" outlineLevel="1" x14ac:dyDescent="0.2">
      <c r="D788" s="47" t="str">
        <f>Lang_GoTo&amp;" "&amp;HL_LVL2_ACTV_21_Other_Direct_Costs_Outputs</f>
        <v>Go to IEC Soc Mob  Activity # 8 (Not in Use) Other Direct Costs - Outputs</v>
      </c>
    </row>
  </sheetData>
  <conditionalFormatting sqref="G28:H42 G51:H60 G69:H78 G87:H96">
    <cfRule type="expression" dxfId="111" priority="8">
      <formula>$E$15=1</formula>
    </cfRule>
  </conditionalFormatting>
  <conditionalFormatting sqref="G125:H139 G148:H157 G166:H175 G184:H193">
    <cfRule type="expression" dxfId="110" priority="7">
      <formula>$E$112=1</formula>
    </cfRule>
  </conditionalFormatting>
  <conditionalFormatting sqref="G222:H236 G245:H254 G263:H272 G281:H290">
    <cfRule type="expression" dxfId="109" priority="6">
      <formula>$E$209=1</formula>
    </cfRule>
  </conditionalFormatting>
  <conditionalFormatting sqref="G321:H335 G344:H353 G362:H371 G380:H389">
    <cfRule type="expression" dxfId="108" priority="5">
      <formula>$E$308=1</formula>
    </cfRule>
  </conditionalFormatting>
  <conditionalFormatting sqref="G420:H434 G443:H452 G461:H470 G479:H488">
    <cfRule type="expression" dxfId="107" priority="4">
      <formula>$E$407=1</formula>
    </cfRule>
  </conditionalFormatting>
  <conditionalFormatting sqref="G519:H533 G542:H551 G560:H569 G578:H587">
    <cfRule type="expression" dxfId="106" priority="3">
      <formula>$E$506=1</formula>
    </cfRule>
  </conditionalFormatting>
  <conditionalFormatting sqref="G618:H632 G641:H650 G659:H668 G677:H686">
    <cfRule type="expression" dxfId="105" priority="2">
      <formula>$E$605=1</formula>
    </cfRule>
  </conditionalFormatting>
  <conditionalFormatting sqref="G717:H731 G740:H749 G758:H767 G776:H785">
    <cfRule type="expression" dxfId="104" priority="1">
      <formula>$E$704=1</formula>
    </cfRule>
  </conditionalFormatting>
  <conditionalFormatting sqref="J28:J43">
    <cfRule type="cellIs" dxfId="103" priority="184" operator="notEqual">
      <formula>0</formula>
    </cfRule>
  </conditionalFormatting>
  <conditionalFormatting sqref="J51:J61">
    <cfRule type="cellIs" dxfId="102" priority="176" operator="notEqual">
      <formula>0</formula>
    </cfRule>
  </conditionalFormatting>
  <conditionalFormatting sqref="J69:J79">
    <cfRule type="cellIs" dxfId="101" priority="175" operator="notEqual">
      <formula>0</formula>
    </cfRule>
  </conditionalFormatting>
  <conditionalFormatting sqref="J87:J97">
    <cfRule type="cellIs" dxfId="100" priority="174" operator="notEqual">
      <formula>0</formula>
    </cfRule>
  </conditionalFormatting>
  <conditionalFormatting sqref="J125:J140">
    <cfRule type="cellIs" dxfId="99" priority="183" operator="notEqual">
      <formula>0</formula>
    </cfRule>
  </conditionalFormatting>
  <conditionalFormatting sqref="J148:J158">
    <cfRule type="cellIs" dxfId="98" priority="173" operator="notEqual">
      <formula>0</formula>
    </cfRule>
  </conditionalFormatting>
  <conditionalFormatting sqref="J166:J176">
    <cfRule type="cellIs" dxfId="97" priority="172" operator="notEqual">
      <formula>0</formula>
    </cfRule>
  </conditionalFormatting>
  <conditionalFormatting sqref="J184:J194">
    <cfRule type="cellIs" dxfId="96" priority="171" operator="notEqual">
      <formula>0</formula>
    </cfRule>
  </conditionalFormatting>
  <conditionalFormatting sqref="J222:J237">
    <cfRule type="cellIs" dxfId="95" priority="182" operator="notEqual">
      <formula>0</formula>
    </cfRule>
  </conditionalFormatting>
  <conditionalFormatting sqref="J245:J255">
    <cfRule type="cellIs" dxfId="94" priority="170" operator="notEqual">
      <formula>0</formula>
    </cfRule>
  </conditionalFormatting>
  <conditionalFormatting sqref="J263:J273">
    <cfRule type="cellIs" dxfId="93" priority="169" operator="notEqual">
      <formula>0</formula>
    </cfRule>
  </conditionalFormatting>
  <conditionalFormatting sqref="J281:J291">
    <cfRule type="cellIs" dxfId="92" priority="168" operator="notEqual">
      <formula>0</formula>
    </cfRule>
  </conditionalFormatting>
  <conditionalFormatting sqref="J321:J336">
    <cfRule type="cellIs" dxfId="91" priority="181" operator="notEqual">
      <formula>0</formula>
    </cfRule>
  </conditionalFormatting>
  <conditionalFormatting sqref="J344:J354">
    <cfRule type="cellIs" dxfId="90" priority="167" operator="notEqual">
      <formula>0</formula>
    </cfRule>
  </conditionalFormatting>
  <conditionalFormatting sqref="J362:J372">
    <cfRule type="cellIs" dxfId="89" priority="166" operator="notEqual">
      <formula>0</formula>
    </cfRule>
  </conditionalFormatting>
  <conditionalFormatting sqref="J380:J390">
    <cfRule type="cellIs" dxfId="88" priority="165" operator="notEqual">
      <formula>0</formula>
    </cfRule>
  </conditionalFormatting>
  <conditionalFormatting sqref="J420:J435">
    <cfRule type="cellIs" dxfId="87" priority="180" operator="notEqual">
      <formula>0</formula>
    </cfRule>
  </conditionalFormatting>
  <conditionalFormatting sqref="J443:J453">
    <cfRule type="cellIs" dxfId="86" priority="164" operator="notEqual">
      <formula>0</formula>
    </cfRule>
  </conditionalFormatting>
  <conditionalFormatting sqref="J461:J471">
    <cfRule type="cellIs" dxfId="85" priority="163" operator="notEqual">
      <formula>0</formula>
    </cfRule>
  </conditionalFormatting>
  <conditionalFormatting sqref="J479:J489">
    <cfRule type="cellIs" dxfId="84" priority="162" operator="notEqual">
      <formula>0</formula>
    </cfRule>
  </conditionalFormatting>
  <conditionalFormatting sqref="J519:J534">
    <cfRule type="cellIs" dxfId="83" priority="179" operator="notEqual">
      <formula>0</formula>
    </cfRule>
  </conditionalFormatting>
  <conditionalFormatting sqref="J542:J552">
    <cfRule type="cellIs" dxfId="82" priority="161" operator="notEqual">
      <formula>0</formula>
    </cfRule>
  </conditionalFormatting>
  <conditionalFormatting sqref="J560:J570">
    <cfRule type="cellIs" dxfId="81" priority="160" operator="notEqual">
      <formula>0</formula>
    </cfRule>
  </conditionalFormatting>
  <conditionalFormatting sqref="J578:J588">
    <cfRule type="cellIs" dxfId="80" priority="159" operator="notEqual">
      <formula>0</formula>
    </cfRule>
  </conditionalFormatting>
  <conditionalFormatting sqref="J618:J633">
    <cfRule type="cellIs" dxfId="79" priority="178" operator="notEqual">
      <formula>0</formula>
    </cfRule>
  </conditionalFormatting>
  <conditionalFormatting sqref="J641:J651">
    <cfRule type="cellIs" dxfId="78" priority="158" operator="notEqual">
      <formula>0</formula>
    </cfRule>
  </conditionalFormatting>
  <conditionalFormatting sqref="J659:J669">
    <cfRule type="cellIs" dxfId="77" priority="157" operator="notEqual">
      <formula>0</formula>
    </cfRule>
  </conditionalFormatting>
  <conditionalFormatting sqref="J677:J687">
    <cfRule type="cellIs" dxfId="76" priority="156" operator="notEqual">
      <formula>0</formula>
    </cfRule>
  </conditionalFormatting>
  <conditionalFormatting sqref="J717:J732">
    <cfRule type="cellIs" dxfId="75" priority="177" operator="notEqual">
      <formula>0</formula>
    </cfRule>
  </conditionalFormatting>
  <conditionalFormatting sqref="J740:J750">
    <cfRule type="cellIs" dxfId="74" priority="155" operator="notEqual">
      <formula>0</formula>
    </cfRule>
  </conditionalFormatting>
  <conditionalFormatting sqref="J758:J768">
    <cfRule type="cellIs" dxfId="73" priority="154" operator="notEqual">
      <formula>0</formula>
    </cfRule>
  </conditionalFormatting>
  <conditionalFormatting sqref="J776:J786">
    <cfRule type="cellIs" dxfId="72" priority="153" operator="notEqual">
      <formula>0</formula>
    </cfRule>
  </conditionalFormatting>
  <dataValidations count="9">
    <dataValidation type="custom" showErrorMessage="1" errorTitle="Invalid Assumption" error="Assumption must be a number." sqref="F125:H139 F618:H632 F51:H60 F69:H78 F87:H96 F717:H731 F380:H389 F362:H371 F344:H353 F222:H236 E612 F28:H42 F184:H193 F166:H175 F148:H157 E22 E119 F281:H290 F263:H272 F245:H254 E414 F321:H335 F479:H488 F461:H470 F443:H452 E315 E216 F578:H587 F560:H569 F542:H551 E513 F519:H533 F677:H686 F659:H668 F641:H650 F420:H434 E711 F776:H785 F758:H767 F740:H749" xr:uid="{00000000-0002-0000-2400-000000000000}">
      <formula1>NOT(ISERROR(E22/1))</formula1>
    </dataValidation>
    <dataValidation type="whole" showDropDown="1" showErrorMessage="1" errorTitle="Drop Down Box Cell Link" error="The value in a drop down box cell link must be a whole number within the control's lookup range rows." sqref="E15" xr:uid="{00000000-0002-0000-2400-000001000000}">
      <formula1>1</formula1>
      <formula2>ROWS(LU_TOP_ACTV_4_Currencies)</formula2>
    </dataValidation>
    <dataValidation type="whole" showDropDown="1" showErrorMessage="1" errorTitle="Drop Down Box Cell Link" error="The value in a drop down box cell link must be a whole number within the control's lookup range rows." sqref="E308" xr:uid="{00000000-0002-0000-2400-000002000000}">
      <formula1>1</formula1>
      <formula2>ROWS(LU_LVL2_ACTV_4_Currencies)</formula2>
    </dataValidation>
    <dataValidation type="whole" showDropDown="1" showErrorMessage="1" errorTitle="Drop Down Box Cell Link" error="The value in a drop down box cell link must be a whole number within the control's lookup range rows." sqref="E112" xr:uid="{00000000-0002-0000-2400-000003000000}">
      <formula1>1</formula1>
      <formula2>ROWS(LU_TOP_ACTV_15_Currencies)</formula2>
    </dataValidation>
    <dataValidation type="whole" showDropDown="1" showErrorMessage="1" errorTitle="Drop Down Box Cell Link" error="The value in a drop down box cell link must be a whole number within the control's lookup range rows." sqref="E209" xr:uid="{00000000-0002-0000-2400-000004000000}">
      <formula1>1</formula1>
      <formula2>ROWS(LU_TOP_ACTV_16_Currencies)</formula2>
    </dataValidation>
    <dataValidation type="whole" showDropDown="1" showErrorMessage="1" errorTitle="Drop Down Box Cell Link" error="The value in a drop down box cell link must be a whole number within the control's lookup range rows." sqref="E407" xr:uid="{00000000-0002-0000-2400-000005000000}">
      <formula1>1</formula1>
      <formula2>ROWS(LU_LVL2_ACTV_10_Currencies)</formula2>
    </dataValidation>
    <dataValidation type="whole" showDropDown="1" showErrorMessage="1" errorTitle="Drop Down Box Cell Link" error="The value in a drop down box cell link must be a whole number within the control's lookup range rows." sqref="E506" xr:uid="{00000000-0002-0000-2400-000006000000}">
      <formula1>1</formula1>
      <formula2>ROWS(LU_LVL2_ACTV_11_Currencies)</formula2>
    </dataValidation>
    <dataValidation type="whole" showDropDown="1" showErrorMessage="1" errorTitle="Drop Down Box Cell Link" error="The value in a drop down box cell link must be a whole number within the control's lookup range rows." sqref="E605" xr:uid="{00000000-0002-0000-2400-000007000000}">
      <formula1>1</formula1>
      <formula2>ROWS(LU_LVL2_ACTV_8_Currencies)</formula2>
    </dataValidation>
    <dataValidation type="whole" showDropDown="1" showErrorMessage="1" errorTitle="Drop Down Box Cell Link" error="The value in a drop down box cell link must be a whole number within the control's lookup range rows." sqref="E704" xr:uid="{00000000-0002-0000-2400-000008000000}">
      <formula1>1</formula1>
      <formula2>ROWS(LU_LVL2_ACTV_21_Currencies)</formula2>
    </dataValidation>
  </dataValidations>
  <hyperlinks>
    <hyperlink ref="A4" location="HL_TOP_ACTV_4_Ass_B" tooltip="Click to follow hyperlink." display="HL_TOP_ACTV_4_Ass_B" xr:uid="{00000000-0004-0000-2400-000000000000}"/>
    <hyperlink ref="A12" location="HL_TOP_ACTV_4_Personnel_Assumptions" tooltip="Click to follow hyperlink." display="HL_TOP_ACTV_4_Personnel_Assumptions" xr:uid="{00000000-0004-0000-2400-000001000000}"/>
    <hyperlink ref="D45" location="HL_TOP_ACTV_4_Personnel_Outputs" tooltip="Click to follow hyperlink." display="HL_TOP_ACTV_4_Personnel_Outputs" xr:uid="{00000000-0004-0000-2400-000002000000}"/>
    <hyperlink ref="D63" location="HL_TOP_ACTV_4_Out_A" tooltip="Click to follow hyperlink." display="HL_TOP_ACTV_4_Out_A" xr:uid="{00000000-0004-0000-2400-000003000000}"/>
    <hyperlink ref="D81" location="HL_TOP_ACTV_4_Supplies_and_Materials_Outputs" tooltip="Click to follow hyperlink." display="HL_TOP_ACTV_4_Supplies_and_Materials_Outputs" xr:uid="{00000000-0004-0000-2400-000004000000}"/>
    <hyperlink ref="D99" location="HL_TOP_ACTV_4_Other_Direct_Costs_Outputs" tooltip="Click to follow hyperlink." display="HL_TOP_ACTV_4_Other_Direct_Costs_Outputs" xr:uid="{00000000-0004-0000-2400-000005000000}"/>
    <hyperlink ref="A295" location="HL_LVL2_ACTV_4_Ass_B" tooltip="Click to follow hyperlink." display="HL_LVL2_ACTV_4_Ass_B" xr:uid="{00000000-0004-0000-2400-000006000000}"/>
    <hyperlink ref="A304" location="HL_LVL2_ACTV_4_Personnel_Assumptions" tooltip="Click to follow hyperlink." display="HL_LVL2_ACTV_4_Personnel_Assumptions" xr:uid="{00000000-0004-0000-2400-000007000000}"/>
    <hyperlink ref="D338" location="HL_LVL2_ACTV_4_Personnel_Outputs" tooltip="Click to follow hyperlink." display="HL_LVL2_ACTV_4_Personnel_Outputs" xr:uid="{00000000-0004-0000-2400-000008000000}"/>
    <hyperlink ref="D356" location="HL_LVL2_ACTV_4_Out_A" tooltip="Click to follow hyperlink." display="HL_LVL2_ACTV_4_Out_A" xr:uid="{00000000-0004-0000-2400-000009000000}"/>
    <hyperlink ref="D374" location="HL_LVL2_ACTV_4_Supplies_and_Materials_Outputs" tooltip="Click to follow hyperlink." display="HL_LVL2_ACTV_4_Supplies_and_Materials_Outputs" xr:uid="{00000000-0004-0000-2400-00000A000000}"/>
    <hyperlink ref="D392" location="HL_LVL2_ACTV_4_Other_Direct_Costs_Outputs" tooltip="Click to follow hyperlink." display="HL_LVL2_ACTV_4_Other_Direct_Costs_Outputs" xr:uid="{00000000-0004-0000-2400-00000B000000}"/>
    <hyperlink ref="A101" location="HL_TOP_ACTV_15_Ass_B" tooltip="Click to follow hyperlink." display="HL_TOP_ACTV_15_Ass_B" xr:uid="{00000000-0004-0000-2400-00000C000000}"/>
    <hyperlink ref="A109" location="HL_TOP_ACTV_15_Personnel_Assumptions" tooltip="Click to follow hyperlink." display="HL_TOP_ACTV_15_Personnel_Assumptions" xr:uid="{00000000-0004-0000-2400-00000D000000}"/>
    <hyperlink ref="D142" location="HL_TOP_ACTV_15_Personnel_Outputs" tooltip="Click to follow hyperlink." display="HL_TOP_ACTV_15_Personnel_Outputs" xr:uid="{00000000-0004-0000-2400-00000E000000}"/>
    <hyperlink ref="D160" location="HL_TOP_ACTV_15_Out_A" tooltip="Click to follow hyperlink." display="HL_TOP_ACTV_15_Out_A" xr:uid="{00000000-0004-0000-2400-00000F000000}"/>
    <hyperlink ref="D178" location="HL_TOP_ACTV_15_Supplies_and_Materials_Outputs" tooltip="Click to follow hyperlink." display="HL_TOP_ACTV_15_Supplies_and_Materials_Outputs" xr:uid="{00000000-0004-0000-2400-000010000000}"/>
    <hyperlink ref="D196" location="HL_TOP_ACTV_15_Other_Direct_Costs_Outputs" tooltip="Click to follow hyperlink." display="HL_TOP_ACTV_15_Other_Direct_Costs_Outputs" xr:uid="{00000000-0004-0000-2400-000011000000}"/>
    <hyperlink ref="A198" location="HL_TOP_ACTV_16_Ass_B" tooltip="Click to follow hyperlink." display="HL_TOP_ACTV_16_Ass_B" xr:uid="{00000000-0004-0000-2400-000012000000}"/>
    <hyperlink ref="A206" location="HL_TOP_ACTV_16_Personnel_Assumptions" tooltip="Click to follow hyperlink." display="HL_TOP_ACTV_16_Personnel_Assumptions" xr:uid="{00000000-0004-0000-2400-000013000000}"/>
    <hyperlink ref="D239" location="HL_TOP_ACTV_16_Personnel_Outputs" tooltip="Click to follow hyperlink." display="HL_TOP_ACTV_16_Personnel_Outputs" xr:uid="{00000000-0004-0000-2400-000014000000}"/>
    <hyperlink ref="D257" location="HL_TOP_ACTV_16_Out_A" tooltip="Click to follow hyperlink." display="HL_TOP_ACTV_16_Out_A" xr:uid="{00000000-0004-0000-2400-000015000000}"/>
    <hyperlink ref="D275" location="HL_TOP_ACTV_16_Supplies_and_Materials_Outputs" tooltip="Click to follow hyperlink." display="HL_TOP_ACTV_16_Supplies_and_Materials_Outputs" xr:uid="{00000000-0004-0000-2400-000016000000}"/>
    <hyperlink ref="D293" location="HL_TOP_ACTV_16_Other_Direct_Costs_Outputs" tooltip="Click to follow hyperlink." display="HL_TOP_ACTV_16_Other_Direct_Costs_Outputs" xr:uid="{00000000-0004-0000-2400-000017000000}"/>
    <hyperlink ref="A394" location="HL_LVL2_ACTV_10_Ass_B" tooltip="Click to follow hyperlink." display="HL_LVL2_ACTV_10_Ass_B" xr:uid="{00000000-0004-0000-2400-000018000000}"/>
    <hyperlink ref="A403" location="HL_LVL2_ACTV_10_Personnel_Assumptions" tooltip="Click to follow hyperlink." display="HL_LVL2_ACTV_10_Personnel_Assumptions" xr:uid="{00000000-0004-0000-2400-000019000000}"/>
    <hyperlink ref="D437" location="HL_LVL2_ACTV_10_Personnel_Outputs" tooltip="Click to follow hyperlink." display="HL_LVL2_ACTV_10_Personnel_Outputs" xr:uid="{00000000-0004-0000-2400-00001A000000}"/>
    <hyperlink ref="D455" location="HL_LVL2_ACTV_10_Out_A" tooltip="Click to follow hyperlink." display="HL_LVL2_ACTV_10_Out_A" xr:uid="{00000000-0004-0000-2400-00001B000000}"/>
    <hyperlink ref="D473" location="HL_LVL2_ACTV_10_Supplies_and_Materials_Outputs" tooltip="Click to follow hyperlink." display="HL_LVL2_ACTV_10_Supplies_and_Materials_Outputs" xr:uid="{00000000-0004-0000-2400-00001C000000}"/>
    <hyperlink ref="D491" location="HL_LVL2_ACTV_10_Other_Direct_Costs_Outputs" tooltip="Click to follow hyperlink." display="HL_LVL2_ACTV_10_Other_Direct_Costs_Outputs" xr:uid="{00000000-0004-0000-2400-00001D000000}"/>
    <hyperlink ref="A493" location="HL_LVL2_ACTV_11_Ass_B" tooltip="Click to follow hyperlink." display="HL_LVL2_ACTV_11_Ass_B" xr:uid="{00000000-0004-0000-2400-00001E000000}"/>
    <hyperlink ref="A502" location="HL_LVL2_ACTV_11_Personnel_Assumptions" tooltip="Click to follow hyperlink." display="HL_LVL2_ACTV_11_Personnel_Assumptions" xr:uid="{00000000-0004-0000-2400-00001F000000}"/>
    <hyperlink ref="D536" location="HL_LVL2_ACTV_11_Personnel_Outputs" tooltip="Click to follow hyperlink." display="HL_LVL2_ACTV_11_Personnel_Outputs" xr:uid="{00000000-0004-0000-2400-000020000000}"/>
    <hyperlink ref="D554" location="HL_LVL2_ACTV_11_Out_A" tooltip="Click to follow hyperlink." display="HL_LVL2_ACTV_11_Out_A" xr:uid="{00000000-0004-0000-2400-000021000000}"/>
    <hyperlink ref="D572" location="HL_LVL2_ACTV_11_Supplies_and_Materials_Outputs" tooltip="Click to follow hyperlink." display="HL_LVL2_ACTV_11_Supplies_and_Materials_Outputs" xr:uid="{00000000-0004-0000-2400-000022000000}"/>
    <hyperlink ref="D590" location="HL_LVL2_ACTV_11_Other_Direct_Costs_Outputs" tooltip="Click to follow hyperlink." display="HL_LVL2_ACTV_11_Other_Direct_Costs_Outputs" xr:uid="{00000000-0004-0000-2400-000023000000}"/>
    <hyperlink ref="A592" location="HL_LVL2_ACTV_8_Ass_B" tooltip="Click to follow hyperlink." display="HL_LVL2_ACTV_8_Ass_B" xr:uid="{00000000-0004-0000-2400-000024000000}"/>
    <hyperlink ref="A601" location="HL_LVL2_ACTV_8_Personnel_Assumptions" tooltip="Click to follow hyperlink." display="HL_LVL2_ACTV_8_Personnel_Assumptions" xr:uid="{00000000-0004-0000-2400-000025000000}"/>
    <hyperlink ref="D635" location="HL_LVL2_ACTV_8_Personnel_Outputs" tooltip="Click to follow hyperlink." display="HL_LVL2_ACTV_8_Personnel_Outputs" xr:uid="{00000000-0004-0000-2400-000026000000}"/>
    <hyperlink ref="D653" location="HL_LVL2_ACTV_8_Out_A" tooltip="Click to follow hyperlink." display="HL_LVL2_ACTV_8_Out_A" xr:uid="{00000000-0004-0000-2400-000027000000}"/>
    <hyperlink ref="D671" location="HL_LVL2_ACTV_8_Supplies_and_Materials_Outputs" tooltip="Click to follow hyperlink." display="HL_LVL2_ACTV_8_Supplies_and_Materials_Outputs" xr:uid="{00000000-0004-0000-2400-000028000000}"/>
    <hyperlink ref="D689" location="HL_LVL2_ACTV_8_Other_Direct_Costs_Outputs" tooltip="Click to follow hyperlink." display="HL_LVL2_ACTV_8_Other_Direct_Costs_Outputs" xr:uid="{00000000-0004-0000-2400-000029000000}"/>
    <hyperlink ref="A691" location="HL_LVL2_ACTV_21_Ass_B" tooltip="Click to follow hyperlink." display="HL_LVL2_ACTV_21_Ass_B" xr:uid="{00000000-0004-0000-2400-00002A000000}"/>
    <hyperlink ref="A700" location="HL_LVL2_ACTV_21_Personnel_Assumptions" tooltip="Click to follow hyperlink." display="HL_LVL2_ACTV_21_Personnel_Assumptions" xr:uid="{00000000-0004-0000-2400-00002B000000}"/>
    <hyperlink ref="D734" location="HL_LVL2_ACTV_21_Personnel_Outputs" tooltip="Click to follow hyperlink." display="HL_LVL2_ACTV_21_Personnel_Outputs" xr:uid="{00000000-0004-0000-2400-00002C000000}"/>
    <hyperlink ref="D752" location="HL_LVL2_ACTV_21_Out_A" tooltip="Click to follow hyperlink." display="HL_LVL2_ACTV_21_Out_A" xr:uid="{00000000-0004-0000-2400-00002D000000}"/>
    <hyperlink ref="D770" location="HL_LVL2_ACTV_21_Supplies_and_Materials_Outputs" tooltip="Click to follow hyperlink." display="HL_LVL2_ACTV_21_Supplies_and_Materials_Outputs" xr:uid="{00000000-0004-0000-2400-00002E000000}"/>
    <hyperlink ref="D788" location="HL_LVL2_ACTV_21_Other_Direct_Costs_Outputs" tooltip="Click to follow hyperlink." display="HL_LVL2_ACTV_21_Other_Direct_Costs_Outputs" xr:uid="{00000000-0004-0000-2400-00002F000000}"/>
    <hyperlink ref="A1" location="Contents!A1" tooltip="Go to Table of Contents" display="±" xr:uid="{00000000-0004-0000-2400-000030000000}"/>
  </hyperlinks>
  <pageMargins left="0.7" right="0.7" top="0.75" bottom="0.75" header="0.3" footer="0.3"/>
  <pageSetup scale="62" fitToHeight="0" orientation="landscape" r:id="rId1"/>
  <headerFooter>
    <oddFooter>&amp;L&amp;B Confidential&amp;B&amp;C&amp;D&amp;RPage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0001" r:id="rId4" name="bpmDropDownTOP_ACTV_41">
              <controlPr defaultSize="0" autoFill="0" autoPict="0">
                <anchor moveWithCells="1" sizeWithCells="1">
                  <from>
                    <xdr:col>4</xdr:col>
                    <xdr:colOff>0</xdr:colOff>
                    <xdr:row>14</xdr:row>
                    <xdr:rowOff>0</xdr:rowOff>
                  </from>
                  <to>
                    <xdr:col>5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015" r:id="rId5" name="bpmDropDownLVL2_ACTV_41">
              <controlPr defaultSize="0" autoFill="0" autoPict="0">
                <anchor moveWithCells="1" sizeWithCells="1">
                  <from>
                    <xdr:col>4</xdr:col>
                    <xdr:colOff>0</xdr:colOff>
                    <xdr:row>307</xdr:row>
                    <xdr:rowOff>0</xdr:rowOff>
                  </from>
                  <to>
                    <xdr:col>5</xdr:col>
                    <xdr:colOff>0</xdr:colOff>
                    <xdr:row>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020" r:id="rId6" name="bpmDropDownTOP_ACTV_151">
              <controlPr defaultSize="0" autoFill="0" autoPict="0">
                <anchor moveWithCells="1" sizeWithCells="1">
                  <from>
                    <xdr:col>4</xdr:col>
                    <xdr:colOff>0</xdr:colOff>
                    <xdr:row>111</xdr:row>
                    <xdr:rowOff>0</xdr:rowOff>
                  </from>
                  <to>
                    <xdr:col>5</xdr:col>
                    <xdr:colOff>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025" r:id="rId7" name="bpmDropDownTOP_ACTV_161">
              <controlPr defaultSize="0" autoFill="0" autoPict="0">
                <anchor moveWithCells="1" sizeWithCells="1">
                  <from>
                    <xdr:col>4</xdr:col>
                    <xdr:colOff>0</xdr:colOff>
                    <xdr:row>208</xdr:row>
                    <xdr:rowOff>0</xdr:rowOff>
                  </from>
                  <to>
                    <xdr:col>5</xdr:col>
                    <xdr:colOff>0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030" r:id="rId8" name="bpmDropDownLVL2_ACTV_101">
              <controlPr defaultSize="0" autoFill="0" autoPict="0">
                <anchor moveWithCells="1" sizeWithCells="1">
                  <from>
                    <xdr:col>4</xdr:col>
                    <xdr:colOff>0</xdr:colOff>
                    <xdr:row>406</xdr:row>
                    <xdr:rowOff>0</xdr:rowOff>
                  </from>
                  <to>
                    <xdr:col>5</xdr:col>
                    <xdr:colOff>0</xdr:colOff>
                    <xdr:row>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035" r:id="rId9" name="bpmDropDownLVL2_ACTV_111">
              <controlPr defaultSize="0" autoFill="0" autoPict="0">
                <anchor moveWithCells="1" sizeWithCells="1">
                  <from>
                    <xdr:col>4</xdr:col>
                    <xdr:colOff>0</xdr:colOff>
                    <xdr:row>505</xdr:row>
                    <xdr:rowOff>0</xdr:rowOff>
                  </from>
                  <to>
                    <xdr:col>5</xdr:col>
                    <xdr:colOff>0</xdr:colOff>
                    <xdr:row>506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040" r:id="rId10" name="bpmDropDownLVL2_ACTV_81">
              <controlPr defaultSize="0" autoFill="0" autoPict="0">
                <anchor moveWithCells="1" sizeWithCells="1">
                  <from>
                    <xdr:col>4</xdr:col>
                    <xdr:colOff>0</xdr:colOff>
                    <xdr:row>604</xdr:row>
                    <xdr:rowOff>0</xdr:rowOff>
                  </from>
                  <to>
                    <xdr:col>5</xdr:col>
                    <xdr:colOff>0</xdr:colOff>
                    <xdr:row>605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045" r:id="rId11" name="bpmDropDownLVL2_ACTV_211">
              <controlPr defaultSize="0" autoFill="0" autoPict="0">
                <anchor moveWithCells="1" sizeWithCells="1">
                  <from>
                    <xdr:col>4</xdr:col>
                    <xdr:colOff>0</xdr:colOff>
                    <xdr:row>703</xdr:row>
                    <xdr:rowOff>0</xdr:rowOff>
                  </from>
                  <to>
                    <xdr:col>5</xdr:col>
                    <xdr:colOff>0</xdr:colOff>
                    <xdr:row>704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5">
    <tabColor rgb="FFFFC000"/>
    <pageSetUpPr autoPageBreaks="0" fitToPage="1"/>
  </sheetPr>
  <dimension ref="A1:R687"/>
  <sheetViews>
    <sheetView showGridLines="0" zoomScaleNormal="100" workbookViewId="0">
      <pane xSplit="1" ySplit="2" topLeftCell="B3" activePane="bottomRight" state="frozen"/>
      <selection activeCell="I511" sqref="I511"/>
      <selection pane="topRight" activeCell="I511" sqref="I511"/>
      <selection pane="bottomLeft" activeCell="I511" sqref="I511"/>
      <selection pane="bottomRight" activeCell="E15" sqref="E15"/>
    </sheetView>
  </sheetViews>
  <sheetFormatPr defaultColWidth="11.7109375" defaultRowHeight="12" outlineLevelRow="1" x14ac:dyDescent="0.2"/>
  <cols>
    <col min="1" max="3" width="3.7109375" customWidth="1"/>
    <col min="4" max="4" width="30.7109375" customWidth="1"/>
    <col min="5" max="5" width="20.7109375" customWidth="1"/>
    <col min="8" max="8" width="15.7109375" customWidth="1"/>
    <col min="9" max="9" width="30.7109375" customWidth="1"/>
  </cols>
  <sheetData>
    <row r="1" spans="1:5" ht="15" x14ac:dyDescent="0.2">
      <c r="A1" s="35" t="s">
        <v>128</v>
      </c>
      <c r="B1" s="31" t="str">
        <f>Lang_Supervision_Detailed_Costing_Worksheets_Optional</f>
        <v>Supervision  - Detailed Costing Worksheets (OPTIONAL)</v>
      </c>
    </row>
    <row r="2" spans="1:5" ht="12.75" x14ac:dyDescent="0.2">
      <c r="A2" s="36"/>
      <c r="B2" s="45" t="str">
        <f ca="1">Model_Name</f>
        <v>Cervical Cancer Prevention and Control Costing (C4P) Tool (Cost Projection)</v>
      </c>
    </row>
    <row r="3" spans="1:5" s="10" customFormat="1" x14ac:dyDescent="0.2"/>
    <row r="4" spans="1:5" s="13" customFormat="1" x14ac:dyDescent="0.2">
      <c r="A4" s="12" t="s">
        <v>125</v>
      </c>
      <c r="B4" s="13" t="str">
        <f>C6</f>
        <v>SME Activity #1 (Not in Use) -  Detailed Activity Costing Worksheet - Instructions</v>
      </c>
    </row>
    <row r="5" spans="1:5" s="10" customFormat="1" outlineLevel="1" x14ac:dyDescent="0.2"/>
    <row r="6" spans="1:5" s="10" customFormat="1" outlineLevel="1" x14ac:dyDescent="0.2">
      <c r="C6" s="71" t="str">
        <f>HL_TOP_ACTV_5_Name&amp;" -  "&amp;Lang_Detailed_Activity_Costing_Worksheet_Instructions</f>
        <v>SME Activity #1 (Not in Use) -  Detailed Activity Costing Worksheet - Instructions</v>
      </c>
    </row>
    <row r="7" spans="1:5" s="10" customFormat="1" outlineLevel="1" x14ac:dyDescent="0.2"/>
    <row r="8" spans="1:5" s="10" customFormat="1" outlineLevel="1" x14ac:dyDescent="0.2">
      <c r="D8" s="50" t="str">
        <f>Lang_Detailed_Costing_Worksheets_Notes_1</f>
        <v>This detailed costing worksheet can be used to document the types and amounts of resources required to complete a single instance of an activity.</v>
      </c>
    </row>
    <row r="9" spans="1:5" s="10" customFormat="1" outlineLevel="1" x14ac:dyDescent="0.2">
      <c r="D9" s="50" t="str">
        <f>Lang_Detailed_Costing_Worksheets_Notes_2</f>
        <v>When completed, it will automatically provide a single activity cost in the general assumption worksheet.</v>
      </c>
    </row>
    <row r="10" spans="1:5" s="10" customFormat="1" outlineLevel="1" x14ac:dyDescent="0.2">
      <c r="D10" s="50" t="str">
        <f>Lang_Detailed_Costing_Worksheets_Notes_3</f>
        <v>The user may then choose to use the results of the detailed costing in the model, or override the detailed costing and insert alternate cost estimates.</v>
      </c>
    </row>
    <row r="11" spans="1:5" s="10" customFormat="1" x14ac:dyDescent="0.2"/>
    <row r="12" spans="1:5" s="13" customFormat="1" x14ac:dyDescent="0.2">
      <c r="A12" s="6" t="s">
        <v>125</v>
      </c>
      <c r="B12" s="13" t="str">
        <f>C14</f>
        <v>SME Activity #1 (Not in Use) - Detailed Activity Costing Worksheet - Currency Selection</v>
      </c>
    </row>
    <row r="13" spans="1:5" s="10" customFormat="1" outlineLevel="1" x14ac:dyDescent="0.2"/>
    <row r="14" spans="1:5" s="10" customFormat="1" outlineLevel="1" x14ac:dyDescent="0.2">
      <c r="C14" s="18" t="str">
        <f>HL_TOP_ACTV_5_Name&amp;" - "&amp;Lang_Detailed_Activity_Costing_Worksheet_Currency_Selection</f>
        <v>SME Activity #1 (Not in Use) - Detailed Activity Costing Worksheet - Currency Selection</v>
      </c>
    </row>
    <row r="15" spans="1:5" s="10" customFormat="1" outlineLevel="1" x14ac:dyDescent="0.2">
      <c r="D15" s="55" t="str">
        <f>Lang_Currency_Used_For_Cost_Inputs</f>
        <v>Currency Used for Cost Inputs</v>
      </c>
      <c r="E15" s="22">
        <v>1</v>
      </c>
    </row>
    <row r="16" spans="1:5" s="10" customFormat="1" outlineLevel="1" x14ac:dyDescent="0.2"/>
    <row r="17" spans="1:10" s="10" customFormat="1" outlineLevel="1" x14ac:dyDescent="0.2"/>
    <row r="18" spans="1:10" s="10" customFormat="1" outlineLevel="1" x14ac:dyDescent="0.2">
      <c r="D18" s="54" t="str">
        <f>Lang_Imported_From_Econ_Module</f>
        <v>Imported from Econ Module</v>
      </c>
    </row>
    <row r="19" spans="1:10" s="10" customFormat="1" outlineLevel="1" x14ac:dyDescent="0.2">
      <c r="D19" s="49" t="str">
        <f>ECONOMICS!F7</f>
        <v>USD</v>
      </c>
    </row>
    <row r="20" spans="1:10" s="10" customFormat="1" outlineLevel="1" x14ac:dyDescent="0.2">
      <c r="D20" s="49" t="str">
        <f>ECONOMICS!F8</f>
        <v>LCU</v>
      </c>
    </row>
    <row r="21" spans="1:10" s="10" customFormat="1" outlineLevel="1" x14ac:dyDescent="0.2"/>
    <row r="22" spans="1:10" s="10" customFormat="1" outlineLevel="1" x14ac:dyDescent="0.2">
      <c r="D22" s="50" t="str">
        <f>Lang_Exchange_Rate_From_Econ</f>
        <v>Exchange Rate (from Economics)</v>
      </c>
      <c r="E22" s="41">
        <f>ECONOMICS!E13</f>
        <v>1234.5</v>
      </c>
    </row>
    <row r="23" spans="1:10" s="10" customFormat="1" x14ac:dyDescent="0.2"/>
    <row r="24" spans="1:10" s="13" customFormat="1" x14ac:dyDescent="0.2">
      <c r="A24" s="12" t="s">
        <v>127</v>
      </c>
      <c r="B24" s="13" t="str">
        <f>C26</f>
        <v>SME Activity #1 (Not in Use) - Detailed Personnel Cost Assumptions</v>
      </c>
    </row>
    <row r="25" spans="1:10" s="10" customFormat="1" outlineLevel="1" x14ac:dyDescent="0.2"/>
    <row r="26" spans="1:10" s="10" customFormat="1" outlineLevel="1" x14ac:dyDescent="0.2">
      <c r="C26" s="71" t="str">
        <f>HL_TOP_ACTV_5_Name&amp;" - "&amp;Lang_Detailed_Personnel_Cost_Assumptions</f>
        <v>SME Activity #1 (Not in Use) - Detailed Personnel Cost Assumptions</v>
      </c>
    </row>
    <row r="27" spans="1:10" s="10" customFormat="1" ht="48" outlineLevel="1" x14ac:dyDescent="0.2">
      <c r="D27" s="55" t="str">
        <f>Lang_Personnel_Cadre_Type</f>
        <v>Personnel Cadre Type</v>
      </c>
      <c r="E27" s="85" t="str">
        <f>Lang_Activity_Unit_Day_Hour_Minute</f>
        <v>Activity Unit (e.g. Day, Hour, Minute)</v>
      </c>
      <c r="F27" s="85" t="str">
        <f>Lang_Number_Of_Activity_Units_Required</f>
        <v>Number of Activity Units Required</v>
      </c>
      <c r="G27" s="86" t="str">
        <f ca="1">SUPV_Lu!$D$32&amp;" "&amp;Lang_Cost_Per_Activity_Unit&amp;" ("&amp;OFFSET(SUPV_Lu!$D$11,DD_TOP_ACTV_5_Detailed_Currency_Used,0)&amp;")"</f>
        <v>Financial Cost per Activity Unit (USD)</v>
      </c>
      <c r="H27" s="86" t="str">
        <f ca="1">SUPV_Lu!$D$33&amp;" "&amp;Lang_Cost_Per_Activity_Unit&amp;" ("&amp;OFFSET(SUPV_Lu!$D$11,DD_TOP_ACTV_5_Detailed_Currency_Used,0)&amp;")"</f>
        <v>Economic Cost per Activity Unit (USD)</v>
      </c>
      <c r="I27" s="87" t="str">
        <f>Lang_Evidence_For_Using_This_Cost_Information_Source_Or_Notes</f>
        <v>Evidence for Using this Cost Information (source or notes)</v>
      </c>
    </row>
    <row r="28" spans="1:10" s="10" customFormat="1" outlineLevel="1" x14ac:dyDescent="0.2">
      <c r="D28" s="75" t="s">
        <v>152</v>
      </c>
      <c r="E28" s="75"/>
      <c r="F28" s="80">
        <v>0</v>
      </c>
      <c r="G28" s="80">
        <v>0</v>
      </c>
      <c r="H28" s="80">
        <v>0</v>
      </c>
      <c r="I28" s="75" t="s">
        <v>162</v>
      </c>
      <c r="J28" s="42">
        <f t="shared" ref="J28:J42" si="0">IF(H28&lt;G28,1,0)</f>
        <v>0</v>
      </c>
    </row>
    <row r="29" spans="1:10" s="10" customFormat="1" outlineLevel="1" x14ac:dyDescent="0.2">
      <c r="D29" s="75" t="s">
        <v>153</v>
      </c>
      <c r="E29" s="75"/>
      <c r="F29" s="80">
        <v>0</v>
      </c>
      <c r="G29" s="80">
        <v>0</v>
      </c>
      <c r="H29" s="80">
        <v>0</v>
      </c>
      <c r="I29" s="75" t="s">
        <v>162</v>
      </c>
      <c r="J29" s="42">
        <f t="shared" si="0"/>
        <v>0</v>
      </c>
    </row>
    <row r="30" spans="1:10" s="10" customFormat="1" outlineLevel="1" x14ac:dyDescent="0.2">
      <c r="D30" s="75" t="s">
        <v>154</v>
      </c>
      <c r="E30" s="75"/>
      <c r="F30" s="80">
        <v>0</v>
      </c>
      <c r="G30" s="80">
        <v>0</v>
      </c>
      <c r="H30" s="80">
        <v>0</v>
      </c>
      <c r="I30" s="75" t="s">
        <v>162</v>
      </c>
      <c r="J30" s="42">
        <f t="shared" si="0"/>
        <v>0</v>
      </c>
    </row>
    <row r="31" spans="1:10" s="10" customFormat="1" outlineLevel="1" x14ac:dyDescent="0.2">
      <c r="D31" s="75" t="s">
        <v>155</v>
      </c>
      <c r="E31" s="75"/>
      <c r="F31" s="80">
        <v>0</v>
      </c>
      <c r="G31" s="80">
        <v>0</v>
      </c>
      <c r="H31" s="80">
        <v>0</v>
      </c>
      <c r="I31" s="75" t="s">
        <v>162</v>
      </c>
      <c r="J31" s="42">
        <f t="shared" si="0"/>
        <v>0</v>
      </c>
    </row>
    <row r="32" spans="1:10" s="10" customFormat="1" outlineLevel="1" x14ac:dyDescent="0.2">
      <c r="D32" s="75" t="s">
        <v>156</v>
      </c>
      <c r="E32" s="75"/>
      <c r="F32" s="80">
        <v>0</v>
      </c>
      <c r="G32" s="80">
        <v>0</v>
      </c>
      <c r="H32" s="80">
        <v>0</v>
      </c>
      <c r="I32" s="75" t="s">
        <v>162</v>
      </c>
      <c r="J32" s="42">
        <f t="shared" si="0"/>
        <v>0</v>
      </c>
    </row>
    <row r="33" spans="1:18" s="10" customFormat="1" outlineLevel="1" x14ac:dyDescent="0.2">
      <c r="D33" s="75" t="s">
        <v>157</v>
      </c>
      <c r="E33" s="75"/>
      <c r="F33" s="80">
        <v>0</v>
      </c>
      <c r="G33" s="80">
        <v>0</v>
      </c>
      <c r="H33" s="80">
        <v>0</v>
      </c>
      <c r="I33" s="75" t="s">
        <v>162</v>
      </c>
      <c r="J33" s="42">
        <f t="shared" si="0"/>
        <v>0</v>
      </c>
      <c r="R33"/>
    </row>
    <row r="34" spans="1:18" s="10" customFormat="1" outlineLevel="1" x14ac:dyDescent="0.2">
      <c r="D34" s="75" t="s">
        <v>158</v>
      </c>
      <c r="E34" s="75"/>
      <c r="F34" s="80">
        <v>0</v>
      </c>
      <c r="G34" s="80">
        <v>0</v>
      </c>
      <c r="H34" s="80">
        <v>0</v>
      </c>
      <c r="I34" s="75" t="s">
        <v>162</v>
      </c>
      <c r="J34" s="42">
        <f t="shared" si="0"/>
        <v>0</v>
      </c>
    </row>
    <row r="35" spans="1:18" s="10" customFormat="1" outlineLevel="1" x14ac:dyDescent="0.2">
      <c r="D35" s="75" t="s">
        <v>159</v>
      </c>
      <c r="E35" s="75"/>
      <c r="F35" s="80">
        <v>0</v>
      </c>
      <c r="G35" s="80">
        <v>0</v>
      </c>
      <c r="H35" s="80">
        <v>0</v>
      </c>
      <c r="I35" s="75" t="s">
        <v>162</v>
      </c>
      <c r="J35" s="42">
        <f t="shared" si="0"/>
        <v>0</v>
      </c>
    </row>
    <row r="36" spans="1:18" s="10" customFormat="1" outlineLevel="1" x14ac:dyDescent="0.2">
      <c r="D36" s="75" t="s">
        <v>160</v>
      </c>
      <c r="E36" s="88"/>
      <c r="F36" s="80">
        <v>0</v>
      </c>
      <c r="G36" s="80">
        <v>0</v>
      </c>
      <c r="H36" s="80">
        <v>0</v>
      </c>
      <c r="I36" s="75" t="s">
        <v>162</v>
      </c>
      <c r="J36" s="42">
        <f t="shared" si="0"/>
        <v>0</v>
      </c>
    </row>
    <row r="37" spans="1:18" s="10" customFormat="1" outlineLevel="1" x14ac:dyDescent="0.2">
      <c r="D37" s="75" t="s">
        <v>161</v>
      </c>
      <c r="E37" s="88"/>
      <c r="F37" s="80">
        <v>0</v>
      </c>
      <c r="G37" s="80">
        <v>0</v>
      </c>
      <c r="H37" s="80">
        <v>0</v>
      </c>
      <c r="I37" s="75" t="s">
        <v>162</v>
      </c>
      <c r="J37" s="42">
        <f t="shared" si="0"/>
        <v>0</v>
      </c>
    </row>
    <row r="38" spans="1:18" s="10" customFormat="1" outlineLevel="1" x14ac:dyDescent="0.2">
      <c r="D38" s="75" t="s">
        <v>393</v>
      </c>
      <c r="E38" s="88"/>
      <c r="F38" s="80">
        <v>0</v>
      </c>
      <c r="G38" s="80">
        <v>0</v>
      </c>
      <c r="H38" s="80">
        <v>0</v>
      </c>
      <c r="I38" s="75" t="s">
        <v>162</v>
      </c>
      <c r="J38" s="42">
        <f t="shared" si="0"/>
        <v>0</v>
      </c>
    </row>
    <row r="39" spans="1:18" s="10" customFormat="1" outlineLevel="1" x14ac:dyDescent="0.2">
      <c r="D39" s="75" t="s">
        <v>394</v>
      </c>
      <c r="E39" s="88"/>
      <c r="F39" s="80">
        <v>0</v>
      </c>
      <c r="G39" s="80">
        <v>0</v>
      </c>
      <c r="H39" s="80">
        <v>0</v>
      </c>
      <c r="I39" s="75" t="s">
        <v>162</v>
      </c>
      <c r="J39" s="42">
        <f t="shared" si="0"/>
        <v>0</v>
      </c>
    </row>
    <row r="40" spans="1:18" s="10" customFormat="1" outlineLevel="1" x14ac:dyDescent="0.2">
      <c r="D40" s="75" t="s">
        <v>395</v>
      </c>
      <c r="E40" s="88"/>
      <c r="F40" s="80">
        <v>0</v>
      </c>
      <c r="G40" s="80">
        <v>0</v>
      </c>
      <c r="H40" s="80">
        <v>0</v>
      </c>
      <c r="I40" s="75" t="s">
        <v>162</v>
      </c>
      <c r="J40" s="42">
        <f t="shared" si="0"/>
        <v>0</v>
      </c>
    </row>
    <row r="41" spans="1:18" s="10" customFormat="1" outlineLevel="1" x14ac:dyDescent="0.2">
      <c r="D41" s="75" t="s">
        <v>396</v>
      </c>
      <c r="E41" s="88"/>
      <c r="F41" s="80">
        <v>0</v>
      </c>
      <c r="G41" s="80">
        <v>0</v>
      </c>
      <c r="H41" s="80">
        <v>0</v>
      </c>
      <c r="I41" s="75" t="s">
        <v>162</v>
      </c>
      <c r="J41" s="42">
        <f t="shared" si="0"/>
        <v>0</v>
      </c>
    </row>
    <row r="42" spans="1:18" s="10" customFormat="1" outlineLevel="1" x14ac:dyDescent="0.2">
      <c r="D42" s="75" t="s">
        <v>397</v>
      </c>
      <c r="E42" s="88"/>
      <c r="F42" s="80">
        <v>0</v>
      </c>
      <c r="G42" s="80">
        <v>0</v>
      </c>
      <c r="H42" s="80">
        <v>0</v>
      </c>
      <c r="I42" s="75" t="s">
        <v>162</v>
      </c>
      <c r="J42" s="42">
        <f t="shared" si="0"/>
        <v>0</v>
      </c>
    </row>
    <row r="43" spans="1:18" s="10" customFormat="1" outlineLevel="1" x14ac:dyDescent="0.2">
      <c r="D43" s="55" t="str">
        <f>Lang_Error_Check_Flags_If_Input_Econ_Cost_Is_Less_Than_Fin_Cost</f>
        <v>ERROR CHECK (FLAGS IF INPUT ECONOMIC COST IS LESS THAN FINANCIAL COST)</v>
      </c>
      <c r="J43" s="43">
        <f>IF(ISERROR(SUM(J28:J42)),1,MIN(SUM(J28:J42),1))</f>
        <v>0</v>
      </c>
    </row>
    <row r="44" spans="1:18" s="10" customFormat="1" outlineLevel="1" x14ac:dyDescent="0.2"/>
    <row r="45" spans="1:18" s="10" customFormat="1" outlineLevel="1" x14ac:dyDescent="0.2">
      <c r="D45" s="76" t="str">
        <f>Lang_GoTo&amp;" "&amp;HL_TOP_ACTV_5_Personnel_Outputs</f>
        <v>Go to SME Activity #1 (Not in Use) Personnel - Outputs</v>
      </c>
    </row>
    <row r="46" spans="1:18" s="10" customFormat="1" x14ac:dyDescent="0.2"/>
    <row r="47" spans="1:18" s="13" customFormat="1" x14ac:dyDescent="0.2">
      <c r="A47" s="12" t="s">
        <v>127</v>
      </c>
      <c r="B47" s="13" t="str">
        <f>C49</f>
        <v>SME Activity #1 (Not in Use) - Detailed Allowance Cost Assumptions</v>
      </c>
    </row>
    <row r="48" spans="1:18" s="10" customFormat="1" outlineLevel="1" x14ac:dyDescent="0.2"/>
    <row r="49" spans="3:10" s="10" customFormat="1" outlineLevel="1" x14ac:dyDescent="0.2">
      <c r="C49" s="71" t="str">
        <f>HL_TOP_ACTV_5_Name&amp;" - "&amp;Lang_Detailed_Allowance_Cost_Assumptions</f>
        <v>SME Activity #1 (Not in Use) - Detailed Allowance Cost Assumptions</v>
      </c>
    </row>
    <row r="50" spans="3:10" s="10" customFormat="1" ht="48" outlineLevel="1" x14ac:dyDescent="0.2">
      <c r="D50" s="55" t="str">
        <f>Lang_Allowance_Type</f>
        <v>Allowance Type</v>
      </c>
      <c r="E50" s="85" t="str">
        <f>Lang_Allowance_Unit_Per_Day_Round_Trip_Travel</f>
        <v>Allowance Unit (e.g. Per Day, Round-trip Travel,etc.)</v>
      </c>
      <c r="F50" s="85" t="str">
        <f>Lang_Number_Of_Allowance_Units_Required</f>
        <v>Number of Allowance Units Required</v>
      </c>
      <c r="G50" s="86" t="str">
        <f ca="1">SUPV_Lu!$D$32&amp;" "&amp;Lang_Cost_Per_Activity_Unit&amp;" ("&amp;OFFSET(SUPV_Lu!$D$11,DD_TOP_ACTV_5_Detailed_Currency_Used,0)&amp;")"</f>
        <v>Financial Cost per Activity Unit (USD)</v>
      </c>
      <c r="H50" s="86" t="str">
        <f ca="1">SUPV_Lu!$D$33&amp;" "&amp;Lang_Cost_Per_Activity_Unit&amp;" ("&amp;OFFSET(SUPV_Lu!$D$11,DD_TOP_ACTV_5_Detailed_Currency_Used,0)&amp;")"</f>
        <v>Economic Cost per Activity Unit (USD)</v>
      </c>
      <c r="I50" s="87" t="str">
        <f>Lang_Evidence_For_Using_This_Cost_Information_Source_Or_Notes</f>
        <v>Evidence for Using this Cost Information (source or notes)</v>
      </c>
    </row>
    <row r="51" spans="3:10" s="10" customFormat="1" outlineLevel="1" x14ac:dyDescent="0.2">
      <c r="D51" s="75" t="s">
        <v>163</v>
      </c>
      <c r="E51" s="75"/>
      <c r="F51" s="80">
        <v>0</v>
      </c>
      <c r="G51" s="80">
        <v>0</v>
      </c>
      <c r="H51" s="80">
        <v>0</v>
      </c>
      <c r="I51" s="75" t="s">
        <v>162</v>
      </c>
      <c r="J51" s="42">
        <f t="shared" ref="J51:J60" si="1">IF(H51&lt;G51,1,0)</f>
        <v>0</v>
      </c>
    </row>
    <row r="52" spans="3:10" s="10" customFormat="1" outlineLevel="1" x14ac:dyDescent="0.2">
      <c r="D52" s="75" t="s">
        <v>164</v>
      </c>
      <c r="E52" s="75"/>
      <c r="F52" s="80">
        <v>0</v>
      </c>
      <c r="G52" s="80">
        <v>0</v>
      </c>
      <c r="H52" s="80">
        <v>0</v>
      </c>
      <c r="I52" s="75" t="s">
        <v>162</v>
      </c>
      <c r="J52" s="42">
        <f t="shared" si="1"/>
        <v>0</v>
      </c>
    </row>
    <row r="53" spans="3:10" s="10" customFormat="1" outlineLevel="1" x14ac:dyDescent="0.2">
      <c r="D53" s="75" t="s">
        <v>165</v>
      </c>
      <c r="E53" s="75"/>
      <c r="F53" s="80">
        <v>0</v>
      </c>
      <c r="G53" s="80">
        <v>0</v>
      </c>
      <c r="H53" s="80">
        <v>0</v>
      </c>
      <c r="I53" s="75" t="s">
        <v>162</v>
      </c>
      <c r="J53" s="42">
        <f t="shared" si="1"/>
        <v>0</v>
      </c>
    </row>
    <row r="54" spans="3:10" s="10" customFormat="1" outlineLevel="1" x14ac:dyDescent="0.2">
      <c r="D54" s="75" t="s">
        <v>166</v>
      </c>
      <c r="E54" s="75"/>
      <c r="F54" s="80">
        <v>0</v>
      </c>
      <c r="G54" s="80">
        <v>0</v>
      </c>
      <c r="H54" s="80">
        <v>0</v>
      </c>
      <c r="I54" s="75" t="s">
        <v>162</v>
      </c>
      <c r="J54" s="42">
        <f t="shared" si="1"/>
        <v>0</v>
      </c>
    </row>
    <row r="55" spans="3:10" s="10" customFormat="1" outlineLevel="1" x14ac:dyDescent="0.2">
      <c r="D55" s="75" t="s">
        <v>167</v>
      </c>
      <c r="E55" s="75"/>
      <c r="F55" s="80">
        <v>0</v>
      </c>
      <c r="G55" s="80">
        <v>0</v>
      </c>
      <c r="H55" s="80">
        <v>0</v>
      </c>
      <c r="I55" s="75" t="s">
        <v>162</v>
      </c>
      <c r="J55" s="42">
        <f t="shared" si="1"/>
        <v>0</v>
      </c>
    </row>
    <row r="56" spans="3:10" s="10" customFormat="1" outlineLevel="1" x14ac:dyDescent="0.2">
      <c r="D56" s="75" t="s">
        <v>168</v>
      </c>
      <c r="E56" s="75"/>
      <c r="F56" s="80">
        <v>0</v>
      </c>
      <c r="G56" s="80">
        <v>0</v>
      </c>
      <c r="H56" s="80">
        <v>0</v>
      </c>
      <c r="I56" s="75" t="s">
        <v>162</v>
      </c>
      <c r="J56" s="42">
        <f t="shared" si="1"/>
        <v>0</v>
      </c>
    </row>
    <row r="57" spans="3:10" s="10" customFormat="1" outlineLevel="1" x14ac:dyDescent="0.2">
      <c r="D57" s="75" t="s">
        <v>169</v>
      </c>
      <c r="E57" s="75"/>
      <c r="F57" s="80">
        <v>0</v>
      </c>
      <c r="G57" s="80">
        <v>0</v>
      </c>
      <c r="H57" s="80">
        <v>0</v>
      </c>
      <c r="I57" s="75" t="s">
        <v>162</v>
      </c>
      <c r="J57" s="42">
        <f t="shared" si="1"/>
        <v>0</v>
      </c>
    </row>
    <row r="58" spans="3:10" s="10" customFormat="1" outlineLevel="1" x14ac:dyDescent="0.2">
      <c r="D58" s="75" t="s">
        <v>170</v>
      </c>
      <c r="E58" s="75"/>
      <c r="F58" s="80">
        <v>0</v>
      </c>
      <c r="G58" s="80">
        <v>0</v>
      </c>
      <c r="H58" s="80">
        <v>0</v>
      </c>
      <c r="I58" s="75" t="s">
        <v>162</v>
      </c>
      <c r="J58" s="42">
        <f t="shared" si="1"/>
        <v>0</v>
      </c>
    </row>
    <row r="59" spans="3:10" s="10" customFormat="1" outlineLevel="1" x14ac:dyDescent="0.2">
      <c r="D59" s="75" t="s">
        <v>171</v>
      </c>
      <c r="E59" s="88"/>
      <c r="F59" s="80">
        <v>0</v>
      </c>
      <c r="G59" s="80">
        <v>0</v>
      </c>
      <c r="H59" s="80">
        <v>0</v>
      </c>
      <c r="I59" s="75" t="s">
        <v>162</v>
      </c>
      <c r="J59" s="42">
        <f t="shared" si="1"/>
        <v>0</v>
      </c>
    </row>
    <row r="60" spans="3:10" s="10" customFormat="1" outlineLevel="1" x14ac:dyDescent="0.2">
      <c r="D60" s="75" t="s">
        <v>172</v>
      </c>
      <c r="E60" s="88"/>
      <c r="F60" s="80">
        <v>0</v>
      </c>
      <c r="G60" s="80">
        <v>0</v>
      </c>
      <c r="H60" s="80">
        <v>0</v>
      </c>
      <c r="I60" s="75" t="s">
        <v>162</v>
      </c>
      <c r="J60" s="42">
        <f t="shared" si="1"/>
        <v>0</v>
      </c>
    </row>
    <row r="61" spans="3:10" s="10" customFormat="1" outlineLevel="1" x14ac:dyDescent="0.2">
      <c r="D61" s="55" t="str">
        <f>Lang_Error_Check_Flags_If_Input_Econ_Cost_Is_Less_Than_Fin_Cost</f>
        <v>ERROR CHECK (FLAGS IF INPUT ECONOMIC COST IS LESS THAN FINANCIAL COST)</v>
      </c>
      <c r="J61" s="43">
        <f>IF(ISERROR(SUM(J51:J60)),1,MIN(SUM(J51:J60),1))</f>
        <v>0</v>
      </c>
    </row>
    <row r="62" spans="3:10" s="10" customFormat="1" outlineLevel="1" x14ac:dyDescent="0.2"/>
    <row r="63" spans="3:10" s="10" customFormat="1" outlineLevel="1" x14ac:dyDescent="0.2">
      <c r="D63" s="76" t="str">
        <f>Lang_GoTo&amp;" "&amp;HL_TOP_ACTV_5_Out_A</f>
        <v>Go to SME Activity #1 (Not in Use) Allowances - Outputs</v>
      </c>
    </row>
    <row r="64" spans="3:10" s="10" customFormat="1" x14ac:dyDescent="0.2"/>
    <row r="65" spans="1:16" s="13" customFormat="1" x14ac:dyDescent="0.2">
      <c r="A65" s="12" t="s">
        <v>127</v>
      </c>
      <c r="B65" s="13" t="str">
        <f>C67</f>
        <v>SME Activity #1 (Not in Use) - Detailed Supply and Material Cost Assumptions</v>
      </c>
    </row>
    <row r="66" spans="1:16" s="10" customFormat="1" outlineLevel="1" x14ac:dyDescent="0.2">
      <c r="L66"/>
    </row>
    <row r="67" spans="1:16" s="10" customFormat="1" outlineLevel="1" x14ac:dyDescent="0.2">
      <c r="C67" s="71" t="str">
        <f>HL_TOP_ACTV_5_Name&amp;" - "&amp;Lang_Detailed_Supply_And_Material_Cost_Assumptions</f>
        <v>SME Activity #1 (Not in Use) - Detailed Supply and Material Cost Assumptions</v>
      </c>
      <c r="L67"/>
    </row>
    <row r="68" spans="1:16" s="10" customFormat="1" ht="48" outlineLevel="1" x14ac:dyDescent="0.2">
      <c r="D68" s="55" t="str">
        <f>Lang_Supply_Type</f>
        <v>Supply Type</v>
      </c>
      <c r="E68" s="85" t="str">
        <f>Lang_Supply_Unit_Each_Dozen_100_Pack</f>
        <v>Supply Unit (e.g. Each, Dozen, 100-pack,etc.)</v>
      </c>
      <c r="F68" s="85" t="str">
        <f>Lang_Number_Of_Supply_Units_Required</f>
        <v>Number of Supply Units Required</v>
      </c>
      <c r="G68" s="86" t="str">
        <f ca="1">SUPV_Lu!$D$32&amp;" "&amp;Lang_Cost_Per_Activity_Unit&amp;" ("&amp;OFFSET(SUPV_Lu!$D$11,DD_TOP_ACTV_5_Detailed_Currency_Used,0)&amp;")"</f>
        <v>Financial Cost per Activity Unit (USD)</v>
      </c>
      <c r="H68" s="86" t="str">
        <f ca="1">SUPV_Lu!$D$33&amp;" "&amp;Lang_Cost_Per_Activity_Unit&amp;" ("&amp;OFFSET(SUPV_Lu!$D$11,DD_TOP_ACTV_5_Detailed_Currency_Used,0)&amp;")"</f>
        <v>Economic Cost per Activity Unit (USD)</v>
      </c>
      <c r="I68" s="87" t="s">
        <v>200</v>
      </c>
    </row>
    <row r="69" spans="1:16" s="10" customFormat="1" outlineLevel="1" x14ac:dyDescent="0.2">
      <c r="D69" s="75" t="s">
        <v>173</v>
      </c>
      <c r="E69" s="75"/>
      <c r="F69" s="80">
        <v>0</v>
      </c>
      <c r="G69" s="80">
        <v>0</v>
      </c>
      <c r="H69" s="80">
        <v>0</v>
      </c>
      <c r="I69" s="75" t="s">
        <v>162</v>
      </c>
      <c r="J69" s="42">
        <f t="shared" ref="J69:J78" si="2">IF(H69&lt;G69,1,0)</f>
        <v>0</v>
      </c>
      <c r="L69"/>
      <c r="M69"/>
      <c r="N69"/>
      <c r="O69"/>
      <c r="P69"/>
    </row>
    <row r="70" spans="1:16" s="10" customFormat="1" outlineLevel="1" x14ac:dyDescent="0.2">
      <c r="D70" s="75" t="s">
        <v>174</v>
      </c>
      <c r="E70" s="75"/>
      <c r="F70" s="80">
        <v>0</v>
      </c>
      <c r="G70" s="80">
        <v>0</v>
      </c>
      <c r="H70" s="80">
        <v>0</v>
      </c>
      <c r="I70" s="75" t="s">
        <v>162</v>
      </c>
      <c r="J70" s="42">
        <f t="shared" si="2"/>
        <v>0</v>
      </c>
      <c r="L70"/>
      <c r="M70"/>
      <c r="N70"/>
      <c r="O70"/>
      <c r="P70"/>
    </row>
    <row r="71" spans="1:16" s="10" customFormat="1" outlineLevel="1" x14ac:dyDescent="0.2">
      <c r="D71" s="75" t="s">
        <v>175</v>
      </c>
      <c r="E71" s="75"/>
      <c r="F71" s="80">
        <v>0</v>
      </c>
      <c r="G71" s="80">
        <v>0</v>
      </c>
      <c r="H71" s="80">
        <v>0</v>
      </c>
      <c r="I71" s="75" t="s">
        <v>162</v>
      </c>
      <c r="J71" s="42">
        <f t="shared" si="2"/>
        <v>0</v>
      </c>
      <c r="L71"/>
      <c r="M71"/>
      <c r="N71"/>
      <c r="O71"/>
      <c r="P71"/>
    </row>
    <row r="72" spans="1:16" s="10" customFormat="1" outlineLevel="1" x14ac:dyDescent="0.2">
      <c r="D72" s="75" t="s">
        <v>176</v>
      </c>
      <c r="E72" s="75"/>
      <c r="F72" s="80">
        <v>0</v>
      </c>
      <c r="G72" s="80">
        <v>0</v>
      </c>
      <c r="H72" s="80">
        <v>0</v>
      </c>
      <c r="I72" s="75" t="s">
        <v>162</v>
      </c>
      <c r="J72" s="42">
        <f t="shared" si="2"/>
        <v>0</v>
      </c>
      <c r="L72"/>
      <c r="M72"/>
      <c r="N72"/>
      <c r="O72"/>
      <c r="P72"/>
    </row>
    <row r="73" spans="1:16" s="10" customFormat="1" outlineLevel="1" x14ac:dyDescent="0.2">
      <c r="D73" s="75" t="s">
        <v>177</v>
      </c>
      <c r="E73" s="88"/>
      <c r="F73" s="80">
        <v>0</v>
      </c>
      <c r="G73" s="80">
        <v>0</v>
      </c>
      <c r="H73" s="80">
        <v>0</v>
      </c>
      <c r="I73" s="75" t="s">
        <v>162</v>
      </c>
      <c r="J73" s="42">
        <f t="shared" si="2"/>
        <v>0</v>
      </c>
      <c r="L73"/>
      <c r="M73"/>
      <c r="N73"/>
      <c r="O73"/>
      <c r="P73"/>
    </row>
    <row r="74" spans="1:16" s="10" customFormat="1" outlineLevel="1" x14ac:dyDescent="0.2">
      <c r="D74" s="75" t="s">
        <v>178</v>
      </c>
      <c r="E74" s="88"/>
      <c r="F74" s="80">
        <v>0</v>
      </c>
      <c r="G74" s="80">
        <v>0</v>
      </c>
      <c r="H74" s="80">
        <v>0</v>
      </c>
      <c r="I74" s="75" t="s">
        <v>162</v>
      </c>
      <c r="J74" s="42">
        <f t="shared" si="2"/>
        <v>0</v>
      </c>
      <c r="L74"/>
      <c r="M74"/>
      <c r="N74"/>
      <c r="O74"/>
      <c r="P74"/>
    </row>
    <row r="75" spans="1:16" s="10" customFormat="1" outlineLevel="1" x14ac:dyDescent="0.2">
      <c r="D75" s="75" t="s">
        <v>179</v>
      </c>
      <c r="E75" s="88"/>
      <c r="F75" s="80">
        <v>0</v>
      </c>
      <c r="G75" s="80">
        <v>0</v>
      </c>
      <c r="H75" s="80">
        <v>0</v>
      </c>
      <c r="I75" s="75" t="s">
        <v>162</v>
      </c>
      <c r="J75" s="42">
        <f t="shared" si="2"/>
        <v>0</v>
      </c>
      <c r="L75"/>
      <c r="M75"/>
      <c r="N75"/>
      <c r="O75"/>
      <c r="P75"/>
    </row>
    <row r="76" spans="1:16" s="10" customFormat="1" outlineLevel="1" x14ac:dyDescent="0.2">
      <c r="D76" s="75" t="s">
        <v>180</v>
      </c>
      <c r="E76" s="88"/>
      <c r="F76" s="80">
        <v>0</v>
      </c>
      <c r="G76" s="80">
        <v>0</v>
      </c>
      <c r="H76" s="80">
        <v>0</v>
      </c>
      <c r="I76" s="75" t="s">
        <v>162</v>
      </c>
      <c r="J76" s="42">
        <f t="shared" si="2"/>
        <v>0</v>
      </c>
      <c r="L76"/>
      <c r="M76"/>
      <c r="N76"/>
      <c r="O76"/>
      <c r="P76"/>
    </row>
    <row r="77" spans="1:16" s="10" customFormat="1" outlineLevel="1" x14ac:dyDescent="0.2">
      <c r="D77" s="75" t="s">
        <v>181</v>
      </c>
      <c r="E77" s="88"/>
      <c r="F77" s="80">
        <v>0</v>
      </c>
      <c r="G77" s="80">
        <v>0</v>
      </c>
      <c r="H77" s="80">
        <v>0</v>
      </c>
      <c r="I77" s="75" t="s">
        <v>162</v>
      </c>
      <c r="J77" s="42">
        <f t="shared" si="2"/>
        <v>0</v>
      </c>
      <c r="L77"/>
      <c r="M77"/>
      <c r="N77"/>
      <c r="O77"/>
      <c r="P77"/>
    </row>
    <row r="78" spans="1:16" s="10" customFormat="1" outlineLevel="1" x14ac:dyDescent="0.2">
      <c r="D78" s="75" t="s">
        <v>182</v>
      </c>
      <c r="E78" s="88"/>
      <c r="F78" s="80">
        <v>0</v>
      </c>
      <c r="G78" s="80">
        <v>0</v>
      </c>
      <c r="H78" s="80">
        <v>0</v>
      </c>
      <c r="I78" s="75" t="s">
        <v>162</v>
      </c>
      <c r="J78" s="42">
        <f t="shared" si="2"/>
        <v>0</v>
      </c>
      <c r="L78"/>
      <c r="M78"/>
      <c r="N78"/>
      <c r="O78"/>
      <c r="P78"/>
    </row>
    <row r="79" spans="1:16" s="10" customFormat="1" outlineLevel="1" x14ac:dyDescent="0.2">
      <c r="D79" s="55" t="str">
        <f>Lang_Error_Check_Flags_If_Input_Econ_Cost_Is_Less_Than_Fin_Cost</f>
        <v>ERROR CHECK (FLAGS IF INPUT ECONOMIC COST IS LESS THAN FINANCIAL COST)</v>
      </c>
      <c r="J79" s="43">
        <f>IF(ISERROR(SUM(J69:J78)),1,MIN(SUM(J69:J78),1))</f>
        <v>0</v>
      </c>
    </row>
    <row r="80" spans="1:16" s="10" customFormat="1" outlineLevel="1" x14ac:dyDescent="0.2"/>
    <row r="81" spans="1:18" s="10" customFormat="1" outlineLevel="1" x14ac:dyDescent="0.2">
      <c r="D81" s="76" t="str">
        <f>Lang_GoTo&amp;" "&amp;HL_TOP_ACTV_5_Supplies_and_Materials_Outputs</f>
        <v>Go to SME Activity #1 (Not in Use) Supplies and Materials - Outputs</v>
      </c>
    </row>
    <row r="82" spans="1:18" s="10" customFormat="1" x14ac:dyDescent="0.2"/>
    <row r="83" spans="1:18" s="13" customFormat="1" x14ac:dyDescent="0.2">
      <c r="A83" s="12" t="s">
        <v>127</v>
      </c>
      <c r="B83" s="13" t="str">
        <f>C85</f>
        <v>SME Activity #1 (Not in Use) - Detailed Other Direct Cost Assumptions</v>
      </c>
    </row>
    <row r="84" spans="1:18" s="10" customFormat="1" outlineLevel="1" x14ac:dyDescent="0.2"/>
    <row r="85" spans="1:18" s="10" customFormat="1" outlineLevel="1" x14ac:dyDescent="0.2">
      <c r="C85" s="71" t="str">
        <f>HL_TOP_ACTV_5_Name&amp;" - "&amp;Lang_Detailed_Other_Direct_Cost_Assumptions</f>
        <v>SME Activity #1 (Not in Use) - Detailed Other Direct Cost Assumptions</v>
      </c>
      <c r="L85"/>
    </row>
    <row r="86" spans="1:18" s="10" customFormat="1" ht="48" outlineLevel="1" x14ac:dyDescent="0.2">
      <c r="D86" s="55" t="str">
        <f>Lang_Other_Direct_Cost_ODC_Type</f>
        <v>Other Direct Cost (ODC) Type</v>
      </c>
      <c r="E86" s="85" t="str">
        <f>Lang_ODC_Unit_Each_Dozen_100_Pack</f>
        <v>ODC Unit (e.g. Each, Dozen, 100-pack,etc.)</v>
      </c>
      <c r="F86" s="85" t="str">
        <f>Lang_Number_Of_ODC_Units_Required</f>
        <v>Number of ODC Units Required</v>
      </c>
      <c r="G86" s="86" t="str">
        <f ca="1">SUPV_Lu!$D$32&amp;" "&amp;Lang_Cost_Per_Activity_Unit&amp;" ("&amp;OFFSET(SUPV_Lu!$D$11,DD_TOP_ACTV_5_Detailed_Currency_Used,0)&amp;")"</f>
        <v>Financial Cost per Activity Unit (USD)</v>
      </c>
      <c r="H86" s="86" t="str">
        <f ca="1">SUPV_Lu!$D$33&amp;" "&amp;Lang_Cost_Per_Activity_Unit&amp;" ("&amp;OFFSET(SUPV_Lu!$D$11,DD_TOP_ACTV_5_Detailed_Currency_Used,0)&amp;")"</f>
        <v>Economic Cost per Activity Unit (USD)</v>
      </c>
      <c r="I86" s="87" t="str">
        <f>Lang_Evidence_For_Using_This_Cost_Information_Source_Or_Notes</f>
        <v>Evidence for Using this Cost Information (source or notes)</v>
      </c>
    </row>
    <row r="87" spans="1:18" s="10" customFormat="1" outlineLevel="1" x14ac:dyDescent="0.2">
      <c r="D87" s="75" t="s">
        <v>183</v>
      </c>
      <c r="E87" s="75"/>
      <c r="F87" s="80">
        <v>0</v>
      </c>
      <c r="G87" s="80">
        <v>0</v>
      </c>
      <c r="H87" s="80">
        <v>0</v>
      </c>
      <c r="I87" s="75" t="s">
        <v>162</v>
      </c>
      <c r="J87" s="42">
        <f t="shared" ref="J87:J96" si="3">IF(H87&lt;G87,1,0)</f>
        <v>0</v>
      </c>
      <c r="L87"/>
      <c r="M87"/>
      <c r="N87"/>
      <c r="O87"/>
      <c r="P87"/>
      <c r="Q87"/>
      <c r="R87"/>
    </row>
    <row r="88" spans="1:18" s="10" customFormat="1" outlineLevel="1" x14ac:dyDescent="0.2">
      <c r="D88" s="75" t="s">
        <v>184</v>
      </c>
      <c r="E88" s="75"/>
      <c r="F88" s="80">
        <v>0</v>
      </c>
      <c r="G88" s="80">
        <v>0</v>
      </c>
      <c r="H88" s="80">
        <v>0</v>
      </c>
      <c r="I88" s="75" t="s">
        <v>162</v>
      </c>
      <c r="J88" s="42">
        <f t="shared" si="3"/>
        <v>0</v>
      </c>
      <c r="L88"/>
      <c r="M88"/>
      <c r="N88"/>
      <c r="O88"/>
      <c r="P88"/>
      <c r="Q88"/>
      <c r="R88"/>
    </row>
    <row r="89" spans="1:18" s="10" customFormat="1" outlineLevel="1" x14ac:dyDescent="0.2">
      <c r="D89" s="75" t="s">
        <v>185</v>
      </c>
      <c r="E89" s="75"/>
      <c r="F89" s="80">
        <v>0</v>
      </c>
      <c r="G89" s="80">
        <v>0</v>
      </c>
      <c r="H89" s="80">
        <v>0</v>
      </c>
      <c r="I89" s="75" t="s">
        <v>162</v>
      </c>
      <c r="J89" s="42">
        <f t="shared" si="3"/>
        <v>0</v>
      </c>
      <c r="L89"/>
      <c r="M89"/>
      <c r="N89"/>
      <c r="O89"/>
      <c r="P89"/>
      <c r="Q89"/>
      <c r="R89"/>
    </row>
    <row r="90" spans="1:18" s="10" customFormat="1" outlineLevel="1" x14ac:dyDescent="0.2">
      <c r="D90" s="75" t="s">
        <v>186</v>
      </c>
      <c r="E90" s="75"/>
      <c r="F90" s="80">
        <v>0</v>
      </c>
      <c r="G90" s="80">
        <v>0</v>
      </c>
      <c r="H90" s="80">
        <v>0</v>
      </c>
      <c r="I90" s="75" t="s">
        <v>162</v>
      </c>
      <c r="J90" s="42">
        <f t="shared" si="3"/>
        <v>0</v>
      </c>
      <c r="L90"/>
      <c r="M90"/>
      <c r="N90"/>
      <c r="O90"/>
      <c r="P90"/>
      <c r="Q90"/>
      <c r="R90"/>
    </row>
    <row r="91" spans="1:18" s="10" customFormat="1" outlineLevel="1" x14ac:dyDescent="0.2">
      <c r="D91" s="75" t="s">
        <v>187</v>
      </c>
      <c r="E91" s="75"/>
      <c r="F91" s="80">
        <v>0</v>
      </c>
      <c r="G91" s="80">
        <v>0</v>
      </c>
      <c r="H91" s="80">
        <v>0</v>
      </c>
      <c r="I91" s="75" t="s">
        <v>162</v>
      </c>
      <c r="J91" s="42">
        <f t="shared" si="3"/>
        <v>0</v>
      </c>
      <c r="L91"/>
      <c r="M91"/>
      <c r="N91"/>
      <c r="O91"/>
      <c r="P91"/>
      <c r="Q91"/>
      <c r="R91"/>
    </row>
    <row r="92" spans="1:18" s="10" customFormat="1" outlineLevel="1" x14ac:dyDescent="0.2">
      <c r="D92" s="75" t="s">
        <v>188</v>
      </c>
      <c r="E92" s="75"/>
      <c r="F92" s="80">
        <v>0</v>
      </c>
      <c r="G92" s="80">
        <v>0</v>
      </c>
      <c r="H92" s="80">
        <v>0</v>
      </c>
      <c r="I92" s="75" t="s">
        <v>162</v>
      </c>
      <c r="J92" s="42">
        <f t="shared" si="3"/>
        <v>0</v>
      </c>
      <c r="L92"/>
      <c r="M92"/>
      <c r="N92"/>
      <c r="O92"/>
      <c r="P92"/>
      <c r="Q92"/>
      <c r="R92"/>
    </row>
    <row r="93" spans="1:18" s="10" customFormat="1" outlineLevel="1" x14ac:dyDescent="0.2">
      <c r="D93" s="75" t="s">
        <v>189</v>
      </c>
      <c r="E93" s="75"/>
      <c r="F93" s="80">
        <v>0</v>
      </c>
      <c r="G93" s="80">
        <v>0</v>
      </c>
      <c r="H93" s="80">
        <v>0</v>
      </c>
      <c r="I93" s="75" t="s">
        <v>162</v>
      </c>
      <c r="J93" s="42">
        <f t="shared" si="3"/>
        <v>0</v>
      </c>
      <c r="L93"/>
      <c r="M93"/>
      <c r="N93"/>
      <c r="O93"/>
      <c r="P93"/>
      <c r="Q93"/>
      <c r="R93"/>
    </row>
    <row r="94" spans="1:18" s="10" customFormat="1" outlineLevel="1" x14ac:dyDescent="0.2">
      <c r="D94" s="75" t="s">
        <v>190</v>
      </c>
      <c r="E94" s="75"/>
      <c r="F94" s="80">
        <v>0</v>
      </c>
      <c r="G94" s="80">
        <v>0</v>
      </c>
      <c r="H94" s="80">
        <v>0</v>
      </c>
      <c r="I94" s="75" t="s">
        <v>162</v>
      </c>
      <c r="J94" s="42">
        <f t="shared" si="3"/>
        <v>0</v>
      </c>
      <c r="L94"/>
      <c r="M94"/>
      <c r="N94"/>
      <c r="O94"/>
      <c r="P94"/>
      <c r="Q94"/>
      <c r="R94"/>
    </row>
    <row r="95" spans="1:18" s="10" customFormat="1" outlineLevel="1" x14ac:dyDescent="0.2">
      <c r="D95" s="75" t="s">
        <v>191</v>
      </c>
      <c r="E95" s="88"/>
      <c r="F95" s="80">
        <v>0</v>
      </c>
      <c r="G95" s="80">
        <v>0</v>
      </c>
      <c r="H95" s="80">
        <v>0</v>
      </c>
      <c r="I95" s="75" t="s">
        <v>162</v>
      </c>
      <c r="J95" s="42">
        <f t="shared" si="3"/>
        <v>0</v>
      </c>
      <c r="L95"/>
      <c r="M95"/>
      <c r="N95"/>
      <c r="O95"/>
      <c r="P95"/>
      <c r="Q95"/>
      <c r="R95"/>
    </row>
    <row r="96" spans="1:18" s="10" customFormat="1" outlineLevel="1" x14ac:dyDescent="0.2">
      <c r="D96" s="75" t="s">
        <v>192</v>
      </c>
      <c r="E96" s="88"/>
      <c r="F96" s="80">
        <v>0</v>
      </c>
      <c r="G96" s="80">
        <v>0</v>
      </c>
      <c r="H96" s="80">
        <v>0</v>
      </c>
      <c r="I96" s="75" t="s">
        <v>162</v>
      </c>
      <c r="J96" s="42">
        <f t="shared" si="3"/>
        <v>0</v>
      </c>
      <c r="L96"/>
      <c r="M96"/>
      <c r="N96"/>
      <c r="O96"/>
      <c r="P96"/>
      <c r="Q96"/>
      <c r="R96"/>
    </row>
    <row r="97" spans="1:10" s="10" customFormat="1" outlineLevel="1" x14ac:dyDescent="0.2">
      <c r="D97" s="55" t="str">
        <f>Lang_Error_Check_Flags_If_Input_Econ_Cost_Is_Less_Than_Fin_Cost</f>
        <v>ERROR CHECK (FLAGS IF INPUT ECONOMIC COST IS LESS THAN FINANCIAL COST)</v>
      </c>
      <c r="J97" s="43">
        <f>IF(ISERROR(SUM(J87:J96)),1,MIN(SUM(J87:J96),1))</f>
        <v>0</v>
      </c>
    </row>
    <row r="98" spans="1:10" s="10" customFormat="1" outlineLevel="1" x14ac:dyDescent="0.2"/>
    <row r="99" spans="1:10" s="10" customFormat="1" outlineLevel="1" x14ac:dyDescent="0.2">
      <c r="D99" s="76" t="str">
        <f>Lang_GoTo&amp;" "&amp;HL_TOP_ACTV_5_Other_Direct_Costs_Outputs</f>
        <v>Go to SME Activity #1 (Not in Use) Other Direct Costs - Outputs</v>
      </c>
    </row>
    <row r="100" spans="1:10" s="10" customFormat="1" x14ac:dyDescent="0.2"/>
    <row r="101" spans="1:10" s="13" customFormat="1" x14ac:dyDescent="0.2">
      <c r="A101" s="12" t="s">
        <v>125</v>
      </c>
      <c r="B101" s="13" t="str">
        <f>C103</f>
        <v>SME Activity #2 (Not in Use) -  Detailed Activity Costing Worksheet - Instructions</v>
      </c>
    </row>
    <row r="102" spans="1:10" s="10" customFormat="1" outlineLevel="1" x14ac:dyDescent="0.2"/>
    <row r="103" spans="1:10" s="10" customFormat="1" outlineLevel="1" x14ac:dyDescent="0.2">
      <c r="C103" s="71" t="str">
        <f>HL_TOP_ACTV_17_Name&amp;" -  "&amp;Lang_Detailed_Activity_Costing_Worksheet_Instructions</f>
        <v>SME Activity #2 (Not in Use) -  Detailed Activity Costing Worksheet - Instructions</v>
      </c>
    </row>
    <row r="104" spans="1:10" s="10" customFormat="1" outlineLevel="1" x14ac:dyDescent="0.2"/>
    <row r="105" spans="1:10" s="10" customFormat="1" outlineLevel="1" x14ac:dyDescent="0.2">
      <c r="D105" s="50" t="str">
        <f>Lang_Detailed_Costing_Worksheets_Notes_1</f>
        <v>This detailed costing worksheet can be used to document the types and amounts of resources required to complete a single instance of an activity.</v>
      </c>
    </row>
    <row r="106" spans="1:10" s="10" customFormat="1" outlineLevel="1" x14ac:dyDescent="0.2">
      <c r="D106" s="50" t="str">
        <f>Lang_Detailed_Costing_Worksheets_Notes_2</f>
        <v>When completed, it will automatically provide a single activity cost in the general assumption worksheet.</v>
      </c>
    </row>
    <row r="107" spans="1:10" s="10" customFormat="1" outlineLevel="1" x14ac:dyDescent="0.2">
      <c r="D107" s="50" t="str">
        <f>Lang_Detailed_Costing_Worksheets_Notes_3</f>
        <v>The user may then choose to use the results of the detailed costing in the model, or override the detailed costing and insert alternate cost estimates.</v>
      </c>
    </row>
    <row r="109" spans="1:10" s="13" customFormat="1" x14ac:dyDescent="0.2">
      <c r="A109" s="6" t="s">
        <v>125</v>
      </c>
      <c r="B109" s="13" t="str">
        <f>C111</f>
        <v>SME Activity #2 (Not in Use) - Detailed Activity Costing Worksheet - Currency Selection</v>
      </c>
    </row>
    <row r="110" spans="1:10" outlineLevel="1" x14ac:dyDescent="0.2"/>
    <row r="111" spans="1:10" outlineLevel="1" x14ac:dyDescent="0.2">
      <c r="C111" s="18" t="str">
        <f>HL_TOP_ACTV_17_Name&amp;" - "&amp;Lang_Detailed_Activity_Costing_Worksheet_Currency_Selection</f>
        <v>SME Activity #2 (Not in Use) - Detailed Activity Costing Worksheet - Currency Selection</v>
      </c>
    </row>
    <row r="112" spans="1:10" outlineLevel="1" x14ac:dyDescent="0.2">
      <c r="D112" s="55" t="str">
        <f>Lang_Currency_Used_For_Cost_Inputs</f>
        <v>Currency Used for Cost Inputs</v>
      </c>
      <c r="E112" s="22">
        <v>1</v>
      </c>
    </row>
    <row r="113" spans="1:10" outlineLevel="1" x14ac:dyDescent="0.2"/>
    <row r="114" spans="1:10" outlineLevel="1" x14ac:dyDescent="0.2"/>
    <row r="115" spans="1:10" outlineLevel="1" x14ac:dyDescent="0.2">
      <c r="D115" s="54" t="str">
        <f>Lang_Imported_From_Econ_Module</f>
        <v>Imported from Econ Module</v>
      </c>
    </row>
    <row r="116" spans="1:10" outlineLevel="1" x14ac:dyDescent="0.2">
      <c r="D116" s="49" t="str">
        <f>ECONOMICS!F7</f>
        <v>USD</v>
      </c>
    </row>
    <row r="117" spans="1:10" outlineLevel="1" x14ac:dyDescent="0.2">
      <c r="D117" s="49" t="str">
        <f>ECONOMICS!F8</f>
        <v>LCU</v>
      </c>
    </row>
    <row r="118" spans="1:10" outlineLevel="1" x14ac:dyDescent="0.2"/>
    <row r="119" spans="1:10" outlineLevel="1" x14ac:dyDescent="0.2">
      <c r="D119" s="50" t="str">
        <f>Lang_Exchange_Rate_From_Econ</f>
        <v>Exchange Rate (from Economics)</v>
      </c>
      <c r="E119" s="41">
        <f>ECONOMICS!E13</f>
        <v>1234.5</v>
      </c>
    </row>
    <row r="121" spans="1:10" s="13" customFormat="1" x14ac:dyDescent="0.2">
      <c r="A121" s="6" t="s">
        <v>127</v>
      </c>
      <c r="B121" s="13" t="str">
        <f>C123</f>
        <v>SME Activity #2 (Not in Use) - Detailed Personnel Cost Assumptions</v>
      </c>
    </row>
    <row r="122" spans="1:10" outlineLevel="1" x14ac:dyDescent="0.2"/>
    <row r="123" spans="1:10" outlineLevel="1" x14ac:dyDescent="0.2">
      <c r="C123" s="18" t="str">
        <f>HL_TOP_ACTV_17_Name&amp;" - "&amp;Lang_Detailed_Personnel_Cost_Assumptions</f>
        <v>SME Activity #2 (Not in Use) - Detailed Personnel Cost Assumptions</v>
      </c>
    </row>
    <row r="124" spans="1:10" ht="48" outlineLevel="1" x14ac:dyDescent="0.2">
      <c r="D124" s="55" t="str">
        <f>Lang_Personnel_Cadre_Type</f>
        <v>Personnel Cadre Type</v>
      </c>
      <c r="E124" s="85" t="str">
        <f>Lang_Activity_Unit_Day_Hour_Minute</f>
        <v>Activity Unit (e.g. Day, Hour, Minute)</v>
      </c>
      <c r="F124" s="85" t="str">
        <f>Lang_Number_Of_Activity_Units_Required</f>
        <v>Number of Activity Units Required</v>
      </c>
      <c r="G124" s="63" t="str">
        <f ca="1">SUPV_Lu!$D$67&amp;" "&amp;Lang_Cost_Per_Activity_Unit&amp;" ("&amp;OFFSET(SUPV_Lu!$D$46,DD_TOP_ACTV_17_Detailed_Currency_Used,0)&amp;")"</f>
        <v>Financial Cost per Activity Unit (USD)</v>
      </c>
      <c r="H124" s="63" t="str">
        <f ca="1">SUPV_Lu!$D$68&amp;" "&amp;Lang_Cost_Per_Activity_Unit&amp;" ("&amp;OFFSET(SUPV_Lu!$D$46,DD_TOP_ACTV_17_Detailed_Currency_Used,0)&amp;")"</f>
        <v>Economic Cost per Activity Unit (USD)</v>
      </c>
      <c r="I124" s="87" t="str">
        <f>Lang_Evidence_For_Using_This_Cost_Information_Source_Or_Notes</f>
        <v>Evidence for Using this Cost Information (source or notes)</v>
      </c>
    </row>
    <row r="125" spans="1:10" outlineLevel="1" x14ac:dyDescent="0.2">
      <c r="D125" s="62" t="s">
        <v>152</v>
      </c>
      <c r="E125" s="64"/>
      <c r="F125" s="19">
        <v>0</v>
      </c>
      <c r="G125" s="19">
        <v>0</v>
      </c>
      <c r="H125" s="19">
        <v>0</v>
      </c>
      <c r="I125" s="62" t="s">
        <v>162</v>
      </c>
      <c r="J125" s="42">
        <f t="shared" ref="J125:J139" si="4">IF(H125&lt;G125,1,0)</f>
        <v>0</v>
      </c>
    </row>
    <row r="126" spans="1:10" outlineLevel="1" x14ac:dyDescent="0.2">
      <c r="D126" s="62" t="s">
        <v>153</v>
      </c>
      <c r="E126" s="64"/>
      <c r="F126" s="19">
        <v>0</v>
      </c>
      <c r="G126" s="19">
        <v>0</v>
      </c>
      <c r="H126" s="19">
        <v>0</v>
      </c>
      <c r="I126" s="62" t="s">
        <v>162</v>
      </c>
      <c r="J126" s="42">
        <f t="shared" si="4"/>
        <v>0</v>
      </c>
    </row>
    <row r="127" spans="1:10" outlineLevel="1" x14ac:dyDescent="0.2">
      <c r="D127" s="62" t="s">
        <v>154</v>
      </c>
      <c r="E127" s="64"/>
      <c r="F127" s="19">
        <v>0</v>
      </c>
      <c r="G127" s="19">
        <v>0</v>
      </c>
      <c r="H127" s="19">
        <v>0</v>
      </c>
      <c r="I127" s="62" t="s">
        <v>162</v>
      </c>
      <c r="J127" s="42">
        <f t="shared" si="4"/>
        <v>0</v>
      </c>
    </row>
    <row r="128" spans="1:10" outlineLevel="1" x14ac:dyDescent="0.2">
      <c r="D128" s="62" t="s">
        <v>155</v>
      </c>
      <c r="E128" s="64"/>
      <c r="F128" s="19">
        <v>0</v>
      </c>
      <c r="G128" s="19">
        <v>0</v>
      </c>
      <c r="H128" s="19">
        <v>0</v>
      </c>
      <c r="I128" s="62" t="s">
        <v>162</v>
      </c>
      <c r="J128" s="42">
        <f t="shared" si="4"/>
        <v>0</v>
      </c>
    </row>
    <row r="129" spans="1:10" outlineLevel="1" x14ac:dyDescent="0.2">
      <c r="D129" s="62" t="s">
        <v>156</v>
      </c>
      <c r="E129" s="64"/>
      <c r="F129" s="19">
        <v>0</v>
      </c>
      <c r="G129" s="19">
        <v>0</v>
      </c>
      <c r="H129" s="19">
        <v>0</v>
      </c>
      <c r="I129" s="62" t="s">
        <v>162</v>
      </c>
      <c r="J129" s="42">
        <f t="shared" si="4"/>
        <v>0</v>
      </c>
    </row>
    <row r="130" spans="1:10" outlineLevel="1" x14ac:dyDescent="0.2">
      <c r="D130" s="62" t="s">
        <v>157</v>
      </c>
      <c r="E130" s="64"/>
      <c r="F130" s="19">
        <v>0</v>
      </c>
      <c r="G130" s="19">
        <v>0</v>
      </c>
      <c r="H130" s="19">
        <v>0</v>
      </c>
      <c r="I130" s="62" t="s">
        <v>162</v>
      </c>
      <c r="J130" s="42">
        <f t="shared" si="4"/>
        <v>0</v>
      </c>
    </row>
    <row r="131" spans="1:10" outlineLevel="1" x14ac:dyDescent="0.2">
      <c r="D131" s="62" t="s">
        <v>158</v>
      </c>
      <c r="E131" s="64"/>
      <c r="F131" s="19">
        <v>0</v>
      </c>
      <c r="G131" s="19">
        <v>0</v>
      </c>
      <c r="H131" s="19">
        <v>0</v>
      </c>
      <c r="I131" s="62" t="s">
        <v>162</v>
      </c>
      <c r="J131" s="42">
        <f t="shared" si="4"/>
        <v>0</v>
      </c>
    </row>
    <row r="132" spans="1:10" outlineLevel="1" x14ac:dyDescent="0.2">
      <c r="D132" s="62" t="s">
        <v>159</v>
      </c>
      <c r="E132" s="64"/>
      <c r="F132" s="19">
        <v>0</v>
      </c>
      <c r="G132" s="19">
        <v>0</v>
      </c>
      <c r="H132" s="19">
        <v>0</v>
      </c>
      <c r="I132" s="62" t="s">
        <v>162</v>
      </c>
      <c r="J132" s="42">
        <f t="shared" si="4"/>
        <v>0</v>
      </c>
    </row>
    <row r="133" spans="1:10" outlineLevel="1" x14ac:dyDescent="0.2">
      <c r="D133" s="62" t="s">
        <v>160</v>
      </c>
      <c r="E133" s="64"/>
      <c r="F133" s="19">
        <v>0</v>
      </c>
      <c r="G133" s="19">
        <v>0</v>
      </c>
      <c r="H133" s="19">
        <v>0</v>
      </c>
      <c r="I133" s="62" t="s">
        <v>162</v>
      </c>
      <c r="J133" s="42">
        <f t="shared" si="4"/>
        <v>0</v>
      </c>
    </row>
    <row r="134" spans="1:10" outlineLevel="1" x14ac:dyDescent="0.2">
      <c r="D134" s="62" t="s">
        <v>161</v>
      </c>
      <c r="E134" s="64"/>
      <c r="F134" s="19">
        <v>0</v>
      </c>
      <c r="G134" s="19">
        <v>0</v>
      </c>
      <c r="H134" s="19">
        <v>0</v>
      </c>
      <c r="I134" s="62" t="s">
        <v>162</v>
      </c>
      <c r="J134" s="42">
        <f t="shared" si="4"/>
        <v>0</v>
      </c>
    </row>
    <row r="135" spans="1:10" outlineLevel="1" x14ac:dyDescent="0.2">
      <c r="D135" s="62" t="s">
        <v>393</v>
      </c>
      <c r="E135" s="64"/>
      <c r="F135" s="19">
        <v>0</v>
      </c>
      <c r="G135" s="19">
        <v>0</v>
      </c>
      <c r="H135" s="19">
        <v>0</v>
      </c>
      <c r="I135" s="62" t="s">
        <v>162</v>
      </c>
      <c r="J135" s="42">
        <f t="shared" si="4"/>
        <v>0</v>
      </c>
    </row>
    <row r="136" spans="1:10" outlineLevel="1" x14ac:dyDescent="0.2">
      <c r="D136" s="62" t="s">
        <v>394</v>
      </c>
      <c r="E136" s="64"/>
      <c r="F136" s="19">
        <v>0</v>
      </c>
      <c r="G136" s="19">
        <v>0</v>
      </c>
      <c r="H136" s="19">
        <v>0</v>
      </c>
      <c r="I136" s="62" t="s">
        <v>162</v>
      </c>
      <c r="J136" s="42">
        <f t="shared" si="4"/>
        <v>0</v>
      </c>
    </row>
    <row r="137" spans="1:10" outlineLevel="1" x14ac:dyDescent="0.2">
      <c r="D137" s="62" t="s">
        <v>395</v>
      </c>
      <c r="E137" s="64"/>
      <c r="F137" s="19">
        <v>0</v>
      </c>
      <c r="G137" s="19">
        <v>0</v>
      </c>
      <c r="H137" s="19">
        <v>0</v>
      </c>
      <c r="I137" s="62" t="s">
        <v>162</v>
      </c>
      <c r="J137" s="42">
        <f t="shared" si="4"/>
        <v>0</v>
      </c>
    </row>
    <row r="138" spans="1:10" outlineLevel="1" x14ac:dyDescent="0.2">
      <c r="D138" s="62" t="s">
        <v>396</v>
      </c>
      <c r="E138" s="64"/>
      <c r="F138" s="19">
        <v>0</v>
      </c>
      <c r="G138" s="19">
        <v>0</v>
      </c>
      <c r="H138" s="19">
        <v>0</v>
      </c>
      <c r="I138" s="62" t="s">
        <v>162</v>
      </c>
      <c r="J138" s="42">
        <f t="shared" si="4"/>
        <v>0</v>
      </c>
    </row>
    <row r="139" spans="1:10" outlineLevel="1" x14ac:dyDescent="0.2">
      <c r="D139" s="62" t="s">
        <v>397</v>
      </c>
      <c r="E139" s="64"/>
      <c r="F139" s="19">
        <v>0</v>
      </c>
      <c r="G139" s="19">
        <v>0</v>
      </c>
      <c r="H139" s="19">
        <v>0</v>
      </c>
      <c r="I139" s="62" t="s">
        <v>162</v>
      </c>
      <c r="J139" s="42">
        <f t="shared" si="4"/>
        <v>0</v>
      </c>
    </row>
    <row r="140" spans="1:10" outlineLevel="1" x14ac:dyDescent="0.2">
      <c r="D140" s="55" t="str">
        <f>Lang_Error_Check_Flags_If_Input_Econ_Cost_Is_Less_Than_Fin_Cost</f>
        <v>ERROR CHECK (FLAGS IF INPUT ECONOMIC COST IS LESS THAN FINANCIAL COST)</v>
      </c>
      <c r="J140" s="43">
        <f>IF(ISERROR(SUM(J125:J139)),1,MIN(SUM(J125:J139),1))</f>
        <v>0</v>
      </c>
    </row>
    <row r="141" spans="1:10" outlineLevel="1" x14ac:dyDescent="0.2"/>
    <row r="142" spans="1:10" outlineLevel="1" x14ac:dyDescent="0.2">
      <c r="D142" s="47" t="str">
        <f>Lang_GoTo&amp;" "&amp;HL_TOP_ACTV_17_Personnel_Outputs</f>
        <v>Go to SME Activity #2 (Not in Use) Personnel - Outputs</v>
      </c>
    </row>
    <row r="144" spans="1:10" s="13" customFormat="1" x14ac:dyDescent="0.2">
      <c r="A144" s="6" t="s">
        <v>127</v>
      </c>
      <c r="B144" s="13" t="str">
        <f>C146</f>
        <v>SME Activity #2 (Not in Use) - Detailed Allowance Cost Assumptions</v>
      </c>
    </row>
    <row r="145" spans="3:10" outlineLevel="1" x14ac:dyDescent="0.2"/>
    <row r="146" spans="3:10" outlineLevel="1" x14ac:dyDescent="0.2">
      <c r="C146" s="18" t="str">
        <f>HL_TOP_ACTV_17_Name&amp;" - "&amp;Lang_Detailed_Allowance_Cost_Assumptions</f>
        <v>SME Activity #2 (Not in Use) - Detailed Allowance Cost Assumptions</v>
      </c>
    </row>
    <row r="147" spans="3:10" ht="48" outlineLevel="1" x14ac:dyDescent="0.2">
      <c r="D147" s="55" t="str">
        <f>Lang_Allowance_Type</f>
        <v>Allowance Type</v>
      </c>
      <c r="E147" s="85" t="str">
        <f>Lang_Allowance_Unit_Per_Day_Round_Trip_Travel</f>
        <v>Allowance Unit (e.g. Per Day, Round-trip Travel,etc.)</v>
      </c>
      <c r="F147" s="85" t="str">
        <f>Lang_Number_Of_Allowance_Units_Required</f>
        <v>Number of Allowance Units Required</v>
      </c>
      <c r="G147" s="63" t="str">
        <f ca="1">SUPV_Lu!$D$67&amp;" "&amp;Lang_Cost_Per_Activity_Unit&amp;" ("&amp;OFFSET(SUPV_Lu!$D$46,DD_TOP_ACTV_17_Detailed_Currency_Used,0)&amp;")"</f>
        <v>Financial Cost per Activity Unit (USD)</v>
      </c>
      <c r="H147" s="63" t="str">
        <f ca="1">SUPV_Lu!$D$68&amp;" "&amp;Lang_Cost_Per_Activity_Unit&amp;" ("&amp;OFFSET(SUPV_Lu!$D$46,DD_TOP_ACTV_17_Detailed_Currency_Used,0)&amp;")"</f>
        <v>Economic Cost per Activity Unit (USD)</v>
      </c>
      <c r="I147" s="87" t="str">
        <f>Lang_Evidence_For_Using_This_Cost_Information_Source_Or_Notes</f>
        <v>Evidence for Using this Cost Information (source or notes)</v>
      </c>
    </row>
    <row r="148" spans="3:10" outlineLevel="1" x14ac:dyDescent="0.2">
      <c r="D148" s="62" t="s">
        <v>163</v>
      </c>
      <c r="E148" s="64"/>
      <c r="F148" s="19">
        <v>0</v>
      </c>
      <c r="G148" s="19">
        <v>0</v>
      </c>
      <c r="H148" s="19">
        <v>0</v>
      </c>
      <c r="I148" s="62" t="s">
        <v>162</v>
      </c>
      <c r="J148" s="42">
        <f t="shared" ref="J148:J157" si="5">IF(H148&lt;G148,1,0)</f>
        <v>0</v>
      </c>
    </row>
    <row r="149" spans="3:10" outlineLevel="1" x14ac:dyDescent="0.2">
      <c r="D149" s="62" t="s">
        <v>164</v>
      </c>
      <c r="E149" s="64"/>
      <c r="F149" s="19">
        <v>0</v>
      </c>
      <c r="G149" s="19">
        <v>0</v>
      </c>
      <c r="H149" s="19">
        <v>0</v>
      </c>
      <c r="I149" s="62" t="s">
        <v>162</v>
      </c>
      <c r="J149" s="42">
        <f t="shared" si="5"/>
        <v>0</v>
      </c>
    </row>
    <row r="150" spans="3:10" outlineLevel="1" x14ac:dyDescent="0.2">
      <c r="D150" s="62" t="s">
        <v>165</v>
      </c>
      <c r="E150" s="64"/>
      <c r="F150" s="19">
        <v>0</v>
      </c>
      <c r="G150" s="19">
        <v>0</v>
      </c>
      <c r="H150" s="19">
        <v>0</v>
      </c>
      <c r="I150" s="62" t="s">
        <v>162</v>
      </c>
      <c r="J150" s="42">
        <f t="shared" si="5"/>
        <v>0</v>
      </c>
    </row>
    <row r="151" spans="3:10" outlineLevel="1" x14ac:dyDescent="0.2">
      <c r="D151" s="62" t="s">
        <v>166</v>
      </c>
      <c r="E151" s="64"/>
      <c r="F151" s="19">
        <v>0</v>
      </c>
      <c r="G151" s="19">
        <v>0</v>
      </c>
      <c r="H151" s="19">
        <v>0</v>
      </c>
      <c r="I151" s="62" t="s">
        <v>162</v>
      </c>
      <c r="J151" s="42">
        <f t="shared" si="5"/>
        <v>0</v>
      </c>
    </row>
    <row r="152" spans="3:10" outlineLevel="1" x14ac:dyDescent="0.2">
      <c r="D152" s="62" t="s">
        <v>167</v>
      </c>
      <c r="E152" s="64"/>
      <c r="F152" s="19">
        <v>0</v>
      </c>
      <c r="G152" s="19">
        <v>0</v>
      </c>
      <c r="H152" s="19">
        <v>0</v>
      </c>
      <c r="I152" s="62" t="s">
        <v>162</v>
      </c>
      <c r="J152" s="42">
        <f t="shared" si="5"/>
        <v>0</v>
      </c>
    </row>
    <row r="153" spans="3:10" outlineLevel="1" x14ac:dyDescent="0.2">
      <c r="D153" s="62" t="s">
        <v>168</v>
      </c>
      <c r="E153" s="64"/>
      <c r="F153" s="19">
        <v>0</v>
      </c>
      <c r="G153" s="19">
        <v>0</v>
      </c>
      <c r="H153" s="19">
        <v>0</v>
      </c>
      <c r="I153" s="62" t="s">
        <v>162</v>
      </c>
      <c r="J153" s="42">
        <f t="shared" si="5"/>
        <v>0</v>
      </c>
    </row>
    <row r="154" spans="3:10" outlineLevel="1" x14ac:dyDescent="0.2">
      <c r="D154" s="62" t="s">
        <v>169</v>
      </c>
      <c r="E154" s="64"/>
      <c r="F154" s="19">
        <v>0</v>
      </c>
      <c r="G154" s="19">
        <v>0</v>
      </c>
      <c r="H154" s="19">
        <v>0</v>
      </c>
      <c r="I154" s="62" t="s">
        <v>162</v>
      </c>
      <c r="J154" s="42">
        <f t="shared" si="5"/>
        <v>0</v>
      </c>
    </row>
    <row r="155" spans="3:10" outlineLevel="1" x14ac:dyDescent="0.2">
      <c r="D155" s="62" t="s">
        <v>170</v>
      </c>
      <c r="E155" s="64"/>
      <c r="F155" s="19">
        <v>0</v>
      </c>
      <c r="G155" s="19">
        <v>0</v>
      </c>
      <c r="H155" s="19">
        <v>0</v>
      </c>
      <c r="I155" s="62" t="s">
        <v>162</v>
      </c>
      <c r="J155" s="42">
        <f t="shared" si="5"/>
        <v>0</v>
      </c>
    </row>
    <row r="156" spans="3:10" outlineLevel="1" x14ac:dyDescent="0.2">
      <c r="D156" s="62" t="s">
        <v>171</v>
      </c>
      <c r="E156" s="64"/>
      <c r="F156" s="19">
        <v>0</v>
      </c>
      <c r="G156" s="19">
        <v>0</v>
      </c>
      <c r="H156" s="19">
        <v>0</v>
      </c>
      <c r="I156" s="62" t="s">
        <v>162</v>
      </c>
      <c r="J156" s="42">
        <f t="shared" si="5"/>
        <v>0</v>
      </c>
    </row>
    <row r="157" spans="3:10" outlineLevel="1" x14ac:dyDescent="0.2">
      <c r="D157" s="62" t="s">
        <v>172</v>
      </c>
      <c r="E157" s="64"/>
      <c r="F157" s="19">
        <v>0</v>
      </c>
      <c r="G157" s="19">
        <v>0</v>
      </c>
      <c r="H157" s="19">
        <v>0</v>
      </c>
      <c r="I157" s="62" t="s">
        <v>162</v>
      </c>
      <c r="J157" s="42">
        <f t="shared" si="5"/>
        <v>0</v>
      </c>
    </row>
    <row r="158" spans="3:10" outlineLevel="1" x14ac:dyDescent="0.2">
      <c r="D158" s="55" t="str">
        <f>Lang_Error_Check_Flags_If_Input_Econ_Cost_Is_Less_Than_Fin_Cost</f>
        <v>ERROR CHECK (FLAGS IF INPUT ECONOMIC COST IS LESS THAN FINANCIAL COST)</v>
      </c>
      <c r="J158" s="43">
        <f>IF(ISERROR(SUM(J148:J157)),1,MIN(SUM(J148:J157),1))</f>
        <v>0</v>
      </c>
    </row>
    <row r="159" spans="3:10" outlineLevel="1" x14ac:dyDescent="0.2"/>
    <row r="160" spans="3:10" outlineLevel="1" x14ac:dyDescent="0.2">
      <c r="D160" s="47" t="str">
        <f>Lang_GoTo&amp;" "&amp;HL_TOP_ACTV_17_Out_A</f>
        <v>Go to SME Activity #2 (Not in Use) Allowances - Outputs</v>
      </c>
    </row>
    <row r="162" spans="1:10" s="13" customFormat="1" x14ac:dyDescent="0.2">
      <c r="A162" s="6" t="s">
        <v>127</v>
      </c>
      <c r="B162" s="13" t="str">
        <f>C164</f>
        <v>SME Activity #2 (Not in Use) - Detailed Supply and Material Cost Assumptions</v>
      </c>
    </row>
    <row r="163" spans="1:10" outlineLevel="1" x14ac:dyDescent="0.2"/>
    <row r="164" spans="1:10" outlineLevel="1" x14ac:dyDescent="0.2">
      <c r="C164" s="18" t="str">
        <f>HL_TOP_ACTV_17_Name&amp;" - "&amp;Lang_Detailed_Supply_And_Material_Cost_Assumptions</f>
        <v>SME Activity #2 (Not in Use) - Detailed Supply and Material Cost Assumptions</v>
      </c>
    </row>
    <row r="165" spans="1:10" ht="48" outlineLevel="1" x14ac:dyDescent="0.2">
      <c r="D165" s="55" t="str">
        <f>Lang_Supply_Type</f>
        <v>Supply Type</v>
      </c>
      <c r="E165" s="85" t="str">
        <f>Lang_Supply_Unit_Each_Dozen_100_Pack</f>
        <v>Supply Unit (e.g. Each, Dozen, 100-pack,etc.)</v>
      </c>
      <c r="F165" s="85" t="str">
        <f>Lang_Number_Of_Supply_Units_Required</f>
        <v>Number of Supply Units Required</v>
      </c>
      <c r="G165" s="63" t="str">
        <f ca="1">SUPV_Lu!$D$67&amp;" "&amp;Lang_Cost_Per_Activity_Unit&amp;" ("&amp;OFFSET(SUPV_Lu!$D$46,DD_TOP_ACTV_17_Detailed_Currency_Used,0)&amp;")"</f>
        <v>Financial Cost per Activity Unit (USD)</v>
      </c>
      <c r="H165" s="63" t="str">
        <f ca="1">SUPV_Lu!$D$68&amp;" "&amp;Lang_Cost_Per_Activity_Unit&amp;" ("&amp;OFFSET(SUPV_Lu!$D$46,DD_TOP_ACTV_17_Detailed_Currency_Used,0)&amp;")"</f>
        <v>Economic Cost per Activity Unit (USD)</v>
      </c>
      <c r="I165" s="87" t="str">
        <f>Lang_Evidence_For_Using_This_Cost_Information_Source_Or_Notes</f>
        <v>Evidence for Using this Cost Information (source or notes)</v>
      </c>
    </row>
    <row r="166" spans="1:10" outlineLevel="1" x14ac:dyDescent="0.2">
      <c r="D166" s="62" t="s">
        <v>173</v>
      </c>
      <c r="E166" s="64"/>
      <c r="F166" s="19">
        <v>0</v>
      </c>
      <c r="G166" s="19">
        <v>0</v>
      </c>
      <c r="H166" s="19">
        <v>0</v>
      </c>
      <c r="I166" s="62" t="s">
        <v>162</v>
      </c>
      <c r="J166" s="42">
        <f t="shared" ref="J166:J175" si="6">IF(H166&lt;G166,1,0)</f>
        <v>0</v>
      </c>
    </row>
    <row r="167" spans="1:10" outlineLevel="1" x14ac:dyDescent="0.2">
      <c r="D167" s="62" t="s">
        <v>174</v>
      </c>
      <c r="E167" s="64"/>
      <c r="F167" s="19">
        <v>0</v>
      </c>
      <c r="G167" s="19">
        <v>0</v>
      </c>
      <c r="H167" s="19">
        <v>0</v>
      </c>
      <c r="I167" s="62" t="s">
        <v>162</v>
      </c>
      <c r="J167" s="42">
        <f t="shared" si="6"/>
        <v>0</v>
      </c>
    </row>
    <row r="168" spans="1:10" outlineLevel="1" x14ac:dyDescent="0.2">
      <c r="D168" s="62" t="s">
        <v>175</v>
      </c>
      <c r="E168" s="64"/>
      <c r="F168" s="19">
        <v>0</v>
      </c>
      <c r="G168" s="19">
        <v>0</v>
      </c>
      <c r="H168" s="19">
        <v>0</v>
      </c>
      <c r="I168" s="62" t="s">
        <v>162</v>
      </c>
      <c r="J168" s="42">
        <f t="shared" si="6"/>
        <v>0</v>
      </c>
    </row>
    <row r="169" spans="1:10" outlineLevel="1" x14ac:dyDescent="0.2">
      <c r="D169" s="62" t="s">
        <v>176</v>
      </c>
      <c r="E169" s="64"/>
      <c r="F169" s="19">
        <v>0</v>
      </c>
      <c r="G169" s="19">
        <v>0</v>
      </c>
      <c r="H169" s="19">
        <v>0</v>
      </c>
      <c r="I169" s="62" t="s">
        <v>162</v>
      </c>
      <c r="J169" s="42">
        <f t="shared" si="6"/>
        <v>0</v>
      </c>
    </row>
    <row r="170" spans="1:10" outlineLevel="1" x14ac:dyDescent="0.2">
      <c r="D170" s="62" t="s">
        <v>177</v>
      </c>
      <c r="E170" s="64"/>
      <c r="F170" s="19">
        <v>0</v>
      </c>
      <c r="G170" s="19">
        <v>0</v>
      </c>
      <c r="H170" s="19">
        <v>0</v>
      </c>
      <c r="I170" s="62" t="s">
        <v>162</v>
      </c>
      <c r="J170" s="42">
        <f t="shared" si="6"/>
        <v>0</v>
      </c>
    </row>
    <row r="171" spans="1:10" outlineLevel="1" x14ac:dyDescent="0.2">
      <c r="D171" s="62" t="s">
        <v>178</v>
      </c>
      <c r="E171" s="64"/>
      <c r="F171" s="19">
        <v>0</v>
      </c>
      <c r="G171" s="19">
        <v>0</v>
      </c>
      <c r="H171" s="19">
        <v>0</v>
      </c>
      <c r="I171" s="62" t="s">
        <v>162</v>
      </c>
      <c r="J171" s="42">
        <f t="shared" si="6"/>
        <v>0</v>
      </c>
    </row>
    <row r="172" spans="1:10" outlineLevel="1" x14ac:dyDescent="0.2">
      <c r="D172" s="62" t="s">
        <v>179</v>
      </c>
      <c r="E172" s="64"/>
      <c r="F172" s="19">
        <v>0</v>
      </c>
      <c r="G172" s="19">
        <v>0</v>
      </c>
      <c r="H172" s="19">
        <v>0</v>
      </c>
      <c r="I172" s="62" t="s">
        <v>162</v>
      </c>
      <c r="J172" s="42">
        <f t="shared" si="6"/>
        <v>0</v>
      </c>
    </row>
    <row r="173" spans="1:10" outlineLevel="1" x14ac:dyDescent="0.2">
      <c r="D173" s="62" t="s">
        <v>180</v>
      </c>
      <c r="E173" s="64"/>
      <c r="F173" s="19">
        <v>0</v>
      </c>
      <c r="G173" s="19">
        <v>0</v>
      </c>
      <c r="H173" s="19">
        <v>0</v>
      </c>
      <c r="I173" s="62" t="s">
        <v>162</v>
      </c>
      <c r="J173" s="42">
        <f t="shared" si="6"/>
        <v>0</v>
      </c>
    </row>
    <row r="174" spans="1:10" outlineLevel="1" x14ac:dyDescent="0.2">
      <c r="D174" s="62" t="s">
        <v>181</v>
      </c>
      <c r="E174" s="64"/>
      <c r="F174" s="19">
        <v>0</v>
      </c>
      <c r="G174" s="19">
        <v>0</v>
      </c>
      <c r="H174" s="19">
        <v>0</v>
      </c>
      <c r="I174" s="62" t="s">
        <v>162</v>
      </c>
      <c r="J174" s="42">
        <f t="shared" si="6"/>
        <v>0</v>
      </c>
    </row>
    <row r="175" spans="1:10" outlineLevel="1" x14ac:dyDescent="0.2">
      <c r="D175" s="62" t="s">
        <v>182</v>
      </c>
      <c r="E175" s="64"/>
      <c r="F175" s="19">
        <v>0</v>
      </c>
      <c r="G175" s="19">
        <v>0</v>
      </c>
      <c r="H175" s="19">
        <v>0</v>
      </c>
      <c r="I175" s="62" t="s">
        <v>162</v>
      </c>
      <c r="J175" s="42">
        <f t="shared" si="6"/>
        <v>0</v>
      </c>
    </row>
    <row r="176" spans="1:10" outlineLevel="1" x14ac:dyDescent="0.2">
      <c r="D176" s="55" t="str">
        <f>Lang_Error_Check_Flags_If_Input_Econ_Cost_Is_Less_Than_Fin_Cost</f>
        <v>ERROR CHECK (FLAGS IF INPUT ECONOMIC COST IS LESS THAN FINANCIAL COST)</v>
      </c>
      <c r="J176" s="43">
        <f>IF(ISERROR(SUM(J166:J175)),1,MIN(SUM(J166:J175),1))</f>
        <v>0</v>
      </c>
    </row>
    <row r="177" spans="1:10" outlineLevel="1" x14ac:dyDescent="0.2"/>
    <row r="178" spans="1:10" outlineLevel="1" x14ac:dyDescent="0.2">
      <c r="D178" s="47" t="str">
        <f>Lang_GoTo&amp;" "&amp;HL_TOP_ACTV_17_Supplies_and_Materials_Outputs</f>
        <v>Go to SME Activity #2 (Not in Use) Supplies and Materials - Outputs</v>
      </c>
    </row>
    <row r="180" spans="1:10" s="13" customFormat="1" x14ac:dyDescent="0.2">
      <c r="A180" s="6" t="s">
        <v>127</v>
      </c>
      <c r="B180" s="13" t="str">
        <f>C182</f>
        <v>SME Activity #2 (Not in Use) - Detailed Other Direct Cost Assumptions</v>
      </c>
    </row>
    <row r="181" spans="1:10" outlineLevel="1" x14ac:dyDescent="0.2"/>
    <row r="182" spans="1:10" outlineLevel="1" x14ac:dyDescent="0.2">
      <c r="C182" s="18" t="str">
        <f>HL_TOP_ACTV_17_Name&amp;" - "&amp;Lang_Detailed_Other_Direct_Cost_Assumptions</f>
        <v>SME Activity #2 (Not in Use) - Detailed Other Direct Cost Assumptions</v>
      </c>
    </row>
    <row r="183" spans="1:10" ht="48" outlineLevel="1" x14ac:dyDescent="0.2">
      <c r="D183" s="55" t="str">
        <f>Lang_Other_Direct_Cost_ODC_Type</f>
        <v>Other Direct Cost (ODC) Type</v>
      </c>
      <c r="E183" s="85" t="str">
        <f>Lang_ODC_Unit_Each_Dozen_100_Pack</f>
        <v>ODC Unit (e.g. Each, Dozen, 100-pack,etc.)</v>
      </c>
      <c r="F183" s="85" t="str">
        <f>Lang_Number_Of_ODC_Units_Required</f>
        <v>Number of ODC Units Required</v>
      </c>
      <c r="G183" s="63" t="str">
        <f ca="1">SUPV_Lu!$D$67&amp;" "&amp;Lang_Cost_Per_Activity_Unit&amp;" ("&amp;OFFSET(SUPV_Lu!$D$46,DD_TOP_ACTV_17_Detailed_Currency_Used,0)&amp;")"</f>
        <v>Financial Cost per Activity Unit (USD)</v>
      </c>
      <c r="H183" s="63" t="str">
        <f ca="1">SUPV_Lu!$D$68&amp;" "&amp;Lang_Cost_Per_Activity_Unit&amp;" ("&amp;OFFSET(SUPV_Lu!$D$46,DD_TOP_ACTV_17_Detailed_Currency_Used,0)&amp;")"</f>
        <v>Economic Cost per Activity Unit (USD)</v>
      </c>
      <c r="I183" s="87" t="str">
        <f>Lang_Evidence_For_Using_This_Cost_Information_Source_Or_Notes</f>
        <v>Evidence for Using this Cost Information (source or notes)</v>
      </c>
    </row>
    <row r="184" spans="1:10" outlineLevel="1" x14ac:dyDescent="0.2">
      <c r="D184" s="62" t="s">
        <v>183</v>
      </c>
      <c r="E184" s="64"/>
      <c r="F184" s="19">
        <v>0</v>
      </c>
      <c r="G184" s="19">
        <v>0</v>
      </c>
      <c r="H184" s="19">
        <v>0</v>
      </c>
      <c r="I184" s="62" t="s">
        <v>162</v>
      </c>
      <c r="J184" s="42">
        <f t="shared" ref="J184:J193" si="7">IF(H184&lt;G184,1,0)</f>
        <v>0</v>
      </c>
    </row>
    <row r="185" spans="1:10" outlineLevel="1" x14ac:dyDescent="0.2">
      <c r="D185" s="62" t="s">
        <v>184</v>
      </c>
      <c r="E185" s="64"/>
      <c r="F185" s="19">
        <v>0</v>
      </c>
      <c r="G185" s="19">
        <v>0</v>
      </c>
      <c r="H185" s="19">
        <v>0</v>
      </c>
      <c r="I185" s="62" t="s">
        <v>162</v>
      </c>
      <c r="J185" s="42">
        <f t="shared" si="7"/>
        <v>0</v>
      </c>
    </row>
    <row r="186" spans="1:10" outlineLevel="1" x14ac:dyDescent="0.2">
      <c r="D186" s="62" t="s">
        <v>185</v>
      </c>
      <c r="E186" s="64"/>
      <c r="F186" s="19">
        <v>0</v>
      </c>
      <c r="G186" s="19">
        <v>0</v>
      </c>
      <c r="H186" s="19">
        <v>0</v>
      </c>
      <c r="I186" s="62" t="s">
        <v>162</v>
      </c>
      <c r="J186" s="42">
        <f t="shared" si="7"/>
        <v>0</v>
      </c>
    </row>
    <row r="187" spans="1:10" outlineLevel="1" x14ac:dyDescent="0.2">
      <c r="D187" s="62" t="s">
        <v>186</v>
      </c>
      <c r="E187" s="64"/>
      <c r="F187" s="19">
        <v>0</v>
      </c>
      <c r="G187" s="19">
        <v>0</v>
      </c>
      <c r="H187" s="19">
        <v>0</v>
      </c>
      <c r="I187" s="62" t="s">
        <v>162</v>
      </c>
      <c r="J187" s="42">
        <f t="shared" si="7"/>
        <v>0</v>
      </c>
    </row>
    <row r="188" spans="1:10" outlineLevel="1" x14ac:dyDescent="0.2">
      <c r="D188" s="62" t="s">
        <v>187</v>
      </c>
      <c r="E188" s="64"/>
      <c r="F188" s="19">
        <v>0</v>
      </c>
      <c r="G188" s="19">
        <v>0</v>
      </c>
      <c r="H188" s="19">
        <v>0</v>
      </c>
      <c r="I188" s="62" t="s">
        <v>162</v>
      </c>
      <c r="J188" s="42">
        <f t="shared" si="7"/>
        <v>0</v>
      </c>
    </row>
    <row r="189" spans="1:10" outlineLevel="1" x14ac:dyDescent="0.2">
      <c r="D189" s="62" t="s">
        <v>188</v>
      </c>
      <c r="E189" s="64"/>
      <c r="F189" s="19">
        <v>0</v>
      </c>
      <c r="G189" s="19">
        <v>0</v>
      </c>
      <c r="H189" s="19">
        <v>0</v>
      </c>
      <c r="I189" s="62" t="s">
        <v>162</v>
      </c>
      <c r="J189" s="42">
        <f t="shared" si="7"/>
        <v>0</v>
      </c>
    </row>
    <row r="190" spans="1:10" outlineLevel="1" x14ac:dyDescent="0.2">
      <c r="D190" s="62" t="s">
        <v>189</v>
      </c>
      <c r="E190" s="64"/>
      <c r="F190" s="19">
        <v>0</v>
      </c>
      <c r="G190" s="19">
        <v>0</v>
      </c>
      <c r="H190" s="19">
        <v>0</v>
      </c>
      <c r="I190" s="62" t="s">
        <v>162</v>
      </c>
      <c r="J190" s="42">
        <f t="shared" si="7"/>
        <v>0</v>
      </c>
    </row>
    <row r="191" spans="1:10" outlineLevel="1" x14ac:dyDescent="0.2">
      <c r="D191" s="62" t="s">
        <v>190</v>
      </c>
      <c r="E191" s="64"/>
      <c r="F191" s="19">
        <v>0</v>
      </c>
      <c r="G191" s="19">
        <v>0</v>
      </c>
      <c r="H191" s="19">
        <v>0</v>
      </c>
      <c r="I191" s="62" t="s">
        <v>162</v>
      </c>
      <c r="J191" s="42">
        <f t="shared" si="7"/>
        <v>0</v>
      </c>
    </row>
    <row r="192" spans="1:10" outlineLevel="1" x14ac:dyDescent="0.2">
      <c r="D192" s="62" t="s">
        <v>191</v>
      </c>
      <c r="E192" s="64"/>
      <c r="F192" s="19">
        <v>0</v>
      </c>
      <c r="G192" s="19">
        <v>0</v>
      </c>
      <c r="H192" s="19">
        <v>0</v>
      </c>
      <c r="I192" s="62" t="s">
        <v>162</v>
      </c>
      <c r="J192" s="42">
        <f t="shared" si="7"/>
        <v>0</v>
      </c>
    </row>
    <row r="193" spans="1:10" outlineLevel="1" x14ac:dyDescent="0.2">
      <c r="D193" s="62" t="s">
        <v>192</v>
      </c>
      <c r="E193" s="64"/>
      <c r="F193" s="19">
        <v>0</v>
      </c>
      <c r="G193" s="19">
        <v>0</v>
      </c>
      <c r="H193" s="19">
        <v>0</v>
      </c>
      <c r="I193" s="62" t="s">
        <v>162</v>
      </c>
      <c r="J193" s="42">
        <f t="shared" si="7"/>
        <v>0</v>
      </c>
    </row>
    <row r="194" spans="1:10" outlineLevel="1" x14ac:dyDescent="0.2">
      <c r="D194" s="55" t="str">
        <f>Lang_Error_Check_Flags_If_Input_Econ_Cost_Is_Less_Than_Fin_Cost</f>
        <v>ERROR CHECK (FLAGS IF INPUT ECONOMIC COST IS LESS THAN FINANCIAL COST)</v>
      </c>
      <c r="J194" s="43">
        <f>IF(ISERROR(SUM(J184:J193)),1,MIN(SUM(J184:J193),1))</f>
        <v>0</v>
      </c>
    </row>
    <row r="195" spans="1:10" outlineLevel="1" x14ac:dyDescent="0.2"/>
    <row r="196" spans="1:10" outlineLevel="1" x14ac:dyDescent="0.2">
      <c r="D196" s="47" t="str">
        <f>Lang_GoTo&amp;" "&amp;HL_TOP_ACTV_17_Other_Direct_Costs_Outputs</f>
        <v>Go to SME Activity #2 (Not in Use) Other Direct Costs - Outputs</v>
      </c>
    </row>
    <row r="197" spans="1:10" s="10" customFormat="1" x14ac:dyDescent="0.2"/>
    <row r="198" spans="1:10" s="13" customFormat="1" x14ac:dyDescent="0.2">
      <c r="A198" s="12" t="s">
        <v>125</v>
      </c>
      <c r="B198" s="13" t="str">
        <f>C200</f>
        <v>SME Activity #3 (Not in Use) -  Detailed Activity Costing Worksheet - Instructions</v>
      </c>
    </row>
    <row r="199" spans="1:10" s="10" customFormat="1" outlineLevel="1" x14ac:dyDescent="0.2"/>
    <row r="200" spans="1:10" s="10" customFormat="1" outlineLevel="1" x14ac:dyDescent="0.2">
      <c r="C200" s="71" t="str">
        <f>HL_TOP_ACTV_18_Name&amp;" -  "&amp;Lang_Detailed_Activity_Costing_Worksheet_Instructions</f>
        <v>SME Activity #3 (Not in Use) -  Detailed Activity Costing Worksheet - Instructions</v>
      </c>
    </row>
    <row r="201" spans="1:10" s="10" customFormat="1" outlineLevel="1" x14ac:dyDescent="0.2"/>
    <row r="202" spans="1:10" s="10" customFormat="1" outlineLevel="1" x14ac:dyDescent="0.2">
      <c r="D202" s="50" t="str">
        <f>Lang_Detailed_Costing_Worksheets_Notes_1</f>
        <v>This detailed costing worksheet can be used to document the types and amounts of resources required to complete a single instance of an activity.</v>
      </c>
    </row>
    <row r="203" spans="1:10" s="10" customFormat="1" outlineLevel="1" x14ac:dyDescent="0.2">
      <c r="D203" s="50" t="str">
        <f>Lang_Detailed_Costing_Worksheets_Notes_2</f>
        <v>When completed, it will automatically provide a single activity cost in the general assumption worksheet.</v>
      </c>
    </row>
    <row r="204" spans="1:10" s="10" customFormat="1" outlineLevel="1" x14ac:dyDescent="0.2">
      <c r="D204" s="50" t="str">
        <f>Lang_Detailed_Costing_Worksheets_Notes_3</f>
        <v>The user may then choose to use the results of the detailed costing in the model, or override the detailed costing and insert alternate cost estimates.</v>
      </c>
    </row>
    <row r="206" spans="1:10" s="13" customFormat="1" x14ac:dyDescent="0.2">
      <c r="A206" s="6" t="s">
        <v>125</v>
      </c>
      <c r="B206" s="13" t="str">
        <f>C208</f>
        <v>SME Activity #3 (Not in Use) - Detailed Activity Costing Worksheet - Currency Selection</v>
      </c>
    </row>
    <row r="207" spans="1:10" outlineLevel="1" x14ac:dyDescent="0.2"/>
    <row r="208" spans="1:10" outlineLevel="1" x14ac:dyDescent="0.2">
      <c r="C208" s="18" t="str">
        <f>HL_TOP_ACTV_18_Name&amp;" - "&amp;Lang_Detailed_Activity_Costing_Worksheet_Currency_Selection</f>
        <v>SME Activity #3 (Not in Use) - Detailed Activity Costing Worksheet - Currency Selection</v>
      </c>
    </row>
    <row r="209" spans="1:10" outlineLevel="1" x14ac:dyDescent="0.2">
      <c r="D209" s="55" t="str">
        <f>Lang_Currency_Used_For_Cost_Inputs</f>
        <v>Currency Used for Cost Inputs</v>
      </c>
      <c r="E209" s="22">
        <v>1</v>
      </c>
    </row>
    <row r="210" spans="1:10" outlineLevel="1" x14ac:dyDescent="0.2"/>
    <row r="211" spans="1:10" outlineLevel="1" x14ac:dyDescent="0.2"/>
    <row r="212" spans="1:10" outlineLevel="1" x14ac:dyDescent="0.2">
      <c r="D212" s="54" t="str">
        <f>Lang_Imported_From_Econ_Module</f>
        <v>Imported from Econ Module</v>
      </c>
    </row>
    <row r="213" spans="1:10" outlineLevel="1" x14ac:dyDescent="0.2">
      <c r="D213" s="49" t="str">
        <f>ECONOMICS!F7</f>
        <v>USD</v>
      </c>
    </row>
    <row r="214" spans="1:10" outlineLevel="1" x14ac:dyDescent="0.2">
      <c r="D214" s="49" t="str">
        <f>ECONOMICS!F8</f>
        <v>LCU</v>
      </c>
    </row>
    <row r="215" spans="1:10" outlineLevel="1" x14ac:dyDescent="0.2"/>
    <row r="216" spans="1:10" outlineLevel="1" x14ac:dyDescent="0.2">
      <c r="D216" s="50" t="str">
        <f>Lang_Exchange_Rate_From_Econ</f>
        <v>Exchange Rate (from Economics)</v>
      </c>
      <c r="E216" s="41">
        <f>ECONOMICS!E13</f>
        <v>1234.5</v>
      </c>
    </row>
    <row r="218" spans="1:10" s="13" customFormat="1" x14ac:dyDescent="0.2">
      <c r="A218" s="6" t="s">
        <v>127</v>
      </c>
      <c r="B218" s="13" t="str">
        <f>C220</f>
        <v>SME Activity #3 (Not in Use) - Detailed Personnel Cost Assumptions</v>
      </c>
    </row>
    <row r="219" spans="1:10" outlineLevel="1" x14ac:dyDescent="0.2"/>
    <row r="220" spans="1:10" outlineLevel="1" x14ac:dyDescent="0.2">
      <c r="C220" s="18" t="str">
        <f>HL_TOP_ACTV_18_Name&amp;" - "&amp;Lang_Detailed_Personnel_Cost_Assumptions</f>
        <v>SME Activity #3 (Not in Use) - Detailed Personnel Cost Assumptions</v>
      </c>
    </row>
    <row r="221" spans="1:10" ht="48" outlineLevel="1" x14ac:dyDescent="0.2">
      <c r="D221" s="55" t="str">
        <f>Lang_Personnel_Cadre_Type</f>
        <v>Personnel Cadre Type</v>
      </c>
      <c r="E221" s="85" t="str">
        <f>Lang_Activity_Unit_Day_Hour_Minute</f>
        <v>Activity Unit (e.g. Day, Hour, Minute)</v>
      </c>
      <c r="F221" s="85" t="str">
        <f>Lang_Number_Of_Activity_Units_Required</f>
        <v>Number of Activity Units Required</v>
      </c>
      <c r="G221" s="63" t="str">
        <f ca="1">SUPV_Lu!$D$102&amp;" "&amp;Lang_Cost_Per_Activity_Unit&amp;" ("&amp;OFFSET(SUPV_Lu!$D$81,DD_TOP_ACTV_18_Detailed_Currency_Used,0)&amp;")"</f>
        <v>Financial Cost per Activity Unit (USD)</v>
      </c>
      <c r="H221" s="63" t="str">
        <f ca="1">SUPV_Lu!$D$103&amp;" "&amp;Lang_Cost_Per_Activity_Unit&amp;" ("&amp;OFFSET(SUPV_Lu!$D$81,DD_TOP_ACTV_18_Detailed_Currency_Used,0)&amp;")"</f>
        <v>Economic Cost per Activity Unit (USD)</v>
      </c>
      <c r="I221" s="87" t="str">
        <f>Lang_Evidence_For_Using_This_Cost_Information_Source_Or_Notes</f>
        <v>Evidence for Using this Cost Information (source or notes)</v>
      </c>
    </row>
    <row r="222" spans="1:10" outlineLevel="1" x14ac:dyDescent="0.2">
      <c r="D222" s="62" t="s">
        <v>152</v>
      </c>
      <c r="E222" s="64"/>
      <c r="F222" s="19">
        <v>0</v>
      </c>
      <c r="G222" s="19">
        <v>0</v>
      </c>
      <c r="H222" s="19">
        <v>0</v>
      </c>
      <c r="I222" s="62" t="s">
        <v>162</v>
      </c>
      <c r="J222" s="42">
        <f t="shared" ref="J222:J236" si="8">IF(H222&lt;G222,1,0)</f>
        <v>0</v>
      </c>
    </row>
    <row r="223" spans="1:10" outlineLevel="1" x14ac:dyDescent="0.2">
      <c r="D223" s="62" t="s">
        <v>153</v>
      </c>
      <c r="E223" s="64"/>
      <c r="F223" s="19">
        <v>0</v>
      </c>
      <c r="G223" s="19">
        <v>0</v>
      </c>
      <c r="H223" s="19">
        <v>0</v>
      </c>
      <c r="I223" s="62" t="s">
        <v>162</v>
      </c>
      <c r="J223" s="42">
        <f t="shared" si="8"/>
        <v>0</v>
      </c>
    </row>
    <row r="224" spans="1:10" outlineLevel="1" x14ac:dyDescent="0.2">
      <c r="D224" s="62" t="s">
        <v>154</v>
      </c>
      <c r="E224" s="64"/>
      <c r="F224" s="19">
        <v>0</v>
      </c>
      <c r="G224" s="19">
        <v>0</v>
      </c>
      <c r="H224" s="19">
        <v>0</v>
      </c>
      <c r="I224" s="62" t="s">
        <v>162</v>
      </c>
      <c r="J224" s="42">
        <f t="shared" si="8"/>
        <v>0</v>
      </c>
    </row>
    <row r="225" spans="4:10" outlineLevel="1" x14ac:dyDescent="0.2">
      <c r="D225" s="62" t="s">
        <v>155</v>
      </c>
      <c r="E225" s="64"/>
      <c r="F225" s="19">
        <v>0</v>
      </c>
      <c r="G225" s="19">
        <v>0</v>
      </c>
      <c r="H225" s="19">
        <v>0</v>
      </c>
      <c r="I225" s="62" t="s">
        <v>162</v>
      </c>
      <c r="J225" s="42">
        <f t="shared" si="8"/>
        <v>0</v>
      </c>
    </row>
    <row r="226" spans="4:10" outlineLevel="1" x14ac:dyDescent="0.2">
      <c r="D226" s="62" t="s">
        <v>156</v>
      </c>
      <c r="E226" s="64"/>
      <c r="F226" s="19">
        <v>0</v>
      </c>
      <c r="G226" s="19">
        <v>0</v>
      </c>
      <c r="H226" s="19">
        <v>0</v>
      </c>
      <c r="I226" s="62" t="s">
        <v>162</v>
      </c>
      <c r="J226" s="42">
        <f t="shared" si="8"/>
        <v>0</v>
      </c>
    </row>
    <row r="227" spans="4:10" outlineLevel="1" x14ac:dyDescent="0.2">
      <c r="D227" s="62" t="s">
        <v>157</v>
      </c>
      <c r="E227" s="64"/>
      <c r="F227" s="19">
        <v>0</v>
      </c>
      <c r="G227" s="19">
        <v>0</v>
      </c>
      <c r="H227" s="19">
        <v>0</v>
      </c>
      <c r="I227" s="62" t="s">
        <v>162</v>
      </c>
      <c r="J227" s="42">
        <f t="shared" si="8"/>
        <v>0</v>
      </c>
    </row>
    <row r="228" spans="4:10" outlineLevel="1" x14ac:dyDescent="0.2">
      <c r="D228" s="62" t="s">
        <v>158</v>
      </c>
      <c r="E228" s="64"/>
      <c r="F228" s="19">
        <v>0</v>
      </c>
      <c r="G228" s="19">
        <v>0</v>
      </c>
      <c r="H228" s="19">
        <v>0</v>
      </c>
      <c r="I228" s="62" t="s">
        <v>162</v>
      </c>
      <c r="J228" s="42">
        <f t="shared" si="8"/>
        <v>0</v>
      </c>
    </row>
    <row r="229" spans="4:10" outlineLevel="1" x14ac:dyDescent="0.2">
      <c r="D229" s="62" t="s">
        <v>159</v>
      </c>
      <c r="E229" s="64"/>
      <c r="F229" s="19">
        <v>0</v>
      </c>
      <c r="G229" s="19">
        <v>0</v>
      </c>
      <c r="H229" s="19">
        <v>0</v>
      </c>
      <c r="I229" s="62" t="s">
        <v>162</v>
      </c>
      <c r="J229" s="42">
        <f t="shared" si="8"/>
        <v>0</v>
      </c>
    </row>
    <row r="230" spans="4:10" outlineLevel="1" x14ac:dyDescent="0.2">
      <c r="D230" s="62" t="s">
        <v>160</v>
      </c>
      <c r="E230" s="64"/>
      <c r="F230" s="19">
        <v>0</v>
      </c>
      <c r="G230" s="19">
        <v>0</v>
      </c>
      <c r="H230" s="19">
        <v>0</v>
      </c>
      <c r="I230" s="62" t="s">
        <v>162</v>
      </c>
      <c r="J230" s="42">
        <f t="shared" si="8"/>
        <v>0</v>
      </c>
    </row>
    <row r="231" spans="4:10" outlineLevel="1" x14ac:dyDescent="0.2">
      <c r="D231" s="62" t="s">
        <v>161</v>
      </c>
      <c r="E231" s="64"/>
      <c r="F231" s="19">
        <v>0</v>
      </c>
      <c r="G231" s="19">
        <v>0</v>
      </c>
      <c r="H231" s="19">
        <v>0</v>
      </c>
      <c r="I231" s="62" t="s">
        <v>162</v>
      </c>
      <c r="J231" s="42">
        <f t="shared" si="8"/>
        <v>0</v>
      </c>
    </row>
    <row r="232" spans="4:10" outlineLevel="1" x14ac:dyDescent="0.2">
      <c r="D232" s="62" t="s">
        <v>393</v>
      </c>
      <c r="E232" s="64"/>
      <c r="F232" s="19">
        <v>0</v>
      </c>
      <c r="G232" s="19">
        <v>0</v>
      </c>
      <c r="H232" s="19">
        <v>0</v>
      </c>
      <c r="I232" s="62" t="s">
        <v>162</v>
      </c>
      <c r="J232" s="42">
        <f t="shared" si="8"/>
        <v>0</v>
      </c>
    </row>
    <row r="233" spans="4:10" outlineLevel="1" x14ac:dyDescent="0.2">
      <c r="D233" s="62" t="s">
        <v>394</v>
      </c>
      <c r="E233" s="64"/>
      <c r="F233" s="19">
        <v>0</v>
      </c>
      <c r="G233" s="19">
        <v>0</v>
      </c>
      <c r="H233" s="19">
        <v>0</v>
      </c>
      <c r="I233" s="62" t="s">
        <v>162</v>
      </c>
      <c r="J233" s="42">
        <f t="shared" si="8"/>
        <v>0</v>
      </c>
    </row>
    <row r="234" spans="4:10" outlineLevel="1" x14ac:dyDescent="0.2">
      <c r="D234" s="62" t="s">
        <v>395</v>
      </c>
      <c r="E234" s="64"/>
      <c r="F234" s="19">
        <v>0</v>
      </c>
      <c r="G234" s="19">
        <v>0</v>
      </c>
      <c r="H234" s="19">
        <v>0</v>
      </c>
      <c r="I234" s="62" t="s">
        <v>162</v>
      </c>
      <c r="J234" s="42">
        <f t="shared" si="8"/>
        <v>0</v>
      </c>
    </row>
    <row r="235" spans="4:10" outlineLevel="1" x14ac:dyDescent="0.2">
      <c r="D235" s="62" t="s">
        <v>396</v>
      </c>
      <c r="E235" s="64"/>
      <c r="F235" s="19">
        <v>0</v>
      </c>
      <c r="G235" s="19">
        <v>0</v>
      </c>
      <c r="H235" s="19">
        <v>0</v>
      </c>
      <c r="I235" s="62" t="s">
        <v>162</v>
      </c>
      <c r="J235" s="42">
        <f t="shared" si="8"/>
        <v>0</v>
      </c>
    </row>
    <row r="236" spans="4:10" outlineLevel="1" x14ac:dyDescent="0.2">
      <c r="D236" s="62" t="s">
        <v>397</v>
      </c>
      <c r="E236" s="64"/>
      <c r="F236" s="19">
        <v>0</v>
      </c>
      <c r="G236" s="19">
        <v>0</v>
      </c>
      <c r="H236" s="19">
        <v>0</v>
      </c>
      <c r="I236" s="62" t="s">
        <v>162</v>
      </c>
      <c r="J236" s="42">
        <f t="shared" si="8"/>
        <v>0</v>
      </c>
    </row>
    <row r="237" spans="4:10" outlineLevel="1" x14ac:dyDescent="0.2">
      <c r="D237" s="55" t="str">
        <f>Lang_Error_Check_Flags_If_Input_Econ_Cost_Is_Less_Than_Fin_Cost</f>
        <v>ERROR CHECK (FLAGS IF INPUT ECONOMIC COST IS LESS THAN FINANCIAL COST)</v>
      </c>
      <c r="J237" s="43">
        <f>IF(ISERROR(SUM(J222:J236)),1,MIN(SUM(J222:J236),1))</f>
        <v>0</v>
      </c>
    </row>
    <row r="238" spans="4:10" outlineLevel="1" x14ac:dyDescent="0.2"/>
    <row r="239" spans="4:10" outlineLevel="1" x14ac:dyDescent="0.2">
      <c r="D239" s="47" t="str">
        <f>Lang_GoTo&amp;" "&amp;HL_TOP_ACTV_18_Personnel_Outputs</f>
        <v>Go to SME Activity #3 (Not in Use) Personnel - Outputs</v>
      </c>
    </row>
    <row r="241" spans="1:10" s="13" customFormat="1" x14ac:dyDescent="0.2">
      <c r="A241" s="6" t="s">
        <v>127</v>
      </c>
      <c r="B241" s="13" t="str">
        <f>C243</f>
        <v>SME Activity #3 (Not in Use) - Detailed Allowance Cost Assumptions</v>
      </c>
    </row>
    <row r="242" spans="1:10" outlineLevel="1" x14ac:dyDescent="0.2"/>
    <row r="243" spans="1:10" outlineLevel="1" x14ac:dyDescent="0.2">
      <c r="C243" s="18" t="str">
        <f>HL_TOP_ACTV_18_Name&amp;" - "&amp;Lang_Detailed_Allowance_Cost_Assumptions</f>
        <v>SME Activity #3 (Not in Use) - Detailed Allowance Cost Assumptions</v>
      </c>
    </row>
    <row r="244" spans="1:10" ht="48" outlineLevel="1" x14ac:dyDescent="0.2">
      <c r="D244" s="55" t="str">
        <f>Lang_Allowance_Type</f>
        <v>Allowance Type</v>
      </c>
      <c r="E244" s="85" t="str">
        <f>Lang_Allowance_Unit_Per_Day_Round_Trip_Travel</f>
        <v>Allowance Unit (e.g. Per Day, Round-trip Travel,etc.)</v>
      </c>
      <c r="F244" s="85" t="str">
        <f>Lang_Number_Of_Allowance_Units_Required</f>
        <v>Number of Allowance Units Required</v>
      </c>
      <c r="G244" s="63" t="str">
        <f ca="1">SUPV_Lu!$D$102&amp;" "&amp;Lang_Cost_Per_Activity_Unit&amp;" ("&amp;OFFSET(SUPV_Lu!$D$81,DD_TOP_ACTV_18_Detailed_Currency_Used,0)&amp;")"</f>
        <v>Financial Cost per Activity Unit (USD)</v>
      </c>
      <c r="H244" s="63" t="str">
        <f ca="1">SUPV_Lu!$D$103&amp;" "&amp;Lang_Cost_Per_Activity_Unit&amp;" ("&amp;OFFSET(SUPV_Lu!$D$81,DD_TOP_ACTV_18_Detailed_Currency_Used,0)&amp;")"</f>
        <v>Economic Cost per Activity Unit (USD)</v>
      </c>
      <c r="I244" s="87" t="str">
        <f>Lang_Evidence_For_Using_This_Cost_Information_Source_Or_Notes</f>
        <v>Evidence for Using this Cost Information (source or notes)</v>
      </c>
    </row>
    <row r="245" spans="1:10" outlineLevel="1" x14ac:dyDescent="0.2">
      <c r="D245" s="62" t="s">
        <v>163</v>
      </c>
      <c r="E245" s="64"/>
      <c r="F245" s="19">
        <v>0</v>
      </c>
      <c r="G245" s="19">
        <v>0</v>
      </c>
      <c r="H245" s="19">
        <v>0</v>
      </c>
      <c r="I245" s="62" t="s">
        <v>162</v>
      </c>
      <c r="J245" s="42">
        <f t="shared" ref="J245:J254" si="9">IF(H245&lt;G245,1,0)</f>
        <v>0</v>
      </c>
    </row>
    <row r="246" spans="1:10" outlineLevel="1" x14ac:dyDescent="0.2">
      <c r="D246" s="62" t="s">
        <v>164</v>
      </c>
      <c r="E246" s="64"/>
      <c r="F246" s="19">
        <v>0</v>
      </c>
      <c r="G246" s="19">
        <v>0</v>
      </c>
      <c r="H246" s="19">
        <v>0</v>
      </c>
      <c r="I246" s="62" t="s">
        <v>162</v>
      </c>
      <c r="J246" s="42">
        <f t="shared" si="9"/>
        <v>0</v>
      </c>
    </row>
    <row r="247" spans="1:10" outlineLevel="1" x14ac:dyDescent="0.2">
      <c r="D247" s="62" t="s">
        <v>165</v>
      </c>
      <c r="E247" s="64"/>
      <c r="F247" s="19">
        <v>0</v>
      </c>
      <c r="G247" s="19">
        <v>0</v>
      </c>
      <c r="H247" s="19">
        <v>0</v>
      </c>
      <c r="I247" s="62" t="s">
        <v>162</v>
      </c>
      <c r="J247" s="42">
        <f t="shared" si="9"/>
        <v>0</v>
      </c>
    </row>
    <row r="248" spans="1:10" outlineLevel="1" x14ac:dyDescent="0.2">
      <c r="D248" s="62" t="s">
        <v>166</v>
      </c>
      <c r="E248" s="64"/>
      <c r="F248" s="19">
        <v>0</v>
      </c>
      <c r="G248" s="19">
        <v>0</v>
      </c>
      <c r="H248" s="19">
        <v>0</v>
      </c>
      <c r="I248" s="62" t="s">
        <v>162</v>
      </c>
      <c r="J248" s="42">
        <f t="shared" si="9"/>
        <v>0</v>
      </c>
    </row>
    <row r="249" spans="1:10" outlineLevel="1" x14ac:dyDescent="0.2">
      <c r="D249" s="62" t="s">
        <v>167</v>
      </c>
      <c r="E249" s="64"/>
      <c r="F249" s="19">
        <v>0</v>
      </c>
      <c r="G249" s="19">
        <v>0</v>
      </c>
      <c r="H249" s="19">
        <v>0</v>
      </c>
      <c r="I249" s="62" t="s">
        <v>162</v>
      </c>
      <c r="J249" s="42">
        <f t="shared" si="9"/>
        <v>0</v>
      </c>
    </row>
    <row r="250" spans="1:10" outlineLevel="1" x14ac:dyDescent="0.2">
      <c r="D250" s="62" t="s">
        <v>168</v>
      </c>
      <c r="E250" s="64"/>
      <c r="F250" s="19">
        <v>0</v>
      </c>
      <c r="G250" s="19">
        <v>0</v>
      </c>
      <c r="H250" s="19">
        <v>0</v>
      </c>
      <c r="I250" s="62" t="s">
        <v>162</v>
      </c>
      <c r="J250" s="42">
        <f t="shared" si="9"/>
        <v>0</v>
      </c>
    </row>
    <row r="251" spans="1:10" outlineLevel="1" x14ac:dyDescent="0.2">
      <c r="D251" s="62" t="s">
        <v>169</v>
      </c>
      <c r="E251" s="64"/>
      <c r="F251" s="19">
        <v>0</v>
      </c>
      <c r="G251" s="19">
        <v>0</v>
      </c>
      <c r="H251" s="19">
        <v>0</v>
      </c>
      <c r="I251" s="62" t="s">
        <v>162</v>
      </c>
      <c r="J251" s="42">
        <f t="shared" si="9"/>
        <v>0</v>
      </c>
    </row>
    <row r="252" spans="1:10" outlineLevel="1" x14ac:dyDescent="0.2">
      <c r="D252" s="62" t="s">
        <v>170</v>
      </c>
      <c r="E252" s="64"/>
      <c r="F252" s="19">
        <v>0</v>
      </c>
      <c r="G252" s="19">
        <v>0</v>
      </c>
      <c r="H252" s="19">
        <v>0</v>
      </c>
      <c r="I252" s="62" t="s">
        <v>162</v>
      </c>
      <c r="J252" s="42">
        <f t="shared" si="9"/>
        <v>0</v>
      </c>
    </row>
    <row r="253" spans="1:10" outlineLevel="1" x14ac:dyDescent="0.2">
      <c r="D253" s="62" t="s">
        <v>171</v>
      </c>
      <c r="E253" s="64"/>
      <c r="F253" s="19">
        <v>0</v>
      </c>
      <c r="G253" s="19">
        <v>0</v>
      </c>
      <c r="H253" s="19">
        <v>0</v>
      </c>
      <c r="I253" s="62" t="s">
        <v>162</v>
      </c>
      <c r="J253" s="42">
        <f t="shared" si="9"/>
        <v>0</v>
      </c>
    </row>
    <row r="254" spans="1:10" outlineLevel="1" x14ac:dyDescent="0.2">
      <c r="D254" s="62" t="s">
        <v>172</v>
      </c>
      <c r="E254" s="64"/>
      <c r="F254" s="19">
        <v>0</v>
      </c>
      <c r="G254" s="19">
        <v>0</v>
      </c>
      <c r="H254" s="19">
        <v>0</v>
      </c>
      <c r="I254" s="62" t="s">
        <v>162</v>
      </c>
      <c r="J254" s="42">
        <f t="shared" si="9"/>
        <v>0</v>
      </c>
    </row>
    <row r="255" spans="1:10" outlineLevel="1" x14ac:dyDescent="0.2">
      <c r="D255" s="55" t="str">
        <f>Lang_Error_Check_Flags_If_Input_Econ_Cost_Is_Less_Than_Fin_Cost</f>
        <v>ERROR CHECK (FLAGS IF INPUT ECONOMIC COST IS LESS THAN FINANCIAL COST)</v>
      </c>
      <c r="J255" s="43">
        <f>IF(ISERROR(SUM(J245:J254)),1,MIN(SUM(J245:J254),1))</f>
        <v>0</v>
      </c>
    </row>
    <row r="256" spans="1:10" outlineLevel="1" x14ac:dyDescent="0.2"/>
    <row r="257" spans="1:10" outlineLevel="1" x14ac:dyDescent="0.2">
      <c r="D257" s="47" t="str">
        <f>Lang_GoTo&amp;" "&amp;HL_TOP_ACTV_18_Out_A</f>
        <v>Go to SME Activity #3 (Not in Use) Allowances - Outputs</v>
      </c>
    </row>
    <row r="259" spans="1:10" s="13" customFormat="1" x14ac:dyDescent="0.2">
      <c r="A259" s="6" t="s">
        <v>127</v>
      </c>
      <c r="B259" s="13" t="str">
        <f>C261</f>
        <v>SME Activity #3 (Not in Use) - Detailed Supply and Material Cost Assumptions</v>
      </c>
    </row>
    <row r="260" spans="1:10" outlineLevel="1" x14ac:dyDescent="0.2"/>
    <row r="261" spans="1:10" outlineLevel="1" x14ac:dyDescent="0.2">
      <c r="C261" s="18" t="str">
        <f>HL_TOP_ACTV_18_Name&amp;" - "&amp;Lang_Detailed_Supply_And_Material_Cost_Assumptions</f>
        <v>SME Activity #3 (Not in Use) - Detailed Supply and Material Cost Assumptions</v>
      </c>
    </row>
    <row r="262" spans="1:10" ht="48" outlineLevel="1" x14ac:dyDescent="0.2">
      <c r="D262" s="55" t="str">
        <f>Lang_Supply_Type</f>
        <v>Supply Type</v>
      </c>
      <c r="E262" s="85" t="str">
        <f>Lang_Supply_Unit_Each_Dozen_100_Pack</f>
        <v>Supply Unit (e.g. Each, Dozen, 100-pack,etc.)</v>
      </c>
      <c r="F262" s="85" t="str">
        <f>Lang_Number_Of_Supply_Units_Required</f>
        <v>Number of Supply Units Required</v>
      </c>
      <c r="G262" s="63" t="str">
        <f ca="1">SUPV_Lu!$D$102&amp;" "&amp;Lang_Cost_Per_Activity_Unit&amp;" ("&amp;OFFSET(SUPV_Lu!$D$81,DD_TOP_ACTV_18_Detailed_Currency_Used,0)&amp;")"</f>
        <v>Financial Cost per Activity Unit (USD)</v>
      </c>
      <c r="H262" s="63" t="str">
        <f ca="1">SUPV_Lu!$D$103&amp;" "&amp;Lang_Cost_Per_Activity_Unit&amp;" ("&amp;OFFSET(SUPV_Lu!$D$81,DD_TOP_ACTV_18_Detailed_Currency_Used,0)&amp;")"</f>
        <v>Economic Cost per Activity Unit (USD)</v>
      </c>
      <c r="I262" s="87" t="str">
        <f>Lang_Evidence_For_Using_This_Cost_Information_Source_Or_Notes</f>
        <v>Evidence for Using this Cost Information (source or notes)</v>
      </c>
    </row>
    <row r="263" spans="1:10" outlineLevel="1" x14ac:dyDescent="0.2">
      <c r="D263" s="62" t="s">
        <v>173</v>
      </c>
      <c r="E263" s="64"/>
      <c r="F263" s="19">
        <v>0</v>
      </c>
      <c r="G263" s="19">
        <v>0</v>
      </c>
      <c r="H263" s="19">
        <v>0</v>
      </c>
      <c r="I263" s="62" t="s">
        <v>162</v>
      </c>
      <c r="J263" s="42">
        <f t="shared" ref="J263:J272" si="10">IF(H263&lt;G263,1,0)</f>
        <v>0</v>
      </c>
    </row>
    <row r="264" spans="1:10" outlineLevel="1" x14ac:dyDescent="0.2">
      <c r="D264" s="62" t="s">
        <v>174</v>
      </c>
      <c r="E264" s="64"/>
      <c r="F264" s="19">
        <v>0</v>
      </c>
      <c r="G264" s="19">
        <v>0</v>
      </c>
      <c r="H264" s="19">
        <v>0</v>
      </c>
      <c r="I264" s="62" t="s">
        <v>162</v>
      </c>
      <c r="J264" s="42">
        <f t="shared" si="10"/>
        <v>0</v>
      </c>
    </row>
    <row r="265" spans="1:10" outlineLevel="1" x14ac:dyDescent="0.2">
      <c r="D265" s="62" t="s">
        <v>175</v>
      </c>
      <c r="E265" s="64"/>
      <c r="F265" s="19">
        <v>0</v>
      </c>
      <c r="G265" s="19">
        <v>0</v>
      </c>
      <c r="H265" s="19">
        <v>0</v>
      </c>
      <c r="I265" s="62" t="s">
        <v>162</v>
      </c>
      <c r="J265" s="42">
        <f t="shared" si="10"/>
        <v>0</v>
      </c>
    </row>
    <row r="266" spans="1:10" outlineLevel="1" x14ac:dyDescent="0.2">
      <c r="D266" s="62" t="s">
        <v>176</v>
      </c>
      <c r="E266" s="64"/>
      <c r="F266" s="19">
        <v>0</v>
      </c>
      <c r="G266" s="19">
        <v>0</v>
      </c>
      <c r="H266" s="19">
        <v>0</v>
      </c>
      <c r="I266" s="62" t="s">
        <v>162</v>
      </c>
      <c r="J266" s="42">
        <f t="shared" si="10"/>
        <v>0</v>
      </c>
    </row>
    <row r="267" spans="1:10" outlineLevel="1" x14ac:dyDescent="0.2">
      <c r="D267" s="62" t="s">
        <v>177</v>
      </c>
      <c r="E267" s="64"/>
      <c r="F267" s="19">
        <v>0</v>
      </c>
      <c r="G267" s="19">
        <v>0</v>
      </c>
      <c r="H267" s="19">
        <v>0</v>
      </c>
      <c r="I267" s="62" t="s">
        <v>162</v>
      </c>
      <c r="J267" s="42">
        <f t="shared" si="10"/>
        <v>0</v>
      </c>
    </row>
    <row r="268" spans="1:10" outlineLevel="1" x14ac:dyDescent="0.2">
      <c r="D268" s="62" t="s">
        <v>178</v>
      </c>
      <c r="E268" s="64"/>
      <c r="F268" s="19">
        <v>0</v>
      </c>
      <c r="G268" s="19">
        <v>0</v>
      </c>
      <c r="H268" s="19">
        <v>0</v>
      </c>
      <c r="I268" s="62" t="s">
        <v>162</v>
      </c>
      <c r="J268" s="42">
        <f t="shared" si="10"/>
        <v>0</v>
      </c>
    </row>
    <row r="269" spans="1:10" outlineLevel="1" x14ac:dyDescent="0.2">
      <c r="D269" s="62" t="s">
        <v>179</v>
      </c>
      <c r="E269" s="64"/>
      <c r="F269" s="19">
        <v>0</v>
      </c>
      <c r="G269" s="19">
        <v>0</v>
      </c>
      <c r="H269" s="19">
        <v>0</v>
      </c>
      <c r="I269" s="62" t="s">
        <v>162</v>
      </c>
      <c r="J269" s="42">
        <f t="shared" si="10"/>
        <v>0</v>
      </c>
    </row>
    <row r="270" spans="1:10" outlineLevel="1" x14ac:dyDescent="0.2">
      <c r="D270" s="62" t="s">
        <v>180</v>
      </c>
      <c r="E270" s="64"/>
      <c r="F270" s="19">
        <v>0</v>
      </c>
      <c r="G270" s="19">
        <v>0</v>
      </c>
      <c r="H270" s="19">
        <v>0</v>
      </c>
      <c r="I270" s="62" t="s">
        <v>162</v>
      </c>
      <c r="J270" s="42">
        <f t="shared" si="10"/>
        <v>0</v>
      </c>
    </row>
    <row r="271" spans="1:10" outlineLevel="1" x14ac:dyDescent="0.2">
      <c r="D271" s="62" t="s">
        <v>181</v>
      </c>
      <c r="E271" s="64"/>
      <c r="F271" s="19">
        <v>0</v>
      </c>
      <c r="G271" s="19">
        <v>0</v>
      </c>
      <c r="H271" s="19">
        <v>0</v>
      </c>
      <c r="I271" s="62" t="s">
        <v>162</v>
      </c>
      <c r="J271" s="42">
        <f t="shared" si="10"/>
        <v>0</v>
      </c>
    </row>
    <row r="272" spans="1:10" outlineLevel="1" x14ac:dyDescent="0.2">
      <c r="D272" s="62" t="s">
        <v>182</v>
      </c>
      <c r="E272" s="64"/>
      <c r="F272" s="19">
        <v>0</v>
      </c>
      <c r="G272" s="19">
        <v>0</v>
      </c>
      <c r="H272" s="19">
        <v>0</v>
      </c>
      <c r="I272" s="62" t="s">
        <v>162</v>
      </c>
      <c r="J272" s="42">
        <f t="shared" si="10"/>
        <v>0</v>
      </c>
    </row>
    <row r="273" spans="1:10" outlineLevel="1" x14ac:dyDescent="0.2">
      <c r="D273" s="55" t="str">
        <f>Lang_Error_Check_Flags_If_Input_Econ_Cost_Is_Less_Than_Fin_Cost</f>
        <v>ERROR CHECK (FLAGS IF INPUT ECONOMIC COST IS LESS THAN FINANCIAL COST)</v>
      </c>
      <c r="J273" s="43">
        <f>IF(ISERROR(SUM(J263:J272)),1,MIN(SUM(J263:J272),1))</f>
        <v>0</v>
      </c>
    </row>
    <row r="274" spans="1:10" outlineLevel="1" x14ac:dyDescent="0.2"/>
    <row r="275" spans="1:10" outlineLevel="1" x14ac:dyDescent="0.2">
      <c r="D275" s="47" t="str">
        <f>Lang_GoTo&amp;" "&amp;HL_TOP_ACTV_18_Supplies_and_Materials_Outputs</f>
        <v>Go to SME Activity #3 (Not in Use) Supplies and Materials - Outputs</v>
      </c>
    </row>
    <row r="277" spans="1:10" s="13" customFormat="1" x14ac:dyDescent="0.2">
      <c r="A277" s="6" t="s">
        <v>127</v>
      </c>
      <c r="B277" s="13" t="str">
        <f>C279</f>
        <v>SME Activity #3 (Not in Use) - Detailed Other Direct Cost Assumptions</v>
      </c>
    </row>
    <row r="278" spans="1:10" outlineLevel="1" x14ac:dyDescent="0.2"/>
    <row r="279" spans="1:10" outlineLevel="1" x14ac:dyDescent="0.2">
      <c r="C279" s="18" t="str">
        <f>HL_TOP_ACTV_18_Name&amp;" - "&amp;Lang_Detailed_Other_Direct_Cost_Assumptions</f>
        <v>SME Activity #3 (Not in Use) - Detailed Other Direct Cost Assumptions</v>
      </c>
    </row>
    <row r="280" spans="1:10" ht="48" outlineLevel="1" x14ac:dyDescent="0.2">
      <c r="D280" s="55" t="str">
        <f>Lang_Other_Direct_Cost_ODC_Type</f>
        <v>Other Direct Cost (ODC) Type</v>
      </c>
      <c r="E280" s="85" t="str">
        <f>Lang_ODC_Unit_Each_Dozen_100_Pack</f>
        <v>ODC Unit (e.g. Each, Dozen, 100-pack,etc.)</v>
      </c>
      <c r="F280" s="85" t="str">
        <f>Lang_Number_Of_ODC_Units_Required</f>
        <v>Number of ODC Units Required</v>
      </c>
      <c r="G280" s="63" t="str">
        <f ca="1">SUPV_Lu!$D$102&amp;" "&amp;Lang_Cost_Per_Activity_Unit&amp;" ("&amp;OFFSET(SUPV_Lu!$D$81,DD_TOP_ACTV_18_Detailed_Currency_Used,0)&amp;")"</f>
        <v>Financial Cost per Activity Unit (USD)</v>
      </c>
      <c r="H280" s="63" t="str">
        <f ca="1">SUPV_Lu!$D$103&amp;" "&amp;Lang_Cost_Per_Activity_Unit&amp;" ("&amp;OFFSET(SUPV_Lu!$D$81,DD_TOP_ACTV_18_Detailed_Currency_Used,0)&amp;")"</f>
        <v>Economic Cost per Activity Unit (USD)</v>
      </c>
      <c r="I280" s="87" t="str">
        <f>Lang_Evidence_For_Using_This_Cost_Information_Source_Or_Notes</f>
        <v>Evidence for Using this Cost Information (source or notes)</v>
      </c>
    </row>
    <row r="281" spans="1:10" outlineLevel="1" x14ac:dyDescent="0.2">
      <c r="D281" s="62" t="s">
        <v>183</v>
      </c>
      <c r="E281" s="64"/>
      <c r="F281" s="19">
        <v>0</v>
      </c>
      <c r="G281" s="19">
        <v>0</v>
      </c>
      <c r="H281" s="19">
        <v>0</v>
      </c>
      <c r="I281" s="62" t="s">
        <v>162</v>
      </c>
      <c r="J281" s="42">
        <f t="shared" ref="J281:J290" si="11">IF(H281&lt;G281,1,0)</f>
        <v>0</v>
      </c>
    </row>
    <row r="282" spans="1:10" outlineLevel="1" x14ac:dyDescent="0.2">
      <c r="D282" s="62" t="s">
        <v>184</v>
      </c>
      <c r="E282" s="64"/>
      <c r="F282" s="19">
        <v>0</v>
      </c>
      <c r="G282" s="19">
        <v>0</v>
      </c>
      <c r="H282" s="19">
        <v>0</v>
      </c>
      <c r="I282" s="62" t="s">
        <v>162</v>
      </c>
      <c r="J282" s="42">
        <f t="shared" si="11"/>
        <v>0</v>
      </c>
    </row>
    <row r="283" spans="1:10" outlineLevel="1" x14ac:dyDescent="0.2">
      <c r="D283" s="62" t="s">
        <v>185</v>
      </c>
      <c r="E283" s="64"/>
      <c r="F283" s="19">
        <v>0</v>
      </c>
      <c r="G283" s="19">
        <v>0</v>
      </c>
      <c r="H283" s="19">
        <v>0</v>
      </c>
      <c r="I283" s="62" t="s">
        <v>162</v>
      </c>
      <c r="J283" s="42">
        <f t="shared" si="11"/>
        <v>0</v>
      </c>
    </row>
    <row r="284" spans="1:10" outlineLevel="1" x14ac:dyDescent="0.2">
      <c r="D284" s="62" t="s">
        <v>186</v>
      </c>
      <c r="E284" s="64"/>
      <c r="F284" s="19">
        <v>0</v>
      </c>
      <c r="G284" s="19">
        <v>0</v>
      </c>
      <c r="H284" s="19">
        <v>0</v>
      </c>
      <c r="I284" s="62" t="s">
        <v>162</v>
      </c>
      <c r="J284" s="42">
        <f t="shared" si="11"/>
        <v>0</v>
      </c>
    </row>
    <row r="285" spans="1:10" outlineLevel="1" x14ac:dyDescent="0.2">
      <c r="D285" s="62" t="s">
        <v>187</v>
      </c>
      <c r="E285" s="64"/>
      <c r="F285" s="19">
        <v>0</v>
      </c>
      <c r="G285" s="19">
        <v>0</v>
      </c>
      <c r="H285" s="19">
        <v>0</v>
      </c>
      <c r="I285" s="62" t="s">
        <v>162</v>
      </c>
      <c r="J285" s="42">
        <f t="shared" si="11"/>
        <v>0</v>
      </c>
    </row>
    <row r="286" spans="1:10" outlineLevel="1" x14ac:dyDescent="0.2">
      <c r="D286" s="62" t="s">
        <v>188</v>
      </c>
      <c r="E286" s="64"/>
      <c r="F286" s="19">
        <v>0</v>
      </c>
      <c r="G286" s="19">
        <v>0</v>
      </c>
      <c r="H286" s="19">
        <v>0</v>
      </c>
      <c r="I286" s="62" t="s">
        <v>162</v>
      </c>
      <c r="J286" s="42">
        <f t="shared" si="11"/>
        <v>0</v>
      </c>
    </row>
    <row r="287" spans="1:10" outlineLevel="1" x14ac:dyDescent="0.2">
      <c r="D287" s="62" t="s">
        <v>189</v>
      </c>
      <c r="E287" s="64"/>
      <c r="F287" s="19">
        <v>0</v>
      </c>
      <c r="G287" s="19">
        <v>0</v>
      </c>
      <c r="H287" s="19">
        <v>0</v>
      </c>
      <c r="I287" s="62" t="s">
        <v>162</v>
      </c>
      <c r="J287" s="42">
        <f t="shared" si="11"/>
        <v>0</v>
      </c>
    </row>
    <row r="288" spans="1:10" outlineLevel="1" x14ac:dyDescent="0.2">
      <c r="D288" s="62" t="s">
        <v>190</v>
      </c>
      <c r="E288" s="64"/>
      <c r="F288" s="19">
        <v>0</v>
      </c>
      <c r="G288" s="19">
        <v>0</v>
      </c>
      <c r="H288" s="19">
        <v>0</v>
      </c>
      <c r="I288" s="62" t="s">
        <v>162</v>
      </c>
      <c r="J288" s="42">
        <f t="shared" si="11"/>
        <v>0</v>
      </c>
    </row>
    <row r="289" spans="1:10" outlineLevel="1" x14ac:dyDescent="0.2">
      <c r="D289" s="62" t="s">
        <v>191</v>
      </c>
      <c r="E289" s="64"/>
      <c r="F289" s="19">
        <v>0</v>
      </c>
      <c r="G289" s="19">
        <v>0</v>
      </c>
      <c r="H289" s="19">
        <v>0</v>
      </c>
      <c r="I289" s="62" t="s">
        <v>162</v>
      </c>
      <c r="J289" s="42">
        <f t="shared" si="11"/>
        <v>0</v>
      </c>
    </row>
    <row r="290" spans="1:10" outlineLevel="1" x14ac:dyDescent="0.2">
      <c r="D290" s="62" t="s">
        <v>192</v>
      </c>
      <c r="E290" s="64"/>
      <c r="F290" s="19">
        <v>0</v>
      </c>
      <c r="G290" s="19">
        <v>0</v>
      </c>
      <c r="H290" s="19">
        <v>0</v>
      </c>
      <c r="I290" s="62" t="s">
        <v>162</v>
      </c>
      <c r="J290" s="42">
        <f t="shared" si="11"/>
        <v>0</v>
      </c>
    </row>
    <row r="291" spans="1:10" outlineLevel="1" x14ac:dyDescent="0.2">
      <c r="D291" s="55" t="str">
        <f>Lang_Error_Check_Flags_If_Input_Econ_Cost_Is_Less_Than_Fin_Cost</f>
        <v>ERROR CHECK (FLAGS IF INPUT ECONOMIC COST IS LESS THAN FINANCIAL COST)</v>
      </c>
      <c r="J291" s="43">
        <f>IF(ISERROR(SUM(J281:J290)),1,MIN(SUM(J281:J290),1))</f>
        <v>0</v>
      </c>
    </row>
    <row r="292" spans="1:10" outlineLevel="1" x14ac:dyDescent="0.2"/>
    <row r="293" spans="1:10" outlineLevel="1" x14ac:dyDescent="0.2">
      <c r="D293" s="47" t="str">
        <f>Lang_GoTo&amp;" "&amp;HL_TOP_ACTV_18_Other_Direct_Costs_Outputs</f>
        <v>Go to SME Activity #3 (Not in Use) Other Direct Costs - Outputs</v>
      </c>
    </row>
    <row r="294" spans="1:10" s="10" customFormat="1" x14ac:dyDescent="0.2"/>
    <row r="295" spans="1:10" s="13" customFormat="1" x14ac:dyDescent="0.2">
      <c r="A295" s="12" t="s">
        <v>125</v>
      </c>
      <c r="B295" s="13" t="str">
        <f>C297</f>
        <v>SME Activity #4 (Not in Use) -  Detailed Activity Costing Worksheet - Instructions</v>
      </c>
    </row>
    <row r="296" spans="1:10" s="10" customFormat="1" outlineLevel="1" x14ac:dyDescent="0.2"/>
    <row r="297" spans="1:10" s="10" customFormat="1" outlineLevel="1" x14ac:dyDescent="0.2">
      <c r="C297" s="71" t="str">
        <f>HL_TOP_ACTV_8_Name&amp;" -  "&amp;Lang_Detailed_Activity_Costing_Worksheet_Instructions</f>
        <v>SME Activity #4 (Not in Use) -  Detailed Activity Costing Worksheet - Instructions</v>
      </c>
    </row>
    <row r="298" spans="1:10" s="10" customFormat="1" outlineLevel="1" x14ac:dyDescent="0.2"/>
    <row r="299" spans="1:10" s="10" customFormat="1" outlineLevel="1" x14ac:dyDescent="0.2">
      <c r="D299" s="50" t="str">
        <f>Lang_Detailed_Costing_Worksheets_Notes_1</f>
        <v>This detailed costing worksheet can be used to document the types and amounts of resources required to complete a single instance of an activity.</v>
      </c>
    </row>
    <row r="300" spans="1:10" s="10" customFormat="1" outlineLevel="1" x14ac:dyDescent="0.2">
      <c r="D300" s="50" t="str">
        <f>Lang_Detailed_Costing_Worksheets_Notes_2</f>
        <v>When completed, it will automatically provide a single activity cost in the general assumption worksheet.</v>
      </c>
    </row>
    <row r="301" spans="1:10" s="10" customFormat="1" outlineLevel="1" x14ac:dyDescent="0.2">
      <c r="D301" s="50" t="str">
        <f>Lang_Detailed_Costing_Worksheets_Notes_3</f>
        <v>The user may then choose to use the results of the detailed costing in the model, or override the detailed costing and insert alternate cost estimates.</v>
      </c>
    </row>
    <row r="303" spans="1:10" s="13" customFormat="1" x14ac:dyDescent="0.2">
      <c r="A303" s="6" t="s">
        <v>125</v>
      </c>
      <c r="B303" s="13" t="str">
        <f>C305</f>
        <v>SME Activity #4 (Not in Use) - Detailed Activity Costing Worksheet - Currency Selection</v>
      </c>
    </row>
    <row r="304" spans="1:10" outlineLevel="1" x14ac:dyDescent="0.2"/>
    <row r="305" spans="1:10" outlineLevel="1" x14ac:dyDescent="0.2">
      <c r="C305" s="18" t="str">
        <f>HL_TOP_ACTV_8_Name&amp;" - "&amp;Lang_Detailed_Activity_Costing_Worksheet_Currency_Selection</f>
        <v>SME Activity #4 (Not in Use) - Detailed Activity Costing Worksheet - Currency Selection</v>
      </c>
    </row>
    <row r="306" spans="1:10" outlineLevel="1" x14ac:dyDescent="0.2">
      <c r="D306" s="55" t="str">
        <f>Lang_Currency_Used_For_Cost_Inputs</f>
        <v>Currency Used for Cost Inputs</v>
      </c>
      <c r="E306" s="22">
        <v>1</v>
      </c>
    </row>
    <row r="307" spans="1:10" outlineLevel="1" x14ac:dyDescent="0.2"/>
    <row r="308" spans="1:10" outlineLevel="1" x14ac:dyDescent="0.2"/>
    <row r="309" spans="1:10" outlineLevel="1" x14ac:dyDescent="0.2">
      <c r="D309" s="54" t="str">
        <f>Lang_Imported_From_Econ_Module</f>
        <v>Imported from Econ Module</v>
      </c>
    </row>
    <row r="310" spans="1:10" outlineLevel="1" x14ac:dyDescent="0.2">
      <c r="D310" s="49" t="str">
        <f>ECONOMICS!F7</f>
        <v>USD</v>
      </c>
    </row>
    <row r="311" spans="1:10" outlineLevel="1" x14ac:dyDescent="0.2">
      <c r="D311" s="49" t="str">
        <f>ECONOMICS!F8</f>
        <v>LCU</v>
      </c>
    </row>
    <row r="312" spans="1:10" outlineLevel="1" x14ac:dyDescent="0.2"/>
    <row r="313" spans="1:10" outlineLevel="1" x14ac:dyDescent="0.2">
      <c r="D313" s="50" t="str">
        <f>Lang_Exchange_Rate_From_Econ</f>
        <v>Exchange Rate (from Economics)</v>
      </c>
      <c r="E313" s="41">
        <f>ECONOMICS!E13</f>
        <v>1234.5</v>
      </c>
    </row>
    <row r="315" spans="1:10" s="13" customFormat="1" x14ac:dyDescent="0.2">
      <c r="A315" s="6" t="s">
        <v>127</v>
      </c>
      <c r="B315" s="13" t="str">
        <f>C317</f>
        <v>SME Activity #4 (Not in Use) - Detailed Personnel Cost Assumptions</v>
      </c>
    </row>
    <row r="316" spans="1:10" outlineLevel="1" x14ac:dyDescent="0.2"/>
    <row r="317" spans="1:10" outlineLevel="1" x14ac:dyDescent="0.2">
      <c r="C317" s="18" t="str">
        <f>HL_TOP_ACTV_8_Name&amp;" - "&amp;Lang_Detailed_Personnel_Cost_Assumptions</f>
        <v>SME Activity #4 (Not in Use) - Detailed Personnel Cost Assumptions</v>
      </c>
    </row>
    <row r="318" spans="1:10" ht="48" outlineLevel="1" x14ac:dyDescent="0.2">
      <c r="D318" s="55" t="str">
        <f>Lang_Personnel_Cadre_Type</f>
        <v>Personnel Cadre Type</v>
      </c>
      <c r="E318" s="85" t="str">
        <f>Lang_Activity_Unit_Day_Hour_Minute</f>
        <v>Activity Unit (e.g. Day, Hour, Minute)</v>
      </c>
      <c r="F318" s="85" t="str">
        <f>Lang_Number_Of_Activity_Units_Required</f>
        <v>Number of Activity Units Required</v>
      </c>
      <c r="G318" s="63" t="str">
        <f ca="1">SUPV_Lu!$D$137&amp;" "&amp;Lang_Cost_Per_Activity_Unit&amp;" ("&amp;OFFSET(SUPV_Lu!$D$116,DD_TOP_ACTV_8_Detailed_Currency_Used,0)&amp;")"</f>
        <v>Financial Cost per Activity Unit (USD)</v>
      </c>
      <c r="H318" s="63" t="str">
        <f ca="1">SUPV_Lu!$D$138&amp;" "&amp;Lang_Cost_Per_Activity_Unit&amp;" ("&amp;OFFSET(SUPV_Lu!$D$116,DD_TOP_ACTV_8_Detailed_Currency_Used,0)&amp;")"</f>
        <v>Economic Cost per Activity Unit (USD)</v>
      </c>
      <c r="I318" s="87" t="str">
        <f>Lang_Evidence_For_Using_This_Cost_Information_Source_Or_Notes</f>
        <v>Evidence for Using this Cost Information (source or notes)</v>
      </c>
    </row>
    <row r="319" spans="1:10" outlineLevel="1" x14ac:dyDescent="0.2">
      <c r="D319" s="62" t="s">
        <v>152</v>
      </c>
      <c r="E319" s="64"/>
      <c r="F319" s="19">
        <v>0</v>
      </c>
      <c r="G319" s="19">
        <v>0</v>
      </c>
      <c r="H319" s="19">
        <v>0</v>
      </c>
      <c r="I319" s="62" t="s">
        <v>162</v>
      </c>
      <c r="J319" s="42">
        <f t="shared" ref="J319:J333" si="12">IF(H319&lt;G319,1,0)</f>
        <v>0</v>
      </c>
    </row>
    <row r="320" spans="1:10" outlineLevel="1" x14ac:dyDescent="0.2">
      <c r="D320" s="62" t="s">
        <v>153</v>
      </c>
      <c r="E320" s="64"/>
      <c r="F320" s="19">
        <v>0</v>
      </c>
      <c r="G320" s="19">
        <v>0</v>
      </c>
      <c r="H320" s="19">
        <v>0</v>
      </c>
      <c r="I320" s="62" t="s">
        <v>162</v>
      </c>
      <c r="J320" s="42">
        <f t="shared" si="12"/>
        <v>0</v>
      </c>
    </row>
    <row r="321" spans="4:10" outlineLevel="1" x14ac:dyDescent="0.2">
      <c r="D321" s="62" t="s">
        <v>154</v>
      </c>
      <c r="E321" s="64"/>
      <c r="F321" s="19">
        <v>0</v>
      </c>
      <c r="G321" s="19">
        <v>0</v>
      </c>
      <c r="H321" s="19">
        <v>0</v>
      </c>
      <c r="I321" s="62" t="s">
        <v>162</v>
      </c>
      <c r="J321" s="42">
        <f t="shared" si="12"/>
        <v>0</v>
      </c>
    </row>
    <row r="322" spans="4:10" outlineLevel="1" x14ac:dyDescent="0.2">
      <c r="D322" s="62" t="s">
        <v>155</v>
      </c>
      <c r="E322" s="64"/>
      <c r="F322" s="19">
        <v>0</v>
      </c>
      <c r="G322" s="19">
        <v>0</v>
      </c>
      <c r="H322" s="19">
        <v>0</v>
      </c>
      <c r="I322" s="62" t="s">
        <v>162</v>
      </c>
      <c r="J322" s="42">
        <f t="shared" si="12"/>
        <v>0</v>
      </c>
    </row>
    <row r="323" spans="4:10" outlineLevel="1" x14ac:dyDescent="0.2">
      <c r="D323" s="62" t="s">
        <v>156</v>
      </c>
      <c r="E323" s="64"/>
      <c r="F323" s="19">
        <v>0</v>
      </c>
      <c r="G323" s="19">
        <v>0</v>
      </c>
      <c r="H323" s="19">
        <v>0</v>
      </c>
      <c r="I323" s="62" t="s">
        <v>162</v>
      </c>
      <c r="J323" s="42">
        <f t="shared" si="12"/>
        <v>0</v>
      </c>
    </row>
    <row r="324" spans="4:10" outlineLevel="1" x14ac:dyDescent="0.2">
      <c r="D324" s="62" t="s">
        <v>157</v>
      </c>
      <c r="E324" s="64"/>
      <c r="F324" s="19">
        <v>0</v>
      </c>
      <c r="G324" s="19">
        <v>0</v>
      </c>
      <c r="H324" s="19">
        <v>0</v>
      </c>
      <c r="I324" s="62" t="s">
        <v>162</v>
      </c>
      <c r="J324" s="42">
        <f t="shared" si="12"/>
        <v>0</v>
      </c>
    </row>
    <row r="325" spans="4:10" outlineLevel="1" x14ac:dyDescent="0.2">
      <c r="D325" s="62" t="s">
        <v>158</v>
      </c>
      <c r="E325" s="64"/>
      <c r="F325" s="19">
        <v>0</v>
      </c>
      <c r="G325" s="19">
        <v>0</v>
      </c>
      <c r="H325" s="19">
        <v>0</v>
      </c>
      <c r="I325" s="62" t="s">
        <v>162</v>
      </c>
      <c r="J325" s="42">
        <f t="shared" si="12"/>
        <v>0</v>
      </c>
    </row>
    <row r="326" spans="4:10" outlineLevel="1" x14ac:dyDescent="0.2">
      <c r="D326" s="62" t="s">
        <v>159</v>
      </c>
      <c r="E326" s="64"/>
      <c r="F326" s="19">
        <v>0</v>
      </c>
      <c r="G326" s="19">
        <v>0</v>
      </c>
      <c r="H326" s="19">
        <v>0</v>
      </c>
      <c r="I326" s="62" t="s">
        <v>162</v>
      </c>
      <c r="J326" s="42">
        <f t="shared" si="12"/>
        <v>0</v>
      </c>
    </row>
    <row r="327" spans="4:10" outlineLevel="1" x14ac:dyDescent="0.2">
      <c r="D327" s="62" t="s">
        <v>160</v>
      </c>
      <c r="E327" s="64"/>
      <c r="F327" s="19">
        <v>0</v>
      </c>
      <c r="G327" s="19">
        <v>0</v>
      </c>
      <c r="H327" s="19">
        <v>0</v>
      </c>
      <c r="I327" s="62" t="s">
        <v>162</v>
      </c>
      <c r="J327" s="42">
        <f t="shared" si="12"/>
        <v>0</v>
      </c>
    </row>
    <row r="328" spans="4:10" outlineLevel="1" x14ac:dyDescent="0.2">
      <c r="D328" s="62" t="s">
        <v>161</v>
      </c>
      <c r="E328" s="64"/>
      <c r="F328" s="19">
        <v>0</v>
      </c>
      <c r="G328" s="19">
        <v>0</v>
      </c>
      <c r="H328" s="19">
        <v>0</v>
      </c>
      <c r="I328" s="62" t="s">
        <v>162</v>
      </c>
      <c r="J328" s="42">
        <f t="shared" si="12"/>
        <v>0</v>
      </c>
    </row>
    <row r="329" spans="4:10" outlineLevel="1" x14ac:dyDescent="0.2">
      <c r="D329" s="62" t="s">
        <v>393</v>
      </c>
      <c r="E329" s="64"/>
      <c r="F329" s="19">
        <v>0</v>
      </c>
      <c r="G329" s="19">
        <v>0</v>
      </c>
      <c r="H329" s="19">
        <v>0</v>
      </c>
      <c r="I329" s="62" t="s">
        <v>162</v>
      </c>
      <c r="J329" s="42">
        <f t="shared" si="12"/>
        <v>0</v>
      </c>
    </row>
    <row r="330" spans="4:10" outlineLevel="1" x14ac:dyDescent="0.2">
      <c r="D330" s="62" t="s">
        <v>394</v>
      </c>
      <c r="E330" s="64"/>
      <c r="F330" s="19">
        <v>0</v>
      </c>
      <c r="G330" s="19">
        <v>0</v>
      </c>
      <c r="H330" s="19">
        <v>0</v>
      </c>
      <c r="I330" s="62" t="s">
        <v>162</v>
      </c>
      <c r="J330" s="42">
        <f t="shared" si="12"/>
        <v>0</v>
      </c>
    </row>
    <row r="331" spans="4:10" outlineLevel="1" x14ac:dyDescent="0.2">
      <c r="D331" s="62" t="s">
        <v>395</v>
      </c>
      <c r="E331" s="64"/>
      <c r="F331" s="19">
        <v>0</v>
      </c>
      <c r="G331" s="19">
        <v>0</v>
      </c>
      <c r="H331" s="19">
        <v>0</v>
      </c>
      <c r="I331" s="62" t="s">
        <v>162</v>
      </c>
      <c r="J331" s="42">
        <f t="shared" si="12"/>
        <v>0</v>
      </c>
    </row>
    <row r="332" spans="4:10" outlineLevel="1" x14ac:dyDescent="0.2">
      <c r="D332" s="62" t="s">
        <v>396</v>
      </c>
      <c r="E332" s="64"/>
      <c r="F332" s="19">
        <v>0</v>
      </c>
      <c r="G332" s="19">
        <v>0</v>
      </c>
      <c r="H332" s="19">
        <v>0</v>
      </c>
      <c r="I332" s="62" t="s">
        <v>162</v>
      </c>
      <c r="J332" s="42">
        <f t="shared" si="12"/>
        <v>0</v>
      </c>
    </row>
    <row r="333" spans="4:10" outlineLevel="1" x14ac:dyDescent="0.2">
      <c r="D333" s="62" t="s">
        <v>397</v>
      </c>
      <c r="E333" s="64"/>
      <c r="F333" s="19">
        <v>0</v>
      </c>
      <c r="G333" s="19">
        <v>0</v>
      </c>
      <c r="H333" s="19">
        <v>0</v>
      </c>
      <c r="I333" s="62" t="s">
        <v>162</v>
      </c>
      <c r="J333" s="42">
        <f t="shared" si="12"/>
        <v>0</v>
      </c>
    </row>
    <row r="334" spans="4:10" outlineLevel="1" x14ac:dyDescent="0.2">
      <c r="D334" s="55" t="str">
        <f>Lang_Error_Check_Flags_If_Input_Econ_Cost_Is_Less_Than_Fin_Cost</f>
        <v>ERROR CHECK (FLAGS IF INPUT ECONOMIC COST IS LESS THAN FINANCIAL COST)</v>
      </c>
      <c r="J334" s="43">
        <f>IF(ISERROR(SUM(J319:J333)),1,MIN(SUM(J319:J333),1))</f>
        <v>0</v>
      </c>
    </row>
    <row r="335" spans="4:10" outlineLevel="1" x14ac:dyDescent="0.2"/>
    <row r="336" spans="4:10" outlineLevel="1" x14ac:dyDescent="0.2">
      <c r="D336" s="47" t="str">
        <f>Lang_GoTo&amp;" "&amp;HL_TOP_ACTV_8_Personnel_Outputs</f>
        <v>Go to SME Activity #4 (Not in Use) Personnel - Outputs</v>
      </c>
    </row>
    <row r="338" spans="1:10" s="13" customFormat="1" x14ac:dyDescent="0.2">
      <c r="A338" s="6" t="s">
        <v>127</v>
      </c>
      <c r="B338" s="13" t="str">
        <f>C340</f>
        <v>SME Activity #4 (Not in Use) - Detailed Allowance Cost Assumptions</v>
      </c>
    </row>
    <row r="339" spans="1:10" outlineLevel="1" x14ac:dyDescent="0.2"/>
    <row r="340" spans="1:10" outlineLevel="1" x14ac:dyDescent="0.2">
      <c r="C340" s="18" t="str">
        <f>HL_TOP_ACTV_8_Name&amp;" - "&amp;Lang_Detailed_Allowance_Cost_Assumptions</f>
        <v>SME Activity #4 (Not in Use) - Detailed Allowance Cost Assumptions</v>
      </c>
    </row>
    <row r="341" spans="1:10" ht="48" outlineLevel="1" x14ac:dyDescent="0.2">
      <c r="D341" s="55" t="str">
        <f>Lang_Allowance_Type</f>
        <v>Allowance Type</v>
      </c>
      <c r="E341" s="85" t="str">
        <f>Lang_Allowance_Unit_Per_Day_Round_Trip_Travel</f>
        <v>Allowance Unit (e.g. Per Day, Round-trip Travel,etc.)</v>
      </c>
      <c r="F341" s="85" t="str">
        <f>Lang_Number_Of_Allowance_Units_Required</f>
        <v>Number of Allowance Units Required</v>
      </c>
      <c r="G341" s="63" t="str">
        <f ca="1">SUPV_Lu!$D$137&amp;" "&amp;Lang_Cost_Per_Activity_Unit&amp;" ("&amp;OFFSET(SUPV_Lu!$D$116,DD_TOP_ACTV_8_Detailed_Currency_Used,0)&amp;")"</f>
        <v>Financial Cost per Activity Unit (USD)</v>
      </c>
      <c r="H341" s="63" t="str">
        <f ca="1">SUPV_Lu!$D$138&amp;" "&amp;Lang_Cost_Per_Activity_Unit&amp;" ("&amp;OFFSET(SUPV_Lu!$D$116,DD_TOP_ACTV_8_Detailed_Currency_Used,0)&amp;")"</f>
        <v>Economic Cost per Activity Unit (USD)</v>
      </c>
      <c r="I341" s="87" t="str">
        <f>Lang_Evidence_For_Using_This_Cost_Information_Source_Or_Notes</f>
        <v>Evidence for Using this Cost Information (source or notes)</v>
      </c>
    </row>
    <row r="342" spans="1:10" outlineLevel="1" x14ac:dyDescent="0.2">
      <c r="D342" s="62" t="s">
        <v>163</v>
      </c>
      <c r="E342" s="64"/>
      <c r="F342" s="19">
        <v>0</v>
      </c>
      <c r="G342" s="19">
        <v>0</v>
      </c>
      <c r="H342" s="19">
        <v>0</v>
      </c>
      <c r="I342" s="62" t="s">
        <v>162</v>
      </c>
      <c r="J342" s="42">
        <f t="shared" ref="J342:J351" si="13">IF(H342&lt;G342,1,0)</f>
        <v>0</v>
      </c>
    </row>
    <row r="343" spans="1:10" outlineLevel="1" x14ac:dyDescent="0.2">
      <c r="D343" s="62" t="s">
        <v>164</v>
      </c>
      <c r="E343" s="64"/>
      <c r="F343" s="19">
        <v>0</v>
      </c>
      <c r="G343" s="19">
        <v>0</v>
      </c>
      <c r="H343" s="19">
        <v>0</v>
      </c>
      <c r="I343" s="62" t="s">
        <v>162</v>
      </c>
      <c r="J343" s="42">
        <f t="shared" si="13"/>
        <v>0</v>
      </c>
    </row>
    <row r="344" spans="1:10" outlineLevel="1" x14ac:dyDescent="0.2">
      <c r="D344" s="62" t="s">
        <v>165</v>
      </c>
      <c r="E344" s="64"/>
      <c r="F344" s="19">
        <v>0</v>
      </c>
      <c r="G344" s="19">
        <v>0</v>
      </c>
      <c r="H344" s="19">
        <v>0</v>
      </c>
      <c r="I344" s="62" t="s">
        <v>162</v>
      </c>
      <c r="J344" s="42">
        <f t="shared" si="13"/>
        <v>0</v>
      </c>
    </row>
    <row r="345" spans="1:10" outlineLevel="1" x14ac:dyDescent="0.2">
      <c r="D345" s="62" t="s">
        <v>166</v>
      </c>
      <c r="E345" s="64"/>
      <c r="F345" s="19">
        <v>0</v>
      </c>
      <c r="G345" s="19">
        <v>0</v>
      </c>
      <c r="H345" s="19">
        <v>0</v>
      </c>
      <c r="I345" s="62" t="s">
        <v>162</v>
      </c>
      <c r="J345" s="42">
        <f t="shared" si="13"/>
        <v>0</v>
      </c>
    </row>
    <row r="346" spans="1:10" outlineLevel="1" x14ac:dyDescent="0.2">
      <c r="D346" s="62" t="s">
        <v>167</v>
      </c>
      <c r="E346" s="64"/>
      <c r="F346" s="19">
        <v>0</v>
      </c>
      <c r="G346" s="19">
        <v>0</v>
      </c>
      <c r="H346" s="19">
        <v>0</v>
      </c>
      <c r="I346" s="62" t="s">
        <v>162</v>
      </c>
      <c r="J346" s="42">
        <f t="shared" si="13"/>
        <v>0</v>
      </c>
    </row>
    <row r="347" spans="1:10" outlineLevel="1" x14ac:dyDescent="0.2">
      <c r="D347" s="62" t="s">
        <v>168</v>
      </c>
      <c r="E347" s="64"/>
      <c r="F347" s="19">
        <v>0</v>
      </c>
      <c r="G347" s="19">
        <v>0</v>
      </c>
      <c r="H347" s="19">
        <v>0</v>
      </c>
      <c r="I347" s="62" t="s">
        <v>162</v>
      </c>
      <c r="J347" s="42">
        <f t="shared" si="13"/>
        <v>0</v>
      </c>
    </row>
    <row r="348" spans="1:10" outlineLevel="1" x14ac:dyDescent="0.2">
      <c r="D348" s="62" t="s">
        <v>169</v>
      </c>
      <c r="E348" s="64"/>
      <c r="F348" s="19">
        <v>0</v>
      </c>
      <c r="G348" s="19">
        <v>0</v>
      </c>
      <c r="H348" s="19">
        <v>0</v>
      </c>
      <c r="I348" s="62" t="s">
        <v>162</v>
      </c>
      <c r="J348" s="42">
        <f t="shared" si="13"/>
        <v>0</v>
      </c>
    </row>
    <row r="349" spans="1:10" outlineLevel="1" x14ac:dyDescent="0.2">
      <c r="D349" s="62" t="s">
        <v>170</v>
      </c>
      <c r="E349" s="64"/>
      <c r="F349" s="19">
        <v>0</v>
      </c>
      <c r="G349" s="19">
        <v>0</v>
      </c>
      <c r="H349" s="19">
        <v>0</v>
      </c>
      <c r="I349" s="62" t="s">
        <v>162</v>
      </c>
      <c r="J349" s="42">
        <f t="shared" si="13"/>
        <v>0</v>
      </c>
    </row>
    <row r="350" spans="1:10" outlineLevel="1" x14ac:dyDescent="0.2">
      <c r="D350" s="62" t="s">
        <v>171</v>
      </c>
      <c r="E350" s="64"/>
      <c r="F350" s="19">
        <v>0</v>
      </c>
      <c r="G350" s="19">
        <v>0</v>
      </c>
      <c r="H350" s="19">
        <v>0</v>
      </c>
      <c r="I350" s="62" t="s">
        <v>162</v>
      </c>
      <c r="J350" s="42">
        <f t="shared" si="13"/>
        <v>0</v>
      </c>
    </row>
    <row r="351" spans="1:10" outlineLevel="1" x14ac:dyDescent="0.2">
      <c r="D351" s="62" t="s">
        <v>172</v>
      </c>
      <c r="E351" s="64"/>
      <c r="F351" s="19">
        <v>0</v>
      </c>
      <c r="G351" s="19">
        <v>0</v>
      </c>
      <c r="H351" s="19">
        <v>0</v>
      </c>
      <c r="I351" s="62" t="s">
        <v>162</v>
      </c>
      <c r="J351" s="42">
        <f t="shared" si="13"/>
        <v>0</v>
      </c>
    </row>
    <row r="352" spans="1:10" outlineLevel="1" x14ac:dyDescent="0.2">
      <c r="D352" s="55" t="str">
        <f>Lang_Error_Check_Flags_If_Input_Econ_Cost_Is_Less_Than_Fin_Cost</f>
        <v>ERROR CHECK (FLAGS IF INPUT ECONOMIC COST IS LESS THAN FINANCIAL COST)</v>
      </c>
      <c r="J352" s="43">
        <f>IF(ISERROR(SUM(J342:J351)),1,MIN(SUM(J342:J351),1))</f>
        <v>0</v>
      </c>
    </row>
    <row r="353" spans="1:10" outlineLevel="1" x14ac:dyDescent="0.2"/>
    <row r="354" spans="1:10" outlineLevel="1" x14ac:dyDescent="0.2">
      <c r="D354" s="47" t="str">
        <f>Lang_GoTo&amp;" "&amp;HL_TOP_ACTV_8_Out_A</f>
        <v>Go to SME Activity #4 (Not in Use) Allowances - Outputs</v>
      </c>
    </row>
    <row r="356" spans="1:10" s="13" customFormat="1" x14ac:dyDescent="0.2">
      <c r="A356" s="6" t="s">
        <v>127</v>
      </c>
      <c r="B356" s="13" t="str">
        <f>C358</f>
        <v>SME Activity #4 (Not in Use) - Detailed Supply and Material Cost Assumptions</v>
      </c>
    </row>
    <row r="357" spans="1:10" outlineLevel="1" x14ac:dyDescent="0.2"/>
    <row r="358" spans="1:10" outlineLevel="1" x14ac:dyDescent="0.2">
      <c r="C358" s="18" t="str">
        <f>HL_TOP_ACTV_8_Name&amp;" - "&amp;Lang_Detailed_Supply_And_Material_Cost_Assumptions</f>
        <v>SME Activity #4 (Not in Use) - Detailed Supply and Material Cost Assumptions</v>
      </c>
    </row>
    <row r="359" spans="1:10" ht="48" outlineLevel="1" x14ac:dyDescent="0.2">
      <c r="D359" s="55" t="str">
        <f>Lang_Supply_Type</f>
        <v>Supply Type</v>
      </c>
      <c r="E359" s="85" t="str">
        <f>Lang_Supply_Unit_Each_Dozen_100_Pack</f>
        <v>Supply Unit (e.g. Each, Dozen, 100-pack,etc.)</v>
      </c>
      <c r="F359" s="85" t="str">
        <f>Lang_Number_Of_Supply_Units_Required</f>
        <v>Number of Supply Units Required</v>
      </c>
      <c r="G359" s="63" t="str">
        <f ca="1">SUPV_Lu!$D$137&amp;" "&amp;Lang_Cost_Per_Activity_Unit&amp;" ("&amp;OFFSET(SUPV_Lu!$D$116,DD_TOP_ACTV_8_Detailed_Currency_Used,0)&amp;")"</f>
        <v>Financial Cost per Activity Unit (USD)</v>
      </c>
      <c r="H359" s="63" t="str">
        <f ca="1">SUPV_Lu!$D$138&amp;" "&amp;Lang_Cost_Per_Activity_Unit&amp;" ("&amp;OFFSET(SUPV_Lu!$D$116,DD_TOP_ACTV_8_Detailed_Currency_Used,0)&amp;")"</f>
        <v>Economic Cost per Activity Unit (USD)</v>
      </c>
      <c r="I359" s="87" t="str">
        <f>Lang_Evidence_For_Using_This_Cost_Information_Source_Or_Notes</f>
        <v>Evidence for Using this Cost Information (source or notes)</v>
      </c>
    </row>
    <row r="360" spans="1:10" outlineLevel="1" x14ac:dyDescent="0.2">
      <c r="D360" s="62" t="s">
        <v>173</v>
      </c>
      <c r="E360" s="64"/>
      <c r="F360" s="19">
        <v>0</v>
      </c>
      <c r="G360" s="19">
        <v>0</v>
      </c>
      <c r="H360" s="19">
        <v>0</v>
      </c>
      <c r="I360" s="62" t="s">
        <v>162</v>
      </c>
      <c r="J360" s="42">
        <f t="shared" ref="J360:J369" si="14">IF(H360&lt;G360,1,0)</f>
        <v>0</v>
      </c>
    </row>
    <row r="361" spans="1:10" outlineLevel="1" x14ac:dyDescent="0.2">
      <c r="D361" s="62" t="s">
        <v>174</v>
      </c>
      <c r="E361" s="64"/>
      <c r="F361" s="19">
        <v>0</v>
      </c>
      <c r="G361" s="19">
        <v>0</v>
      </c>
      <c r="H361" s="19">
        <v>0</v>
      </c>
      <c r="I361" s="62" t="s">
        <v>162</v>
      </c>
      <c r="J361" s="42">
        <f t="shared" si="14"/>
        <v>0</v>
      </c>
    </row>
    <row r="362" spans="1:10" outlineLevel="1" x14ac:dyDescent="0.2">
      <c r="D362" s="62" t="s">
        <v>175</v>
      </c>
      <c r="E362" s="64"/>
      <c r="F362" s="19">
        <v>0</v>
      </c>
      <c r="G362" s="19">
        <v>0</v>
      </c>
      <c r="H362" s="19">
        <v>0</v>
      </c>
      <c r="I362" s="62" t="s">
        <v>162</v>
      </c>
      <c r="J362" s="42">
        <f t="shared" si="14"/>
        <v>0</v>
      </c>
    </row>
    <row r="363" spans="1:10" outlineLevel="1" x14ac:dyDescent="0.2">
      <c r="D363" s="62" t="s">
        <v>176</v>
      </c>
      <c r="E363" s="64"/>
      <c r="F363" s="19">
        <v>0</v>
      </c>
      <c r="G363" s="19">
        <v>0</v>
      </c>
      <c r="H363" s="19">
        <v>0</v>
      </c>
      <c r="I363" s="62" t="s">
        <v>162</v>
      </c>
      <c r="J363" s="42">
        <f t="shared" si="14"/>
        <v>0</v>
      </c>
    </row>
    <row r="364" spans="1:10" outlineLevel="1" x14ac:dyDescent="0.2">
      <c r="D364" s="62" t="s">
        <v>177</v>
      </c>
      <c r="E364" s="64"/>
      <c r="F364" s="19">
        <v>0</v>
      </c>
      <c r="G364" s="19">
        <v>0</v>
      </c>
      <c r="H364" s="19">
        <v>0</v>
      </c>
      <c r="I364" s="62" t="s">
        <v>162</v>
      </c>
      <c r="J364" s="42">
        <f t="shared" si="14"/>
        <v>0</v>
      </c>
    </row>
    <row r="365" spans="1:10" outlineLevel="1" x14ac:dyDescent="0.2">
      <c r="D365" s="62" t="s">
        <v>178</v>
      </c>
      <c r="E365" s="64"/>
      <c r="F365" s="19">
        <v>0</v>
      </c>
      <c r="G365" s="19">
        <v>0</v>
      </c>
      <c r="H365" s="19">
        <v>0</v>
      </c>
      <c r="I365" s="62" t="s">
        <v>162</v>
      </c>
      <c r="J365" s="42">
        <f t="shared" si="14"/>
        <v>0</v>
      </c>
    </row>
    <row r="366" spans="1:10" outlineLevel="1" x14ac:dyDescent="0.2">
      <c r="D366" s="62" t="s">
        <v>179</v>
      </c>
      <c r="E366" s="64"/>
      <c r="F366" s="19">
        <v>0</v>
      </c>
      <c r="G366" s="19">
        <v>0</v>
      </c>
      <c r="H366" s="19">
        <v>0</v>
      </c>
      <c r="I366" s="62" t="s">
        <v>162</v>
      </c>
      <c r="J366" s="42">
        <f t="shared" si="14"/>
        <v>0</v>
      </c>
    </row>
    <row r="367" spans="1:10" outlineLevel="1" x14ac:dyDescent="0.2">
      <c r="D367" s="62" t="s">
        <v>180</v>
      </c>
      <c r="E367" s="64"/>
      <c r="F367" s="19">
        <v>0</v>
      </c>
      <c r="G367" s="19">
        <v>0</v>
      </c>
      <c r="H367" s="19">
        <v>0</v>
      </c>
      <c r="I367" s="62" t="s">
        <v>162</v>
      </c>
      <c r="J367" s="42">
        <f t="shared" si="14"/>
        <v>0</v>
      </c>
    </row>
    <row r="368" spans="1:10" outlineLevel="1" x14ac:dyDescent="0.2">
      <c r="D368" s="62" t="s">
        <v>181</v>
      </c>
      <c r="E368" s="64"/>
      <c r="F368" s="19">
        <v>0</v>
      </c>
      <c r="G368" s="19">
        <v>0</v>
      </c>
      <c r="H368" s="19">
        <v>0</v>
      </c>
      <c r="I368" s="62" t="s">
        <v>162</v>
      </c>
      <c r="J368" s="42">
        <f t="shared" si="14"/>
        <v>0</v>
      </c>
    </row>
    <row r="369" spans="1:10" outlineLevel="1" x14ac:dyDescent="0.2">
      <c r="D369" s="62" t="s">
        <v>182</v>
      </c>
      <c r="E369" s="64"/>
      <c r="F369" s="19">
        <v>0</v>
      </c>
      <c r="G369" s="19">
        <v>0</v>
      </c>
      <c r="H369" s="19">
        <v>0</v>
      </c>
      <c r="I369" s="62" t="s">
        <v>162</v>
      </c>
      <c r="J369" s="42">
        <f t="shared" si="14"/>
        <v>0</v>
      </c>
    </row>
    <row r="370" spans="1:10" outlineLevel="1" x14ac:dyDescent="0.2">
      <c r="D370" s="55" t="str">
        <f>Lang_Error_Check_Flags_If_Input_Econ_Cost_Is_Less_Than_Fin_Cost</f>
        <v>ERROR CHECK (FLAGS IF INPUT ECONOMIC COST IS LESS THAN FINANCIAL COST)</v>
      </c>
      <c r="J370" s="43">
        <f>IF(ISERROR(SUM(J360:J369)),1,MIN(SUM(J360:J369),1))</f>
        <v>0</v>
      </c>
    </row>
    <row r="371" spans="1:10" outlineLevel="1" x14ac:dyDescent="0.2"/>
    <row r="372" spans="1:10" outlineLevel="1" x14ac:dyDescent="0.2">
      <c r="D372" s="47" t="str">
        <f>Lang_GoTo&amp;" "&amp;HL_TOP_ACTV_8_Supplies_and_Materials_Outputs</f>
        <v>Go to SME Activity #4 (Not in Use) Supplies and Materials - Outputs</v>
      </c>
    </row>
    <row r="374" spans="1:10" s="13" customFormat="1" x14ac:dyDescent="0.2">
      <c r="A374" s="6" t="s">
        <v>127</v>
      </c>
      <c r="B374" s="13" t="str">
        <f>C376</f>
        <v>SME Activity #4 (Not in Use) - Detailed Other Direct Cost Assumptions</v>
      </c>
    </row>
    <row r="375" spans="1:10" outlineLevel="1" x14ac:dyDescent="0.2"/>
    <row r="376" spans="1:10" outlineLevel="1" x14ac:dyDescent="0.2">
      <c r="C376" s="18" t="str">
        <f>HL_TOP_ACTV_8_Name&amp;" - "&amp;Lang_Detailed_Other_Direct_Cost_Assumptions</f>
        <v>SME Activity #4 (Not in Use) - Detailed Other Direct Cost Assumptions</v>
      </c>
    </row>
    <row r="377" spans="1:10" ht="48" outlineLevel="1" x14ac:dyDescent="0.2">
      <c r="D377" s="55" t="str">
        <f>Lang_Other_Direct_Cost_ODC_Type</f>
        <v>Other Direct Cost (ODC) Type</v>
      </c>
      <c r="E377" s="85" t="str">
        <f>Lang_ODC_Unit_Each_Dozen_100_Pack</f>
        <v>ODC Unit (e.g. Each, Dozen, 100-pack,etc.)</v>
      </c>
      <c r="F377" s="85" t="str">
        <f>Lang_Number_Of_ODC_Units_Required</f>
        <v>Number of ODC Units Required</v>
      </c>
      <c r="G377" s="63" t="str">
        <f ca="1">SUPV_Lu!$D$137&amp;" "&amp;Lang_Cost_Per_Activity_Unit&amp;" ("&amp;OFFSET(SUPV_Lu!$D$116,DD_TOP_ACTV_8_Detailed_Currency_Used,0)&amp;")"</f>
        <v>Financial Cost per Activity Unit (USD)</v>
      </c>
      <c r="H377" s="63" t="str">
        <f ca="1">SUPV_Lu!$D$138&amp;" "&amp;Lang_Cost_Per_Activity_Unit&amp;" ("&amp;OFFSET(SUPV_Lu!$D$116,DD_TOP_ACTV_8_Detailed_Currency_Used,0)&amp;")"</f>
        <v>Economic Cost per Activity Unit (USD)</v>
      </c>
      <c r="I377" s="87" t="str">
        <f>Lang_Evidence_For_Using_This_Cost_Information_Source_Or_Notes</f>
        <v>Evidence for Using this Cost Information (source or notes)</v>
      </c>
    </row>
    <row r="378" spans="1:10" outlineLevel="1" x14ac:dyDescent="0.2">
      <c r="D378" s="62" t="s">
        <v>183</v>
      </c>
      <c r="E378" s="64"/>
      <c r="F378" s="19">
        <v>0</v>
      </c>
      <c r="G378" s="19">
        <v>0</v>
      </c>
      <c r="H378" s="19">
        <v>0</v>
      </c>
      <c r="I378" s="62" t="s">
        <v>162</v>
      </c>
      <c r="J378" s="42">
        <f t="shared" ref="J378:J387" si="15">IF(H378&lt;G378,1,0)</f>
        <v>0</v>
      </c>
    </row>
    <row r="379" spans="1:10" outlineLevel="1" x14ac:dyDescent="0.2">
      <c r="D379" s="62" t="s">
        <v>184</v>
      </c>
      <c r="E379" s="64"/>
      <c r="F379" s="19">
        <v>0</v>
      </c>
      <c r="G379" s="19">
        <v>0</v>
      </c>
      <c r="H379" s="19">
        <v>0</v>
      </c>
      <c r="I379" s="62" t="s">
        <v>162</v>
      </c>
      <c r="J379" s="42">
        <f t="shared" si="15"/>
        <v>0</v>
      </c>
    </row>
    <row r="380" spans="1:10" outlineLevel="1" x14ac:dyDescent="0.2">
      <c r="D380" s="62" t="s">
        <v>185</v>
      </c>
      <c r="E380" s="64"/>
      <c r="F380" s="19">
        <v>0</v>
      </c>
      <c r="G380" s="19">
        <v>0</v>
      </c>
      <c r="H380" s="19">
        <v>0</v>
      </c>
      <c r="I380" s="62" t="s">
        <v>162</v>
      </c>
      <c r="J380" s="42">
        <f t="shared" si="15"/>
        <v>0</v>
      </c>
    </row>
    <row r="381" spans="1:10" outlineLevel="1" x14ac:dyDescent="0.2">
      <c r="D381" s="62" t="s">
        <v>186</v>
      </c>
      <c r="E381" s="64"/>
      <c r="F381" s="19">
        <v>0</v>
      </c>
      <c r="G381" s="19">
        <v>0</v>
      </c>
      <c r="H381" s="19">
        <v>0</v>
      </c>
      <c r="I381" s="62" t="s">
        <v>162</v>
      </c>
      <c r="J381" s="42">
        <f t="shared" si="15"/>
        <v>0</v>
      </c>
    </row>
    <row r="382" spans="1:10" outlineLevel="1" x14ac:dyDescent="0.2">
      <c r="D382" s="62" t="s">
        <v>187</v>
      </c>
      <c r="E382" s="64"/>
      <c r="F382" s="19">
        <v>0</v>
      </c>
      <c r="G382" s="19">
        <v>0</v>
      </c>
      <c r="H382" s="19">
        <v>0</v>
      </c>
      <c r="I382" s="62" t="s">
        <v>162</v>
      </c>
      <c r="J382" s="42">
        <f t="shared" si="15"/>
        <v>0</v>
      </c>
    </row>
    <row r="383" spans="1:10" outlineLevel="1" x14ac:dyDescent="0.2">
      <c r="D383" s="62" t="s">
        <v>188</v>
      </c>
      <c r="E383" s="64"/>
      <c r="F383" s="19">
        <v>0</v>
      </c>
      <c r="G383" s="19">
        <v>0</v>
      </c>
      <c r="H383" s="19">
        <v>0</v>
      </c>
      <c r="I383" s="62" t="s">
        <v>162</v>
      </c>
      <c r="J383" s="42">
        <f t="shared" si="15"/>
        <v>0</v>
      </c>
    </row>
    <row r="384" spans="1:10" outlineLevel="1" x14ac:dyDescent="0.2">
      <c r="D384" s="62" t="s">
        <v>189</v>
      </c>
      <c r="E384" s="64"/>
      <c r="F384" s="19">
        <v>0</v>
      </c>
      <c r="G384" s="19">
        <v>0</v>
      </c>
      <c r="H384" s="19">
        <v>0</v>
      </c>
      <c r="I384" s="62" t="s">
        <v>162</v>
      </c>
      <c r="J384" s="42">
        <f t="shared" si="15"/>
        <v>0</v>
      </c>
    </row>
    <row r="385" spans="1:10" outlineLevel="1" x14ac:dyDescent="0.2">
      <c r="D385" s="62" t="s">
        <v>190</v>
      </c>
      <c r="E385" s="64"/>
      <c r="F385" s="19">
        <v>0</v>
      </c>
      <c r="G385" s="19">
        <v>0</v>
      </c>
      <c r="H385" s="19">
        <v>0</v>
      </c>
      <c r="I385" s="62" t="s">
        <v>162</v>
      </c>
      <c r="J385" s="42">
        <f t="shared" si="15"/>
        <v>0</v>
      </c>
    </row>
    <row r="386" spans="1:10" outlineLevel="1" x14ac:dyDescent="0.2">
      <c r="D386" s="62" t="s">
        <v>191</v>
      </c>
      <c r="E386" s="64"/>
      <c r="F386" s="19">
        <v>0</v>
      </c>
      <c r="G386" s="19">
        <v>0</v>
      </c>
      <c r="H386" s="19">
        <v>0</v>
      </c>
      <c r="I386" s="62" t="s">
        <v>162</v>
      </c>
      <c r="J386" s="42">
        <f t="shared" si="15"/>
        <v>0</v>
      </c>
    </row>
    <row r="387" spans="1:10" outlineLevel="1" x14ac:dyDescent="0.2">
      <c r="D387" s="62" t="s">
        <v>192</v>
      </c>
      <c r="E387" s="64"/>
      <c r="F387" s="19">
        <v>0</v>
      </c>
      <c r="G387" s="19">
        <v>0</v>
      </c>
      <c r="H387" s="19">
        <v>0</v>
      </c>
      <c r="I387" s="62" t="s">
        <v>162</v>
      </c>
      <c r="J387" s="42">
        <f t="shared" si="15"/>
        <v>0</v>
      </c>
    </row>
    <row r="388" spans="1:10" outlineLevel="1" x14ac:dyDescent="0.2">
      <c r="D388" s="55" t="str">
        <f>Lang_Error_Check_Flags_If_Input_Econ_Cost_Is_Less_Than_Fin_Cost</f>
        <v>ERROR CHECK (FLAGS IF INPUT ECONOMIC COST IS LESS THAN FINANCIAL COST)</v>
      </c>
      <c r="J388" s="43">
        <f>IF(ISERROR(SUM(J378:J387)),1,MIN(SUM(J378:J387),1))</f>
        <v>0</v>
      </c>
    </row>
    <row r="389" spans="1:10" outlineLevel="1" x14ac:dyDescent="0.2"/>
    <row r="390" spans="1:10" outlineLevel="1" x14ac:dyDescent="0.2">
      <c r="D390" s="47" t="str">
        <f>Lang_GoTo&amp;" "&amp;HL_TOP_ACTV_8_Other_Direct_Costs_Outputs</f>
        <v>Go to SME Activity #4 (Not in Use) Other Direct Costs - Outputs</v>
      </c>
    </row>
    <row r="391" spans="1:10" s="10" customFormat="1" x14ac:dyDescent="0.2"/>
    <row r="392" spans="1:10" s="13" customFormat="1" x14ac:dyDescent="0.2">
      <c r="A392" s="6" t="s">
        <v>125</v>
      </c>
      <c r="B392" s="13" t="str">
        <f>C394</f>
        <v>SME Activity #5 (Not in Use) -  Detailed Activity Costing Worksheet - Instructions</v>
      </c>
    </row>
    <row r="393" spans="1:10" s="10" customFormat="1" outlineLevel="1" x14ac:dyDescent="0.2"/>
    <row r="394" spans="1:10" s="10" customFormat="1" outlineLevel="1" x14ac:dyDescent="0.2">
      <c r="C394" s="71" t="str">
        <f>HL_LVL2_ACTV_5_Name&amp;" -  "&amp;Lang_Detailed_Activity_Costing_Worksheet_Instructions</f>
        <v>SME Activity #5 (Not in Use) -  Detailed Activity Costing Worksheet - Instructions</v>
      </c>
    </row>
    <row r="395" spans="1:10" s="10" customFormat="1" outlineLevel="1" x14ac:dyDescent="0.2"/>
    <row r="396" spans="1:10" s="10" customFormat="1" outlineLevel="1" x14ac:dyDescent="0.2">
      <c r="D396" s="50" t="str">
        <f>Lang_Detailed_Costing_Worksheets_Notes_1</f>
        <v>This detailed costing worksheet can be used to document the types and amounts of resources required to complete a single instance of an activity.</v>
      </c>
    </row>
    <row r="397" spans="1:10" s="10" customFormat="1" outlineLevel="1" x14ac:dyDescent="0.2">
      <c r="D397" s="50" t="str">
        <f>Lang_Detailed_Costing_Worksheets_Notes_2</f>
        <v>When completed, it will automatically provide a single activity cost in the general assumption worksheet.</v>
      </c>
    </row>
    <row r="398" spans="1:10" s="10" customFormat="1" outlineLevel="1" x14ac:dyDescent="0.2">
      <c r="D398" s="50" t="str">
        <f>Lang_Detailed_Costing_Worksheets_Notes_3</f>
        <v>The user may then choose to use the results of the detailed costing in the model, or override the detailed costing and insert alternate cost estimates.</v>
      </c>
    </row>
    <row r="399" spans="1:10" s="10" customFormat="1" outlineLevel="1" x14ac:dyDescent="0.2"/>
    <row r="400" spans="1:10" s="10" customFormat="1" x14ac:dyDescent="0.2"/>
    <row r="401" spans="1:5" s="13" customFormat="1" x14ac:dyDescent="0.2">
      <c r="A401" s="12" t="s">
        <v>125</v>
      </c>
      <c r="B401" s="13" t="str">
        <f>C403</f>
        <v>SME Activity #5 (Not in Use) - Detailed Activity Costing Worksheet - Currency Selection</v>
      </c>
    </row>
    <row r="402" spans="1:5" s="10" customFormat="1" outlineLevel="1" x14ac:dyDescent="0.2"/>
    <row r="403" spans="1:5" s="10" customFormat="1" outlineLevel="1" x14ac:dyDescent="0.2">
      <c r="C403" s="71" t="str">
        <f>HL_LVL2_ACTV_5_Name&amp;" - "&amp;Lang_Detailed_Activity_Costing_Worksheet_Currency_Selection</f>
        <v>SME Activity #5 (Not in Use) - Detailed Activity Costing Worksheet - Currency Selection</v>
      </c>
    </row>
    <row r="404" spans="1:5" s="10" customFormat="1" outlineLevel="1" x14ac:dyDescent="0.2"/>
    <row r="405" spans="1:5" s="10" customFormat="1" outlineLevel="1" x14ac:dyDescent="0.2">
      <c r="D405" s="55" t="str">
        <f>Lang_Currency_Used_For_Cost_Inputs</f>
        <v>Currency Used for Cost Inputs</v>
      </c>
      <c r="E405" s="72">
        <v>1</v>
      </c>
    </row>
    <row r="406" spans="1:5" s="10" customFormat="1" outlineLevel="1" x14ac:dyDescent="0.2"/>
    <row r="407" spans="1:5" s="10" customFormat="1" outlineLevel="1" x14ac:dyDescent="0.2"/>
    <row r="408" spans="1:5" s="10" customFormat="1" outlineLevel="1" x14ac:dyDescent="0.2">
      <c r="D408" s="54" t="str">
        <f>Lang_Imported_From_Econ_Module</f>
        <v>Imported from Econ Module</v>
      </c>
    </row>
    <row r="409" spans="1:5" s="10" customFormat="1" outlineLevel="1" x14ac:dyDescent="0.2">
      <c r="D409" s="49" t="str">
        <f>ECONOMICS!F7</f>
        <v>USD</v>
      </c>
    </row>
    <row r="410" spans="1:5" s="10" customFormat="1" outlineLevel="1" x14ac:dyDescent="0.2">
      <c r="D410" s="49" t="str">
        <f>ECONOMICS!F8</f>
        <v>LCU</v>
      </c>
    </row>
    <row r="411" spans="1:5" s="10" customFormat="1" outlineLevel="1" x14ac:dyDescent="0.2"/>
    <row r="412" spans="1:5" s="10" customFormat="1" outlineLevel="1" x14ac:dyDescent="0.2">
      <c r="D412" s="50" t="str">
        <f>Lang_Exchange_Rate_From_Econ</f>
        <v>Exchange Rate (from Economics)</v>
      </c>
      <c r="E412" s="41">
        <f>ECONOMICS!E13</f>
        <v>1234.5</v>
      </c>
    </row>
    <row r="413" spans="1:5" s="10" customFormat="1" x14ac:dyDescent="0.2"/>
    <row r="414" spans="1:5" s="13" customFormat="1" x14ac:dyDescent="0.2">
      <c r="A414" s="6" t="s">
        <v>127</v>
      </c>
      <c r="B414" s="13" t="str">
        <f>C416</f>
        <v>SME Activity #5 (Not in Use) - Detailed Personnel Cost Assumptions</v>
      </c>
    </row>
    <row r="415" spans="1:5" outlineLevel="1" x14ac:dyDescent="0.2"/>
    <row r="416" spans="1:5" s="10" customFormat="1" outlineLevel="1" x14ac:dyDescent="0.2">
      <c r="C416" s="18" t="str">
        <f>HL_LVL2_ACTV_5_Name&amp;" - "&amp;Lang_Detailed_Personnel_Cost_Assumptions</f>
        <v>SME Activity #5 (Not in Use) - Detailed Personnel Cost Assumptions</v>
      </c>
    </row>
    <row r="417" spans="4:10" s="10" customFormat="1" ht="48" outlineLevel="1" x14ac:dyDescent="0.2">
      <c r="D417" s="55" t="str">
        <f>Lang_Personnel_Cadre_Type</f>
        <v>Personnel Cadre Type</v>
      </c>
      <c r="E417" s="85" t="str">
        <f>Lang_Activity_Unit_Day_Hour_Minute</f>
        <v>Activity Unit (e.g. Day, Hour, Minute)</v>
      </c>
      <c r="F417" s="85" t="str">
        <f>Lang_Number_Of_Activity_Units_Required</f>
        <v>Number of Activity Units Required</v>
      </c>
      <c r="G417" s="63" t="str">
        <f ca="1">SUPV_Lu!$D$172&amp;" "&amp;Lang_Cost_Per_Activity_Unit&amp;" ("&amp;OFFSET(SUPV_Lu!$D$151,DD_LVL2_ACTV_5_Currency_Selected,0)&amp;")"</f>
        <v>Financial Cost per Activity Unit (USD)</v>
      </c>
      <c r="H417" s="63" t="str">
        <f ca="1">SUPV_Lu!$D$173&amp;" "&amp;Lang_Cost_Per_Activity_Unit&amp;" ("&amp;OFFSET(SUPV_Lu!$D$151,DD_LVL2_ACTV_5_Currency_Selected,0)&amp;")"</f>
        <v>Economic Cost per Activity Unit (USD)</v>
      </c>
      <c r="I417" s="87" t="str">
        <f>Lang_Evidence_For_Using_This_Cost_Information_Source_Or_Notes</f>
        <v>Evidence for Using this Cost Information (source or notes)</v>
      </c>
    </row>
    <row r="418" spans="4:10" s="10" customFormat="1" outlineLevel="1" x14ac:dyDescent="0.2">
      <c r="D418" s="62" t="s">
        <v>152</v>
      </c>
      <c r="E418" s="64"/>
      <c r="F418" s="19">
        <v>0</v>
      </c>
      <c r="G418" s="19">
        <v>0</v>
      </c>
      <c r="H418" s="19">
        <v>0</v>
      </c>
      <c r="I418" s="62" t="s">
        <v>162</v>
      </c>
      <c r="J418" s="42">
        <f t="shared" ref="J418:J432" si="16">IF(H418&lt;G418,1,0)</f>
        <v>0</v>
      </c>
    </row>
    <row r="419" spans="4:10" s="10" customFormat="1" outlineLevel="1" x14ac:dyDescent="0.2">
      <c r="D419" s="62" t="s">
        <v>153</v>
      </c>
      <c r="E419" s="64"/>
      <c r="F419" s="19">
        <v>0</v>
      </c>
      <c r="G419" s="19">
        <v>0</v>
      </c>
      <c r="H419" s="19">
        <v>0</v>
      </c>
      <c r="I419" s="62" t="s">
        <v>162</v>
      </c>
      <c r="J419" s="42">
        <f t="shared" si="16"/>
        <v>0</v>
      </c>
    </row>
    <row r="420" spans="4:10" s="10" customFormat="1" outlineLevel="1" x14ac:dyDescent="0.2">
      <c r="D420" s="62" t="s">
        <v>154</v>
      </c>
      <c r="E420" s="64"/>
      <c r="F420" s="19">
        <v>0</v>
      </c>
      <c r="G420" s="19">
        <v>0</v>
      </c>
      <c r="H420" s="19">
        <v>0</v>
      </c>
      <c r="I420" s="62" t="s">
        <v>162</v>
      </c>
      <c r="J420" s="42">
        <f t="shared" si="16"/>
        <v>0</v>
      </c>
    </row>
    <row r="421" spans="4:10" s="10" customFormat="1" outlineLevel="1" x14ac:dyDescent="0.2">
      <c r="D421" s="62" t="s">
        <v>155</v>
      </c>
      <c r="E421" s="64"/>
      <c r="F421" s="19">
        <v>0</v>
      </c>
      <c r="G421" s="19">
        <v>0</v>
      </c>
      <c r="H421" s="19">
        <v>0</v>
      </c>
      <c r="I421" s="62" t="s">
        <v>162</v>
      </c>
      <c r="J421" s="42">
        <f t="shared" si="16"/>
        <v>0</v>
      </c>
    </row>
    <row r="422" spans="4:10" s="10" customFormat="1" outlineLevel="1" x14ac:dyDescent="0.2">
      <c r="D422" s="62" t="s">
        <v>156</v>
      </c>
      <c r="E422" s="64"/>
      <c r="F422" s="19">
        <v>0</v>
      </c>
      <c r="G422" s="19">
        <v>0</v>
      </c>
      <c r="H422" s="19">
        <v>0</v>
      </c>
      <c r="I422" s="62" t="s">
        <v>162</v>
      </c>
      <c r="J422" s="42">
        <f t="shared" si="16"/>
        <v>0</v>
      </c>
    </row>
    <row r="423" spans="4:10" s="10" customFormat="1" outlineLevel="1" x14ac:dyDescent="0.2">
      <c r="D423" s="62" t="s">
        <v>157</v>
      </c>
      <c r="E423" s="64"/>
      <c r="F423" s="19">
        <v>0</v>
      </c>
      <c r="G423" s="19">
        <v>0</v>
      </c>
      <c r="H423" s="19">
        <v>0</v>
      </c>
      <c r="I423" s="62" t="s">
        <v>162</v>
      </c>
      <c r="J423" s="42">
        <f t="shared" si="16"/>
        <v>0</v>
      </c>
    </row>
    <row r="424" spans="4:10" s="10" customFormat="1" outlineLevel="1" x14ac:dyDescent="0.2">
      <c r="D424" s="62" t="s">
        <v>158</v>
      </c>
      <c r="E424" s="64"/>
      <c r="F424" s="19">
        <v>0</v>
      </c>
      <c r="G424" s="19">
        <v>0</v>
      </c>
      <c r="H424" s="19">
        <v>0</v>
      </c>
      <c r="I424" s="62" t="s">
        <v>162</v>
      </c>
      <c r="J424" s="42">
        <f t="shared" si="16"/>
        <v>0</v>
      </c>
    </row>
    <row r="425" spans="4:10" outlineLevel="1" x14ac:dyDescent="0.2">
      <c r="D425" s="62" t="s">
        <v>159</v>
      </c>
      <c r="E425" s="64"/>
      <c r="F425" s="19">
        <v>0</v>
      </c>
      <c r="G425" s="19">
        <v>0</v>
      </c>
      <c r="H425" s="19">
        <v>0</v>
      </c>
      <c r="I425" s="62" t="s">
        <v>162</v>
      </c>
      <c r="J425" s="42">
        <f t="shared" si="16"/>
        <v>0</v>
      </c>
    </row>
    <row r="426" spans="4:10" outlineLevel="1" x14ac:dyDescent="0.2">
      <c r="D426" s="62" t="s">
        <v>160</v>
      </c>
      <c r="E426" s="64"/>
      <c r="F426" s="19">
        <v>0</v>
      </c>
      <c r="G426" s="19">
        <v>0</v>
      </c>
      <c r="H426" s="19">
        <v>0</v>
      </c>
      <c r="I426" s="62" t="s">
        <v>162</v>
      </c>
      <c r="J426" s="42">
        <f t="shared" si="16"/>
        <v>0</v>
      </c>
    </row>
    <row r="427" spans="4:10" outlineLevel="1" x14ac:dyDescent="0.2">
      <c r="D427" s="62" t="s">
        <v>161</v>
      </c>
      <c r="E427" s="64"/>
      <c r="F427" s="19">
        <v>0</v>
      </c>
      <c r="G427" s="19">
        <v>0</v>
      </c>
      <c r="H427" s="19">
        <v>0</v>
      </c>
      <c r="I427" s="62" t="s">
        <v>162</v>
      </c>
      <c r="J427" s="42">
        <f t="shared" si="16"/>
        <v>0</v>
      </c>
    </row>
    <row r="428" spans="4:10" outlineLevel="1" x14ac:dyDescent="0.2">
      <c r="D428" s="62" t="s">
        <v>393</v>
      </c>
      <c r="E428" s="64"/>
      <c r="F428" s="19">
        <v>0</v>
      </c>
      <c r="G428" s="19">
        <v>0</v>
      </c>
      <c r="H428" s="19">
        <v>0</v>
      </c>
      <c r="I428" s="62" t="s">
        <v>162</v>
      </c>
      <c r="J428" s="42">
        <f t="shared" si="16"/>
        <v>0</v>
      </c>
    </row>
    <row r="429" spans="4:10" outlineLevel="1" x14ac:dyDescent="0.2">
      <c r="D429" s="62" t="s">
        <v>394</v>
      </c>
      <c r="E429" s="64"/>
      <c r="F429" s="19">
        <v>0</v>
      </c>
      <c r="G429" s="19">
        <v>0</v>
      </c>
      <c r="H429" s="19">
        <v>0</v>
      </c>
      <c r="I429" s="62" t="s">
        <v>162</v>
      </c>
      <c r="J429" s="42">
        <f t="shared" si="16"/>
        <v>0</v>
      </c>
    </row>
    <row r="430" spans="4:10" s="10" customFormat="1" outlineLevel="1" x14ac:dyDescent="0.2">
      <c r="D430" s="62" t="s">
        <v>395</v>
      </c>
      <c r="E430" s="64"/>
      <c r="F430" s="19">
        <v>0</v>
      </c>
      <c r="G430" s="19">
        <v>0</v>
      </c>
      <c r="H430" s="19">
        <v>0</v>
      </c>
      <c r="I430" s="62" t="s">
        <v>162</v>
      </c>
      <c r="J430" s="42">
        <f t="shared" si="16"/>
        <v>0</v>
      </c>
    </row>
    <row r="431" spans="4:10" s="10" customFormat="1" outlineLevel="1" x14ac:dyDescent="0.2">
      <c r="D431" s="62" t="s">
        <v>396</v>
      </c>
      <c r="E431" s="64"/>
      <c r="F431" s="19">
        <v>0</v>
      </c>
      <c r="G431" s="19">
        <v>0</v>
      </c>
      <c r="H431" s="19">
        <v>0</v>
      </c>
      <c r="I431" s="62" t="s">
        <v>162</v>
      </c>
      <c r="J431" s="42">
        <f t="shared" si="16"/>
        <v>0</v>
      </c>
    </row>
    <row r="432" spans="4:10" s="10" customFormat="1" outlineLevel="1" x14ac:dyDescent="0.2">
      <c r="D432" s="62" t="s">
        <v>397</v>
      </c>
      <c r="E432" s="64"/>
      <c r="F432" s="19">
        <v>0</v>
      </c>
      <c r="G432" s="19">
        <v>0</v>
      </c>
      <c r="H432" s="19">
        <v>0</v>
      </c>
      <c r="I432" s="62" t="s">
        <v>162</v>
      </c>
      <c r="J432" s="42">
        <f t="shared" si="16"/>
        <v>0</v>
      </c>
    </row>
    <row r="433" spans="1:10" s="10" customFormat="1" outlineLevel="1" x14ac:dyDescent="0.2">
      <c r="D433" s="55" t="str">
        <f>Lang_Error_Check_Flags_If_Input_Econ_Cost_Is_Less_Than_Fin_Cost</f>
        <v>ERROR CHECK (FLAGS IF INPUT ECONOMIC COST IS LESS THAN FINANCIAL COST)</v>
      </c>
      <c r="J433" s="43">
        <f>IF(ISERROR(SUM(J418:J432)),1,MIN(SUM(J418:J432),1))</f>
        <v>0</v>
      </c>
    </row>
    <row r="434" spans="1:10" s="10" customFormat="1" outlineLevel="1" x14ac:dyDescent="0.2"/>
    <row r="435" spans="1:10" s="10" customFormat="1" outlineLevel="1" x14ac:dyDescent="0.2">
      <c r="D435" s="47" t="str">
        <f>Lang_GoTo&amp;" "&amp;HL_LVL2_ACTV_5_Personnel_Outputs</f>
        <v>Go to SME Activity #5 (Not in Use) Personnel - Outputs</v>
      </c>
    </row>
    <row r="436" spans="1:10" s="10" customFormat="1" x14ac:dyDescent="0.2"/>
    <row r="437" spans="1:10" s="13" customFormat="1" x14ac:dyDescent="0.2">
      <c r="A437" s="6" t="s">
        <v>127</v>
      </c>
      <c r="B437" s="13" t="str">
        <f>C439</f>
        <v>SME Activity #5 (Not in Use) - Detailed Allowance Cost Assumptions</v>
      </c>
    </row>
    <row r="438" spans="1:10" outlineLevel="1" x14ac:dyDescent="0.2"/>
    <row r="439" spans="1:10" s="10" customFormat="1" outlineLevel="1" x14ac:dyDescent="0.2">
      <c r="C439" s="18" t="str">
        <f>HL_LVL2_ACTV_5_Name&amp;" - "&amp;Lang_Detailed_Allowance_Cost_Assumptions</f>
        <v>SME Activity #5 (Not in Use) - Detailed Allowance Cost Assumptions</v>
      </c>
    </row>
    <row r="440" spans="1:10" s="10" customFormat="1" ht="48" outlineLevel="1" x14ac:dyDescent="0.2">
      <c r="D440" s="55" t="str">
        <f>Lang_Allowance_Type</f>
        <v>Allowance Type</v>
      </c>
      <c r="E440" s="85" t="str">
        <f>Lang_Allowance_Unit_Per_Day_Round_Trip_Travel</f>
        <v>Allowance Unit (e.g. Per Day, Round-trip Travel,etc.)</v>
      </c>
      <c r="F440" s="85" t="str">
        <f>Lang_Number_Of_Allowance_Units_Required</f>
        <v>Number of Allowance Units Required</v>
      </c>
      <c r="G440" s="63" t="str">
        <f ca="1">SUPV_Lu!$D$172&amp;" "&amp;Lang_Cost_Per_Activity_Unit&amp;" ("&amp;OFFSET(SUPV_Lu!$D$151,DD_LVL2_ACTV_5_Currency_Selected,0)&amp;")"</f>
        <v>Financial Cost per Activity Unit (USD)</v>
      </c>
      <c r="H440" s="63" t="str">
        <f ca="1">SUPV_Lu!$D$173&amp;" "&amp;Lang_Cost_Per_Activity_Unit&amp;" ("&amp;OFFSET(SUPV_Lu!$D$151,DD_LVL2_ACTV_5_Currency_Selected,0)&amp;")"</f>
        <v>Economic Cost per Activity Unit (USD)</v>
      </c>
      <c r="I440" s="87" t="str">
        <f>Lang_Evidence_For_Using_This_Cost_Information_Source_Or_Notes</f>
        <v>Evidence for Using this Cost Information (source or notes)</v>
      </c>
    </row>
    <row r="441" spans="1:10" s="10" customFormat="1" outlineLevel="1" x14ac:dyDescent="0.2">
      <c r="D441" s="62" t="s">
        <v>163</v>
      </c>
      <c r="E441" s="64"/>
      <c r="F441" s="19">
        <v>0</v>
      </c>
      <c r="G441" s="19">
        <v>0</v>
      </c>
      <c r="H441" s="19">
        <v>0</v>
      </c>
      <c r="I441" s="62" t="s">
        <v>162</v>
      </c>
      <c r="J441" s="42">
        <f t="shared" ref="J441:J450" si="17">IF(H441&lt;G441,1,0)</f>
        <v>0</v>
      </c>
    </row>
    <row r="442" spans="1:10" s="10" customFormat="1" outlineLevel="1" x14ac:dyDescent="0.2">
      <c r="D442" s="62" t="s">
        <v>164</v>
      </c>
      <c r="E442" s="64"/>
      <c r="F442" s="19">
        <v>0</v>
      </c>
      <c r="G442" s="19">
        <v>0</v>
      </c>
      <c r="H442" s="19">
        <v>0</v>
      </c>
      <c r="I442" s="62" t="s">
        <v>162</v>
      </c>
      <c r="J442" s="42">
        <f t="shared" si="17"/>
        <v>0</v>
      </c>
    </row>
    <row r="443" spans="1:10" s="10" customFormat="1" outlineLevel="1" x14ac:dyDescent="0.2">
      <c r="D443" s="62" t="s">
        <v>165</v>
      </c>
      <c r="E443" s="64"/>
      <c r="F443" s="19">
        <v>0</v>
      </c>
      <c r="G443" s="19">
        <v>0</v>
      </c>
      <c r="H443" s="19">
        <v>0</v>
      </c>
      <c r="I443" s="62" t="s">
        <v>162</v>
      </c>
      <c r="J443" s="42">
        <f t="shared" si="17"/>
        <v>0</v>
      </c>
    </row>
    <row r="444" spans="1:10" s="10" customFormat="1" outlineLevel="1" x14ac:dyDescent="0.2">
      <c r="D444" s="62" t="s">
        <v>166</v>
      </c>
      <c r="E444" s="64"/>
      <c r="F444" s="19">
        <v>0</v>
      </c>
      <c r="G444" s="19">
        <v>0</v>
      </c>
      <c r="H444" s="19">
        <v>0</v>
      </c>
      <c r="I444" s="62" t="s">
        <v>162</v>
      </c>
      <c r="J444" s="42">
        <f t="shared" si="17"/>
        <v>0</v>
      </c>
    </row>
    <row r="445" spans="1:10" s="10" customFormat="1" outlineLevel="1" x14ac:dyDescent="0.2">
      <c r="D445" s="62" t="s">
        <v>167</v>
      </c>
      <c r="E445" s="64"/>
      <c r="F445" s="19">
        <v>0</v>
      </c>
      <c r="G445" s="19">
        <v>0</v>
      </c>
      <c r="H445" s="19">
        <v>0</v>
      </c>
      <c r="I445" s="62" t="s">
        <v>162</v>
      </c>
      <c r="J445" s="42">
        <f t="shared" si="17"/>
        <v>0</v>
      </c>
    </row>
    <row r="446" spans="1:10" s="10" customFormat="1" outlineLevel="1" x14ac:dyDescent="0.2">
      <c r="D446" s="62" t="s">
        <v>168</v>
      </c>
      <c r="E446" s="64"/>
      <c r="F446" s="19">
        <v>0</v>
      </c>
      <c r="G446" s="19">
        <v>0</v>
      </c>
      <c r="H446" s="19">
        <v>0</v>
      </c>
      <c r="I446" s="62" t="s">
        <v>162</v>
      </c>
      <c r="J446" s="42">
        <f t="shared" si="17"/>
        <v>0</v>
      </c>
    </row>
    <row r="447" spans="1:10" s="10" customFormat="1" outlineLevel="1" x14ac:dyDescent="0.2">
      <c r="D447" s="62" t="s">
        <v>169</v>
      </c>
      <c r="E447" s="64"/>
      <c r="F447" s="19">
        <v>0</v>
      </c>
      <c r="G447" s="19">
        <v>0</v>
      </c>
      <c r="H447" s="19">
        <v>0</v>
      </c>
      <c r="I447" s="62" t="s">
        <v>162</v>
      </c>
      <c r="J447" s="42">
        <f t="shared" si="17"/>
        <v>0</v>
      </c>
    </row>
    <row r="448" spans="1:10" s="10" customFormat="1" outlineLevel="1" x14ac:dyDescent="0.2">
      <c r="D448" s="62" t="s">
        <v>170</v>
      </c>
      <c r="E448" s="64"/>
      <c r="F448" s="19">
        <v>0</v>
      </c>
      <c r="G448" s="19">
        <v>0</v>
      </c>
      <c r="H448" s="19">
        <v>0</v>
      </c>
      <c r="I448" s="62" t="s">
        <v>162</v>
      </c>
      <c r="J448" s="42">
        <f t="shared" si="17"/>
        <v>0</v>
      </c>
    </row>
    <row r="449" spans="1:10" s="10" customFormat="1" outlineLevel="1" x14ac:dyDescent="0.2">
      <c r="D449" s="62" t="s">
        <v>171</v>
      </c>
      <c r="E449" s="64"/>
      <c r="F449" s="19">
        <v>0</v>
      </c>
      <c r="G449" s="19">
        <v>0</v>
      </c>
      <c r="H449" s="19">
        <v>0</v>
      </c>
      <c r="I449" s="62" t="s">
        <v>162</v>
      </c>
      <c r="J449" s="42">
        <f t="shared" si="17"/>
        <v>0</v>
      </c>
    </row>
    <row r="450" spans="1:10" s="10" customFormat="1" outlineLevel="1" x14ac:dyDescent="0.2">
      <c r="D450" s="62" t="s">
        <v>172</v>
      </c>
      <c r="E450" s="64"/>
      <c r="F450" s="19">
        <v>0</v>
      </c>
      <c r="G450" s="19">
        <v>0</v>
      </c>
      <c r="H450" s="19">
        <v>0</v>
      </c>
      <c r="I450" s="62" t="s">
        <v>162</v>
      </c>
      <c r="J450" s="42">
        <f t="shared" si="17"/>
        <v>0</v>
      </c>
    </row>
    <row r="451" spans="1:10" s="10" customFormat="1" outlineLevel="1" x14ac:dyDescent="0.2">
      <c r="D451" s="55" t="str">
        <f>Lang_Error_Check_Flags_If_Input_Econ_Cost_Is_Less_Than_Fin_Cost</f>
        <v>ERROR CHECK (FLAGS IF INPUT ECONOMIC COST IS LESS THAN FINANCIAL COST)</v>
      </c>
      <c r="J451" s="43">
        <f>IF(ISERROR(SUM(J441:J450)),1,MIN(SUM(J441:J450),1))</f>
        <v>0</v>
      </c>
    </row>
    <row r="452" spans="1:10" s="10" customFormat="1" outlineLevel="1" x14ac:dyDescent="0.2"/>
    <row r="453" spans="1:10" s="10" customFormat="1" outlineLevel="1" x14ac:dyDescent="0.2">
      <c r="D453" s="47" t="str">
        <f>Lang_GoTo&amp;" "&amp;HL_LVL2_ACTV_5_Out_A</f>
        <v>Go to SME Activity #5 (Not in Use) Allowances - Outputs</v>
      </c>
    </row>
    <row r="454" spans="1:10" s="10" customFormat="1" x14ac:dyDescent="0.2"/>
    <row r="455" spans="1:10" s="13" customFormat="1" x14ac:dyDescent="0.2">
      <c r="A455" s="6" t="s">
        <v>127</v>
      </c>
      <c r="B455" s="13" t="str">
        <f>C457</f>
        <v>SME Activity #5 (Not in Use) - Detailed Supply and Material Cost Assumptions</v>
      </c>
    </row>
    <row r="456" spans="1:10" outlineLevel="1" x14ac:dyDescent="0.2"/>
    <row r="457" spans="1:10" s="10" customFormat="1" outlineLevel="1" x14ac:dyDescent="0.2">
      <c r="C457" s="18" t="str">
        <f>HL_LVL2_ACTV_5_Name&amp;" - "&amp;Lang_Detailed_Supply_And_Material_Cost_Assumptions</f>
        <v>SME Activity #5 (Not in Use) - Detailed Supply and Material Cost Assumptions</v>
      </c>
    </row>
    <row r="458" spans="1:10" s="10" customFormat="1" ht="48" outlineLevel="1" x14ac:dyDescent="0.2">
      <c r="D458" s="55" t="str">
        <f>Lang_Supply_Type</f>
        <v>Supply Type</v>
      </c>
      <c r="E458" s="85" t="str">
        <f>Lang_Supply_Unit_Each_Dozen_100_Pack</f>
        <v>Supply Unit (e.g. Each, Dozen, 100-pack,etc.)</v>
      </c>
      <c r="F458" s="85" t="str">
        <f>Lang_Number_Of_Supply_Units_Required</f>
        <v>Number of Supply Units Required</v>
      </c>
      <c r="G458" s="63" t="str">
        <f ca="1">SUPV_Lu!$D$172&amp;" "&amp;Lang_Cost_Per_Activity_Unit&amp;" ("&amp;OFFSET(SUPV_Lu!$D$151,DD_LVL2_ACTV_5_Currency_Selected,0)&amp;")"</f>
        <v>Financial Cost per Activity Unit (USD)</v>
      </c>
      <c r="H458" s="63" t="str">
        <f ca="1">SUPV_Lu!$D$173&amp;" "&amp;Lang_Cost_Per_Activity_Unit&amp;" ("&amp;OFFSET(SUPV_Lu!$D$151,DD_LVL2_ACTV_5_Currency_Selected,0)&amp;")"</f>
        <v>Economic Cost per Activity Unit (USD)</v>
      </c>
      <c r="I458" s="87" t="str">
        <f>Lang_Evidence_For_Using_This_Cost_Information_Source_Or_Notes</f>
        <v>Evidence for Using this Cost Information (source or notes)</v>
      </c>
    </row>
    <row r="459" spans="1:10" s="10" customFormat="1" outlineLevel="1" x14ac:dyDescent="0.2">
      <c r="D459" s="62" t="s">
        <v>173</v>
      </c>
      <c r="E459" s="64"/>
      <c r="F459" s="19">
        <v>0</v>
      </c>
      <c r="G459" s="19">
        <v>0</v>
      </c>
      <c r="H459" s="19">
        <v>0</v>
      </c>
      <c r="I459" s="62" t="s">
        <v>162</v>
      </c>
      <c r="J459" s="42">
        <f t="shared" ref="J459:J468" si="18">IF(H459&lt;G459,1,0)</f>
        <v>0</v>
      </c>
    </row>
    <row r="460" spans="1:10" s="10" customFormat="1" outlineLevel="1" x14ac:dyDescent="0.2">
      <c r="D460" s="62" t="s">
        <v>174</v>
      </c>
      <c r="E460" s="64"/>
      <c r="F460" s="19">
        <v>0</v>
      </c>
      <c r="G460" s="19">
        <v>0</v>
      </c>
      <c r="H460" s="19">
        <v>0</v>
      </c>
      <c r="I460" s="62" t="s">
        <v>162</v>
      </c>
      <c r="J460" s="42">
        <f t="shared" si="18"/>
        <v>0</v>
      </c>
    </row>
    <row r="461" spans="1:10" s="10" customFormat="1" outlineLevel="1" x14ac:dyDescent="0.2">
      <c r="D461" s="62" t="s">
        <v>175</v>
      </c>
      <c r="E461" s="64"/>
      <c r="F461" s="19">
        <v>0</v>
      </c>
      <c r="G461" s="19">
        <v>0</v>
      </c>
      <c r="H461" s="19">
        <v>0</v>
      </c>
      <c r="I461" s="62" t="s">
        <v>162</v>
      </c>
      <c r="J461" s="42">
        <f t="shared" si="18"/>
        <v>0</v>
      </c>
    </row>
    <row r="462" spans="1:10" s="10" customFormat="1" outlineLevel="1" x14ac:dyDescent="0.2">
      <c r="D462" s="62" t="s">
        <v>176</v>
      </c>
      <c r="E462" s="64"/>
      <c r="F462" s="19">
        <v>0</v>
      </c>
      <c r="G462" s="19">
        <v>0</v>
      </c>
      <c r="H462" s="19">
        <v>0</v>
      </c>
      <c r="I462" s="62" t="s">
        <v>162</v>
      </c>
      <c r="J462" s="42">
        <f t="shared" si="18"/>
        <v>0</v>
      </c>
    </row>
    <row r="463" spans="1:10" s="10" customFormat="1" outlineLevel="1" x14ac:dyDescent="0.2">
      <c r="D463" s="62" t="s">
        <v>177</v>
      </c>
      <c r="E463" s="64"/>
      <c r="F463" s="19">
        <v>0</v>
      </c>
      <c r="G463" s="19">
        <v>0</v>
      </c>
      <c r="H463" s="19">
        <v>0</v>
      </c>
      <c r="I463" s="62" t="s">
        <v>162</v>
      </c>
      <c r="J463" s="42">
        <f t="shared" si="18"/>
        <v>0</v>
      </c>
    </row>
    <row r="464" spans="1:10" s="10" customFormat="1" outlineLevel="1" x14ac:dyDescent="0.2">
      <c r="D464" s="62" t="s">
        <v>178</v>
      </c>
      <c r="E464" s="64"/>
      <c r="F464" s="19">
        <v>0</v>
      </c>
      <c r="G464" s="19">
        <v>0</v>
      </c>
      <c r="H464" s="19">
        <v>0</v>
      </c>
      <c r="I464" s="62" t="s">
        <v>162</v>
      </c>
      <c r="J464" s="42">
        <f t="shared" si="18"/>
        <v>0</v>
      </c>
    </row>
    <row r="465" spans="1:10" s="10" customFormat="1" outlineLevel="1" x14ac:dyDescent="0.2">
      <c r="D465" s="62" t="s">
        <v>179</v>
      </c>
      <c r="E465" s="64"/>
      <c r="F465" s="19">
        <v>0</v>
      </c>
      <c r="G465" s="19">
        <v>0</v>
      </c>
      <c r="H465" s="19">
        <v>0</v>
      </c>
      <c r="I465" s="62" t="s">
        <v>162</v>
      </c>
      <c r="J465" s="42">
        <f t="shared" si="18"/>
        <v>0</v>
      </c>
    </row>
    <row r="466" spans="1:10" s="10" customFormat="1" outlineLevel="1" x14ac:dyDescent="0.2">
      <c r="D466" s="62" t="s">
        <v>180</v>
      </c>
      <c r="E466" s="64"/>
      <c r="F466" s="19">
        <v>0</v>
      </c>
      <c r="G466" s="19">
        <v>0</v>
      </c>
      <c r="H466" s="19">
        <v>0</v>
      </c>
      <c r="I466" s="62" t="s">
        <v>162</v>
      </c>
      <c r="J466" s="42">
        <f t="shared" si="18"/>
        <v>0</v>
      </c>
    </row>
    <row r="467" spans="1:10" s="10" customFormat="1" outlineLevel="1" x14ac:dyDescent="0.2">
      <c r="D467" s="62" t="s">
        <v>181</v>
      </c>
      <c r="E467" s="64"/>
      <c r="F467" s="19">
        <v>0</v>
      </c>
      <c r="G467" s="19">
        <v>0</v>
      </c>
      <c r="H467" s="19">
        <v>0</v>
      </c>
      <c r="I467" s="62" t="s">
        <v>162</v>
      </c>
      <c r="J467" s="42">
        <f t="shared" si="18"/>
        <v>0</v>
      </c>
    </row>
    <row r="468" spans="1:10" s="10" customFormat="1" outlineLevel="1" x14ac:dyDescent="0.2">
      <c r="D468" s="62" t="s">
        <v>182</v>
      </c>
      <c r="E468" s="64"/>
      <c r="F468" s="19">
        <v>0</v>
      </c>
      <c r="G468" s="19">
        <v>0</v>
      </c>
      <c r="H468" s="19">
        <v>0</v>
      </c>
      <c r="I468" s="62" t="s">
        <v>162</v>
      </c>
      <c r="J468" s="42">
        <f t="shared" si="18"/>
        <v>0</v>
      </c>
    </row>
    <row r="469" spans="1:10" s="10" customFormat="1" outlineLevel="1" x14ac:dyDescent="0.2">
      <c r="D469" s="55" t="str">
        <f>Lang_Error_Check_Flags_If_Input_Econ_Cost_Is_Less_Than_Fin_Cost</f>
        <v>ERROR CHECK (FLAGS IF INPUT ECONOMIC COST IS LESS THAN FINANCIAL COST)</v>
      </c>
      <c r="J469" s="43">
        <f>IF(ISERROR(SUM(J459:J468)),1,MIN(SUM(J459:J468),1))</f>
        <v>0</v>
      </c>
    </row>
    <row r="470" spans="1:10" s="10" customFormat="1" outlineLevel="1" x14ac:dyDescent="0.2"/>
    <row r="471" spans="1:10" s="10" customFormat="1" outlineLevel="1" x14ac:dyDescent="0.2">
      <c r="D471" s="47" t="str">
        <f>Lang_GoTo&amp;" "&amp;HL_LVL2_ACTV_5_Supplies_and_Materials_Outputs</f>
        <v>Go to SME Activity #5 (Not in Use) Supplies and Materials - Outputs</v>
      </c>
    </row>
    <row r="472" spans="1:10" s="10" customFormat="1" x14ac:dyDescent="0.2"/>
    <row r="473" spans="1:10" s="13" customFormat="1" x14ac:dyDescent="0.2">
      <c r="A473" s="6" t="s">
        <v>127</v>
      </c>
      <c r="B473" s="13" t="str">
        <f>C475</f>
        <v>SME Activity #5 (Not in Use) - Detailed Other Direct Cost Assumptions</v>
      </c>
    </row>
    <row r="474" spans="1:10" outlineLevel="1" x14ac:dyDescent="0.2"/>
    <row r="475" spans="1:10" s="10" customFormat="1" outlineLevel="1" x14ac:dyDescent="0.2">
      <c r="C475" s="18" t="str">
        <f>HL_LVL2_ACTV_5_Name&amp;" - "&amp;Lang_Detailed_Other_Direct_Cost_Assumptions</f>
        <v>SME Activity #5 (Not in Use) - Detailed Other Direct Cost Assumptions</v>
      </c>
    </row>
    <row r="476" spans="1:10" s="10" customFormat="1" ht="48" outlineLevel="1" x14ac:dyDescent="0.2">
      <c r="D476" s="55" t="str">
        <f>Lang_Other_Direct_Cost_ODC_Type</f>
        <v>Other Direct Cost (ODC) Type</v>
      </c>
      <c r="E476" s="85" t="str">
        <f>Lang_ODC_Unit_Each_Dozen_100_Pack</f>
        <v>ODC Unit (e.g. Each, Dozen, 100-pack,etc.)</v>
      </c>
      <c r="F476" s="85" t="str">
        <f>Lang_Number_Of_ODC_Units_Required</f>
        <v>Number of ODC Units Required</v>
      </c>
      <c r="G476" s="63" t="str">
        <f ca="1">SUPV_Lu!$D$172&amp;" "&amp;Lang_Cost_Per_Activity_Unit&amp;" ("&amp;OFFSET(SUPV_Lu!$D$151,DD_LVL2_ACTV_5_Currency_Selected,0)&amp;")"</f>
        <v>Financial Cost per Activity Unit (USD)</v>
      </c>
      <c r="H476" s="63" t="str">
        <f ca="1">SUPV_Lu!$D$173&amp;" "&amp;Lang_Cost_Per_Activity_Unit&amp;" ("&amp;OFFSET(SUPV_Lu!$D$151,DD_LVL2_ACTV_5_Currency_Selected,0)&amp;")"</f>
        <v>Economic Cost per Activity Unit (USD)</v>
      </c>
      <c r="I476" s="87" t="str">
        <f>Lang_Evidence_For_Using_This_Cost_Information_Source_Or_Notes</f>
        <v>Evidence for Using this Cost Information (source or notes)</v>
      </c>
    </row>
    <row r="477" spans="1:10" s="10" customFormat="1" outlineLevel="1" x14ac:dyDescent="0.2">
      <c r="D477" s="62" t="s">
        <v>183</v>
      </c>
      <c r="E477" s="64"/>
      <c r="F477" s="19">
        <v>0</v>
      </c>
      <c r="G477" s="19">
        <v>0</v>
      </c>
      <c r="H477" s="19">
        <v>0</v>
      </c>
      <c r="I477" s="62" t="s">
        <v>162</v>
      </c>
      <c r="J477" s="42">
        <f t="shared" ref="J477:J486" si="19">IF(H477&lt;G477,1,0)</f>
        <v>0</v>
      </c>
    </row>
    <row r="478" spans="1:10" s="10" customFormat="1" outlineLevel="1" x14ac:dyDescent="0.2">
      <c r="D478" s="62" t="s">
        <v>184</v>
      </c>
      <c r="E478" s="64"/>
      <c r="F478" s="19">
        <v>0</v>
      </c>
      <c r="G478" s="19">
        <v>0</v>
      </c>
      <c r="H478" s="19">
        <v>0</v>
      </c>
      <c r="I478" s="62" t="s">
        <v>162</v>
      </c>
      <c r="J478" s="42">
        <f t="shared" si="19"/>
        <v>0</v>
      </c>
    </row>
    <row r="479" spans="1:10" s="10" customFormat="1" outlineLevel="1" x14ac:dyDescent="0.2">
      <c r="D479" s="62" t="s">
        <v>185</v>
      </c>
      <c r="E479" s="64"/>
      <c r="F479" s="19">
        <v>0</v>
      </c>
      <c r="G479" s="19">
        <v>0</v>
      </c>
      <c r="H479" s="19">
        <v>0</v>
      </c>
      <c r="I479" s="62" t="s">
        <v>162</v>
      </c>
      <c r="J479" s="42">
        <f t="shared" si="19"/>
        <v>0</v>
      </c>
    </row>
    <row r="480" spans="1:10" s="10" customFormat="1" outlineLevel="1" x14ac:dyDescent="0.2">
      <c r="D480" s="62" t="s">
        <v>186</v>
      </c>
      <c r="E480" s="64"/>
      <c r="F480" s="19">
        <v>0</v>
      </c>
      <c r="G480" s="19">
        <v>0</v>
      </c>
      <c r="H480" s="19">
        <v>0</v>
      </c>
      <c r="I480" s="62" t="s">
        <v>162</v>
      </c>
      <c r="J480" s="42">
        <f t="shared" si="19"/>
        <v>0</v>
      </c>
    </row>
    <row r="481" spans="1:10" s="10" customFormat="1" outlineLevel="1" x14ac:dyDescent="0.2">
      <c r="D481" s="62" t="s">
        <v>187</v>
      </c>
      <c r="E481" s="64"/>
      <c r="F481" s="19">
        <v>0</v>
      </c>
      <c r="G481" s="19">
        <v>0</v>
      </c>
      <c r="H481" s="19">
        <v>0</v>
      </c>
      <c r="I481" s="62" t="s">
        <v>162</v>
      </c>
      <c r="J481" s="42">
        <f t="shared" si="19"/>
        <v>0</v>
      </c>
    </row>
    <row r="482" spans="1:10" s="10" customFormat="1" outlineLevel="1" x14ac:dyDescent="0.2">
      <c r="D482" s="62" t="s">
        <v>188</v>
      </c>
      <c r="E482" s="64"/>
      <c r="F482" s="19">
        <v>0</v>
      </c>
      <c r="G482" s="19">
        <v>0</v>
      </c>
      <c r="H482" s="19">
        <v>0</v>
      </c>
      <c r="I482" s="62" t="s">
        <v>162</v>
      </c>
      <c r="J482" s="42">
        <f t="shared" si="19"/>
        <v>0</v>
      </c>
    </row>
    <row r="483" spans="1:10" s="10" customFormat="1" outlineLevel="1" x14ac:dyDescent="0.2">
      <c r="D483" s="62" t="s">
        <v>189</v>
      </c>
      <c r="E483" s="64"/>
      <c r="F483" s="19">
        <v>0</v>
      </c>
      <c r="G483" s="19">
        <v>0</v>
      </c>
      <c r="H483" s="19">
        <v>0</v>
      </c>
      <c r="I483" s="62" t="s">
        <v>162</v>
      </c>
      <c r="J483" s="42">
        <f t="shared" si="19"/>
        <v>0</v>
      </c>
    </row>
    <row r="484" spans="1:10" s="10" customFormat="1" outlineLevel="1" x14ac:dyDescent="0.2">
      <c r="D484" s="62" t="s">
        <v>190</v>
      </c>
      <c r="E484" s="64"/>
      <c r="F484" s="19">
        <v>0</v>
      </c>
      <c r="G484" s="19">
        <v>0</v>
      </c>
      <c r="H484" s="19">
        <v>0</v>
      </c>
      <c r="I484" s="62" t="s">
        <v>162</v>
      </c>
      <c r="J484" s="42">
        <f t="shared" si="19"/>
        <v>0</v>
      </c>
    </row>
    <row r="485" spans="1:10" s="10" customFormat="1" outlineLevel="1" x14ac:dyDescent="0.2">
      <c r="D485" s="62" t="s">
        <v>191</v>
      </c>
      <c r="E485" s="64"/>
      <c r="F485" s="19">
        <v>0</v>
      </c>
      <c r="G485" s="19">
        <v>0</v>
      </c>
      <c r="H485" s="19">
        <v>0</v>
      </c>
      <c r="I485" s="62" t="s">
        <v>162</v>
      </c>
      <c r="J485" s="42">
        <f t="shared" si="19"/>
        <v>0</v>
      </c>
    </row>
    <row r="486" spans="1:10" s="10" customFormat="1" outlineLevel="1" x14ac:dyDescent="0.2">
      <c r="D486" s="62" t="s">
        <v>192</v>
      </c>
      <c r="E486" s="64"/>
      <c r="F486" s="19">
        <v>0</v>
      </c>
      <c r="G486" s="19">
        <v>0</v>
      </c>
      <c r="H486" s="19">
        <v>0</v>
      </c>
      <c r="I486" s="62" t="s">
        <v>162</v>
      </c>
      <c r="J486" s="42">
        <f t="shared" si="19"/>
        <v>0</v>
      </c>
    </row>
    <row r="487" spans="1:10" s="10" customFormat="1" outlineLevel="1" x14ac:dyDescent="0.2">
      <c r="D487" s="55" t="str">
        <f>Lang_Error_Check_Flags_If_Input_Econ_Cost_Is_Less_Than_Fin_Cost</f>
        <v>ERROR CHECK (FLAGS IF INPUT ECONOMIC COST IS LESS THAN FINANCIAL COST)</v>
      </c>
      <c r="J487" s="43">
        <f>IF(ISERROR(SUM(J477:J486)),1,MIN(SUM(J477:J486),1))</f>
        <v>0</v>
      </c>
    </row>
    <row r="488" spans="1:10" s="10" customFormat="1" outlineLevel="1" x14ac:dyDescent="0.2"/>
    <row r="489" spans="1:10" s="10" customFormat="1" outlineLevel="1" x14ac:dyDescent="0.2">
      <c r="D489" s="47" t="str">
        <f>Lang_GoTo&amp;" "&amp;HL_LVL2_ACTV_5_Other_Direct_Costs_Outputs</f>
        <v>Go to SME Activity #5 (Not in Use) Other Direct Costs - Outputs</v>
      </c>
    </row>
    <row r="491" spans="1:10" s="13" customFormat="1" x14ac:dyDescent="0.2">
      <c r="A491" s="6" t="s">
        <v>125</v>
      </c>
      <c r="B491" s="13" t="str">
        <f>C493</f>
        <v>SME Activity #6 (Not in Use) -  Detailed Activity Costing Worksheet - Instructions</v>
      </c>
    </row>
    <row r="492" spans="1:10" s="10" customFormat="1" outlineLevel="1" collapsed="1" x14ac:dyDescent="0.2"/>
    <row r="493" spans="1:10" s="10" customFormat="1" outlineLevel="1" x14ac:dyDescent="0.2">
      <c r="C493" s="71" t="str">
        <f>HL_LVL2_ACTV_14_Name&amp;" -  "&amp;Lang_Detailed_Activity_Costing_Worksheet_Instructions</f>
        <v>SME Activity #6 (Not in Use) -  Detailed Activity Costing Worksheet - Instructions</v>
      </c>
    </row>
    <row r="494" spans="1:10" s="10" customFormat="1" outlineLevel="1" x14ac:dyDescent="0.2"/>
    <row r="495" spans="1:10" s="10" customFormat="1" outlineLevel="1" x14ac:dyDescent="0.2">
      <c r="D495" s="50" t="str">
        <f>Lang_Detailed_Costing_Worksheets_Notes_1</f>
        <v>This detailed costing worksheet can be used to document the types and amounts of resources required to complete a single instance of an activity.</v>
      </c>
    </row>
    <row r="496" spans="1:10" s="10" customFormat="1" outlineLevel="1" x14ac:dyDescent="0.2">
      <c r="D496" s="50" t="str">
        <f>Lang_Detailed_Costing_Worksheets_Notes_2</f>
        <v>When completed, it will automatically provide a single activity cost in the general assumption worksheet.</v>
      </c>
    </row>
    <row r="497" spans="1:5" s="10" customFormat="1" outlineLevel="1" x14ac:dyDescent="0.2">
      <c r="D497" s="50" t="str">
        <f>Lang_Detailed_Costing_Worksheets_Notes_3</f>
        <v>The user may then choose to use the results of the detailed costing in the model, or override the detailed costing and insert alternate cost estimates.</v>
      </c>
    </row>
    <row r="498" spans="1:5" s="10" customFormat="1" outlineLevel="1" x14ac:dyDescent="0.2"/>
    <row r="499" spans="1:5" s="10" customFormat="1" x14ac:dyDescent="0.2"/>
    <row r="500" spans="1:5" s="13" customFormat="1" x14ac:dyDescent="0.2">
      <c r="A500" s="12" t="s">
        <v>125</v>
      </c>
      <c r="B500" s="13" t="str">
        <f>C502</f>
        <v>SME Activity #6 (Not in Use) - Detailed Activity Costing Worksheet - Currency Selection</v>
      </c>
    </row>
    <row r="501" spans="1:5" s="10" customFormat="1" outlineLevel="1" x14ac:dyDescent="0.2"/>
    <row r="502" spans="1:5" s="10" customFormat="1" outlineLevel="1" x14ac:dyDescent="0.2">
      <c r="C502" s="71" t="str">
        <f>HL_LVL2_ACTV_14_Name&amp;" - "&amp;Lang_Detailed_Activity_Costing_Worksheet_Currency_Selection</f>
        <v>SME Activity #6 (Not in Use) - Detailed Activity Costing Worksheet - Currency Selection</v>
      </c>
    </row>
    <row r="503" spans="1:5" s="10" customFormat="1" outlineLevel="1" x14ac:dyDescent="0.2"/>
    <row r="504" spans="1:5" s="10" customFormat="1" outlineLevel="1" x14ac:dyDescent="0.2">
      <c r="D504" s="55" t="str">
        <f>Lang_Currency_Used_For_Cost_Inputs</f>
        <v>Currency Used for Cost Inputs</v>
      </c>
      <c r="E504" s="72">
        <v>1</v>
      </c>
    </row>
    <row r="505" spans="1:5" s="10" customFormat="1" outlineLevel="1" x14ac:dyDescent="0.2"/>
    <row r="506" spans="1:5" s="10" customFormat="1" outlineLevel="1" x14ac:dyDescent="0.2"/>
    <row r="507" spans="1:5" s="10" customFormat="1" outlineLevel="1" x14ac:dyDescent="0.2">
      <c r="D507" s="54" t="str">
        <f>Lang_Imported_From_Econ_Module</f>
        <v>Imported from Econ Module</v>
      </c>
    </row>
    <row r="508" spans="1:5" s="10" customFormat="1" outlineLevel="1" x14ac:dyDescent="0.2">
      <c r="D508" s="49" t="str">
        <f>ECONOMICS!F7</f>
        <v>USD</v>
      </c>
    </row>
    <row r="509" spans="1:5" s="10" customFormat="1" outlineLevel="1" x14ac:dyDescent="0.2">
      <c r="D509" s="49" t="str">
        <f>ECONOMICS!F8</f>
        <v>LCU</v>
      </c>
    </row>
    <row r="510" spans="1:5" s="10" customFormat="1" outlineLevel="1" x14ac:dyDescent="0.2"/>
    <row r="511" spans="1:5" s="10" customFormat="1" outlineLevel="1" x14ac:dyDescent="0.2">
      <c r="D511" s="50" t="str">
        <f>Lang_Exchange_Rate_From_Econ</f>
        <v>Exchange Rate (from Economics)</v>
      </c>
      <c r="E511" s="41">
        <f>ECONOMICS!E13</f>
        <v>1234.5</v>
      </c>
    </row>
    <row r="513" spans="1:10" s="13" customFormat="1" x14ac:dyDescent="0.2">
      <c r="A513" s="6" t="s">
        <v>127</v>
      </c>
      <c r="B513" s="13" t="str">
        <f>C515</f>
        <v>SME Activity #6 (Not in Use) - Detailed Personnel Cost Assumptions</v>
      </c>
    </row>
    <row r="514" spans="1:10" outlineLevel="1" x14ac:dyDescent="0.2"/>
    <row r="515" spans="1:10" outlineLevel="1" x14ac:dyDescent="0.2">
      <c r="C515" s="18" t="str">
        <f>HL_LVL2_ACTV_14_Name&amp;" - "&amp;Lang_Detailed_Personnel_Cost_Assumptions</f>
        <v>SME Activity #6 (Not in Use) - Detailed Personnel Cost Assumptions</v>
      </c>
    </row>
    <row r="516" spans="1:10" ht="48" outlineLevel="1" x14ac:dyDescent="0.2">
      <c r="D516" s="55" t="str">
        <f>Lang_Personnel_Cadre_Type</f>
        <v>Personnel Cadre Type</v>
      </c>
      <c r="E516" s="85" t="str">
        <f>Lang_Activity_Unit_Day_Hour_Minute</f>
        <v>Activity Unit (e.g. Day, Hour, Minute)</v>
      </c>
      <c r="F516" s="85" t="str">
        <f>Lang_Number_Of_Activity_Units_Required</f>
        <v>Number of Activity Units Required</v>
      </c>
      <c r="G516" s="63" t="str">
        <f ca="1">SUPV_Lu!$D$207&amp;" "&amp;Lang_Cost_Per_Activity_Unit&amp;" ("&amp;OFFSET(SUPV_Lu!$D$186,DD_LVL2_ACTV_14_Currency_Selected,0)&amp;")"</f>
        <v>Financial Cost per Activity Unit (USD)</v>
      </c>
      <c r="H516" s="63" t="str">
        <f ca="1">SUPV_Lu!$D$208&amp;" "&amp;Lang_Cost_Per_Activity_Unit&amp;" ("&amp;OFFSET(SUPV_Lu!$D$186,DD_LVL2_ACTV_14_Currency_Selected,0)&amp;")"</f>
        <v>Economic Cost per Activity Unit (USD)</v>
      </c>
      <c r="I516" s="87" t="str">
        <f>Lang_Evidence_For_Using_This_Cost_Information_Source_Or_Notes</f>
        <v>Evidence for Using this Cost Information (source or notes)</v>
      </c>
    </row>
    <row r="517" spans="1:10" outlineLevel="1" x14ac:dyDescent="0.2">
      <c r="D517" s="62" t="s">
        <v>152</v>
      </c>
      <c r="E517" s="64"/>
      <c r="F517" s="19">
        <v>0</v>
      </c>
      <c r="G517" s="19">
        <v>0</v>
      </c>
      <c r="H517" s="19">
        <v>0</v>
      </c>
      <c r="I517" s="62" t="s">
        <v>162</v>
      </c>
      <c r="J517" s="42">
        <f t="shared" ref="J517:J531" si="20">IF(H517&lt;G517,1,0)</f>
        <v>0</v>
      </c>
    </row>
    <row r="518" spans="1:10" outlineLevel="1" x14ac:dyDescent="0.2">
      <c r="D518" s="62" t="s">
        <v>153</v>
      </c>
      <c r="E518" s="64"/>
      <c r="F518" s="19">
        <v>0</v>
      </c>
      <c r="G518" s="19">
        <v>0</v>
      </c>
      <c r="H518" s="19">
        <v>0</v>
      </c>
      <c r="I518" s="62" t="s">
        <v>162</v>
      </c>
      <c r="J518" s="42">
        <f t="shared" si="20"/>
        <v>0</v>
      </c>
    </row>
    <row r="519" spans="1:10" outlineLevel="1" x14ac:dyDescent="0.2">
      <c r="D519" s="62" t="s">
        <v>154</v>
      </c>
      <c r="E519" s="64"/>
      <c r="F519" s="19">
        <v>0</v>
      </c>
      <c r="G519" s="19">
        <v>0</v>
      </c>
      <c r="H519" s="19">
        <v>0</v>
      </c>
      <c r="I519" s="62" t="s">
        <v>162</v>
      </c>
      <c r="J519" s="42">
        <f t="shared" si="20"/>
        <v>0</v>
      </c>
    </row>
    <row r="520" spans="1:10" outlineLevel="1" x14ac:dyDescent="0.2">
      <c r="D520" s="62" t="s">
        <v>155</v>
      </c>
      <c r="E520" s="64"/>
      <c r="F520" s="19">
        <v>0</v>
      </c>
      <c r="G520" s="19">
        <v>0</v>
      </c>
      <c r="H520" s="19">
        <v>0</v>
      </c>
      <c r="I520" s="62" t="s">
        <v>162</v>
      </c>
      <c r="J520" s="42">
        <f t="shared" si="20"/>
        <v>0</v>
      </c>
    </row>
    <row r="521" spans="1:10" outlineLevel="1" x14ac:dyDescent="0.2">
      <c r="D521" s="62" t="s">
        <v>156</v>
      </c>
      <c r="E521" s="64"/>
      <c r="F521" s="19">
        <v>0</v>
      </c>
      <c r="G521" s="19">
        <v>0</v>
      </c>
      <c r="H521" s="19">
        <v>0</v>
      </c>
      <c r="I521" s="62" t="s">
        <v>162</v>
      </c>
      <c r="J521" s="42">
        <f t="shared" si="20"/>
        <v>0</v>
      </c>
    </row>
    <row r="522" spans="1:10" outlineLevel="1" x14ac:dyDescent="0.2">
      <c r="D522" s="62" t="s">
        <v>157</v>
      </c>
      <c r="E522" s="64"/>
      <c r="F522" s="19">
        <v>0</v>
      </c>
      <c r="G522" s="19">
        <v>0</v>
      </c>
      <c r="H522" s="19">
        <v>0</v>
      </c>
      <c r="I522" s="62" t="s">
        <v>162</v>
      </c>
      <c r="J522" s="42">
        <f t="shared" si="20"/>
        <v>0</v>
      </c>
    </row>
    <row r="523" spans="1:10" outlineLevel="1" x14ac:dyDescent="0.2">
      <c r="D523" s="62" t="s">
        <v>158</v>
      </c>
      <c r="E523" s="64"/>
      <c r="F523" s="19">
        <v>0</v>
      </c>
      <c r="G523" s="19">
        <v>0</v>
      </c>
      <c r="H523" s="19">
        <v>0</v>
      </c>
      <c r="I523" s="62" t="s">
        <v>162</v>
      </c>
      <c r="J523" s="42">
        <f t="shared" si="20"/>
        <v>0</v>
      </c>
    </row>
    <row r="524" spans="1:10" outlineLevel="1" x14ac:dyDescent="0.2">
      <c r="D524" s="62" t="s">
        <v>159</v>
      </c>
      <c r="E524" s="64"/>
      <c r="F524" s="19">
        <v>0</v>
      </c>
      <c r="G524" s="19">
        <v>0</v>
      </c>
      <c r="H524" s="19">
        <v>0</v>
      </c>
      <c r="I524" s="62" t="s">
        <v>162</v>
      </c>
      <c r="J524" s="42">
        <f t="shared" si="20"/>
        <v>0</v>
      </c>
    </row>
    <row r="525" spans="1:10" outlineLevel="1" x14ac:dyDescent="0.2">
      <c r="D525" s="62" t="s">
        <v>160</v>
      </c>
      <c r="E525" s="64"/>
      <c r="F525" s="19">
        <v>0</v>
      </c>
      <c r="G525" s="19">
        <v>0</v>
      </c>
      <c r="H525" s="19">
        <v>0</v>
      </c>
      <c r="I525" s="62" t="s">
        <v>162</v>
      </c>
      <c r="J525" s="42">
        <f t="shared" si="20"/>
        <v>0</v>
      </c>
    </row>
    <row r="526" spans="1:10" outlineLevel="1" x14ac:dyDescent="0.2">
      <c r="D526" s="62" t="s">
        <v>161</v>
      </c>
      <c r="E526" s="64"/>
      <c r="F526" s="19">
        <v>0</v>
      </c>
      <c r="G526" s="19">
        <v>0</v>
      </c>
      <c r="H526" s="19">
        <v>0</v>
      </c>
      <c r="I526" s="62" t="s">
        <v>162</v>
      </c>
      <c r="J526" s="42">
        <f t="shared" si="20"/>
        <v>0</v>
      </c>
    </row>
    <row r="527" spans="1:10" outlineLevel="1" x14ac:dyDescent="0.2">
      <c r="D527" s="62" t="s">
        <v>393</v>
      </c>
      <c r="E527" s="64"/>
      <c r="F527" s="19">
        <v>0</v>
      </c>
      <c r="G527" s="19">
        <v>0</v>
      </c>
      <c r="H527" s="19">
        <v>0</v>
      </c>
      <c r="I527" s="62" t="s">
        <v>162</v>
      </c>
      <c r="J527" s="42">
        <f t="shared" si="20"/>
        <v>0</v>
      </c>
    </row>
    <row r="528" spans="1:10" outlineLevel="1" x14ac:dyDescent="0.2">
      <c r="D528" s="62" t="s">
        <v>394</v>
      </c>
      <c r="E528" s="64"/>
      <c r="F528" s="19">
        <v>0</v>
      </c>
      <c r="G528" s="19">
        <v>0</v>
      </c>
      <c r="H528" s="19">
        <v>0</v>
      </c>
      <c r="I528" s="62" t="s">
        <v>162</v>
      </c>
      <c r="J528" s="42">
        <f t="shared" si="20"/>
        <v>0</v>
      </c>
    </row>
    <row r="529" spans="1:10" outlineLevel="1" x14ac:dyDescent="0.2">
      <c r="D529" s="62" t="s">
        <v>395</v>
      </c>
      <c r="E529" s="64"/>
      <c r="F529" s="19">
        <v>0</v>
      </c>
      <c r="G529" s="19">
        <v>0</v>
      </c>
      <c r="H529" s="19">
        <v>0</v>
      </c>
      <c r="I529" s="62" t="s">
        <v>162</v>
      </c>
      <c r="J529" s="42">
        <f t="shared" si="20"/>
        <v>0</v>
      </c>
    </row>
    <row r="530" spans="1:10" outlineLevel="1" x14ac:dyDescent="0.2">
      <c r="D530" s="62" t="s">
        <v>396</v>
      </c>
      <c r="E530" s="64"/>
      <c r="F530" s="19">
        <v>0</v>
      </c>
      <c r="G530" s="19">
        <v>0</v>
      </c>
      <c r="H530" s="19">
        <v>0</v>
      </c>
      <c r="I530" s="62" t="s">
        <v>162</v>
      </c>
      <c r="J530" s="42">
        <f t="shared" si="20"/>
        <v>0</v>
      </c>
    </row>
    <row r="531" spans="1:10" outlineLevel="1" x14ac:dyDescent="0.2">
      <c r="D531" s="62" t="s">
        <v>397</v>
      </c>
      <c r="E531" s="64"/>
      <c r="F531" s="19">
        <v>0</v>
      </c>
      <c r="G531" s="19">
        <v>0</v>
      </c>
      <c r="H531" s="19">
        <v>0</v>
      </c>
      <c r="I531" s="62" t="s">
        <v>162</v>
      </c>
      <c r="J531" s="42">
        <f t="shared" si="20"/>
        <v>0</v>
      </c>
    </row>
    <row r="532" spans="1:10" outlineLevel="1" x14ac:dyDescent="0.2">
      <c r="D532" s="55" t="str">
        <f>Lang_Error_Check_Flags_If_Input_Econ_Cost_Is_Less_Than_Fin_Cost</f>
        <v>ERROR CHECK (FLAGS IF INPUT ECONOMIC COST IS LESS THAN FINANCIAL COST)</v>
      </c>
      <c r="J532" s="43">
        <f>IF(ISERROR(SUM(J517:J531)),1,MIN(SUM(J517:J531),1))</f>
        <v>0</v>
      </c>
    </row>
    <row r="533" spans="1:10" outlineLevel="1" x14ac:dyDescent="0.2"/>
    <row r="534" spans="1:10" outlineLevel="1" x14ac:dyDescent="0.2">
      <c r="D534" s="47" t="str">
        <f>Lang_GoTo&amp;" "&amp;HL_LVL2_ACTV_14_Personnel_Outputs</f>
        <v>Go to SME Activity #6 (Not in Use) Personnel - Outputs</v>
      </c>
    </row>
    <row r="536" spans="1:10" s="13" customFormat="1" x14ac:dyDescent="0.2">
      <c r="A536" s="6" t="s">
        <v>127</v>
      </c>
      <c r="B536" s="13" t="str">
        <f>C538</f>
        <v>SME Activity #6 (Not in Use) - Detailed Allowance Cost Assumptions</v>
      </c>
    </row>
    <row r="537" spans="1:10" outlineLevel="1" x14ac:dyDescent="0.2"/>
    <row r="538" spans="1:10" outlineLevel="1" x14ac:dyDescent="0.2">
      <c r="C538" s="18" t="str">
        <f>HL_LVL2_ACTV_14_Name&amp;" - "&amp;Lang_Detailed_Allowance_Cost_Assumptions</f>
        <v>SME Activity #6 (Not in Use) - Detailed Allowance Cost Assumptions</v>
      </c>
    </row>
    <row r="539" spans="1:10" ht="48" outlineLevel="1" x14ac:dyDescent="0.2">
      <c r="D539" s="55" t="str">
        <f>Lang_Allowance_Type</f>
        <v>Allowance Type</v>
      </c>
      <c r="E539" s="85" t="str">
        <f>Lang_Allowance_Unit_Per_Day_Round_Trip_Travel</f>
        <v>Allowance Unit (e.g. Per Day, Round-trip Travel,etc.)</v>
      </c>
      <c r="F539" s="85" t="str">
        <f>Lang_Number_Of_Allowance_Units_Required</f>
        <v>Number of Allowance Units Required</v>
      </c>
      <c r="G539" s="63" t="str">
        <f ca="1">SUPV_Lu!$D$207&amp;" "&amp;Lang_Cost_Per_Activity_Unit&amp;" ("&amp;OFFSET(SUPV_Lu!$D$186,DD_LVL2_ACTV_14_Currency_Selected,0)&amp;")"</f>
        <v>Financial Cost per Activity Unit (USD)</v>
      </c>
      <c r="H539" s="63" t="str">
        <f ca="1">SUPV_Lu!$D$208&amp;" "&amp;Lang_Cost_Per_Activity_Unit&amp;" ("&amp;OFFSET(SUPV_Lu!$D$186,DD_LVL2_ACTV_14_Currency_Selected,0)&amp;")"</f>
        <v>Economic Cost per Activity Unit (USD)</v>
      </c>
      <c r="I539" s="87" t="str">
        <f>Lang_Evidence_For_Using_This_Cost_Information_Source_Or_Notes</f>
        <v>Evidence for Using this Cost Information (source or notes)</v>
      </c>
    </row>
    <row r="540" spans="1:10" outlineLevel="1" x14ac:dyDescent="0.2">
      <c r="D540" s="62" t="s">
        <v>163</v>
      </c>
      <c r="E540" s="64"/>
      <c r="F540" s="19">
        <v>0</v>
      </c>
      <c r="G540" s="19">
        <v>0</v>
      </c>
      <c r="H540" s="19">
        <v>0</v>
      </c>
      <c r="I540" s="62" t="s">
        <v>162</v>
      </c>
      <c r="J540" s="42">
        <f t="shared" ref="J540:J549" si="21">IF(H540&lt;G540,1,0)</f>
        <v>0</v>
      </c>
    </row>
    <row r="541" spans="1:10" outlineLevel="1" x14ac:dyDescent="0.2">
      <c r="D541" s="62" t="s">
        <v>164</v>
      </c>
      <c r="E541" s="64"/>
      <c r="F541" s="19">
        <v>0</v>
      </c>
      <c r="G541" s="19">
        <v>0</v>
      </c>
      <c r="H541" s="19">
        <v>0</v>
      </c>
      <c r="I541" s="62" t="s">
        <v>162</v>
      </c>
      <c r="J541" s="42">
        <f t="shared" si="21"/>
        <v>0</v>
      </c>
    </row>
    <row r="542" spans="1:10" outlineLevel="1" x14ac:dyDescent="0.2">
      <c r="D542" s="62" t="s">
        <v>165</v>
      </c>
      <c r="E542" s="64"/>
      <c r="F542" s="19">
        <v>0</v>
      </c>
      <c r="G542" s="19">
        <v>0</v>
      </c>
      <c r="H542" s="19">
        <v>0</v>
      </c>
      <c r="I542" s="62" t="s">
        <v>162</v>
      </c>
      <c r="J542" s="42">
        <f t="shared" si="21"/>
        <v>0</v>
      </c>
    </row>
    <row r="543" spans="1:10" outlineLevel="1" x14ac:dyDescent="0.2">
      <c r="D543" s="62" t="s">
        <v>166</v>
      </c>
      <c r="E543" s="64"/>
      <c r="F543" s="19">
        <v>0</v>
      </c>
      <c r="G543" s="19">
        <v>0</v>
      </c>
      <c r="H543" s="19">
        <v>0</v>
      </c>
      <c r="I543" s="62" t="s">
        <v>162</v>
      </c>
      <c r="J543" s="42">
        <f t="shared" si="21"/>
        <v>0</v>
      </c>
    </row>
    <row r="544" spans="1:10" outlineLevel="1" x14ac:dyDescent="0.2">
      <c r="D544" s="62" t="s">
        <v>167</v>
      </c>
      <c r="E544" s="64"/>
      <c r="F544" s="19">
        <v>0</v>
      </c>
      <c r="G544" s="19">
        <v>0</v>
      </c>
      <c r="H544" s="19">
        <v>0</v>
      </c>
      <c r="I544" s="62" t="s">
        <v>162</v>
      </c>
      <c r="J544" s="42">
        <f t="shared" si="21"/>
        <v>0</v>
      </c>
    </row>
    <row r="545" spans="1:10" outlineLevel="1" x14ac:dyDescent="0.2">
      <c r="D545" s="62" t="s">
        <v>168</v>
      </c>
      <c r="E545" s="64"/>
      <c r="F545" s="19">
        <v>0</v>
      </c>
      <c r="G545" s="19">
        <v>0</v>
      </c>
      <c r="H545" s="19">
        <v>0</v>
      </c>
      <c r="I545" s="62" t="s">
        <v>162</v>
      </c>
      <c r="J545" s="42">
        <f t="shared" si="21"/>
        <v>0</v>
      </c>
    </row>
    <row r="546" spans="1:10" outlineLevel="1" x14ac:dyDescent="0.2">
      <c r="D546" s="62" t="s">
        <v>169</v>
      </c>
      <c r="E546" s="64"/>
      <c r="F546" s="19">
        <v>0</v>
      </c>
      <c r="G546" s="19">
        <v>0</v>
      </c>
      <c r="H546" s="19">
        <v>0</v>
      </c>
      <c r="I546" s="62" t="s">
        <v>162</v>
      </c>
      <c r="J546" s="42">
        <f t="shared" si="21"/>
        <v>0</v>
      </c>
    </row>
    <row r="547" spans="1:10" outlineLevel="1" x14ac:dyDescent="0.2">
      <c r="D547" s="62" t="s">
        <v>170</v>
      </c>
      <c r="E547" s="64"/>
      <c r="F547" s="19">
        <v>0</v>
      </c>
      <c r="G547" s="19">
        <v>0</v>
      </c>
      <c r="H547" s="19">
        <v>0</v>
      </c>
      <c r="I547" s="62" t="s">
        <v>162</v>
      </c>
      <c r="J547" s="42">
        <f t="shared" si="21"/>
        <v>0</v>
      </c>
    </row>
    <row r="548" spans="1:10" outlineLevel="1" x14ac:dyDescent="0.2">
      <c r="D548" s="62" t="s">
        <v>171</v>
      </c>
      <c r="E548" s="64"/>
      <c r="F548" s="19">
        <v>0</v>
      </c>
      <c r="G548" s="19">
        <v>0</v>
      </c>
      <c r="H548" s="19">
        <v>0</v>
      </c>
      <c r="I548" s="62" t="s">
        <v>162</v>
      </c>
      <c r="J548" s="42">
        <f t="shared" si="21"/>
        <v>0</v>
      </c>
    </row>
    <row r="549" spans="1:10" outlineLevel="1" x14ac:dyDescent="0.2">
      <c r="D549" s="62" t="s">
        <v>172</v>
      </c>
      <c r="E549" s="64"/>
      <c r="F549" s="19">
        <v>0</v>
      </c>
      <c r="G549" s="19">
        <v>0</v>
      </c>
      <c r="H549" s="19">
        <v>0</v>
      </c>
      <c r="I549" s="62" t="s">
        <v>162</v>
      </c>
      <c r="J549" s="42">
        <f t="shared" si="21"/>
        <v>0</v>
      </c>
    </row>
    <row r="550" spans="1:10" outlineLevel="1" x14ac:dyDescent="0.2">
      <c r="D550" s="55" t="str">
        <f>Lang_Error_Check_Flags_If_Input_Econ_Cost_Is_Less_Than_Fin_Cost</f>
        <v>ERROR CHECK (FLAGS IF INPUT ECONOMIC COST IS LESS THAN FINANCIAL COST)</v>
      </c>
      <c r="J550" s="43">
        <f>IF(ISERROR(SUM(J540:J549)),1,MIN(SUM(J540:J549),1))</f>
        <v>0</v>
      </c>
    </row>
    <row r="551" spans="1:10" outlineLevel="1" x14ac:dyDescent="0.2"/>
    <row r="552" spans="1:10" outlineLevel="1" x14ac:dyDescent="0.2">
      <c r="D552" s="47" t="str">
        <f>Lang_GoTo&amp;" "&amp;HL_LVL2_ACTV_14_Out_A</f>
        <v>Go to SME Activity #6 (Not in Use) Allowances - Outputs</v>
      </c>
    </row>
    <row r="554" spans="1:10" s="13" customFormat="1" x14ac:dyDescent="0.2">
      <c r="A554" s="6" t="s">
        <v>127</v>
      </c>
      <c r="B554" s="13" t="str">
        <f>C556</f>
        <v>SME Activity #6 (Not in Use) - Detailed Supply and Material Cost Assumptions</v>
      </c>
    </row>
    <row r="555" spans="1:10" outlineLevel="1" x14ac:dyDescent="0.2"/>
    <row r="556" spans="1:10" outlineLevel="1" x14ac:dyDescent="0.2">
      <c r="C556" s="18" t="str">
        <f>HL_LVL2_ACTV_14_Name&amp;" - "&amp;Lang_Detailed_Supply_And_Material_Cost_Assumptions</f>
        <v>SME Activity #6 (Not in Use) - Detailed Supply and Material Cost Assumptions</v>
      </c>
    </row>
    <row r="557" spans="1:10" ht="48" outlineLevel="1" x14ac:dyDescent="0.2">
      <c r="D557" s="55" t="str">
        <f>Lang_Supply_Type</f>
        <v>Supply Type</v>
      </c>
      <c r="E557" s="85" t="str">
        <f>Lang_Supply_Unit_Each_Dozen_100_Pack</f>
        <v>Supply Unit (e.g. Each, Dozen, 100-pack,etc.)</v>
      </c>
      <c r="F557" s="85" t="str">
        <f>Lang_Number_Of_Supply_Units_Required</f>
        <v>Number of Supply Units Required</v>
      </c>
      <c r="G557" s="63" t="str">
        <f ca="1">SUPV_Lu!$D$207&amp;" "&amp;Lang_Cost_Per_Activity_Unit&amp;" ("&amp;OFFSET(SUPV_Lu!$D$186,DD_LVL2_ACTV_14_Currency_Selected,0)&amp;")"</f>
        <v>Financial Cost per Activity Unit (USD)</v>
      </c>
      <c r="H557" s="63" t="str">
        <f ca="1">SUPV_Lu!$D$208&amp;" "&amp;Lang_Cost_Per_Activity_Unit&amp;" ("&amp;OFFSET(SUPV_Lu!$D$186,DD_LVL2_ACTV_14_Currency_Selected,0)&amp;")"</f>
        <v>Economic Cost per Activity Unit (USD)</v>
      </c>
      <c r="I557" s="87" t="str">
        <f>Lang_Evidence_For_Using_This_Cost_Information_Source_Or_Notes</f>
        <v>Evidence for Using this Cost Information (source or notes)</v>
      </c>
    </row>
    <row r="558" spans="1:10" outlineLevel="1" x14ac:dyDescent="0.2">
      <c r="D558" s="62" t="s">
        <v>173</v>
      </c>
      <c r="E558" s="64"/>
      <c r="F558" s="19">
        <v>0</v>
      </c>
      <c r="G558" s="19">
        <v>0</v>
      </c>
      <c r="H558" s="19">
        <v>0</v>
      </c>
      <c r="I558" s="62" t="s">
        <v>162</v>
      </c>
      <c r="J558" s="42">
        <f t="shared" ref="J558:J567" si="22">IF(H558&lt;G558,1,0)</f>
        <v>0</v>
      </c>
    </row>
    <row r="559" spans="1:10" outlineLevel="1" x14ac:dyDescent="0.2">
      <c r="D559" s="62" t="s">
        <v>174</v>
      </c>
      <c r="E559" s="64"/>
      <c r="F559" s="19">
        <v>0</v>
      </c>
      <c r="G559" s="19">
        <v>0</v>
      </c>
      <c r="H559" s="19">
        <v>0</v>
      </c>
      <c r="I559" s="62" t="s">
        <v>162</v>
      </c>
      <c r="J559" s="42">
        <f t="shared" si="22"/>
        <v>0</v>
      </c>
    </row>
    <row r="560" spans="1:10" outlineLevel="1" x14ac:dyDescent="0.2">
      <c r="D560" s="62" t="s">
        <v>175</v>
      </c>
      <c r="E560" s="64"/>
      <c r="F560" s="19">
        <v>0</v>
      </c>
      <c r="G560" s="19">
        <v>0</v>
      </c>
      <c r="H560" s="19">
        <v>0</v>
      </c>
      <c r="I560" s="62" t="s">
        <v>162</v>
      </c>
      <c r="J560" s="42">
        <f t="shared" si="22"/>
        <v>0</v>
      </c>
    </row>
    <row r="561" spans="1:10" outlineLevel="1" x14ac:dyDescent="0.2">
      <c r="D561" s="62" t="s">
        <v>176</v>
      </c>
      <c r="E561" s="64"/>
      <c r="F561" s="19">
        <v>0</v>
      </c>
      <c r="G561" s="19">
        <v>0</v>
      </c>
      <c r="H561" s="19">
        <v>0</v>
      </c>
      <c r="I561" s="62" t="s">
        <v>162</v>
      </c>
      <c r="J561" s="42">
        <f t="shared" si="22"/>
        <v>0</v>
      </c>
    </row>
    <row r="562" spans="1:10" outlineLevel="1" x14ac:dyDescent="0.2">
      <c r="D562" s="62" t="s">
        <v>177</v>
      </c>
      <c r="E562" s="64"/>
      <c r="F562" s="19">
        <v>0</v>
      </c>
      <c r="G562" s="19">
        <v>0</v>
      </c>
      <c r="H562" s="19">
        <v>0</v>
      </c>
      <c r="I562" s="62" t="s">
        <v>162</v>
      </c>
      <c r="J562" s="42">
        <f t="shared" si="22"/>
        <v>0</v>
      </c>
    </row>
    <row r="563" spans="1:10" outlineLevel="1" x14ac:dyDescent="0.2">
      <c r="D563" s="62" t="s">
        <v>178</v>
      </c>
      <c r="E563" s="64"/>
      <c r="F563" s="19">
        <v>0</v>
      </c>
      <c r="G563" s="19">
        <v>0</v>
      </c>
      <c r="H563" s="19">
        <v>0</v>
      </c>
      <c r="I563" s="62" t="s">
        <v>162</v>
      </c>
      <c r="J563" s="42">
        <f t="shared" si="22"/>
        <v>0</v>
      </c>
    </row>
    <row r="564" spans="1:10" outlineLevel="1" x14ac:dyDescent="0.2">
      <c r="D564" s="62" t="s">
        <v>179</v>
      </c>
      <c r="E564" s="64"/>
      <c r="F564" s="19">
        <v>0</v>
      </c>
      <c r="G564" s="19">
        <v>0</v>
      </c>
      <c r="H564" s="19">
        <v>0</v>
      </c>
      <c r="I564" s="62" t="s">
        <v>162</v>
      </c>
      <c r="J564" s="42">
        <f t="shared" si="22"/>
        <v>0</v>
      </c>
    </row>
    <row r="565" spans="1:10" outlineLevel="1" x14ac:dyDescent="0.2">
      <c r="D565" s="62" t="s">
        <v>180</v>
      </c>
      <c r="E565" s="64"/>
      <c r="F565" s="19">
        <v>0</v>
      </c>
      <c r="G565" s="19">
        <v>0</v>
      </c>
      <c r="H565" s="19">
        <v>0</v>
      </c>
      <c r="I565" s="62" t="s">
        <v>162</v>
      </c>
      <c r="J565" s="42">
        <f t="shared" si="22"/>
        <v>0</v>
      </c>
    </row>
    <row r="566" spans="1:10" outlineLevel="1" x14ac:dyDescent="0.2">
      <c r="D566" s="62" t="s">
        <v>181</v>
      </c>
      <c r="E566" s="64"/>
      <c r="F566" s="19">
        <v>0</v>
      </c>
      <c r="G566" s="19">
        <v>0</v>
      </c>
      <c r="H566" s="19">
        <v>0</v>
      </c>
      <c r="I566" s="62" t="s">
        <v>162</v>
      </c>
      <c r="J566" s="42">
        <f t="shared" si="22"/>
        <v>0</v>
      </c>
    </row>
    <row r="567" spans="1:10" outlineLevel="1" x14ac:dyDescent="0.2">
      <c r="D567" s="62" t="s">
        <v>182</v>
      </c>
      <c r="E567" s="64"/>
      <c r="F567" s="19">
        <v>0</v>
      </c>
      <c r="G567" s="19">
        <v>0</v>
      </c>
      <c r="H567" s="19">
        <v>0</v>
      </c>
      <c r="I567" s="62" t="s">
        <v>162</v>
      </c>
      <c r="J567" s="42">
        <f t="shared" si="22"/>
        <v>0</v>
      </c>
    </row>
    <row r="568" spans="1:10" outlineLevel="1" x14ac:dyDescent="0.2">
      <c r="D568" s="55" t="str">
        <f>Lang_Error_Check_Flags_If_Input_Econ_Cost_Is_Less_Than_Fin_Cost</f>
        <v>ERROR CHECK (FLAGS IF INPUT ECONOMIC COST IS LESS THAN FINANCIAL COST)</v>
      </c>
      <c r="J568" s="43">
        <f>IF(ISERROR(SUM(J558:J567)),1,MIN(SUM(J558:J567),1))</f>
        <v>0</v>
      </c>
    </row>
    <row r="569" spans="1:10" outlineLevel="1" x14ac:dyDescent="0.2"/>
    <row r="570" spans="1:10" outlineLevel="1" x14ac:dyDescent="0.2">
      <c r="D570" s="47" t="str">
        <f>Lang_GoTo&amp;" "&amp;HL_LVL2_ACTV_14_Supplies_and_Materials_Outputs</f>
        <v>Go to SME Activity #6 (Not in Use) Supplies and Materials - Outputs</v>
      </c>
    </row>
    <row r="572" spans="1:10" s="13" customFormat="1" x14ac:dyDescent="0.2">
      <c r="A572" s="6" t="s">
        <v>127</v>
      </c>
      <c r="B572" s="13" t="str">
        <f>C574</f>
        <v>SME Activity #6 (Not in Use) - Detailed Other Direct Cost Assumptions</v>
      </c>
    </row>
    <row r="573" spans="1:10" outlineLevel="1" x14ac:dyDescent="0.2"/>
    <row r="574" spans="1:10" outlineLevel="1" x14ac:dyDescent="0.2">
      <c r="C574" s="18" t="str">
        <f>HL_LVL2_ACTV_14_Name&amp;" - "&amp;Lang_Detailed_Other_Direct_Cost_Assumptions</f>
        <v>SME Activity #6 (Not in Use) - Detailed Other Direct Cost Assumptions</v>
      </c>
    </row>
    <row r="575" spans="1:10" ht="48" outlineLevel="1" x14ac:dyDescent="0.2">
      <c r="D575" s="55" t="str">
        <f>Lang_Other_Direct_Cost_ODC_Type</f>
        <v>Other Direct Cost (ODC) Type</v>
      </c>
      <c r="E575" s="85" t="str">
        <f>Lang_ODC_Unit_Each_Dozen_100_Pack</f>
        <v>ODC Unit (e.g. Each, Dozen, 100-pack,etc.)</v>
      </c>
      <c r="F575" s="85" t="str">
        <f>Lang_Number_Of_ODC_Units_Required</f>
        <v>Number of ODC Units Required</v>
      </c>
      <c r="G575" s="63" t="str">
        <f ca="1">SUPV_Lu!$D$207&amp;" "&amp;Lang_Cost_Per_Activity_Unit&amp;" ("&amp;OFFSET(SUPV_Lu!$D$186,DD_LVL2_ACTV_14_Currency_Selected,0)&amp;")"</f>
        <v>Financial Cost per Activity Unit (USD)</v>
      </c>
      <c r="H575" s="63" t="str">
        <f ca="1">SUPV_Lu!$D$208&amp;" "&amp;Lang_Cost_Per_Activity_Unit&amp;" ("&amp;OFFSET(SUPV_Lu!$D$186,DD_LVL2_ACTV_14_Currency_Selected,0)&amp;")"</f>
        <v>Economic Cost per Activity Unit (USD)</v>
      </c>
      <c r="I575" s="87" t="str">
        <f>Lang_Evidence_For_Using_This_Cost_Information_Source_Or_Notes</f>
        <v>Evidence for Using this Cost Information (source or notes)</v>
      </c>
    </row>
    <row r="576" spans="1:10" outlineLevel="1" x14ac:dyDescent="0.2">
      <c r="D576" s="62" t="s">
        <v>183</v>
      </c>
      <c r="E576" s="64"/>
      <c r="F576" s="19">
        <v>0</v>
      </c>
      <c r="G576" s="19">
        <v>0</v>
      </c>
      <c r="H576" s="19">
        <v>0</v>
      </c>
      <c r="I576" s="62" t="s">
        <v>162</v>
      </c>
      <c r="J576" s="42">
        <f t="shared" ref="J576:J585" si="23">IF(H576&lt;G576,1,0)</f>
        <v>0</v>
      </c>
    </row>
    <row r="577" spans="1:10" outlineLevel="1" x14ac:dyDescent="0.2">
      <c r="D577" s="62" t="s">
        <v>184</v>
      </c>
      <c r="E577" s="64"/>
      <c r="F577" s="19">
        <v>0</v>
      </c>
      <c r="G577" s="19">
        <v>0</v>
      </c>
      <c r="H577" s="19">
        <v>0</v>
      </c>
      <c r="I577" s="62" t="s">
        <v>162</v>
      </c>
      <c r="J577" s="42">
        <f t="shared" si="23"/>
        <v>0</v>
      </c>
    </row>
    <row r="578" spans="1:10" outlineLevel="1" x14ac:dyDescent="0.2">
      <c r="D578" s="62" t="s">
        <v>185</v>
      </c>
      <c r="E578" s="64"/>
      <c r="F578" s="19">
        <v>0</v>
      </c>
      <c r="G578" s="19">
        <v>0</v>
      </c>
      <c r="H578" s="19">
        <v>0</v>
      </c>
      <c r="I578" s="62" t="s">
        <v>162</v>
      </c>
      <c r="J578" s="42">
        <f t="shared" si="23"/>
        <v>0</v>
      </c>
    </row>
    <row r="579" spans="1:10" outlineLevel="1" x14ac:dyDescent="0.2">
      <c r="D579" s="62" t="s">
        <v>186</v>
      </c>
      <c r="E579" s="64"/>
      <c r="F579" s="19">
        <v>0</v>
      </c>
      <c r="G579" s="19">
        <v>0</v>
      </c>
      <c r="H579" s="19">
        <v>0</v>
      </c>
      <c r="I579" s="62" t="s">
        <v>162</v>
      </c>
      <c r="J579" s="42">
        <f t="shared" si="23"/>
        <v>0</v>
      </c>
    </row>
    <row r="580" spans="1:10" outlineLevel="1" x14ac:dyDescent="0.2">
      <c r="D580" s="62" t="s">
        <v>187</v>
      </c>
      <c r="E580" s="64"/>
      <c r="F580" s="19">
        <v>0</v>
      </c>
      <c r="G580" s="19">
        <v>0</v>
      </c>
      <c r="H580" s="19">
        <v>0</v>
      </c>
      <c r="I580" s="62" t="s">
        <v>162</v>
      </c>
      <c r="J580" s="42">
        <f t="shared" si="23"/>
        <v>0</v>
      </c>
    </row>
    <row r="581" spans="1:10" outlineLevel="1" x14ac:dyDescent="0.2">
      <c r="D581" s="62" t="s">
        <v>188</v>
      </c>
      <c r="E581" s="64"/>
      <c r="F581" s="19">
        <v>0</v>
      </c>
      <c r="G581" s="19">
        <v>0</v>
      </c>
      <c r="H581" s="19">
        <v>0</v>
      </c>
      <c r="I581" s="62" t="s">
        <v>162</v>
      </c>
      <c r="J581" s="42">
        <f t="shared" si="23"/>
        <v>0</v>
      </c>
    </row>
    <row r="582" spans="1:10" outlineLevel="1" x14ac:dyDescent="0.2">
      <c r="D582" s="62" t="s">
        <v>189</v>
      </c>
      <c r="E582" s="64"/>
      <c r="F582" s="19">
        <v>0</v>
      </c>
      <c r="G582" s="19">
        <v>0</v>
      </c>
      <c r="H582" s="19">
        <v>0</v>
      </c>
      <c r="I582" s="62" t="s">
        <v>162</v>
      </c>
      <c r="J582" s="42">
        <f t="shared" si="23"/>
        <v>0</v>
      </c>
    </row>
    <row r="583" spans="1:10" outlineLevel="1" x14ac:dyDescent="0.2">
      <c r="D583" s="62" t="s">
        <v>190</v>
      </c>
      <c r="E583" s="64"/>
      <c r="F583" s="19">
        <v>0</v>
      </c>
      <c r="G583" s="19">
        <v>0</v>
      </c>
      <c r="H583" s="19">
        <v>0</v>
      </c>
      <c r="I583" s="62" t="s">
        <v>162</v>
      </c>
      <c r="J583" s="42">
        <f t="shared" si="23"/>
        <v>0</v>
      </c>
    </row>
    <row r="584" spans="1:10" outlineLevel="1" x14ac:dyDescent="0.2">
      <c r="D584" s="62" t="s">
        <v>191</v>
      </c>
      <c r="E584" s="64"/>
      <c r="F584" s="19">
        <v>0</v>
      </c>
      <c r="G584" s="19">
        <v>0</v>
      </c>
      <c r="H584" s="19">
        <v>0</v>
      </c>
      <c r="I584" s="62" t="s">
        <v>162</v>
      </c>
      <c r="J584" s="42">
        <f t="shared" si="23"/>
        <v>0</v>
      </c>
    </row>
    <row r="585" spans="1:10" outlineLevel="1" x14ac:dyDescent="0.2">
      <c r="D585" s="62" t="s">
        <v>192</v>
      </c>
      <c r="E585" s="64"/>
      <c r="F585" s="19">
        <v>0</v>
      </c>
      <c r="G585" s="19">
        <v>0</v>
      </c>
      <c r="H585" s="19">
        <v>0</v>
      </c>
      <c r="I585" s="62" t="s">
        <v>162</v>
      </c>
      <c r="J585" s="42">
        <f t="shared" si="23"/>
        <v>0</v>
      </c>
    </row>
    <row r="586" spans="1:10" outlineLevel="1" x14ac:dyDescent="0.2">
      <c r="D586" s="55" t="str">
        <f>Lang_Error_Check_Flags_If_Input_Econ_Cost_Is_Less_Than_Fin_Cost</f>
        <v>ERROR CHECK (FLAGS IF INPUT ECONOMIC COST IS LESS THAN FINANCIAL COST)</v>
      </c>
      <c r="J586" s="43">
        <f>IF(ISERROR(SUM(J576:J585)),1,MIN(SUM(J576:J585),1))</f>
        <v>0</v>
      </c>
    </row>
    <row r="587" spans="1:10" outlineLevel="1" x14ac:dyDescent="0.2"/>
    <row r="588" spans="1:10" outlineLevel="1" x14ac:dyDescent="0.2">
      <c r="D588" s="47" t="str">
        <f>Lang_GoTo&amp;" "&amp;HL_LVL2_ACTV_14_Other_Direct_Costs_Outputs</f>
        <v>Go to SME Activity #6 (Not in Use) Other Direct Costs - Outputs</v>
      </c>
    </row>
    <row r="589" spans="1:10" s="10" customFormat="1" x14ac:dyDescent="0.2"/>
    <row r="590" spans="1:10" s="13" customFormat="1" x14ac:dyDescent="0.2">
      <c r="A590" s="12" t="s">
        <v>125</v>
      </c>
      <c r="B590" s="13" t="str">
        <f>C592</f>
        <v>SME Activity #7 (Not in Use) -  Detailed Activity Costing Worksheet - Instructions</v>
      </c>
    </row>
    <row r="591" spans="1:10" s="10" customFormat="1" outlineLevel="1" x14ac:dyDescent="0.2"/>
    <row r="592" spans="1:10" s="10" customFormat="1" outlineLevel="1" x14ac:dyDescent="0.2">
      <c r="C592" s="71" t="str">
        <f>HL_LVL2_ACTV_15_Name&amp;" -  "&amp;Lang_Detailed_Activity_Costing_Worksheet_Instructions</f>
        <v>SME Activity #7 (Not in Use) -  Detailed Activity Costing Worksheet - Instructions</v>
      </c>
    </row>
    <row r="593" spans="1:5" s="10" customFormat="1" outlineLevel="1" x14ac:dyDescent="0.2"/>
    <row r="594" spans="1:5" s="10" customFormat="1" outlineLevel="1" x14ac:dyDescent="0.2">
      <c r="D594" s="50" t="str">
        <f>Lang_Detailed_Costing_Worksheets_Notes_1</f>
        <v>This detailed costing worksheet can be used to document the types and amounts of resources required to complete a single instance of an activity.</v>
      </c>
    </row>
    <row r="595" spans="1:5" s="10" customFormat="1" outlineLevel="1" x14ac:dyDescent="0.2">
      <c r="D595" s="50" t="str">
        <f>Lang_Detailed_Costing_Worksheets_Notes_2</f>
        <v>When completed, it will automatically provide a single activity cost in the general assumption worksheet.</v>
      </c>
    </row>
    <row r="596" spans="1:5" s="10" customFormat="1" outlineLevel="1" x14ac:dyDescent="0.2">
      <c r="D596" s="50" t="str">
        <f>Lang_Detailed_Costing_Worksheets_Notes_3</f>
        <v>The user may then choose to use the results of the detailed costing in the model, or override the detailed costing and insert alternate cost estimates.</v>
      </c>
    </row>
    <row r="597" spans="1:5" s="10" customFormat="1" outlineLevel="1" x14ac:dyDescent="0.2"/>
    <row r="598" spans="1:5" s="10" customFormat="1" x14ac:dyDescent="0.2"/>
    <row r="599" spans="1:5" s="13" customFormat="1" x14ac:dyDescent="0.2">
      <c r="A599" s="12" t="s">
        <v>125</v>
      </c>
      <c r="B599" s="13" t="str">
        <f>C601</f>
        <v>SME Activity #7 (Not in Use) - Detailed Activity Costing Worksheet - Currency Selection</v>
      </c>
    </row>
    <row r="600" spans="1:5" s="10" customFormat="1" outlineLevel="1" x14ac:dyDescent="0.2"/>
    <row r="601" spans="1:5" s="10" customFormat="1" outlineLevel="1" x14ac:dyDescent="0.2">
      <c r="C601" s="71" t="str">
        <f>HL_LVL2_ACTV_15_Name&amp;" - "&amp;Lang_Detailed_Activity_Costing_Worksheet_Currency_Selection</f>
        <v>SME Activity #7 (Not in Use) - Detailed Activity Costing Worksheet - Currency Selection</v>
      </c>
    </row>
    <row r="602" spans="1:5" s="10" customFormat="1" outlineLevel="1" x14ac:dyDescent="0.2"/>
    <row r="603" spans="1:5" s="10" customFormat="1" outlineLevel="1" x14ac:dyDescent="0.2">
      <c r="D603" s="55" t="str">
        <f>Lang_Currency_Used_For_Cost_Inputs</f>
        <v>Currency Used for Cost Inputs</v>
      </c>
      <c r="E603" s="72">
        <v>1</v>
      </c>
    </row>
    <row r="604" spans="1:5" s="10" customFormat="1" outlineLevel="1" x14ac:dyDescent="0.2"/>
    <row r="605" spans="1:5" s="10" customFormat="1" outlineLevel="1" x14ac:dyDescent="0.2"/>
    <row r="606" spans="1:5" s="10" customFormat="1" outlineLevel="1" x14ac:dyDescent="0.2">
      <c r="D606" s="54" t="str">
        <f>Lang_Imported_From_Econ_Module</f>
        <v>Imported from Econ Module</v>
      </c>
    </row>
    <row r="607" spans="1:5" s="10" customFormat="1" outlineLevel="1" x14ac:dyDescent="0.2">
      <c r="D607" s="49" t="str">
        <f>ECONOMICS!F7</f>
        <v>USD</v>
      </c>
    </row>
    <row r="608" spans="1:5" s="10" customFormat="1" outlineLevel="1" x14ac:dyDescent="0.2">
      <c r="D608" s="49" t="str">
        <f>ECONOMICS!F8</f>
        <v>LCU</v>
      </c>
    </row>
    <row r="609" spans="1:10" s="10" customFormat="1" outlineLevel="1" x14ac:dyDescent="0.2"/>
    <row r="610" spans="1:10" s="10" customFormat="1" outlineLevel="1" x14ac:dyDescent="0.2">
      <c r="D610" s="50" t="str">
        <f>Lang_Exchange_Rate_From_Econ</f>
        <v>Exchange Rate (from Economics)</v>
      </c>
      <c r="E610" s="41">
        <f>ECONOMICS!E13</f>
        <v>1234.5</v>
      </c>
    </row>
    <row r="612" spans="1:10" s="13" customFormat="1" x14ac:dyDescent="0.2">
      <c r="A612" s="6" t="s">
        <v>127</v>
      </c>
      <c r="B612" s="13" t="str">
        <f>C614</f>
        <v>SME Activity #7 (Not in Use) - Detailed Personnel Cost Assumptions</v>
      </c>
    </row>
    <row r="613" spans="1:10" outlineLevel="1" x14ac:dyDescent="0.2"/>
    <row r="614" spans="1:10" outlineLevel="1" x14ac:dyDescent="0.2">
      <c r="C614" s="18" t="str">
        <f>HL_LVL2_ACTV_15_Name&amp;" - "&amp;Lang_Detailed_Personnel_Cost_Assumptions</f>
        <v>SME Activity #7 (Not in Use) - Detailed Personnel Cost Assumptions</v>
      </c>
    </row>
    <row r="615" spans="1:10" ht="48" outlineLevel="1" x14ac:dyDescent="0.2">
      <c r="D615" s="55" t="str">
        <f>Lang_Personnel_Cadre_Type</f>
        <v>Personnel Cadre Type</v>
      </c>
      <c r="E615" s="85" t="str">
        <f>Lang_Activity_Unit_Day_Hour_Minute</f>
        <v>Activity Unit (e.g. Day, Hour, Minute)</v>
      </c>
      <c r="F615" s="85" t="str">
        <f>Lang_Number_Of_Activity_Units_Required</f>
        <v>Number of Activity Units Required</v>
      </c>
      <c r="G615" s="63" t="str">
        <f ca="1">SUPV_Lu!$D$242&amp;" "&amp;Lang_Cost_Per_Activity_Unit&amp;" ("&amp;OFFSET(SUPV_Lu!$D$221,DD_LVL2_ACTV_15_Currency_Selected,0)&amp;")"</f>
        <v>Financial Cost per Activity Unit (USD)</v>
      </c>
      <c r="H615" s="63" t="str">
        <f ca="1">SUPV_Lu!$D$243&amp;" "&amp;Lang_Cost_Per_Activity_Unit&amp;" ("&amp;OFFSET(SUPV_Lu!$D$221,DD_LVL2_ACTV_15_Currency_Selected,0)&amp;")"</f>
        <v>Economic Cost per Activity Unit (USD)</v>
      </c>
      <c r="I615" s="87" t="str">
        <f>Lang_Evidence_For_Using_This_Cost_Information_Source_Or_Notes</f>
        <v>Evidence for Using this Cost Information (source or notes)</v>
      </c>
    </row>
    <row r="616" spans="1:10" outlineLevel="1" x14ac:dyDescent="0.2">
      <c r="D616" s="62" t="s">
        <v>152</v>
      </c>
      <c r="E616" s="64"/>
      <c r="F616" s="19">
        <v>0</v>
      </c>
      <c r="G616" s="19">
        <v>0</v>
      </c>
      <c r="H616" s="19">
        <v>0</v>
      </c>
      <c r="I616" s="62" t="s">
        <v>162</v>
      </c>
      <c r="J616" s="42">
        <f t="shared" ref="J616:J630" si="24">IF(H616&lt;G616,1,0)</f>
        <v>0</v>
      </c>
    </row>
    <row r="617" spans="1:10" outlineLevel="1" x14ac:dyDescent="0.2">
      <c r="D617" s="62" t="s">
        <v>153</v>
      </c>
      <c r="E617" s="64"/>
      <c r="F617" s="19">
        <v>0</v>
      </c>
      <c r="G617" s="19">
        <v>0</v>
      </c>
      <c r="H617" s="19">
        <v>0</v>
      </c>
      <c r="I617" s="62" t="s">
        <v>162</v>
      </c>
      <c r="J617" s="42">
        <f t="shared" si="24"/>
        <v>0</v>
      </c>
    </row>
    <row r="618" spans="1:10" outlineLevel="1" x14ac:dyDescent="0.2">
      <c r="D618" s="62" t="s">
        <v>154</v>
      </c>
      <c r="E618" s="64"/>
      <c r="F618" s="19">
        <v>0</v>
      </c>
      <c r="G618" s="19">
        <v>0</v>
      </c>
      <c r="H618" s="19">
        <v>0</v>
      </c>
      <c r="I618" s="62" t="s">
        <v>162</v>
      </c>
      <c r="J618" s="42">
        <f t="shared" si="24"/>
        <v>0</v>
      </c>
    </row>
    <row r="619" spans="1:10" outlineLevel="1" x14ac:dyDescent="0.2">
      <c r="D619" s="62" t="s">
        <v>155</v>
      </c>
      <c r="E619" s="64"/>
      <c r="F619" s="19">
        <v>0</v>
      </c>
      <c r="G619" s="19">
        <v>0</v>
      </c>
      <c r="H619" s="19">
        <v>0</v>
      </c>
      <c r="I619" s="62" t="s">
        <v>162</v>
      </c>
      <c r="J619" s="42">
        <f t="shared" si="24"/>
        <v>0</v>
      </c>
    </row>
    <row r="620" spans="1:10" outlineLevel="1" x14ac:dyDescent="0.2">
      <c r="D620" s="62" t="s">
        <v>156</v>
      </c>
      <c r="E620" s="64"/>
      <c r="F620" s="19">
        <v>0</v>
      </c>
      <c r="G620" s="19">
        <v>0</v>
      </c>
      <c r="H620" s="19">
        <v>0</v>
      </c>
      <c r="I620" s="62" t="s">
        <v>162</v>
      </c>
      <c r="J620" s="42">
        <f t="shared" si="24"/>
        <v>0</v>
      </c>
    </row>
    <row r="621" spans="1:10" outlineLevel="1" x14ac:dyDescent="0.2">
      <c r="D621" s="62" t="s">
        <v>157</v>
      </c>
      <c r="E621" s="64"/>
      <c r="F621" s="19">
        <v>0</v>
      </c>
      <c r="G621" s="19">
        <v>0</v>
      </c>
      <c r="H621" s="19">
        <v>0</v>
      </c>
      <c r="I621" s="62" t="s">
        <v>162</v>
      </c>
      <c r="J621" s="42">
        <f t="shared" si="24"/>
        <v>0</v>
      </c>
    </row>
    <row r="622" spans="1:10" outlineLevel="1" x14ac:dyDescent="0.2">
      <c r="D622" s="62" t="s">
        <v>158</v>
      </c>
      <c r="E622" s="64"/>
      <c r="F622" s="19">
        <v>0</v>
      </c>
      <c r="G622" s="19">
        <v>0</v>
      </c>
      <c r="H622" s="19">
        <v>0</v>
      </c>
      <c r="I622" s="62" t="s">
        <v>162</v>
      </c>
      <c r="J622" s="42">
        <f t="shared" si="24"/>
        <v>0</v>
      </c>
    </row>
    <row r="623" spans="1:10" outlineLevel="1" x14ac:dyDescent="0.2">
      <c r="D623" s="62" t="s">
        <v>159</v>
      </c>
      <c r="E623" s="64"/>
      <c r="F623" s="19">
        <v>0</v>
      </c>
      <c r="G623" s="19">
        <v>0</v>
      </c>
      <c r="H623" s="19">
        <v>0</v>
      </c>
      <c r="I623" s="62" t="s">
        <v>162</v>
      </c>
      <c r="J623" s="42">
        <f t="shared" si="24"/>
        <v>0</v>
      </c>
    </row>
    <row r="624" spans="1:10" outlineLevel="1" x14ac:dyDescent="0.2">
      <c r="D624" s="62" t="s">
        <v>160</v>
      </c>
      <c r="E624" s="64"/>
      <c r="F624" s="19">
        <v>0</v>
      </c>
      <c r="G624" s="19">
        <v>0</v>
      </c>
      <c r="H624" s="19">
        <v>0</v>
      </c>
      <c r="I624" s="62" t="s">
        <v>162</v>
      </c>
      <c r="J624" s="42">
        <f t="shared" si="24"/>
        <v>0</v>
      </c>
    </row>
    <row r="625" spans="1:10" outlineLevel="1" x14ac:dyDescent="0.2">
      <c r="D625" s="62" t="s">
        <v>161</v>
      </c>
      <c r="E625" s="64"/>
      <c r="F625" s="19">
        <v>0</v>
      </c>
      <c r="G625" s="19">
        <v>0</v>
      </c>
      <c r="H625" s="19">
        <v>0</v>
      </c>
      <c r="I625" s="62" t="s">
        <v>162</v>
      </c>
      <c r="J625" s="42">
        <f t="shared" si="24"/>
        <v>0</v>
      </c>
    </row>
    <row r="626" spans="1:10" outlineLevel="1" x14ac:dyDescent="0.2">
      <c r="D626" s="62" t="s">
        <v>393</v>
      </c>
      <c r="E626" s="64"/>
      <c r="F626" s="19">
        <v>0</v>
      </c>
      <c r="G626" s="19">
        <v>0</v>
      </c>
      <c r="H626" s="19">
        <v>0</v>
      </c>
      <c r="I626" s="62" t="s">
        <v>162</v>
      </c>
      <c r="J626" s="42">
        <f t="shared" si="24"/>
        <v>0</v>
      </c>
    </row>
    <row r="627" spans="1:10" outlineLevel="1" x14ac:dyDescent="0.2">
      <c r="D627" s="62" t="s">
        <v>394</v>
      </c>
      <c r="E627" s="64"/>
      <c r="F627" s="19">
        <v>0</v>
      </c>
      <c r="G627" s="19">
        <v>0</v>
      </c>
      <c r="H627" s="19">
        <v>0</v>
      </c>
      <c r="I627" s="62" t="s">
        <v>162</v>
      </c>
      <c r="J627" s="42">
        <f t="shared" si="24"/>
        <v>0</v>
      </c>
    </row>
    <row r="628" spans="1:10" outlineLevel="1" x14ac:dyDescent="0.2">
      <c r="D628" s="62" t="s">
        <v>395</v>
      </c>
      <c r="E628" s="64"/>
      <c r="F628" s="19">
        <v>0</v>
      </c>
      <c r="G628" s="19">
        <v>0</v>
      </c>
      <c r="H628" s="19">
        <v>0</v>
      </c>
      <c r="I628" s="62" t="s">
        <v>162</v>
      </c>
      <c r="J628" s="42">
        <f t="shared" si="24"/>
        <v>0</v>
      </c>
    </row>
    <row r="629" spans="1:10" outlineLevel="1" x14ac:dyDescent="0.2">
      <c r="D629" s="62" t="s">
        <v>396</v>
      </c>
      <c r="E629" s="64"/>
      <c r="F629" s="19">
        <v>0</v>
      </c>
      <c r="G629" s="19">
        <v>0</v>
      </c>
      <c r="H629" s="19">
        <v>0</v>
      </c>
      <c r="I629" s="62" t="s">
        <v>162</v>
      </c>
      <c r="J629" s="42">
        <f t="shared" si="24"/>
        <v>0</v>
      </c>
    </row>
    <row r="630" spans="1:10" outlineLevel="1" x14ac:dyDescent="0.2">
      <c r="D630" s="62" t="s">
        <v>397</v>
      </c>
      <c r="E630" s="64"/>
      <c r="F630" s="19">
        <v>0</v>
      </c>
      <c r="G630" s="19">
        <v>0</v>
      </c>
      <c r="H630" s="19">
        <v>0</v>
      </c>
      <c r="I630" s="62" t="s">
        <v>162</v>
      </c>
      <c r="J630" s="42">
        <f t="shared" si="24"/>
        <v>0</v>
      </c>
    </row>
    <row r="631" spans="1:10" outlineLevel="1" x14ac:dyDescent="0.2">
      <c r="D631" s="55" t="str">
        <f>Lang_Error_Check_Flags_If_Input_Econ_Cost_Is_Less_Than_Fin_Cost</f>
        <v>ERROR CHECK (FLAGS IF INPUT ECONOMIC COST IS LESS THAN FINANCIAL COST)</v>
      </c>
      <c r="J631" s="43">
        <f>IF(ISERROR(SUM(J616:J630)),1,MIN(SUM(J616:J630),1))</f>
        <v>0</v>
      </c>
    </row>
    <row r="632" spans="1:10" outlineLevel="1" x14ac:dyDescent="0.2"/>
    <row r="633" spans="1:10" outlineLevel="1" x14ac:dyDescent="0.2">
      <c r="D633" s="47" t="str">
        <f>Lang_GoTo&amp;" "&amp;HL_LVL2_ACTV_15_Personnel_Outputs</f>
        <v>Go to SME Activity #7 (Not in Use) Personnel - Outputs</v>
      </c>
    </row>
    <row r="635" spans="1:10" s="13" customFormat="1" x14ac:dyDescent="0.2">
      <c r="A635" s="6" t="s">
        <v>127</v>
      </c>
      <c r="B635" s="13" t="str">
        <f>C637</f>
        <v>SME Activity #7 (Not in Use) - Detailed Allowance Cost Assumptions</v>
      </c>
    </row>
    <row r="636" spans="1:10" outlineLevel="1" x14ac:dyDescent="0.2"/>
    <row r="637" spans="1:10" outlineLevel="1" x14ac:dyDescent="0.2">
      <c r="C637" s="18" t="str">
        <f>HL_LVL2_ACTV_15_Name&amp;" - "&amp;Lang_Detailed_Allowance_Cost_Assumptions</f>
        <v>SME Activity #7 (Not in Use) - Detailed Allowance Cost Assumptions</v>
      </c>
    </row>
    <row r="638" spans="1:10" ht="48" outlineLevel="1" x14ac:dyDescent="0.2">
      <c r="D638" s="55" t="str">
        <f>Lang_Allowance_Type</f>
        <v>Allowance Type</v>
      </c>
      <c r="E638" s="85" t="str">
        <f>Lang_Allowance_Unit_Per_Day_Round_Trip_Travel</f>
        <v>Allowance Unit (e.g. Per Day, Round-trip Travel,etc.)</v>
      </c>
      <c r="F638" s="85" t="str">
        <f>Lang_Number_Of_Allowance_Units_Required</f>
        <v>Number of Allowance Units Required</v>
      </c>
      <c r="G638" s="63" t="str">
        <f ca="1">SUPV_Lu!$D$242&amp;" "&amp;Lang_Cost_Per_Activity_Unit&amp;" ("&amp;OFFSET(SUPV_Lu!$D$221,DD_LVL2_ACTV_15_Currency_Selected,0)&amp;")"</f>
        <v>Financial Cost per Activity Unit (USD)</v>
      </c>
      <c r="H638" s="63" t="str">
        <f ca="1">SUPV_Lu!$D$243&amp;" "&amp;Lang_Cost_Per_Activity_Unit&amp;" ("&amp;OFFSET(SUPV_Lu!$D$221,DD_LVL2_ACTV_15_Currency_Selected,0)&amp;")"</f>
        <v>Economic Cost per Activity Unit (USD)</v>
      </c>
      <c r="I638" s="87" t="str">
        <f>Lang_Evidence_For_Using_This_Cost_Information_Source_Or_Notes</f>
        <v>Evidence for Using this Cost Information (source or notes)</v>
      </c>
    </row>
    <row r="639" spans="1:10" outlineLevel="1" x14ac:dyDescent="0.2">
      <c r="D639" s="62" t="s">
        <v>163</v>
      </c>
      <c r="E639" s="64"/>
      <c r="F639" s="19">
        <v>0</v>
      </c>
      <c r="G639" s="19">
        <v>0</v>
      </c>
      <c r="H639" s="19">
        <v>0</v>
      </c>
      <c r="I639" s="62" t="s">
        <v>162</v>
      </c>
      <c r="J639" s="42">
        <f t="shared" ref="J639:J648" si="25">IF(H639&lt;G639,1,0)</f>
        <v>0</v>
      </c>
    </row>
    <row r="640" spans="1:10" outlineLevel="1" x14ac:dyDescent="0.2">
      <c r="D640" s="62" t="s">
        <v>164</v>
      </c>
      <c r="E640" s="64"/>
      <c r="F640" s="19">
        <v>0</v>
      </c>
      <c r="G640" s="19">
        <v>0</v>
      </c>
      <c r="H640" s="19">
        <v>0</v>
      </c>
      <c r="I640" s="62" t="s">
        <v>162</v>
      </c>
      <c r="J640" s="42">
        <f t="shared" si="25"/>
        <v>0</v>
      </c>
    </row>
    <row r="641" spans="1:10" outlineLevel="1" x14ac:dyDescent="0.2">
      <c r="D641" s="62" t="s">
        <v>165</v>
      </c>
      <c r="E641" s="64"/>
      <c r="F641" s="19">
        <v>0</v>
      </c>
      <c r="G641" s="19">
        <v>0</v>
      </c>
      <c r="H641" s="19">
        <v>0</v>
      </c>
      <c r="I641" s="62" t="s">
        <v>162</v>
      </c>
      <c r="J641" s="42">
        <f t="shared" si="25"/>
        <v>0</v>
      </c>
    </row>
    <row r="642" spans="1:10" outlineLevel="1" x14ac:dyDescent="0.2">
      <c r="D642" s="62" t="s">
        <v>166</v>
      </c>
      <c r="E642" s="64"/>
      <c r="F642" s="19">
        <v>0</v>
      </c>
      <c r="G642" s="19">
        <v>0</v>
      </c>
      <c r="H642" s="19">
        <v>0</v>
      </c>
      <c r="I642" s="62" t="s">
        <v>162</v>
      </c>
      <c r="J642" s="42">
        <f t="shared" si="25"/>
        <v>0</v>
      </c>
    </row>
    <row r="643" spans="1:10" outlineLevel="1" x14ac:dyDescent="0.2">
      <c r="D643" s="62" t="s">
        <v>167</v>
      </c>
      <c r="E643" s="64"/>
      <c r="F643" s="19">
        <v>0</v>
      </c>
      <c r="G643" s="19">
        <v>0</v>
      </c>
      <c r="H643" s="19">
        <v>0</v>
      </c>
      <c r="I643" s="62" t="s">
        <v>162</v>
      </c>
      <c r="J643" s="42">
        <f t="shared" si="25"/>
        <v>0</v>
      </c>
    </row>
    <row r="644" spans="1:10" outlineLevel="1" x14ac:dyDescent="0.2">
      <c r="D644" s="62" t="s">
        <v>168</v>
      </c>
      <c r="E644" s="64"/>
      <c r="F644" s="19">
        <v>0</v>
      </c>
      <c r="G644" s="19">
        <v>0</v>
      </c>
      <c r="H644" s="19">
        <v>0</v>
      </c>
      <c r="I644" s="62" t="s">
        <v>162</v>
      </c>
      <c r="J644" s="42">
        <f t="shared" si="25"/>
        <v>0</v>
      </c>
    </row>
    <row r="645" spans="1:10" outlineLevel="1" x14ac:dyDescent="0.2">
      <c r="D645" s="62" t="s">
        <v>169</v>
      </c>
      <c r="E645" s="64"/>
      <c r="F645" s="19">
        <v>0</v>
      </c>
      <c r="G645" s="19">
        <v>0</v>
      </c>
      <c r="H645" s="19">
        <v>0</v>
      </c>
      <c r="I645" s="62" t="s">
        <v>162</v>
      </c>
      <c r="J645" s="42">
        <f t="shared" si="25"/>
        <v>0</v>
      </c>
    </row>
    <row r="646" spans="1:10" outlineLevel="1" x14ac:dyDescent="0.2">
      <c r="D646" s="62" t="s">
        <v>170</v>
      </c>
      <c r="E646" s="64"/>
      <c r="F646" s="19">
        <v>0</v>
      </c>
      <c r="G646" s="19">
        <v>0</v>
      </c>
      <c r="H646" s="19">
        <v>0</v>
      </c>
      <c r="I646" s="62" t="s">
        <v>162</v>
      </c>
      <c r="J646" s="42">
        <f t="shared" si="25"/>
        <v>0</v>
      </c>
    </row>
    <row r="647" spans="1:10" outlineLevel="1" x14ac:dyDescent="0.2">
      <c r="D647" s="62" t="s">
        <v>171</v>
      </c>
      <c r="E647" s="64"/>
      <c r="F647" s="19">
        <v>0</v>
      </c>
      <c r="G647" s="19">
        <v>0</v>
      </c>
      <c r="H647" s="19">
        <v>0</v>
      </c>
      <c r="I647" s="62" t="s">
        <v>162</v>
      </c>
      <c r="J647" s="42">
        <f t="shared" si="25"/>
        <v>0</v>
      </c>
    </row>
    <row r="648" spans="1:10" outlineLevel="1" x14ac:dyDescent="0.2">
      <c r="D648" s="62" t="s">
        <v>172</v>
      </c>
      <c r="E648" s="64"/>
      <c r="F648" s="19">
        <v>0</v>
      </c>
      <c r="G648" s="19">
        <v>0</v>
      </c>
      <c r="H648" s="19">
        <v>0</v>
      </c>
      <c r="I648" s="62" t="s">
        <v>162</v>
      </c>
      <c r="J648" s="42">
        <f t="shared" si="25"/>
        <v>0</v>
      </c>
    </row>
    <row r="649" spans="1:10" outlineLevel="1" x14ac:dyDescent="0.2">
      <c r="D649" s="55" t="str">
        <f>Lang_Error_Check_Flags_If_Input_Econ_Cost_Is_Less_Than_Fin_Cost</f>
        <v>ERROR CHECK (FLAGS IF INPUT ECONOMIC COST IS LESS THAN FINANCIAL COST)</v>
      </c>
      <c r="J649" s="43">
        <f>IF(ISERROR(SUM(J639:J648)),1,MIN(SUM(J639:J648),1))</f>
        <v>0</v>
      </c>
    </row>
    <row r="650" spans="1:10" outlineLevel="1" x14ac:dyDescent="0.2"/>
    <row r="651" spans="1:10" outlineLevel="1" x14ac:dyDescent="0.2">
      <c r="D651" s="47" t="str">
        <f>Lang_GoTo&amp;" "&amp;HL_LVL2_ACTV_15_Out_A</f>
        <v>Go to SME Activity #7 (Not in Use) Allowances - Outputs</v>
      </c>
    </row>
    <row r="653" spans="1:10" s="13" customFormat="1" x14ac:dyDescent="0.2">
      <c r="A653" s="6" t="s">
        <v>127</v>
      </c>
      <c r="B653" s="13" t="str">
        <f>C655</f>
        <v>SME Activity #7 (Not in Use) - Detailed Supply and Material Cost Assumptions</v>
      </c>
    </row>
    <row r="654" spans="1:10" outlineLevel="1" x14ac:dyDescent="0.2"/>
    <row r="655" spans="1:10" outlineLevel="1" x14ac:dyDescent="0.2">
      <c r="C655" s="18" t="str">
        <f>HL_LVL2_ACTV_15_Name&amp;" - "&amp;Lang_Detailed_Supply_And_Material_Cost_Assumptions</f>
        <v>SME Activity #7 (Not in Use) - Detailed Supply and Material Cost Assumptions</v>
      </c>
    </row>
    <row r="656" spans="1:10" ht="48" outlineLevel="1" x14ac:dyDescent="0.2">
      <c r="D656" s="55" t="str">
        <f>Lang_Supply_Type</f>
        <v>Supply Type</v>
      </c>
      <c r="E656" s="85" t="str">
        <f>Lang_Supply_Unit_Each_Dozen_100_Pack</f>
        <v>Supply Unit (e.g. Each, Dozen, 100-pack,etc.)</v>
      </c>
      <c r="F656" s="85" t="str">
        <f>Lang_Number_Of_Supply_Units_Required</f>
        <v>Number of Supply Units Required</v>
      </c>
      <c r="G656" s="63" t="str">
        <f ca="1">SUPV_Lu!$D$242&amp;" "&amp;Lang_Cost_Per_Activity_Unit&amp;" ("&amp;OFFSET(SUPV_Lu!$D$221,DD_LVL2_ACTV_15_Currency_Selected,0)&amp;")"</f>
        <v>Financial Cost per Activity Unit (USD)</v>
      </c>
      <c r="H656" s="63" t="str">
        <f ca="1">SUPV_Lu!$D$243&amp;" "&amp;Lang_Cost_Per_Activity_Unit&amp;" ("&amp;OFFSET(SUPV_Lu!$D$221,DD_LVL2_ACTV_15_Currency_Selected,0)&amp;")"</f>
        <v>Economic Cost per Activity Unit (USD)</v>
      </c>
      <c r="I656" s="87" t="str">
        <f>Lang_Evidence_For_Using_This_Cost_Information_Source_Or_Notes</f>
        <v>Evidence for Using this Cost Information (source or notes)</v>
      </c>
    </row>
    <row r="657" spans="1:10" outlineLevel="1" x14ac:dyDescent="0.2">
      <c r="D657" s="62" t="s">
        <v>173</v>
      </c>
      <c r="E657" s="64"/>
      <c r="F657" s="19">
        <v>0</v>
      </c>
      <c r="G657" s="19">
        <v>0</v>
      </c>
      <c r="H657" s="19">
        <v>0</v>
      </c>
      <c r="I657" s="62" t="s">
        <v>162</v>
      </c>
      <c r="J657" s="42">
        <f t="shared" ref="J657:J666" si="26">IF(H657&lt;G657,1,0)</f>
        <v>0</v>
      </c>
    </row>
    <row r="658" spans="1:10" outlineLevel="1" x14ac:dyDescent="0.2">
      <c r="D658" s="62" t="s">
        <v>174</v>
      </c>
      <c r="E658" s="64"/>
      <c r="F658" s="19">
        <v>0</v>
      </c>
      <c r="G658" s="19">
        <v>0</v>
      </c>
      <c r="H658" s="19">
        <v>0</v>
      </c>
      <c r="I658" s="62" t="s">
        <v>162</v>
      </c>
      <c r="J658" s="42">
        <f t="shared" si="26"/>
        <v>0</v>
      </c>
    </row>
    <row r="659" spans="1:10" outlineLevel="1" x14ac:dyDescent="0.2">
      <c r="D659" s="62" t="s">
        <v>175</v>
      </c>
      <c r="E659" s="64"/>
      <c r="F659" s="19">
        <v>0</v>
      </c>
      <c r="G659" s="19">
        <v>0</v>
      </c>
      <c r="H659" s="19">
        <v>0</v>
      </c>
      <c r="I659" s="62" t="s">
        <v>162</v>
      </c>
      <c r="J659" s="42">
        <f t="shared" si="26"/>
        <v>0</v>
      </c>
    </row>
    <row r="660" spans="1:10" outlineLevel="1" x14ac:dyDescent="0.2">
      <c r="D660" s="62" t="s">
        <v>176</v>
      </c>
      <c r="E660" s="64"/>
      <c r="F660" s="19">
        <v>0</v>
      </c>
      <c r="G660" s="19">
        <v>0</v>
      </c>
      <c r="H660" s="19">
        <v>0</v>
      </c>
      <c r="I660" s="62" t="s">
        <v>162</v>
      </c>
      <c r="J660" s="42">
        <f t="shared" si="26"/>
        <v>0</v>
      </c>
    </row>
    <row r="661" spans="1:10" outlineLevel="1" x14ac:dyDescent="0.2">
      <c r="D661" s="62" t="s">
        <v>177</v>
      </c>
      <c r="E661" s="64"/>
      <c r="F661" s="19">
        <v>0</v>
      </c>
      <c r="G661" s="19">
        <v>0</v>
      </c>
      <c r="H661" s="19">
        <v>0</v>
      </c>
      <c r="I661" s="62" t="s">
        <v>162</v>
      </c>
      <c r="J661" s="42">
        <f t="shared" si="26"/>
        <v>0</v>
      </c>
    </row>
    <row r="662" spans="1:10" outlineLevel="1" x14ac:dyDescent="0.2">
      <c r="D662" s="62" t="s">
        <v>178</v>
      </c>
      <c r="E662" s="64"/>
      <c r="F662" s="19">
        <v>0</v>
      </c>
      <c r="G662" s="19">
        <v>0</v>
      </c>
      <c r="H662" s="19">
        <v>0</v>
      </c>
      <c r="I662" s="62" t="s">
        <v>162</v>
      </c>
      <c r="J662" s="42">
        <f t="shared" si="26"/>
        <v>0</v>
      </c>
    </row>
    <row r="663" spans="1:10" outlineLevel="1" x14ac:dyDescent="0.2">
      <c r="D663" s="62" t="s">
        <v>179</v>
      </c>
      <c r="E663" s="64"/>
      <c r="F663" s="19">
        <v>0</v>
      </c>
      <c r="G663" s="19">
        <v>0</v>
      </c>
      <c r="H663" s="19">
        <v>0</v>
      </c>
      <c r="I663" s="62" t="s">
        <v>162</v>
      </c>
      <c r="J663" s="42">
        <f t="shared" si="26"/>
        <v>0</v>
      </c>
    </row>
    <row r="664" spans="1:10" outlineLevel="1" x14ac:dyDescent="0.2">
      <c r="D664" s="62" t="s">
        <v>180</v>
      </c>
      <c r="E664" s="64"/>
      <c r="F664" s="19">
        <v>0</v>
      </c>
      <c r="G664" s="19">
        <v>0</v>
      </c>
      <c r="H664" s="19">
        <v>0</v>
      </c>
      <c r="I664" s="62" t="s">
        <v>162</v>
      </c>
      <c r="J664" s="42">
        <f t="shared" si="26"/>
        <v>0</v>
      </c>
    </row>
    <row r="665" spans="1:10" outlineLevel="1" x14ac:dyDescent="0.2">
      <c r="D665" s="62" t="s">
        <v>181</v>
      </c>
      <c r="E665" s="64"/>
      <c r="F665" s="19">
        <v>0</v>
      </c>
      <c r="G665" s="19">
        <v>0</v>
      </c>
      <c r="H665" s="19">
        <v>0</v>
      </c>
      <c r="I665" s="62" t="s">
        <v>162</v>
      </c>
      <c r="J665" s="42">
        <f t="shared" si="26"/>
        <v>0</v>
      </c>
    </row>
    <row r="666" spans="1:10" outlineLevel="1" x14ac:dyDescent="0.2">
      <c r="D666" s="62" t="s">
        <v>182</v>
      </c>
      <c r="E666" s="64"/>
      <c r="F666" s="19">
        <v>0</v>
      </c>
      <c r="G666" s="19">
        <v>0</v>
      </c>
      <c r="H666" s="19">
        <v>0</v>
      </c>
      <c r="I666" s="62" t="s">
        <v>162</v>
      </c>
      <c r="J666" s="42">
        <f t="shared" si="26"/>
        <v>0</v>
      </c>
    </row>
    <row r="667" spans="1:10" outlineLevel="1" x14ac:dyDescent="0.2">
      <c r="D667" s="55" t="str">
        <f>Lang_Error_Check_Flags_If_Input_Econ_Cost_Is_Less_Than_Fin_Cost</f>
        <v>ERROR CHECK (FLAGS IF INPUT ECONOMIC COST IS LESS THAN FINANCIAL COST)</v>
      </c>
      <c r="J667" s="43">
        <f>IF(ISERROR(SUM(J657:J666)),1,MIN(SUM(J657:J666),1))</f>
        <v>0</v>
      </c>
    </row>
    <row r="668" spans="1:10" outlineLevel="1" x14ac:dyDescent="0.2"/>
    <row r="669" spans="1:10" outlineLevel="1" x14ac:dyDescent="0.2">
      <c r="D669" s="47" t="str">
        <f>Lang_GoTo&amp;" "&amp;HL_LVL2_ACTV_15_Supplies_and_Materials_Outputs</f>
        <v>Go to SME Activity #7 (Not in Use) Supplies and Materials - Outputs</v>
      </c>
    </row>
    <row r="671" spans="1:10" s="13" customFormat="1" x14ac:dyDescent="0.2">
      <c r="A671" s="6" t="s">
        <v>127</v>
      </c>
      <c r="B671" s="13" t="str">
        <f>C673</f>
        <v>SME Activity #7 (Not in Use) - Detailed Other Direct Cost Assumptions</v>
      </c>
    </row>
    <row r="672" spans="1:10" outlineLevel="1" x14ac:dyDescent="0.2"/>
    <row r="673" spans="3:10" outlineLevel="1" x14ac:dyDescent="0.2">
      <c r="C673" s="18" t="str">
        <f>HL_LVL2_ACTV_15_Name&amp;" - "&amp;Lang_Detailed_Other_Direct_Cost_Assumptions</f>
        <v>SME Activity #7 (Not in Use) - Detailed Other Direct Cost Assumptions</v>
      </c>
    </row>
    <row r="674" spans="3:10" ht="48" outlineLevel="1" x14ac:dyDescent="0.2">
      <c r="D674" s="55" t="str">
        <f>Lang_Other_Direct_Cost_ODC_Type</f>
        <v>Other Direct Cost (ODC) Type</v>
      </c>
      <c r="E674" s="85" t="str">
        <f>Lang_ODC_Unit_Each_Dozen_100_Pack</f>
        <v>ODC Unit (e.g. Each, Dozen, 100-pack,etc.)</v>
      </c>
      <c r="F674" s="85" t="str">
        <f>Lang_Number_Of_ODC_Units_Required</f>
        <v>Number of ODC Units Required</v>
      </c>
      <c r="G674" s="63" t="str">
        <f ca="1">SUPV_Lu!$D$242&amp;" "&amp;Lang_Cost_Per_Activity_Unit&amp;" ("&amp;OFFSET(SUPV_Lu!$D$221,DD_LVL2_ACTV_15_Currency_Selected,0)&amp;")"</f>
        <v>Financial Cost per Activity Unit (USD)</v>
      </c>
      <c r="H674" s="63" t="str">
        <f ca="1">SUPV_Lu!$D$243&amp;" "&amp;Lang_Cost_Per_Activity_Unit&amp;" ("&amp;OFFSET(SUPV_Lu!$D$221,DD_LVL2_ACTV_15_Currency_Selected,0)&amp;")"</f>
        <v>Economic Cost per Activity Unit (USD)</v>
      </c>
      <c r="I674" s="87" t="str">
        <f>Lang_Evidence_For_Using_This_Cost_Information_Source_Or_Notes</f>
        <v>Evidence for Using this Cost Information (source or notes)</v>
      </c>
    </row>
    <row r="675" spans="3:10" outlineLevel="1" x14ac:dyDescent="0.2">
      <c r="D675" s="62" t="s">
        <v>183</v>
      </c>
      <c r="E675" s="64"/>
      <c r="F675" s="19">
        <v>0</v>
      </c>
      <c r="G675" s="19">
        <v>0</v>
      </c>
      <c r="H675" s="19">
        <v>0</v>
      </c>
      <c r="I675" s="62" t="s">
        <v>162</v>
      </c>
      <c r="J675" s="42">
        <f t="shared" ref="J675:J684" si="27">IF(H675&lt;G675,1,0)</f>
        <v>0</v>
      </c>
    </row>
    <row r="676" spans="3:10" outlineLevel="1" x14ac:dyDescent="0.2">
      <c r="D676" s="62" t="s">
        <v>184</v>
      </c>
      <c r="E676" s="64"/>
      <c r="F676" s="19">
        <v>0</v>
      </c>
      <c r="G676" s="19">
        <v>0</v>
      </c>
      <c r="H676" s="19">
        <v>0</v>
      </c>
      <c r="I676" s="62" t="s">
        <v>162</v>
      </c>
      <c r="J676" s="42">
        <f t="shared" si="27"/>
        <v>0</v>
      </c>
    </row>
    <row r="677" spans="3:10" outlineLevel="1" x14ac:dyDescent="0.2">
      <c r="D677" s="62" t="s">
        <v>185</v>
      </c>
      <c r="E677" s="64"/>
      <c r="F677" s="19">
        <v>0</v>
      </c>
      <c r="G677" s="19">
        <v>0</v>
      </c>
      <c r="H677" s="19">
        <v>0</v>
      </c>
      <c r="I677" s="62" t="s">
        <v>162</v>
      </c>
      <c r="J677" s="42">
        <f t="shared" si="27"/>
        <v>0</v>
      </c>
    </row>
    <row r="678" spans="3:10" outlineLevel="1" x14ac:dyDescent="0.2">
      <c r="D678" s="62" t="s">
        <v>186</v>
      </c>
      <c r="E678" s="64"/>
      <c r="F678" s="19">
        <v>0</v>
      </c>
      <c r="G678" s="19">
        <v>0</v>
      </c>
      <c r="H678" s="19">
        <v>0</v>
      </c>
      <c r="I678" s="62" t="s">
        <v>162</v>
      </c>
      <c r="J678" s="42">
        <f t="shared" si="27"/>
        <v>0</v>
      </c>
    </row>
    <row r="679" spans="3:10" outlineLevel="1" x14ac:dyDescent="0.2">
      <c r="D679" s="62" t="s">
        <v>187</v>
      </c>
      <c r="E679" s="64"/>
      <c r="F679" s="19">
        <v>0</v>
      </c>
      <c r="G679" s="19">
        <v>0</v>
      </c>
      <c r="H679" s="19">
        <v>0</v>
      </c>
      <c r="I679" s="62" t="s">
        <v>162</v>
      </c>
      <c r="J679" s="42">
        <f t="shared" si="27"/>
        <v>0</v>
      </c>
    </row>
    <row r="680" spans="3:10" outlineLevel="1" x14ac:dyDescent="0.2">
      <c r="D680" s="62" t="s">
        <v>188</v>
      </c>
      <c r="E680" s="64"/>
      <c r="F680" s="19">
        <v>0</v>
      </c>
      <c r="G680" s="19">
        <v>0</v>
      </c>
      <c r="H680" s="19">
        <v>0</v>
      </c>
      <c r="I680" s="62" t="s">
        <v>162</v>
      </c>
      <c r="J680" s="42">
        <f t="shared" si="27"/>
        <v>0</v>
      </c>
    </row>
    <row r="681" spans="3:10" outlineLevel="1" x14ac:dyDescent="0.2">
      <c r="D681" s="62" t="s">
        <v>189</v>
      </c>
      <c r="E681" s="64"/>
      <c r="F681" s="19">
        <v>0</v>
      </c>
      <c r="G681" s="19">
        <v>0</v>
      </c>
      <c r="H681" s="19">
        <v>0</v>
      </c>
      <c r="I681" s="62" t="s">
        <v>162</v>
      </c>
      <c r="J681" s="42">
        <f t="shared" si="27"/>
        <v>0</v>
      </c>
    </row>
    <row r="682" spans="3:10" outlineLevel="1" x14ac:dyDescent="0.2">
      <c r="D682" s="62" t="s">
        <v>190</v>
      </c>
      <c r="E682" s="64"/>
      <c r="F682" s="19">
        <v>0</v>
      </c>
      <c r="G682" s="19">
        <v>0</v>
      </c>
      <c r="H682" s="19">
        <v>0</v>
      </c>
      <c r="I682" s="62" t="s">
        <v>162</v>
      </c>
      <c r="J682" s="42">
        <f t="shared" si="27"/>
        <v>0</v>
      </c>
    </row>
    <row r="683" spans="3:10" outlineLevel="1" x14ac:dyDescent="0.2">
      <c r="D683" s="62" t="s">
        <v>191</v>
      </c>
      <c r="E683" s="64"/>
      <c r="F683" s="19">
        <v>0</v>
      </c>
      <c r="G683" s="19">
        <v>0</v>
      </c>
      <c r="H683" s="19">
        <v>0</v>
      </c>
      <c r="I683" s="62" t="s">
        <v>162</v>
      </c>
      <c r="J683" s="42">
        <f t="shared" si="27"/>
        <v>0</v>
      </c>
    </row>
    <row r="684" spans="3:10" outlineLevel="1" x14ac:dyDescent="0.2">
      <c r="D684" s="62" t="s">
        <v>192</v>
      </c>
      <c r="E684" s="64"/>
      <c r="F684" s="19">
        <v>0</v>
      </c>
      <c r="G684" s="19">
        <v>0</v>
      </c>
      <c r="H684" s="19">
        <v>0</v>
      </c>
      <c r="I684" s="62" t="s">
        <v>162</v>
      </c>
      <c r="J684" s="42">
        <f t="shared" si="27"/>
        <v>0</v>
      </c>
    </row>
    <row r="685" spans="3:10" outlineLevel="1" x14ac:dyDescent="0.2">
      <c r="D685" s="55" t="str">
        <f>Lang_Error_Check_Flags_If_Input_Econ_Cost_Is_Less_Than_Fin_Cost</f>
        <v>ERROR CHECK (FLAGS IF INPUT ECONOMIC COST IS LESS THAN FINANCIAL COST)</v>
      </c>
      <c r="J685" s="43">
        <f>IF(ISERROR(SUM(J675:J684)),1,MIN(SUM(J675:J684),1))</f>
        <v>0</v>
      </c>
    </row>
    <row r="686" spans="3:10" outlineLevel="1" x14ac:dyDescent="0.2"/>
    <row r="687" spans="3:10" outlineLevel="1" x14ac:dyDescent="0.2">
      <c r="D687" s="47" t="str">
        <f>Lang_GoTo&amp;" "&amp;HL_LVL2_ACTV_15_Other_Direct_Costs_Outputs</f>
        <v>Go to SME Activity #7 (Not in Use) Other Direct Costs - Outputs</v>
      </c>
    </row>
  </sheetData>
  <conditionalFormatting sqref="G28:H42 G51:H60 G69:H78 G87:H96">
    <cfRule type="expression" dxfId="71" priority="7">
      <formula>$E$15=1</formula>
    </cfRule>
  </conditionalFormatting>
  <conditionalFormatting sqref="G125:H139 G148:H157 G166:H175 G184:H193">
    <cfRule type="expression" dxfId="70" priority="6">
      <formula>$E$112=1</formula>
    </cfRule>
  </conditionalFormatting>
  <conditionalFormatting sqref="G222:H236 G245:H254 G263:H272 G281:H290">
    <cfRule type="expression" dxfId="69" priority="5">
      <formula>$E$209=1</formula>
    </cfRule>
  </conditionalFormatting>
  <conditionalFormatting sqref="G319:H333 G342:H351 G360:H369 G378:H387">
    <cfRule type="expression" dxfId="68" priority="4">
      <formula>$E$306=1</formula>
    </cfRule>
  </conditionalFormatting>
  <conditionalFormatting sqref="G418:H432 G441:H450 G459:H468 G477:H486">
    <cfRule type="expression" dxfId="67" priority="3">
      <formula>$E$405=1</formula>
    </cfRule>
  </conditionalFormatting>
  <conditionalFormatting sqref="G517:H531 G540:H549 G558:H567 G576:H585">
    <cfRule type="expression" dxfId="66" priority="2">
      <formula>$E$504=1</formula>
    </cfRule>
  </conditionalFormatting>
  <conditionalFormatting sqref="G616:H630 G639:H648 G657:H666 G675:H684">
    <cfRule type="expression" dxfId="65" priority="1">
      <formula>$E$603=1</formula>
    </cfRule>
  </conditionalFormatting>
  <conditionalFormatting sqref="J28:J43">
    <cfRule type="cellIs" dxfId="64" priority="162" operator="notEqual">
      <formula>0</formula>
    </cfRule>
  </conditionalFormatting>
  <conditionalFormatting sqref="J51:J61">
    <cfRule type="cellIs" dxfId="63" priority="155" operator="notEqual">
      <formula>0</formula>
    </cfRule>
  </conditionalFormatting>
  <conditionalFormatting sqref="J69:J79">
    <cfRule type="cellIs" dxfId="62" priority="154" operator="notEqual">
      <formula>0</formula>
    </cfRule>
  </conditionalFormatting>
  <conditionalFormatting sqref="J87:J97">
    <cfRule type="cellIs" dxfId="61" priority="153" operator="notEqual">
      <formula>0</formula>
    </cfRule>
  </conditionalFormatting>
  <conditionalFormatting sqref="J125:J140">
    <cfRule type="cellIs" dxfId="60" priority="161" operator="notEqual">
      <formula>0</formula>
    </cfRule>
  </conditionalFormatting>
  <conditionalFormatting sqref="J148:J158">
    <cfRule type="cellIs" dxfId="59" priority="152" operator="notEqual">
      <formula>0</formula>
    </cfRule>
  </conditionalFormatting>
  <conditionalFormatting sqref="J166:J176">
    <cfRule type="cellIs" dxfId="58" priority="151" operator="notEqual">
      <formula>0</formula>
    </cfRule>
  </conditionalFormatting>
  <conditionalFormatting sqref="J184:J194">
    <cfRule type="cellIs" dxfId="57" priority="150" operator="notEqual">
      <formula>0</formula>
    </cfRule>
  </conditionalFormatting>
  <conditionalFormatting sqref="J222:J237">
    <cfRule type="cellIs" dxfId="56" priority="160" operator="notEqual">
      <formula>0</formula>
    </cfRule>
  </conditionalFormatting>
  <conditionalFormatting sqref="J245:J255">
    <cfRule type="cellIs" dxfId="55" priority="149" operator="notEqual">
      <formula>0</formula>
    </cfRule>
  </conditionalFormatting>
  <conditionalFormatting sqref="J263:J273">
    <cfRule type="cellIs" dxfId="54" priority="148" operator="notEqual">
      <formula>0</formula>
    </cfRule>
  </conditionalFormatting>
  <conditionalFormatting sqref="J281:J291">
    <cfRule type="cellIs" dxfId="53" priority="147" operator="notEqual">
      <formula>0</formula>
    </cfRule>
  </conditionalFormatting>
  <conditionalFormatting sqref="J319:J334">
    <cfRule type="cellIs" dxfId="52" priority="159" operator="notEqual">
      <formula>0</formula>
    </cfRule>
  </conditionalFormatting>
  <conditionalFormatting sqref="J342:J352">
    <cfRule type="cellIs" dxfId="51" priority="146" operator="notEqual">
      <formula>0</formula>
    </cfRule>
  </conditionalFormatting>
  <conditionalFormatting sqref="J360:J370">
    <cfRule type="cellIs" dxfId="50" priority="145" operator="notEqual">
      <formula>0</formula>
    </cfRule>
  </conditionalFormatting>
  <conditionalFormatting sqref="J378:J388">
    <cfRule type="cellIs" dxfId="49" priority="144" operator="notEqual">
      <formula>0</formula>
    </cfRule>
  </conditionalFormatting>
  <conditionalFormatting sqref="J418:J433">
    <cfRule type="cellIs" dxfId="48" priority="158" operator="notEqual">
      <formula>0</formula>
    </cfRule>
  </conditionalFormatting>
  <conditionalFormatting sqref="J441:J451">
    <cfRule type="cellIs" dxfId="47" priority="143" operator="notEqual">
      <formula>0</formula>
    </cfRule>
  </conditionalFormatting>
  <conditionalFormatting sqref="J459:J469">
    <cfRule type="cellIs" dxfId="46" priority="142" operator="notEqual">
      <formula>0</formula>
    </cfRule>
  </conditionalFormatting>
  <conditionalFormatting sqref="J477:J487">
    <cfRule type="cellIs" dxfId="45" priority="141" operator="notEqual">
      <formula>0</formula>
    </cfRule>
  </conditionalFormatting>
  <conditionalFormatting sqref="J517:J532">
    <cfRule type="cellIs" dxfId="44" priority="157" operator="notEqual">
      <formula>0</formula>
    </cfRule>
  </conditionalFormatting>
  <conditionalFormatting sqref="J540:J550">
    <cfRule type="cellIs" dxfId="43" priority="140" operator="notEqual">
      <formula>0</formula>
    </cfRule>
  </conditionalFormatting>
  <conditionalFormatting sqref="J558:J568">
    <cfRule type="cellIs" dxfId="42" priority="139" operator="notEqual">
      <formula>0</formula>
    </cfRule>
  </conditionalFormatting>
  <conditionalFormatting sqref="J576:J586">
    <cfRule type="cellIs" dxfId="41" priority="138" operator="notEqual">
      <formula>0</formula>
    </cfRule>
  </conditionalFormatting>
  <conditionalFormatting sqref="J616:J631">
    <cfRule type="cellIs" dxfId="40" priority="156" operator="notEqual">
      <formula>0</formula>
    </cfRule>
  </conditionalFormatting>
  <conditionalFormatting sqref="J639:J649">
    <cfRule type="cellIs" dxfId="39" priority="137" operator="notEqual">
      <formula>0</formula>
    </cfRule>
  </conditionalFormatting>
  <conditionalFormatting sqref="J657:J667">
    <cfRule type="cellIs" dxfId="38" priority="136" operator="notEqual">
      <formula>0</formula>
    </cfRule>
  </conditionalFormatting>
  <conditionalFormatting sqref="J675:J685">
    <cfRule type="cellIs" dxfId="37" priority="135" operator="notEqual">
      <formula>0</formula>
    </cfRule>
  </conditionalFormatting>
  <dataValidations count="8">
    <dataValidation type="custom" showErrorMessage="1" errorTitle="Invalid Assumption" error="Assumption must be a number." sqref="E216 F87:H96 F69:H78 F51:H60 F222:H236 F616:H630 F477:H486 F319:H333 F441:H450 F459:H468 F517:H531 F28:H42 F184:H193 F166:H175 F148:H157 E22 E511 F281:H290 F263:H272 F245:H254 E119 F418:H432 F576:H585 F558:H567 F540:H549 E412 E610 F675:H684 F657:H666 F639:H648 F125:H139 E313 F378:H387 F360:H369 F342:H351" xr:uid="{00000000-0002-0000-2500-000000000000}">
      <formula1>NOT(ISERROR(E22/1))</formula1>
    </dataValidation>
    <dataValidation type="whole" showDropDown="1" showErrorMessage="1" errorTitle="Drop Down Box Cell Link" error="The value in a drop down box cell link must be a whole number within the control's lookup range rows." sqref="E15" xr:uid="{00000000-0002-0000-2500-000001000000}">
      <formula1>1</formula1>
      <formula2>ROWS(LU_TOP_ACTV_5_Currencies)</formula2>
    </dataValidation>
    <dataValidation type="whole" showDropDown="1" showErrorMessage="1" errorTitle="Drop Down Box Cell Link" error="The value in a drop down box cell link must be a whole number within the control's lookup range rows." sqref="E405" xr:uid="{00000000-0002-0000-2500-000002000000}">
      <formula1>1</formula1>
      <formula2>ROWS(LU_LVL2_ACTV_5_Currencies)</formula2>
    </dataValidation>
    <dataValidation type="whole" showDropDown="1" showErrorMessage="1" errorTitle="Drop Down Box Cell Link" error="The value in a drop down box cell link must be a whole number within the control's lookup range rows." sqref="E112" xr:uid="{00000000-0002-0000-2500-000003000000}">
      <formula1>1</formula1>
      <formula2>ROWS(LU_TOP_ACTV_17_Currencies)</formula2>
    </dataValidation>
    <dataValidation type="whole" showDropDown="1" showErrorMessage="1" errorTitle="Drop Down Box Cell Link" error="The value in a drop down box cell link must be a whole number within the control's lookup range rows." sqref="E209" xr:uid="{00000000-0002-0000-2500-000004000000}">
      <formula1>1</formula1>
      <formula2>ROWS(LU_TOP_ACTV_18_Currencies)</formula2>
    </dataValidation>
    <dataValidation type="whole" showDropDown="1" showErrorMessage="1" errorTitle="Drop Down Box Cell Link" error="The value in a drop down box cell link must be a whole number within the control's lookup range rows." sqref="E504" xr:uid="{00000000-0002-0000-2500-000005000000}">
      <formula1>1</formula1>
      <formula2>ROWS(LU_LVL2_ACTV_14_Currencies)</formula2>
    </dataValidation>
    <dataValidation type="whole" showDropDown="1" showErrorMessage="1" errorTitle="Drop Down Box Cell Link" error="The value in a drop down box cell link must be a whole number within the control's lookup range rows." sqref="E603" xr:uid="{00000000-0002-0000-2500-000006000000}">
      <formula1>1</formula1>
      <formula2>ROWS(LU_LVL2_ACTV_15_Currencies)</formula2>
    </dataValidation>
    <dataValidation type="whole" showDropDown="1" showErrorMessage="1" errorTitle="Drop Down Box Cell Link" error="The value in a drop down box cell link must be a whole number within the control's lookup range rows." sqref="E306" xr:uid="{00000000-0002-0000-2500-000007000000}">
      <formula1>1</formula1>
      <formula2>ROWS(LU_TOP_ACTV_8_Currencies)</formula2>
    </dataValidation>
  </dataValidations>
  <hyperlinks>
    <hyperlink ref="A4" location="HL_TOP_ACTV_5_Ass_B" tooltip="Click to follow hyperlink." display="HL_TOP_ACTV_5_Ass_B" xr:uid="{00000000-0004-0000-2500-000000000000}"/>
    <hyperlink ref="A12" location="HL_TOP_ACTV_5_Personnel_Assumptions" tooltip="Click to follow hyperlink." display="HL_TOP_ACTV_5_Personnel_Assumptions" xr:uid="{00000000-0004-0000-2500-000001000000}"/>
    <hyperlink ref="D45" location="HL_TOP_ACTV_5_Personnel_Outputs" tooltip="Click to follow hyperlink." display="HL_TOP_ACTV_5_Personnel_Outputs" xr:uid="{00000000-0004-0000-2500-000002000000}"/>
    <hyperlink ref="D63" location="HL_TOP_ACTV_5_Out_A" tooltip="Click to follow hyperlink." display="HL_TOP_ACTV_5_Out_A" xr:uid="{00000000-0004-0000-2500-000003000000}"/>
    <hyperlink ref="D81" location="HL_TOP_ACTV_5_Supplies_and_Materials_Outputs" tooltip="Click to follow hyperlink." display="HL_TOP_ACTV_5_Supplies_and_Materials_Outputs" xr:uid="{00000000-0004-0000-2500-000004000000}"/>
    <hyperlink ref="D99" location="HL_TOP_ACTV_5_Other_Direct_Costs_Outputs" tooltip="Click to follow hyperlink." display="HL_TOP_ACTV_5_Other_Direct_Costs_Outputs" xr:uid="{00000000-0004-0000-2500-000005000000}"/>
    <hyperlink ref="D489" location="HL_LVL2_ACTV_5_Other_Direct_Costs_Outputs" tooltip="Click to follow hyperlink." display="HL_LVL2_ACTV_5_Other_Direct_Costs_Outputs" xr:uid="{00000000-0004-0000-2500-000006000000}"/>
    <hyperlink ref="D471" location="HL_LVL2_ACTV_5_Supplies_and_Materials_Outputs" tooltip="Click to follow hyperlink." display="HL_LVL2_ACTV_5_Supplies_and_Materials_Outputs" xr:uid="{00000000-0004-0000-2500-000007000000}"/>
    <hyperlink ref="D453" location="HL_LVL2_ACTV_5_Out_A" tooltip="Click to follow hyperlink." display="HL_LVL2_ACTV_5_Out_A" xr:uid="{00000000-0004-0000-2500-000008000000}"/>
    <hyperlink ref="D435" location="HL_LVL2_ACTV_5_Personnel_Outputs" tooltip="Click to follow hyperlink." display="HL_LVL2_ACTV_5_Personnel_Outputs" xr:uid="{00000000-0004-0000-2500-000009000000}"/>
    <hyperlink ref="A401" location="HL_LVL2_ACTV_5_Personnel_Assumptions" tooltip="Click to follow hyperlink." display="HL_LVL2_ACTV_5_Personnel_Assumptions" xr:uid="{00000000-0004-0000-2500-00000A000000}"/>
    <hyperlink ref="A392" location="HL_LVL2_ACTV_5_Ass_B" tooltip="Click to follow hyperlink." display="HL_LVL2_ACTV_5_Ass_B" xr:uid="{00000000-0004-0000-2500-00000B000000}"/>
    <hyperlink ref="A101" location="HL_TOP_ACTV_17_Ass_B" tooltip="Click to follow hyperlink." display="HL_TOP_ACTV_17_Ass_B" xr:uid="{00000000-0004-0000-2500-00000C000000}"/>
    <hyperlink ref="A109" location="HL_TOP_ACTV_17_Personnel_Assumptions" tooltip="Click to follow hyperlink." display="HL_TOP_ACTV_17_Personnel_Assumptions" xr:uid="{00000000-0004-0000-2500-00000D000000}"/>
    <hyperlink ref="D142" location="HL_TOP_ACTV_17_Personnel_Outputs" tooltip="Click to follow hyperlink." display="HL_TOP_ACTV_17_Personnel_Outputs" xr:uid="{00000000-0004-0000-2500-00000E000000}"/>
    <hyperlink ref="D160" location="HL_TOP_ACTV_17_Out_A" tooltip="Click to follow hyperlink." display="HL_TOP_ACTV_17_Out_A" xr:uid="{00000000-0004-0000-2500-00000F000000}"/>
    <hyperlink ref="D178" location="HL_TOP_ACTV_17_Supplies_and_Materials_Outputs" tooltip="Click to follow hyperlink." display="HL_TOP_ACTV_17_Supplies_and_Materials_Outputs" xr:uid="{00000000-0004-0000-2500-000010000000}"/>
    <hyperlink ref="D196" location="HL_TOP_ACTV_17_Other_Direct_Costs_Outputs" tooltip="Click to follow hyperlink." display="HL_TOP_ACTV_17_Other_Direct_Costs_Outputs" xr:uid="{00000000-0004-0000-2500-000011000000}"/>
    <hyperlink ref="A198" location="HL_TOP_ACTV_18_Ass_B" tooltip="Click to follow hyperlink." display="HL_TOP_ACTV_18_Ass_B" xr:uid="{00000000-0004-0000-2500-000012000000}"/>
    <hyperlink ref="A206" location="HL_TOP_ACTV_18_Personnel_Assumptions" tooltip="Click to follow hyperlink." display="HL_TOP_ACTV_18_Personnel_Assumptions" xr:uid="{00000000-0004-0000-2500-000013000000}"/>
    <hyperlink ref="D239" location="HL_TOP_ACTV_18_Personnel_Outputs" tooltip="Click to follow hyperlink." display="HL_TOP_ACTV_18_Personnel_Outputs" xr:uid="{00000000-0004-0000-2500-000014000000}"/>
    <hyperlink ref="D257" location="HL_TOP_ACTV_18_Out_A" tooltip="Click to follow hyperlink." display="HL_TOP_ACTV_18_Out_A" xr:uid="{00000000-0004-0000-2500-000015000000}"/>
    <hyperlink ref="D275" location="HL_TOP_ACTV_18_Supplies_and_Materials_Outputs" tooltip="Click to follow hyperlink." display="HL_TOP_ACTV_18_Supplies_and_Materials_Outputs" xr:uid="{00000000-0004-0000-2500-000016000000}"/>
    <hyperlink ref="D293" location="HL_TOP_ACTV_18_Other_Direct_Costs_Outputs" tooltip="Click to follow hyperlink." display="HL_TOP_ACTV_18_Other_Direct_Costs_Outputs" xr:uid="{00000000-0004-0000-2500-000017000000}"/>
    <hyperlink ref="A491" location="HL_LVL2_ACTV_14_Ass_B" tooltip="Click to follow hyperlink." display="HL_LVL2_ACTV_14_Ass_B" xr:uid="{00000000-0004-0000-2500-000018000000}"/>
    <hyperlink ref="A500" location="HL_LVL2_ACTV_14_Personnel_Assumptions" tooltip="Click to follow hyperlink." display="HL_LVL2_ACTV_14_Personnel_Assumptions" xr:uid="{00000000-0004-0000-2500-000019000000}"/>
    <hyperlink ref="D534" location="HL_LVL2_ACTV_14_Personnel_Outputs" tooltip="Click to follow hyperlink." display="HL_LVL2_ACTV_14_Personnel_Outputs" xr:uid="{00000000-0004-0000-2500-00001A000000}"/>
    <hyperlink ref="D552" location="HL_LVL2_ACTV_14_Out_A" tooltip="Click to follow hyperlink." display="HL_LVL2_ACTV_14_Out_A" xr:uid="{00000000-0004-0000-2500-00001B000000}"/>
    <hyperlink ref="D570" location="HL_LVL2_ACTV_14_Supplies_and_Materials_Outputs" tooltip="Click to follow hyperlink." display="HL_LVL2_ACTV_14_Supplies_and_Materials_Outputs" xr:uid="{00000000-0004-0000-2500-00001C000000}"/>
    <hyperlink ref="D588" location="HL_LVL2_ACTV_14_Other_Direct_Costs_Outputs" tooltip="Click to follow hyperlink." display="HL_LVL2_ACTV_14_Other_Direct_Costs_Outputs" xr:uid="{00000000-0004-0000-2500-00001D000000}"/>
    <hyperlink ref="A590" location="HL_LVL2_ACTV_15_Ass_B" tooltip="Click to follow hyperlink." display="HL_LVL2_ACTV_15_Ass_B" xr:uid="{00000000-0004-0000-2500-00001E000000}"/>
    <hyperlink ref="A599" location="HL_LVL2_ACTV_15_Personnel_Assumptions" tooltip="Click to follow hyperlink." display="HL_LVL2_ACTV_15_Personnel_Assumptions" xr:uid="{00000000-0004-0000-2500-00001F000000}"/>
    <hyperlink ref="D633" location="HL_LVL2_ACTV_15_Personnel_Outputs" tooltip="Click to follow hyperlink." display="HL_LVL2_ACTV_15_Personnel_Outputs" xr:uid="{00000000-0004-0000-2500-000020000000}"/>
    <hyperlink ref="D651" location="HL_LVL2_ACTV_15_Out_A" tooltip="Click to follow hyperlink." display="HL_LVL2_ACTV_15_Out_A" xr:uid="{00000000-0004-0000-2500-000021000000}"/>
    <hyperlink ref="D669" location="HL_LVL2_ACTV_15_Supplies_and_Materials_Outputs" tooltip="Click to follow hyperlink." display="HL_LVL2_ACTV_15_Supplies_and_Materials_Outputs" xr:uid="{00000000-0004-0000-2500-000022000000}"/>
    <hyperlink ref="D687" location="HL_LVL2_ACTV_15_Other_Direct_Costs_Outputs" tooltip="Click to follow hyperlink." display="HL_LVL2_ACTV_15_Other_Direct_Costs_Outputs" xr:uid="{00000000-0004-0000-2500-000023000000}"/>
    <hyperlink ref="A295" location="HL_TOP_ACTV_8_Ass_B" tooltip="Click to follow hyperlink." display="HL_TOP_ACTV_8_Ass_B" xr:uid="{00000000-0004-0000-2500-000024000000}"/>
    <hyperlink ref="A303" location="HL_TOP_ACTV_8_Personnel_Assumptions" tooltip="Click to follow hyperlink." display="HL_TOP_ACTV_8_Personnel_Assumptions" xr:uid="{00000000-0004-0000-2500-000025000000}"/>
    <hyperlink ref="D336" location="HL_TOP_ACTV_8_Personnel_Outputs" tooltip="Click to follow hyperlink." display="HL_TOP_ACTV_8_Personnel_Outputs" xr:uid="{00000000-0004-0000-2500-000026000000}"/>
    <hyperlink ref="D354" location="HL_TOP_ACTV_8_Out_A" tooltip="Click to follow hyperlink." display="HL_TOP_ACTV_8_Out_A" xr:uid="{00000000-0004-0000-2500-000027000000}"/>
    <hyperlink ref="D372" location="HL_TOP_ACTV_8_Supplies_and_Materials_Outputs" tooltip="Click to follow hyperlink." display="HL_TOP_ACTV_8_Supplies_and_Materials_Outputs" xr:uid="{00000000-0004-0000-2500-000028000000}"/>
    <hyperlink ref="D390" location="HL_TOP_ACTV_8_Other_Direct_Costs_Outputs" tooltip="Click to follow hyperlink." display="HL_TOP_ACTV_8_Other_Direct_Costs_Outputs" xr:uid="{00000000-0004-0000-2500-000029000000}"/>
    <hyperlink ref="A1" location="Contents!A1" tooltip="Go to Table of Contents" display="±" xr:uid="{00000000-0004-0000-2500-00002A000000}"/>
  </hyperlinks>
  <pageMargins left="0.7" right="0.7" top="0.75" bottom="0.75" header="0.3" footer="0.3"/>
  <pageSetup scale="61" fitToHeight="0" orientation="landscape" r:id="rId1"/>
  <headerFooter>
    <oddFooter>&amp;L&amp;B Confidential&amp;B&amp;C&amp;D&amp;RPage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1358" r:id="rId4" name="bpmDropDownTOP_ACTV_51">
              <controlPr defaultSize="0" autoFill="0" autoPict="0">
                <anchor moveWithCells="1" sizeWithCells="1">
                  <from>
                    <xdr:col>4</xdr:col>
                    <xdr:colOff>0</xdr:colOff>
                    <xdr:row>14</xdr:row>
                    <xdr:rowOff>0</xdr:rowOff>
                  </from>
                  <to>
                    <xdr:col>5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368" r:id="rId5" name="bpmDropDownLVL2_ACTV_51">
              <controlPr defaultSize="0" autoFill="0" autoPict="0">
                <anchor moveWithCells="1" sizeWithCells="1">
                  <from>
                    <xdr:col>4</xdr:col>
                    <xdr:colOff>0</xdr:colOff>
                    <xdr:row>404</xdr:row>
                    <xdr:rowOff>0</xdr:rowOff>
                  </from>
                  <to>
                    <xdr:col>5</xdr:col>
                    <xdr:colOff>0</xdr:colOff>
                    <xdr:row>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373" r:id="rId6" name="bpmDropDownTOP_ACTV_171">
              <controlPr defaultSize="0" autoFill="0" autoPict="0">
                <anchor moveWithCells="1" sizeWithCells="1">
                  <from>
                    <xdr:col>4</xdr:col>
                    <xdr:colOff>0</xdr:colOff>
                    <xdr:row>111</xdr:row>
                    <xdr:rowOff>0</xdr:rowOff>
                  </from>
                  <to>
                    <xdr:col>5</xdr:col>
                    <xdr:colOff>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378" r:id="rId7" name="bpmDropDownTOP_ACTV_181">
              <controlPr defaultSize="0" autoFill="0" autoPict="0">
                <anchor moveWithCells="1" sizeWithCells="1">
                  <from>
                    <xdr:col>4</xdr:col>
                    <xdr:colOff>0</xdr:colOff>
                    <xdr:row>208</xdr:row>
                    <xdr:rowOff>0</xdr:rowOff>
                  </from>
                  <to>
                    <xdr:col>5</xdr:col>
                    <xdr:colOff>0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383" r:id="rId8" name="bpmDropDownLVL2_ACTV_141">
              <controlPr defaultSize="0" autoFill="0" autoPict="0">
                <anchor moveWithCells="1" sizeWithCells="1">
                  <from>
                    <xdr:col>4</xdr:col>
                    <xdr:colOff>0</xdr:colOff>
                    <xdr:row>503</xdr:row>
                    <xdr:rowOff>0</xdr:rowOff>
                  </from>
                  <to>
                    <xdr:col>5</xdr:col>
                    <xdr:colOff>0</xdr:colOff>
                    <xdr:row>504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388" r:id="rId9" name="bpmDropDownLVL2_ACTV_151">
              <controlPr defaultSize="0" autoFill="0" autoPict="0">
                <anchor moveWithCells="1" sizeWithCells="1">
                  <from>
                    <xdr:col>4</xdr:col>
                    <xdr:colOff>0</xdr:colOff>
                    <xdr:row>602</xdr:row>
                    <xdr:rowOff>0</xdr:rowOff>
                  </from>
                  <to>
                    <xdr:col>5</xdr:col>
                    <xdr:colOff>0</xdr:colOff>
                    <xdr:row>603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393" r:id="rId10" name="bpmDropDownTOP_ACTV_81">
              <controlPr defaultSize="0" autoFill="0" autoPict="0">
                <anchor moveWithCells="1" sizeWithCells="1">
                  <from>
                    <xdr:col>4</xdr:col>
                    <xdr:colOff>0</xdr:colOff>
                    <xdr:row>305</xdr:row>
                    <xdr:rowOff>0</xdr:rowOff>
                  </from>
                  <to>
                    <xdr:col>5</xdr:col>
                    <xdr:colOff>0</xdr:colOff>
                    <xdr:row>306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6">
    <tabColor rgb="FFFFC000"/>
    <pageSetUpPr autoPageBreaks="0" fitToPage="1"/>
  </sheetPr>
  <dimension ref="A1:J491"/>
  <sheetViews>
    <sheetView showGridLines="0" zoomScaleNormal="100" workbookViewId="0">
      <pane xSplit="1" ySplit="2" topLeftCell="B3" activePane="bottomRight" state="frozen"/>
      <selection activeCell="I511" sqref="I511"/>
      <selection pane="topRight" activeCell="I511" sqref="I511"/>
      <selection pane="bottomLeft" activeCell="I511" sqref="I511"/>
      <selection pane="bottomRight" activeCell="E15" sqref="E15"/>
    </sheetView>
  </sheetViews>
  <sheetFormatPr defaultColWidth="11.7109375" defaultRowHeight="12" outlineLevelRow="1" x14ac:dyDescent="0.2"/>
  <cols>
    <col min="1" max="3" width="3.7109375" customWidth="1"/>
    <col min="4" max="4" width="30.7109375" customWidth="1"/>
    <col min="5" max="8" width="15.7109375" customWidth="1"/>
    <col min="9" max="9" width="40.7109375" customWidth="1"/>
  </cols>
  <sheetData>
    <row r="1" spans="1:5" ht="15" x14ac:dyDescent="0.2">
      <c r="A1" s="35" t="s">
        <v>128</v>
      </c>
      <c r="B1" s="31" t="str">
        <f>Lang_Other_Recurrent_Costs_Only_Detailed_Costing_Worksheets_Optional</f>
        <v>OTHER  (Recurrent Costs Only) - Detailed Costing Worksheets (OPTIONAL)</v>
      </c>
    </row>
    <row r="2" spans="1:5" ht="12.75" x14ac:dyDescent="0.2">
      <c r="A2" s="36"/>
      <c r="B2" s="45" t="str">
        <f ca="1">Model_Name</f>
        <v>Cervical Cancer Prevention and Control Costing (C4P) Tool (Cost Projection)</v>
      </c>
    </row>
    <row r="4" spans="1:5" s="13" customFormat="1" x14ac:dyDescent="0.2">
      <c r="A4" s="6" t="s">
        <v>125</v>
      </c>
      <c r="B4" s="13" t="str">
        <f>C6</f>
        <v>Other Activity #1 - (Recurrent Costs Only) (Not in Use) -  Detailed Activity Costing Worksheet - Instructions</v>
      </c>
    </row>
    <row r="5" spans="1:5" outlineLevel="1" x14ac:dyDescent="0.2"/>
    <row r="6" spans="1:5" outlineLevel="1" x14ac:dyDescent="0.2">
      <c r="C6" s="18" t="str">
        <f>HL_TOP_ACTV_6_Name&amp;" -  "&amp;Lang_Detailed_Activity_Costing_Worksheet_Instructions</f>
        <v>Other Activity #1 - (Recurrent Costs Only) (Not in Use) -  Detailed Activity Costing Worksheet - Instructions</v>
      </c>
    </row>
    <row r="7" spans="1:5" outlineLevel="1" x14ac:dyDescent="0.2"/>
    <row r="8" spans="1:5" outlineLevel="1" x14ac:dyDescent="0.2">
      <c r="D8" s="50" t="str">
        <f>Lang_Detailed_Costing_Worksheets_Notes_1</f>
        <v>This detailed costing worksheet can be used to document the types and amounts of resources required to complete a single instance of an activity.</v>
      </c>
    </row>
    <row r="9" spans="1:5" outlineLevel="1" x14ac:dyDescent="0.2">
      <c r="D9" s="50" t="str">
        <f>Lang_Detailed_Costing_Worksheets_Notes_2</f>
        <v>When completed, it will automatically provide a single activity cost in the general assumption worksheet.</v>
      </c>
    </row>
    <row r="10" spans="1:5" outlineLevel="1" x14ac:dyDescent="0.2">
      <c r="D10" s="50" t="str">
        <f>Lang_Detailed_Costing_Worksheets_Notes_3</f>
        <v>The user may then choose to use the results of the detailed costing in the model, or override the detailed costing and insert alternate cost estimates.</v>
      </c>
    </row>
    <row r="11" spans="1:5" s="10" customFormat="1" x14ac:dyDescent="0.2"/>
    <row r="12" spans="1:5" s="13" customFormat="1" x14ac:dyDescent="0.2">
      <c r="A12" s="12" t="s">
        <v>125</v>
      </c>
      <c r="B12" s="13" t="str">
        <f>C14</f>
        <v>Other Activity #1 - (Recurrent Costs Only) (Not in Use) - Detailed Activity Costing Worksheet - Currency Selection</v>
      </c>
    </row>
    <row r="13" spans="1:5" s="10" customFormat="1" outlineLevel="1" x14ac:dyDescent="0.2"/>
    <row r="14" spans="1:5" s="10" customFormat="1" outlineLevel="1" x14ac:dyDescent="0.2">
      <c r="C14" s="71" t="str">
        <f>HL_TOP_ACTV_6_Name&amp;" - "&amp;Lang_Detailed_Activity_Costing_Worksheet_Currency_Selection</f>
        <v>Other Activity #1 - (Recurrent Costs Only) (Not in Use) - Detailed Activity Costing Worksheet - Currency Selection</v>
      </c>
    </row>
    <row r="15" spans="1:5" s="10" customFormat="1" outlineLevel="1" x14ac:dyDescent="0.2">
      <c r="D15" s="55" t="str">
        <f>Lang_Currency_Used_For_Cost_Inputs</f>
        <v>Currency Used for Cost Inputs</v>
      </c>
      <c r="E15" s="72">
        <v>1</v>
      </c>
    </row>
    <row r="16" spans="1:5" s="10" customFormat="1" outlineLevel="1" x14ac:dyDescent="0.2"/>
    <row r="17" spans="1:10" s="10" customFormat="1" outlineLevel="1" x14ac:dyDescent="0.2"/>
    <row r="18" spans="1:10" s="10" customFormat="1" outlineLevel="1" x14ac:dyDescent="0.2">
      <c r="D18" s="54" t="str">
        <f>Lang_Imported_From_Econ_Module</f>
        <v>Imported from Econ Module</v>
      </c>
    </row>
    <row r="19" spans="1:10" s="10" customFormat="1" outlineLevel="1" x14ac:dyDescent="0.2">
      <c r="D19" s="49" t="str">
        <f>ECONOMICS!F7</f>
        <v>USD</v>
      </c>
    </row>
    <row r="20" spans="1:10" s="10" customFormat="1" outlineLevel="1" x14ac:dyDescent="0.2">
      <c r="D20" s="49" t="str">
        <f>ECONOMICS!F8</f>
        <v>LCU</v>
      </c>
    </row>
    <row r="21" spans="1:10" s="10" customFormat="1" outlineLevel="1" x14ac:dyDescent="0.2"/>
    <row r="22" spans="1:10" s="10" customFormat="1" outlineLevel="1" x14ac:dyDescent="0.2">
      <c r="D22" s="50" t="str">
        <f>Lang_Exchange_Rate_From_Econ</f>
        <v>Exchange Rate (from Economics)</v>
      </c>
      <c r="E22" s="41">
        <f>ECONOMICS!E13</f>
        <v>1234.5</v>
      </c>
    </row>
    <row r="24" spans="1:10" s="13" customFormat="1" x14ac:dyDescent="0.2">
      <c r="A24" s="6" t="s">
        <v>127</v>
      </c>
      <c r="B24" s="13" t="str">
        <f>C26</f>
        <v>Other Activity #1 - (Recurrent Costs Only) (Not in Use) - Detailed Personnel Cost Assumptions</v>
      </c>
    </row>
    <row r="25" spans="1:10" outlineLevel="1" x14ac:dyDescent="0.2"/>
    <row r="26" spans="1:10" outlineLevel="1" x14ac:dyDescent="0.2">
      <c r="C26" s="18" t="str">
        <f>HL_TOP_ACTV_6_Name&amp;" - "&amp;Lang_Detailed_Personnel_Cost_Assumptions</f>
        <v>Other Activity #1 - (Recurrent Costs Only) (Not in Use) - Detailed Personnel Cost Assumptions</v>
      </c>
    </row>
    <row r="27" spans="1:10" ht="36" outlineLevel="1" x14ac:dyDescent="0.2">
      <c r="D27" s="55" t="str">
        <f>Lang_Personnel_Cadre_Type</f>
        <v>Personnel Cadre Type</v>
      </c>
      <c r="E27" s="85" t="str">
        <f>Lang_Activity_Unit_Day_Hour_Minute</f>
        <v>Activity Unit (e.g. Day, Hour, Minute)</v>
      </c>
      <c r="F27" s="85" t="str">
        <f>Lang_Number_Of_Activity_Units_Required</f>
        <v>Number of Activity Units Required</v>
      </c>
      <c r="G27" s="63" t="str">
        <f ca="1">OTHER_Lu!$D$32&amp;" "&amp;Lang_Cost_Per_Activity_Unit&amp;" ("&amp;OFFSET(OTHER_Lu!$D$11,DD_TOP_ACTV_6_Detailed_Currency_Used,0)&amp;")"</f>
        <v>Financial Cost per Activity Unit (USD)</v>
      </c>
      <c r="H27" s="63" t="str">
        <f ca="1">OTHER_Lu!$D$33&amp;" "&amp;Lang_Cost_Per_Activity_Unit&amp;" ("&amp;OFFSET(OTHER_Lu!$D$11,DD_TOP_ACTV_6_Detailed_Currency_Used,0)&amp;")"</f>
        <v>Economic Cost per Activity Unit (USD)</v>
      </c>
      <c r="I27" s="87" t="str">
        <f>Lang_Evidence_For_Using_This_Cost_Information_Source_Or_Notes</f>
        <v>Evidence for Using this Cost Information (source or notes)</v>
      </c>
    </row>
    <row r="28" spans="1:10" outlineLevel="1" x14ac:dyDescent="0.2">
      <c r="D28" s="62" t="s">
        <v>152</v>
      </c>
      <c r="E28" s="64"/>
      <c r="F28" s="19">
        <v>0</v>
      </c>
      <c r="G28" s="19">
        <v>0</v>
      </c>
      <c r="H28" s="19">
        <v>0</v>
      </c>
      <c r="I28" s="62" t="s">
        <v>162</v>
      </c>
      <c r="J28" s="42">
        <f t="shared" ref="J28:J42" si="0">IF(H28&lt;G28,1,0)</f>
        <v>0</v>
      </c>
    </row>
    <row r="29" spans="1:10" outlineLevel="1" x14ac:dyDescent="0.2">
      <c r="D29" s="62" t="s">
        <v>153</v>
      </c>
      <c r="E29" s="64"/>
      <c r="F29" s="19">
        <v>0</v>
      </c>
      <c r="G29" s="19">
        <v>0</v>
      </c>
      <c r="H29" s="19">
        <v>0</v>
      </c>
      <c r="I29" s="62" t="s">
        <v>162</v>
      </c>
      <c r="J29" s="42">
        <f t="shared" si="0"/>
        <v>0</v>
      </c>
    </row>
    <row r="30" spans="1:10" outlineLevel="1" x14ac:dyDescent="0.2">
      <c r="D30" s="62" t="s">
        <v>154</v>
      </c>
      <c r="E30" s="64"/>
      <c r="F30" s="19">
        <v>0</v>
      </c>
      <c r="G30" s="19">
        <v>0</v>
      </c>
      <c r="H30" s="19">
        <v>0</v>
      </c>
      <c r="I30" s="62" t="s">
        <v>162</v>
      </c>
      <c r="J30" s="42">
        <f t="shared" si="0"/>
        <v>0</v>
      </c>
    </row>
    <row r="31" spans="1:10" outlineLevel="1" x14ac:dyDescent="0.2">
      <c r="D31" s="62" t="s">
        <v>155</v>
      </c>
      <c r="E31" s="64"/>
      <c r="F31" s="19">
        <v>0</v>
      </c>
      <c r="G31" s="19">
        <v>0</v>
      </c>
      <c r="H31" s="19">
        <v>0</v>
      </c>
      <c r="I31" s="62" t="s">
        <v>162</v>
      </c>
      <c r="J31" s="42">
        <f t="shared" si="0"/>
        <v>0</v>
      </c>
    </row>
    <row r="32" spans="1:10" outlineLevel="1" x14ac:dyDescent="0.2">
      <c r="D32" s="62" t="s">
        <v>156</v>
      </c>
      <c r="E32" s="64"/>
      <c r="F32" s="19">
        <v>0</v>
      </c>
      <c r="G32" s="19">
        <v>0</v>
      </c>
      <c r="H32" s="19">
        <v>0</v>
      </c>
      <c r="I32" s="62" t="s">
        <v>162</v>
      </c>
      <c r="J32" s="42">
        <f t="shared" si="0"/>
        <v>0</v>
      </c>
    </row>
    <row r="33" spans="1:10" outlineLevel="1" x14ac:dyDescent="0.2">
      <c r="D33" s="62" t="s">
        <v>157</v>
      </c>
      <c r="E33" s="64"/>
      <c r="F33" s="19">
        <v>0</v>
      </c>
      <c r="G33" s="19">
        <v>0</v>
      </c>
      <c r="H33" s="19">
        <v>0</v>
      </c>
      <c r="I33" s="62" t="s">
        <v>162</v>
      </c>
      <c r="J33" s="42">
        <f t="shared" si="0"/>
        <v>0</v>
      </c>
    </row>
    <row r="34" spans="1:10" outlineLevel="1" x14ac:dyDescent="0.2">
      <c r="D34" s="62" t="s">
        <v>158</v>
      </c>
      <c r="E34" s="64"/>
      <c r="F34" s="19">
        <v>0</v>
      </c>
      <c r="G34" s="19">
        <v>0</v>
      </c>
      <c r="H34" s="19">
        <v>0</v>
      </c>
      <c r="I34" s="62" t="s">
        <v>162</v>
      </c>
      <c r="J34" s="42">
        <f t="shared" si="0"/>
        <v>0</v>
      </c>
    </row>
    <row r="35" spans="1:10" outlineLevel="1" x14ac:dyDescent="0.2">
      <c r="D35" s="62" t="s">
        <v>159</v>
      </c>
      <c r="E35" s="64"/>
      <c r="F35" s="19">
        <v>0</v>
      </c>
      <c r="G35" s="19">
        <v>0</v>
      </c>
      <c r="H35" s="19">
        <v>0</v>
      </c>
      <c r="I35" s="62" t="s">
        <v>162</v>
      </c>
      <c r="J35" s="42">
        <f t="shared" si="0"/>
        <v>0</v>
      </c>
    </row>
    <row r="36" spans="1:10" outlineLevel="1" x14ac:dyDescent="0.2">
      <c r="D36" s="62" t="s">
        <v>160</v>
      </c>
      <c r="E36" s="64"/>
      <c r="F36" s="19">
        <v>0</v>
      </c>
      <c r="G36" s="19">
        <v>0</v>
      </c>
      <c r="H36" s="19">
        <v>0</v>
      </c>
      <c r="I36" s="62" t="s">
        <v>162</v>
      </c>
      <c r="J36" s="42">
        <f t="shared" si="0"/>
        <v>0</v>
      </c>
    </row>
    <row r="37" spans="1:10" outlineLevel="1" x14ac:dyDescent="0.2">
      <c r="D37" s="62" t="s">
        <v>161</v>
      </c>
      <c r="E37" s="64"/>
      <c r="F37" s="19">
        <v>0</v>
      </c>
      <c r="G37" s="19">
        <v>0</v>
      </c>
      <c r="H37" s="19">
        <v>0</v>
      </c>
      <c r="I37" s="62" t="s">
        <v>162</v>
      </c>
      <c r="J37" s="42">
        <f t="shared" si="0"/>
        <v>0</v>
      </c>
    </row>
    <row r="38" spans="1:10" outlineLevel="1" x14ac:dyDescent="0.2">
      <c r="D38" s="62" t="s">
        <v>393</v>
      </c>
      <c r="E38" s="64"/>
      <c r="F38" s="19">
        <v>0</v>
      </c>
      <c r="G38" s="19">
        <v>0</v>
      </c>
      <c r="H38" s="19">
        <v>0</v>
      </c>
      <c r="I38" s="62" t="s">
        <v>162</v>
      </c>
      <c r="J38" s="42">
        <f t="shared" si="0"/>
        <v>0</v>
      </c>
    </row>
    <row r="39" spans="1:10" outlineLevel="1" x14ac:dyDescent="0.2">
      <c r="D39" s="62" t="s">
        <v>394</v>
      </c>
      <c r="E39" s="64"/>
      <c r="F39" s="19">
        <v>0</v>
      </c>
      <c r="G39" s="19">
        <v>0</v>
      </c>
      <c r="H39" s="19">
        <v>0</v>
      </c>
      <c r="I39" s="62" t="s">
        <v>162</v>
      </c>
      <c r="J39" s="42">
        <f t="shared" si="0"/>
        <v>0</v>
      </c>
    </row>
    <row r="40" spans="1:10" outlineLevel="1" x14ac:dyDescent="0.2">
      <c r="D40" s="62" t="s">
        <v>395</v>
      </c>
      <c r="E40" s="64"/>
      <c r="F40" s="19">
        <v>0</v>
      </c>
      <c r="G40" s="19">
        <v>0</v>
      </c>
      <c r="H40" s="19">
        <v>0</v>
      </c>
      <c r="I40" s="62" t="s">
        <v>162</v>
      </c>
      <c r="J40" s="42">
        <f t="shared" si="0"/>
        <v>0</v>
      </c>
    </row>
    <row r="41" spans="1:10" outlineLevel="1" x14ac:dyDescent="0.2">
      <c r="D41" s="62" t="s">
        <v>396</v>
      </c>
      <c r="E41" s="64"/>
      <c r="F41" s="19">
        <v>0</v>
      </c>
      <c r="G41" s="19">
        <v>0</v>
      </c>
      <c r="H41" s="19">
        <v>0</v>
      </c>
      <c r="I41" s="62" t="s">
        <v>162</v>
      </c>
      <c r="J41" s="42">
        <f t="shared" si="0"/>
        <v>0</v>
      </c>
    </row>
    <row r="42" spans="1:10" outlineLevel="1" x14ac:dyDescent="0.2">
      <c r="D42" s="62" t="s">
        <v>397</v>
      </c>
      <c r="E42" s="64"/>
      <c r="F42" s="19">
        <v>0</v>
      </c>
      <c r="G42" s="19">
        <v>0</v>
      </c>
      <c r="H42" s="19">
        <v>0</v>
      </c>
      <c r="I42" s="62" t="s">
        <v>162</v>
      </c>
      <c r="J42" s="42">
        <f t="shared" si="0"/>
        <v>0</v>
      </c>
    </row>
    <row r="43" spans="1:10" outlineLevel="1" x14ac:dyDescent="0.2">
      <c r="D43" s="55" t="str">
        <f>Lang_Error_Check_Flags_If_Input_Econ_Cost_Is_Less_Than_Fin_Cost</f>
        <v>ERROR CHECK (FLAGS IF INPUT ECONOMIC COST IS LESS THAN FINANCIAL COST)</v>
      </c>
      <c r="J43" s="43">
        <f>IF(ISERROR(SUM(J28:J42)),1,MIN(SUM(J28:J42),1))</f>
        <v>0</v>
      </c>
    </row>
    <row r="44" spans="1:10" outlineLevel="1" x14ac:dyDescent="0.2"/>
    <row r="45" spans="1:10" outlineLevel="1" x14ac:dyDescent="0.2">
      <c r="D45" s="47" t="str">
        <f>Lang_GoTo&amp;" "&amp;HL_TOP_ACTV_6_Personnel_Outputs</f>
        <v>Go to Other Activity #1 - (Recurrent Costs Only) (Not in Use) Personnel - Outputs</v>
      </c>
    </row>
    <row r="47" spans="1:10" s="13" customFormat="1" x14ac:dyDescent="0.2">
      <c r="A47" s="6" t="s">
        <v>127</v>
      </c>
      <c r="B47" s="13" t="str">
        <f>C49</f>
        <v>Other Activity #1 - (Recurrent Costs Only) (Not in Use) - Detailed Allowance Cost Assumptions</v>
      </c>
    </row>
    <row r="48" spans="1:10" outlineLevel="1" x14ac:dyDescent="0.2"/>
    <row r="49" spans="3:10" outlineLevel="1" x14ac:dyDescent="0.2">
      <c r="C49" s="18" t="str">
        <f>HL_TOP_ACTV_6_Name&amp;" - "&amp;Lang_Detailed_Allowance_Cost_Assumptions</f>
        <v>Other Activity #1 - (Recurrent Costs Only) (Not in Use) - Detailed Allowance Cost Assumptions</v>
      </c>
    </row>
    <row r="50" spans="3:10" ht="48" outlineLevel="1" x14ac:dyDescent="0.2">
      <c r="D50" s="55" t="str">
        <f>Lang_Allowance_Type</f>
        <v>Allowance Type</v>
      </c>
      <c r="E50" s="85" t="str">
        <f>Lang_Allowance_Unit_Per_Day_Round_Trip_Travel</f>
        <v>Allowance Unit (e.g. Per Day, Round-trip Travel,etc.)</v>
      </c>
      <c r="F50" s="85" t="str">
        <f>Lang_Number_Of_Allowance_Units_Required</f>
        <v>Number of Allowance Units Required</v>
      </c>
      <c r="G50" s="63" t="str">
        <f ca="1">OTHER_Lu!$D$32&amp;" "&amp;Lang_Cost_Per_Activity_Unit&amp;" ("&amp;OFFSET(OTHER_Lu!$D$11,DD_TOP_ACTV_6_Detailed_Currency_Used,0)&amp;")"</f>
        <v>Financial Cost per Activity Unit (USD)</v>
      </c>
      <c r="H50" s="63" t="str">
        <f ca="1">OTHER_Lu!$D$33&amp;" "&amp;Lang_Cost_Per_Activity_Unit&amp;" ("&amp;OFFSET(OTHER_Lu!$D$11,DD_TOP_ACTV_6_Detailed_Currency_Used,0)&amp;")"</f>
        <v>Economic Cost per Activity Unit (USD)</v>
      </c>
      <c r="I50" s="87" t="str">
        <f>Lang_Evidence_For_Using_This_Cost_Information_Source_Or_Notes</f>
        <v>Evidence for Using this Cost Information (source or notes)</v>
      </c>
    </row>
    <row r="51" spans="3:10" outlineLevel="1" x14ac:dyDescent="0.2">
      <c r="D51" s="62" t="s">
        <v>163</v>
      </c>
      <c r="E51" s="64"/>
      <c r="F51" s="19">
        <v>0</v>
      </c>
      <c r="G51" s="19">
        <v>0</v>
      </c>
      <c r="H51" s="19">
        <v>0</v>
      </c>
      <c r="I51" s="62" t="s">
        <v>162</v>
      </c>
      <c r="J51" s="42">
        <f t="shared" ref="J51:J60" si="1">IF(H51&lt;G51,1,0)</f>
        <v>0</v>
      </c>
    </row>
    <row r="52" spans="3:10" outlineLevel="1" x14ac:dyDescent="0.2">
      <c r="D52" s="62" t="s">
        <v>164</v>
      </c>
      <c r="E52" s="64"/>
      <c r="F52" s="19">
        <v>0</v>
      </c>
      <c r="G52" s="19">
        <v>0</v>
      </c>
      <c r="H52" s="19">
        <v>0</v>
      </c>
      <c r="I52" s="62" t="s">
        <v>162</v>
      </c>
      <c r="J52" s="42">
        <f t="shared" si="1"/>
        <v>0</v>
      </c>
    </row>
    <row r="53" spans="3:10" outlineLevel="1" x14ac:dyDescent="0.2">
      <c r="D53" s="62" t="s">
        <v>165</v>
      </c>
      <c r="E53" s="64"/>
      <c r="F53" s="19">
        <v>0</v>
      </c>
      <c r="G53" s="19">
        <v>0</v>
      </c>
      <c r="H53" s="19">
        <v>0</v>
      </c>
      <c r="I53" s="62" t="s">
        <v>162</v>
      </c>
      <c r="J53" s="42">
        <f t="shared" si="1"/>
        <v>0</v>
      </c>
    </row>
    <row r="54" spans="3:10" outlineLevel="1" x14ac:dyDescent="0.2">
      <c r="D54" s="62" t="s">
        <v>166</v>
      </c>
      <c r="E54" s="64"/>
      <c r="F54" s="19">
        <v>0</v>
      </c>
      <c r="G54" s="19">
        <v>0</v>
      </c>
      <c r="H54" s="19">
        <v>0</v>
      </c>
      <c r="I54" s="62" t="s">
        <v>162</v>
      </c>
      <c r="J54" s="42">
        <f t="shared" si="1"/>
        <v>0</v>
      </c>
    </row>
    <row r="55" spans="3:10" outlineLevel="1" x14ac:dyDescent="0.2">
      <c r="D55" s="62" t="s">
        <v>167</v>
      </c>
      <c r="E55" s="64"/>
      <c r="F55" s="19">
        <v>0</v>
      </c>
      <c r="G55" s="19">
        <v>0</v>
      </c>
      <c r="H55" s="19">
        <v>0</v>
      </c>
      <c r="I55" s="62" t="s">
        <v>162</v>
      </c>
      <c r="J55" s="42">
        <f t="shared" si="1"/>
        <v>0</v>
      </c>
    </row>
    <row r="56" spans="3:10" outlineLevel="1" x14ac:dyDescent="0.2">
      <c r="D56" s="62" t="s">
        <v>168</v>
      </c>
      <c r="E56" s="64"/>
      <c r="F56" s="19">
        <v>0</v>
      </c>
      <c r="G56" s="19">
        <v>0</v>
      </c>
      <c r="H56" s="19">
        <v>0</v>
      </c>
      <c r="I56" s="62" t="s">
        <v>162</v>
      </c>
      <c r="J56" s="42">
        <f t="shared" si="1"/>
        <v>0</v>
      </c>
    </row>
    <row r="57" spans="3:10" outlineLevel="1" x14ac:dyDescent="0.2">
      <c r="D57" s="62" t="s">
        <v>169</v>
      </c>
      <c r="E57" s="64"/>
      <c r="F57" s="19">
        <v>0</v>
      </c>
      <c r="G57" s="19">
        <v>0</v>
      </c>
      <c r="H57" s="19">
        <v>0</v>
      </c>
      <c r="I57" s="62" t="s">
        <v>162</v>
      </c>
      <c r="J57" s="42">
        <f t="shared" si="1"/>
        <v>0</v>
      </c>
    </row>
    <row r="58" spans="3:10" outlineLevel="1" x14ac:dyDescent="0.2">
      <c r="D58" s="62" t="s">
        <v>170</v>
      </c>
      <c r="E58" s="64"/>
      <c r="F58" s="19">
        <v>0</v>
      </c>
      <c r="G58" s="19">
        <v>0</v>
      </c>
      <c r="H58" s="19">
        <v>0</v>
      </c>
      <c r="I58" s="62" t="s">
        <v>162</v>
      </c>
      <c r="J58" s="42">
        <f t="shared" si="1"/>
        <v>0</v>
      </c>
    </row>
    <row r="59" spans="3:10" outlineLevel="1" x14ac:dyDescent="0.2">
      <c r="D59" s="62" t="s">
        <v>171</v>
      </c>
      <c r="E59" s="64"/>
      <c r="F59" s="19">
        <v>0</v>
      </c>
      <c r="G59" s="19">
        <v>0</v>
      </c>
      <c r="H59" s="19">
        <v>0</v>
      </c>
      <c r="I59" s="62" t="s">
        <v>162</v>
      </c>
      <c r="J59" s="42">
        <f t="shared" si="1"/>
        <v>0</v>
      </c>
    </row>
    <row r="60" spans="3:10" outlineLevel="1" x14ac:dyDescent="0.2">
      <c r="D60" s="62" t="s">
        <v>172</v>
      </c>
      <c r="E60" s="64"/>
      <c r="F60" s="19">
        <v>0</v>
      </c>
      <c r="G60" s="19">
        <v>0</v>
      </c>
      <c r="H60" s="19">
        <v>0</v>
      </c>
      <c r="I60" s="62" t="s">
        <v>162</v>
      </c>
      <c r="J60" s="42">
        <f t="shared" si="1"/>
        <v>0</v>
      </c>
    </row>
    <row r="61" spans="3:10" outlineLevel="1" x14ac:dyDescent="0.2">
      <c r="D61" s="55" t="str">
        <f>Lang_Error_Check_Flags_If_Input_Econ_Cost_Is_Less_Than_Fin_Cost</f>
        <v>ERROR CHECK (FLAGS IF INPUT ECONOMIC COST IS LESS THAN FINANCIAL COST)</v>
      </c>
      <c r="J61" s="43">
        <f>IF(ISERROR(SUM(J51:J60)),1,MIN(SUM(J51:J60),1))</f>
        <v>0</v>
      </c>
    </row>
    <row r="62" spans="3:10" outlineLevel="1" x14ac:dyDescent="0.2"/>
    <row r="63" spans="3:10" outlineLevel="1" x14ac:dyDescent="0.2">
      <c r="D63" s="47" t="str">
        <f>Lang_GoTo&amp;" "&amp;HL_TOP_ACTV_6_Out_A</f>
        <v>Go to Other Activity #1 - (Recurrent Costs Only) (Not in Use) Allowances - Outputs</v>
      </c>
    </row>
    <row r="65" spans="1:10" s="13" customFormat="1" x14ac:dyDescent="0.2">
      <c r="A65" s="6" t="s">
        <v>127</v>
      </c>
      <c r="B65" s="13" t="str">
        <f>C67</f>
        <v>Other Activity #1 - (Recurrent Costs Only) (Not in Use) - Detailed Supply and Material Cost Assumptions</v>
      </c>
    </row>
    <row r="66" spans="1:10" outlineLevel="1" x14ac:dyDescent="0.2"/>
    <row r="67" spans="1:10" outlineLevel="1" x14ac:dyDescent="0.2">
      <c r="C67" s="18" t="str">
        <f>HL_TOP_ACTV_6_Name&amp;" - "&amp;Lang_Detailed_Supply_And_Material_Cost_Assumptions</f>
        <v>Other Activity #1 - (Recurrent Costs Only) (Not in Use) - Detailed Supply and Material Cost Assumptions</v>
      </c>
    </row>
    <row r="68" spans="1:10" ht="36" outlineLevel="1" x14ac:dyDescent="0.2">
      <c r="D68" s="55" t="str">
        <f>Lang_Supply_Type</f>
        <v>Supply Type</v>
      </c>
      <c r="E68" s="85" t="str">
        <f>Lang_Supply_Unit_Each_Dozen_100_Pack</f>
        <v>Supply Unit (e.g. Each, Dozen, 100-pack,etc.)</v>
      </c>
      <c r="F68" s="85" t="str">
        <f>Lang_Number_Of_Supply_Units_Required</f>
        <v>Number of Supply Units Required</v>
      </c>
      <c r="G68" s="63" t="str">
        <f ca="1">OTHER_Lu!$D$32&amp;" "&amp;Lang_Cost_Per_Activity_Unit&amp;" ("&amp;OFFSET(OTHER_Lu!$D$11,DD_TOP_ACTV_6_Detailed_Currency_Used,0)&amp;")"</f>
        <v>Financial Cost per Activity Unit (USD)</v>
      </c>
      <c r="H68" s="63" t="str">
        <f ca="1">OTHER_Lu!$D$33&amp;" "&amp;Lang_Cost_Per_Activity_Unit&amp;" ("&amp;OFFSET(OTHER_Lu!$D$11,DD_TOP_ACTV_6_Detailed_Currency_Used,0)&amp;")"</f>
        <v>Economic Cost per Activity Unit (USD)</v>
      </c>
      <c r="I68" s="87" t="str">
        <f>Lang_Evidence_For_Using_This_Cost_Information_Source_Or_Notes</f>
        <v>Evidence for Using this Cost Information (source or notes)</v>
      </c>
    </row>
    <row r="69" spans="1:10" outlineLevel="1" x14ac:dyDescent="0.2">
      <c r="D69" s="62" t="s">
        <v>173</v>
      </c>
      <c r="E69" s="64"/>
      <c r="F69" s="19">
        <v>0</v>
      </c>
      <c r="G69" s="19">
        <v>0</v>
      </c>
      <c r="H69" s="19">
        <v>0</v>
      </c>
      <c r="I69" s="62" t="s">
        <v>162</v>
      </c>
      <c r="J69" s="42">
        <f t="shared" ref="J69:J78" si="2">IF(H69&lt;G69,1,0)</f>
        <v>0</v>
      </c>
    </row>
    <row r="70" spans="1:10" outlineLevel="1" x14ac:dyDescent="0.2">
      <c r="D70" s="62" t="s">
        <v>174</v>
      </c>
      <c r="E70" s="64"/>
      <c r="F70" s="19">
        <v>0</v>
      </c>
      <c r="G70" s="19">
        <v>0</v>
      </c>
      <c r="H70" s="19">
        <v>0</v>
      </c>
      <c r="I70" s="62" t="s">
        <v>162</v>
      </c>
      <c r="J70" s="42">
        <f t="shared" si="2"/>
        <v>0</v>
      </c>
    </row>
    <row r="71" spans="1:10" outlineLevel="1" x14ac:dyDescent="0.2">
      <c r="D71" s="62" t="s">
        <v>175</v>
      </c>
      <c r="E71" s="64"/>
      <c r="F71" s="19">
        <v>0</v>
      </c>
      <c r="G71" s="19">
        <v>0</v>
      </c>
      <c r="H71" s="19">
        <v>0</v>
      </c>
      <c r="I71" s="62" t="s">
        <v>162</v>
      </c>
      <c r="J71" s="42">
        <f t="shared" si="2"/>
        <v>0</v>
      </c>
    </row>
    <row r="72" spans="1:10" outlineLevel="1" x14ac:dyDescent="0.2">
      <c r="D72" s="62" t="s">
        <v>176</v>
      </c>
      <c r="E72" s="64"/>
      <c r="F72" s="19">
        <v>0</v>
      </c>
      <c r="G72" s="19">
        <v>0</v>
      </c>
      <c r="H72" s="19">
        <v>0</v>
      </c>
      <c r="I72" s="62" t="s">
        <v>162</v>
      </c>
      <c r="J72" s="42">
        <f t="shared" si="2"/>
        <v>0</v>
      </c>
    </row>
    <row r="73" spans="1:10" outlineLevel="1" x14ac:dyDescent="0.2">
      <c r="D73" s="62" t="s">
        <v>177</v>
      </c>
      <c r="E73" s="64"/>
      <c r="F73" s="19">
        <v>0</v>
      </c>
      <c r="G73" s="19">
        <v>0</v>
      </c>
      <c r="H73" s="19">
        <v>0</v>
      </c>
      <c r="I73" s="62" t="s">
        <v>162</v>
      </c>
      <c r="J73" s="42">
        <f t="shared" si="2"/>
        <v>0</v>
      </c>
    </row>
    <row r="74" spans="1:10" outlineLevel="1" x14ac:dyDescent="0.2">
      <c r="D74" s="62" t="s">
        <v>178</v>
      </c>
      <c r="E74" s="64"/>
      <c r="F74" s="19">
        <v>0</v>
      </c>
      <c r="G74" s="19">
        <v>0</v>
      </c>
      <c r="H74" s="19">
        <v>0</v>
      </c>
      <c r="I74" s="62" t="s">
        <v>162</v>
      </c>
      <c r="J74" s="42">
        <f t="shared" si="2"/>
        <v>0</v>
      </c>
    </row>
    <row r="75" spans="1:10" outlineLevel="1" x14ac:dyDescent="0.2">
      <c r="D75" s="62" t="s">
        <v>179</v>
      </c>
      <c r="E75" s="64"/>
      <c r="F75" s="19">
        <v>0</v>
      </c>
      <c r="G75" s="19">
        <v>0</v>
      </c>
      <c r="H75" s="19">
        <v>0</v>
      </c>
      <c r="I75" s="62" t="s">
        <v>162</v>
      </c>
      <c r="J75" s="42">
        <f t="shared" si="2"/>
        <v>0</v>
      </c>
    </row>
    <row r="76" spans="1:10" outlineLevel="1" x14ac:dyDescent="0.2">
      <c r="D76" s="62" t="s">
        <v>180</v>
      </c>
      <c r="E76" s="64"/>
      <c r="F76" s="19">
        <v>0</v>
      </c>
      <c r="G76" s="19">
        <v>0</v>
      </c>
      <c r="H76" s="19">
        <v>0</v>
      </c>
      <c r="I76" s="62" t="s">
        <v>162</v>
      </c>
      <c r="J76" s="42">
        <f t="shared" si="2"/>
        <v>0</v>
      </c>
    </row>
    <row r="77" spans="1:10" outlineLevel="1" x14ac:dyDescent="0.2">
      <c r="D77" s="62" t="s">
        <v>181</v>
      </c>
      <c r="E77" s="64"/>
      <c r="F77" s="19">
        <v>0</v>
      </c>
      <c r="G77" s="19">
        <v>0</v>
      </c>
      <c r="H77" s="19">
        <v>0</v>
      </c>
      <c r="I77" s="62" t="s">
        <v>162</v>
      </c>
      <c r="J77" s="42">
        <f t="shared" si="2"/>
        <v>0</v>
      </c>
    </row>
    <row r="78" spans="1:10" outlineLevel="1" x14ac:dyDescent="0.2">
      <c r="D78" s="62" t="s">
        <v>182</v>
      </c>
      <c r="E78" s="64"/>
      <c r="F78" s="19">
        <v>0</v>
      </c>
      <c r="G78" s="19">
        <v>0</v>
      </c>
      <c r="H78" s="19">
        <v>0</v>
      </c>
      <c r="I78" s="62" t="s">
        <v>162</v>
      </c>
      <c r="J78" s="42">
        <f t="shared" si="2"/>
        <v>0</v>
      </c>
    </row>
    <row r="79" spans="1:10" outlineLevel="1" x14ac:dyDescent="0.2">
      <c r="D79" s="55" t="str">
        <f>Lang_Error_Check_Flags_If_Input_Econ_Cost_Is_Less_Than_Fin_Cost</f>
        <v>ERROR CHECK (FLAGS IF INPUT ECONOMIC COST IS LESS THAN FINANCIAL COST)</v>
      </c>
      <c r="J79" s="43">
        <f>IF(ISERROR(SUM(J69:J78)),1,MIN(SUM(J69:J78),1))</f>
        <v>0</v>
      </c>
    </row>
    <row r="80" spans="1:10" outlineLevel="1" x14ac:dyDescent="0.2"/>
    <row r="81" spans="1:10" outlineLevel="1" x14ac:dyDescent="0.2">
      <c r="D81" s="47" t="str">
        <f>Lang_GoTo&amp;" "&amp;HL_TOP_ACTV_6_Supplies_and_Materials_Outputs</f>
        <v>Go to Other Activity #1 - (Recurrent Costs Only) (Not in Use) Supplies and Materials - Outputs</v>
      </c>
    </row>
    <row r="83" spans="1:10" s="13" customFormat="1" x14ac:dyDescent="0.2">
      <c r="A83" s="6" t="s">
        <v>127</v>
      </c>
      <c r="B83" s="13" t="str">
        <f>C85</f>
        <v>Other Activity #1 - (Recurrent Costs Only) (Not in Use) - Detailed Other Direct Cost Assumptions</v>
      </c>
    </row>
    <row r="84" spans="1:10" outlineLevel="1" x14ac:dyDescent="0.2"/>
    <row r="85" spans="1:10" outlineLevel="1" x14ac:dyDescent="0.2">
      <c r="C85" s="18" t="str">
        <f>HL_TOP_ACTV_6_Name&amp;" - "&amp;Lang_Detailed_Other_Direct_Cost_Assumptions</f>
        <v>Other Activity #1 - (Recurrent Costs Only) (Not in Use) - Detailed Other Direct Cost Assumptions</v>
      </c>
    </row>
    <row r="86" spans="1:10" ht="36" outlineLevel="1" x14ac:dyDescent="0.2">
      <c r="D86" s="55" t="str">
        <f>Lang_Other_Direct_Cost_ODC_Type</f>
        <v>Other Direct Cost (ODC) Type</v>
      </c>
      <c r="E86" s="85" t="str">
        <f>Lang_ODC_Unit_Each_Dozen_100_Pack</f>
        <v>ODC Unit (e.g. Each, Dozen, 100-pack,etc.)</v>
      </c>
      <c r="F86" s="85" t="str">
        <f>Lang_Number_Of_ODC_Units_Required</f>
        <v>Number of ODC Units Required</v>
      </c>
      <c r="G86" s="63" t="str">
        <f ca="1">OTHER_Lu!$D$32&amp;" "&amp;Lang_Cost_Per_Activity_Unit&amp;" ("&amp;OFFSET(OTHER_Lu!$D$11,DD_TOP_ACTV_6_Detailed_Currency_Used,0)&amp;")"</f>
        <v>Financial Cost per Activity Unit (USD)</v>
      </c>
      <c r="H86" s="63" t="str">
        <f ca="1">OTHER_Lu!$D$33&amp;" "&amp;Lang_Cost_Per_Activity_Unit&amp;" ("&amp;OFFSET(OTHER_Lu!$D$11,DD_TOP_ACTV_6_Detailed_Currency_Used,0)&amp;")"</f>
        <v>Economic Cost per Activity Unit (USD)</v>
      </c>
      <c r="I86" s="87" t="str">
        <f>Lang_Evidence_For_Using_This_Cost_Information_Source_Or_Notes</f>
        <v>Evidence for Using this Cost Information (source or notes)</v>
      </c>
    </row>
    <row r="87" spans="1:10" outlineLevel="1" x14ac:dyDescent="0.2">
      <c r="D87" s="62" t="s">
        <v>183</v>
      </c>
      <c r="E87" s="64"/>
      <c r="F87" s="19">
        <v>0</v>
      </c>
      <c r="G87" s="19">
        <v>0</v>
      </c>
      <c r="H87" s="19">
        <v>0</v>
      </c>
      <c r="I87" s="62" t="s">
        <v>162</v>
      </c>
      <c r="J87" s="42">
        <f t="shared" ref="J87:J96" si="3">IF(H87&lt;G87,1,0)</f>
        <v>0</v>
      </c>
    </row>
    <row r="88" spans="1:10" outlineLevel="1" x14ac:dyDescent="0.2">
      <c r="D88" s="62" t="s">
        <v>184</v>
      </c>
      <c r="E88" s="64"/>
      <c r="F88" s="19">
        <v>0</v>
      </c>
      <c r="G88" s="19">
        <v>0</v>
      </c>
      <c r="H88" s="19">
        <v>0</v>
      </c>
      <c r="I88" s="62" t="s">
        <v>162</v>
      </c>
      <c r="J88" s="42">
        <f t="shared" si="3"/>
        <v>0</v>
      </c>
    </row>
    <row r="89" spans="1:10" outlineLevel="1" x14ac:dyDescent="0.2">
      <c r="D89" s="62" t="s">
        <v>185</v>
      </c>
      <c r="E89" s="64"/>
      <c r="F89" s="19">
        <v>0</v>
      </c>
      <c r="G89" s="19">
        <v>0</v>
      </c>
      <c r="H89" s="19">
        <v>0</v>
      </c>
      <c r="I89" s="62" t="s">
        <v>162</v>
      </c>
      <c r="J89" s="42">
        <f t="shared" si="3"/>
        <v>0</v>
      </c>
    </row>
    <row r="90" spans="1:10" outlineLevel="1" x14ac:dyDescent="0.2">
      <c r="D90" s="62" t="s">
        <v>186</v>
      </c>
      <c r="E90" s="64"/>
      <c r="F90" s="19">
        <v>0</v>
      </c>
      <c r="G90" s="19">
        <v>0</v>
      </c>
      <c r="H90" s="19">
        <v>0</v>
      </c>
      <c r="I90" s="62" t="s">
        <v>162</v>
      </c>
      <c r="J90" s="42">
        <f t="shared" si="3"/>
        <v>0</v>
      </c>
    </row>
    <row r="91" spans="1:10" outlineLevel="1" x14ac:dyDescent="0.2">
      <c r="D91" s="62" t="s">
        <v>187</v>
      </c>
      <c r="E91" s="64"/>
      <c r="F91" s="19">
        <v>0</v>
      </c>
      <c r="G91" s="19">
        <v>0</v>
      </c>
      <c r="H91" s="19">
        <v>0</v>
      </c>
      <c r="I91" s="62" t="s">
        <v>162</v>
      </c>
      <c r="J91" s="42">
        <f t="shared" si="3"/>
        <v>0</v>
      </c>
    </row>
    <row r="92" spans="1:10" outlineLevel="1" x14ac:dyDescent="0.2">
      <c r="D92" s="62" t="s">
        <v>188</v>
      </c>
      <c r="E92" s="64"/>
      <c r="F92" s="19">
        <v>0</v>
      </c>
      <c r="G92" s="19">
        <v>0</v>
      </c>
      <c r="H92" s="19">
        <v>0</v>
      </c>
      <c r="I92" s="62" t="s">
        <v>162</v>
      </c>
      <c r="J92" s="42">
        <f t="shared" si="3"/>
        <v>0</v>
      </c>
    </row>
    <row r="93" spans="1:10" outlineLevel="1" x14ac:dyDescent="0.2">
      <c r="D93" s="62" t="s">
        <v>189</v>
      </c>
      <c r="E93" s="64"/>
      <c r="F93" s="19">
        <v>0</v>
      </c>
      <c r="G93" s="19">
        <v>0</v>
      </c>
      <c r="H93" s="19">
        <v>0</v>
      </c>
      <c r="I93" s="62" t="s">
        <v>162</v>
      </c>
      <c r="J93" s="42">
        <f t="shared" si="3"/>
        <v>0</v>
      </c>
    </row>
    <row r="94" spans="1:10" outlineLevel="1" x14ac:dyDescent="0.2">
      <c r="D94" s="62" t="s">
        <v>190</v>
      </c>
      <c r="E94" s="64"/>
      <c r="F94" s="19">
        <v>0</v>
      </c>
      <c r="G94" s="19">
        <v>0</v>
      </c>
      <c r="H94" s="19">
        <v>0</v>
      </c>
      <c r="I94" s="62" t="s">
        <v>162</v>
      </c>
      <c r="J94" s="42">
        <f t="shared" si="3"/>
        <v>0</v>
      </c>
    </row>
    <row r="95" spans="1:10" outlineLevel="1" x14ac:dyDescent="0.2">
      <c r="D95" s="62" t="s">
        <v>191</v>
      </c>
      <c r="E95" s="64"/>
      <c r="F95" s="19">
        <v>0</v>
      </c>
      <c r="G95" s="19">
        <v>0</v>
      </c>
      <c r="H95" s="19">
        <v>0</v>
      </c>
      <c r="I95" s="62" t="s">
        <v>162</v>
      </c>
      <c r="J95" s="42">
        <f t="shared" si="3"/>
        <v>0</v>
      </c>
    </row>
    <row r="96" spans="1:10" outlineLevel="1" x14ac:dyDescent="0.2">
      <c r="D96" s="62" t="s">
        <v>192</v>
      </c>
      <c r="E96" s="64"/>
      <c r="F96" s="19">
        <v>0</v>
      </c>
      <c r="G96" s="19">
        <v>0</v>
      </c>
      <c r="H96" s="19">
        <v>0</v>
      </c>
      <c r="I96" s="62" t="s">
        <v>162</v>
      </c>
      <c r="J96" s="42">
        <f t="shared" si="3"/>
        <v>0</v>
      </c>
    </row>
    <row r="97" spans="1:10" outlineLevel="1" x14ac:dyDescent="0.2">
      <c r="D97" s="55" t="str">
        <f>Lang_Error_Check_Flags_If_Input_Econ_Cost_Is_Less_Than_Fin_Cost</f>
        <v>ERROR CHECK (FLAGS IF INPUT ECONOMIC COST IS LESS THAN FINANCIAL COST)</v>
      </c>
      <c r="J97" s="43">
        <f>IF(ISERROR(SUM(J87:J96)),1,MIN(SUM(J87:J96),1))</f>
        <v>0</v>
      </c>
    </row>
    <row r="98" spans="1:10" outlineLevel="1" x14ac:dyDescent="0.2"/>
    <row r="99" spans="1:10" outlineLevel="1" x14ac:dyDescent="0.2">
      <c r="D99" s="47" t="str">
        <f>Lang_GoTo&amp;" "&amp;HL_TOP_ACTV_6_Other_Direct_Costs_Outputs</f>
        <v>Go to Other Activity #1 - (Recurrent Costs Only) (Not in Use) Other Direct Costs - Outputs</v>
      </c>
    </row>
    <row r="100" spans="1:10" s="10" customFormat="1" x14ac:dyDescent="0.2"/>
    <row r="101" spans="1:10" s="13" customFormat="1" x14ac:dyDescent="0.2">
      <c r="A101" s="12" t="s">
        <v>125</v>
      </c>
      <c r="B101" s="13" t="str">
        <f>C103</f>
        <v>Other Activity #2 - (Recurrent Costs Only) (Not in Use) -  Detailed Activity Costing Worksheet</v>
      </c>
    </row>
    <row r="102" spans="1:10" s="10" customFormat="1" outlineLevel="1" x14ac:dyDescent="0.2"/>
    <row r="103" spans="1:10" s="10" customFormat="1" outlineLevel="1" x14ac:dyDescent="0.2">
      <c r="C103" s="71" t="str">
        <f>HL_TOP_ACTV_20_Name&amp;" -  Detailed Activity Costing Worksheet"</f>
        <v>Other Activity #2 - (Recurrent Costs Only) (Not in Use) -  Detailed Activity Costing Worksheet</v>
      </c>
    </row>
    <row r="104" spans="1:10" s="10" customFormat="1" outlineLevel="1" x14ac:dyDescent="0.2"/>
    <row r="105" spans="1:10" s="10" customFormat="1" outlineLevel="1" x14ac:dyDescent="0.2">
      <c r="D105" s="50" t="str">
        <f>Lang_Detailed_Costing_Worksheets_Notes_1</f>
        <v>This detailed costing worksheet can be used to document the types and amounts of resources required to complete a single instance of an activity.</v>
      </c>
    </row>
    <row r="106" spans="1:10" s="10" customFormat="1" outlineLevel="1" x14ac:dyDescent="0.2">
      <c r="D106" s="50" t="str">
        <f>Lang_Detailed_Costing_Worksheets_Notes_2</f>
        <v>When completed, it will automatically provide a single activity cost in the general assumption worksheet.</v>
      </c>
    </row>
    <row r="107" spans="1:10" s="10" customFormat="1" outlineLevel="1" x14ac:dyDescent="0.2">
      <c r="D107" s="50" t="str">
        <f>Lang_Detailed_Costing_Worksheets_Notes_3</f>
        <v>The user may then choose to use the results of the detailed costing in the model, or override the detailed costing and insert alternate cost estimates.</v>
      </c>
    </row>
    <row r="109" spans="1:10" s="13" customFormat="1" x14ac:dyDescent="0.2">
      <c r="A109" s="6" t="s">
        <v>125</v>
      </c>
      <c r="B109" s="13" t="str">
        <f>C111</f>
        <v>Other Activity #2 - (Recurrent Costs Only) (Not in Use) - Detailed Activity Costing Worksheet - Currency Selection</v>
      </c>
    </row>
    <row r="110" spans="1:10" outlineLevel="1" x14ac:dyDescent="0.2"/>
    <row r="111" spans="1:10" outlineLevel="1" x14ac:dyDescent="0.2">
      <c r="C111" s="18" t="str">
        <f>HL_TOP_ACTV_20_Name&amp;" - "&amp;Lang_Detailed_Activity_Costing_Worksheet_Currency_Selection</f>
        <v>Other Activity #2 - (Recurrent Costs Only) (Not in Use) - Detailed Activity Costing Worksheet - Currency Selection</v>
      </c>
    </row>
    <row r="112" spans="1:10" outlineLevel="1" x14ac:dyDescent="0.2">
      <c r="D112" s="55" t="str">
        <f>Lang_Currency_Used_For_Cost_Inputs</f>
        <v>Currency Used for Cost Inputs</v>
      </c>
      <c r="E112" s="22">
        <v>1</v>
      </c>
    </row>
    <row r="113" spans="1:10" outlineLevel="1" x14ac:dyDescent="0.2"/>
    <row r="114" spans="1:10" outlineLevel="1" x14ac:dyDescent="0.2"/>
    <row r="115" spans="1:10" outlineLevel="1" x14ac:dyDescent="0.2">
      <c r="D115" s="54" t="str">
        <f>Lang_Imported_From_Econ_Module</f>
        <v>Imported from Econ Module</v>
      </c>
    </row>
    <row r="116" spans="1:10" outlineLevel="1" x14ac:dyDescent="0.2">
      <c r="D116" s="49" t="str">
        <f>ECONOMICS!F7</f>
        <v>USD</v>
      </c>
    </row>
    <row r="117" spans="1:10" outlineLevel="1" x14ac:dyDescent="0.2">
      <c r="D117" s="49" t="str">
        <f>ECONOMICS!F8</f>
        <v>LCU</v>
      </c>
    </row>
    <row r="118" spans="1:10" outlineLevel="1" x14ac:dyDescent="0.2"/>
    <row r="119" spans="1:10" outlineLevel="1" x14ac:dyDescent="0.2">
      <c r="D119" s="50" t="str">
        <f>Lang_Exchange_Rate_From_Econ</f>
        <v>Exchange Rate (from Economics)</v>
      </c>
      <c r="E119" s="41">
        <f>ECONOMICS!E13</f>
        <v>1234.5</v>
      </c>
    </row>
    <row r="121" spans="1:10" s="13" customFormat="1" x14ac:dyDescent="0.2">
      <c r="A121" s="6" t="s">
        <v>127</v>
      </c>
      <c r="B121" s="13" t="str">
        <f>C123</f>
        <v>Other Activity #2 - (Recurrent Costs Only) (Not in Use) - Detailed Personnel Cost Assumptions</v>
      </c>
    </row>
    <row r="122" spans="1:10" outlineLevel="1" x14ac:dyDescent="0.2"/>
    <row r="123" spans="1:10" outlineLevel="1" x14ac:dyDescent="0.2">
      <c r="C123" s="18" t="str">
        <f>HL_TOP_ACTV_20_Name&amp;" - "&amp;Lang_Detailed_Personnel_Cost_Assumptions</f>
        <v>Other Activity #2 - (Recurrent Costs Only) (Not in Use) - Detailed Personnel Cost Assumptions</v>
      </c>
    </row>
    <row r="124" spans="1:10" ht="36" outlineLevel="1" x14ac:dyDescent="0.2">
      <c r="D124" s="55" t="str">
        <f>Lang_Personnel_Cadre_Type</f>
        <v>Personnel Cadre Type</v>
      </c>
      <c r="E124" s="85" t="str">
        <f>Lang_Activity_Unit_Day_Hour_Minute</f>
        <v>Activity Unit (e.g. Day, Hour, Minute)</v>
      </c>
      <c r="F124" s="85" t="str">
        <f>Lang_Number_Of_Activity_Units_Required</f>
        <v>Number of Activity Units Required</v>
      </c>
      <c r="G124" s="63" t="str">
        <f ca="1">OTHER_Lu!$D$67&amp;" "&amp;Lang_Cost_Per_Activity_Unit&amp;" ("&amp;OFFSET(OTHER_Lu!$D$46,DD_TOP_ACTV_20_Detailed_Currency_Used,0)&amp;")"</f>
        <v>Financial Cost per Activity Unit (USD)</v>
      </c>
      <c r="H124" s="63" t="str">
        <f ca="1">OTHER_Lu!$D$68&amp;" "&amp;Lang_Cost_Per_Activity_Unit&amp;" ("&amp;OFFSET(OTHER_Lu!$D$46,DD_TOP_ACTV_20_Detailed_Currency_Used,0)&amp;")"</f>
        <v>Economic Cost per Activity Unit (USD)</v>
      </c>
      <c r="I124" s="87" t="str">
        <f>Lang_Evidence_For_Using_This_Cost_Information_Source_Or_Notes</f>
        <v>Evidence for Using this Cost Information (source or notes)</v>
      </c>
    </row>
    <row r="125" spans="1:10" outlineLevel="1" x14ac:dyDescent="0.2">
      <c r="D125" s="62" t="s">
        <v>152</v>
      </c>
      <c r="E125" s="64"/>
      <c r="F125" s="19">
        <v>0</v>
      </c>
      <c r="G125" s="19">
        <v>0</v>
      </c>
      <c r="H125" s="19">
        <v>0</v>
      </c>
      <c r="I125" s="62" t="s">
        <v>162</v>
      </c>
      <c r="J125" s="42">
        <f t="shared" ref="J125:J139" si="4">IF(H125&lt;G125,1,0)</f>
        <v>0</v>
      </c>
    </row>
    <row r="126" spans="1:10" outlineLevel="1" x14ac:dyDescent="0.2">
      <c r="D126" s="62" t="s">
        <v>153</v>
      </c>
      <c r="E126" s="64"/>
      <c r="F126" s="19">
        <v>0</v>
      </c>
      <c r="G126" s="19">
        <v>0</v>
      </c>
      <c r="H126" s="19">
        <v>0</v>
      </c>
      <c r="I126" s="62" t="s">
        <v>162</v>
      </c>
      <c r="J126" s="42">
        <f t="shared" si="4"/>
        <v>0</v>
      </c>
    </row>
    <row r="127" spans="1:10" outlineLevel="1" x14ac:dyDescent="0.2">
      <c r="D127" s="62" t="s">
        <v>154</v>
      </c>
      <c r="E127" s="64"/>
      <c r="F127" s="19">
        <v>0</v>
      </c>
      <c r="G127" s="19">
        <v>0</v>
      </c>
      <c r="H127" s="19">
        <v>0</v>
      </c>
      <c r="I127" s="62" t="s">
        <v>162</v>
      </c>
      <c r="J127" s="42">
        <f t="shared" si="4"/>
        <v>0</v>
      </c>
    </row>
    <row r="128" spans="1:10" outlineLevel="1" x14ac:dyDescent="0.2">
      <c r="D128" s="62" t="s">
        <v>155</v>
      </c>
      <c r="E128" s="64"/>
      <c r="F128" s="19">
        <v>0</v>
      </c>
      <c r="G128" s="19">
        <v>0</v>
      </c>
      <c r="H128" s="19">
        <v>0</v>
      </c>
      <c r="I128" s="62" t="s">
        <v>162</v>
      </c>
      <c r="J128" s="42">
        <f t="shared" si="4"/>
        <v>0</v>
      </c>
    </row>
    <row r="129" spans="1:10" outlineLevel="1" x14ac:dyDescent="0.2">
      <c r="D129" s="62" t="s">
        <v>156</v>
      </c>
      <c r="E129" s="64"/>
      <c r="F129" s="19">
        <v>0</v>
      </c>
      <c r="G129" s="19">
        <v>0</v>
      </c>
      <c r="H129" s="19">
        <v>0</v>
      </c>
      <c r="I129" s="62" t="s">
        <v>162</v>
      </c>
      <c r="J129" s="42">
        <f t="shared" si="4"/>
        <v>0</v>
      </c>
    </row>
    <row r="130" spans="1:10" outlineLevel="1" x14ac:dyDescent="0.2">
      <c r="D130" s="62" t="s">
        <v>157</v>
      </c>
      <c r="E130" s="64"/>
      <c r="F130" s="19">
        <v>0</v>
      </c>
      <c r="G130" s="19">
        <v>0</v>
      </c>
      <c r="H130" s="19">
        <v>0</v>
      </c>
      <c r="I130" s="62" t="s">
        <v>162</v>
      </c>
      <c r="J130" s="42">
        <f t="shared" si="4"/>
        <v>0</v>
      </c>
    </row>
    <row r="131" spans="1:10" outlineLevel="1" x14ac:dyDescent="0.2">
      <c r="D131" s="62" t="s">
        <v>158</v>
      </c>
      <c r="E131" s="64"/>
      <c r="F131" s="19">
        <v>0</v>
      </c>
      <c r="G131" s="19">
        <v>0</v>
      </c>
      <c r="H131" s="19">
        <v>0</v>
      </c>
      <c r="I131" s="62" t="s">
        <v>162</v>
      </c>
      <c r="J131" s="42">
        <f t="shared" si="4"/>
        <v>0</v>
      </c>
    </row>
    <row r="132" spans="1:10" outlineLevel="1" x14ac:dyDescent="0.2">
      <c r="D132" s="62" t="s">
        <v>159</v>
      </c>
      <c r="E132" s="64"/>
      <c r="F132" s="19">
        <v>0</v>
      </c>
      <c r="G132" s="19">
        <v>0</v>
      </c>
      <c r="H132" s="19">
        <v>0</v>
      </c>
      <c r="I132" s="62" t="s">
        <v>162</v>
      </c>
      <c r="J132" s="42">
        <f t="shared" si="4"/>
        <v>0</v>
      </c>
    </row>
    <row r="133" spans="1:10" outlineLevel="1" x14ac:dyDescent="0.2">
      <c r="D133" s="62" t="s">
        <v>160</v>
      </c>
      <c r="E133" s="64"/>
      <c r="F133" s="19">
        <v>0</v>
      </c>
      <c r="G133" s="19">
        <v>0</v>
      </c>
      <c r="H133" s="19">
        <v>0</v>
      </c>
      <c r="I133" s="62" t="s">
        <v>162</v>
      </c>
      <c r="J133" s="42">
        <f t="shared" si="4"/>
        <v>0</v>
      </c>
    </row>
    <row r="134" spans="1:10" outlineLevel="1" x14ac:dyDescent="0.2">
      <c r="D134" s="62" t="s">
        <v>161</v>
      </c>
      <c r="E134" s="64"/>
      <c r="F134" s="19">
        <v>0</v>
      </c>
      <c r="G134" s="19">
        <v>0</v>
      </c>
      <c r="H134" s="19">
        <v>0</v>
      </c>
      <c r="I134" s="62" t="s">
        <v>162</v>
      </c>
      <c r="J134" s="42">
        <f t="shared" si="4"/>
        <v>0</v>
      </c>
    </row>
    <row r="135" spans="1:10" outlineLevel="1" x14ac:dyDescent="0.2">
      <c r="D135" s="62" t="s">
        <v>393</v>
      </c>
      <c r="E135" s="64"/>
      <c r="F135" s="19">
        <v>0</v>
      </c>
      <c r="G135" s="19">
        <v>0</v>
      </c>
      <c r="H135" s="19">
        <v>0</v>
      </c>
      <c r="I135" s="62" t="s">
        <v>162</v>
      </c>
      <c r="J135" s="42">
        <f t="shared" si="4"/>
        <v>0</v>
      </c>
    </row>
    <row r="136" spans="1:10" outlineLevel="1" x14ac:dyDescent="0.2">
      <c r="D136" s="62" t="s">
        <v>394</v>
      </c>
      <c r="E136" s="64"/>
      <c r="F136" s="19">
        <v>0</v>
      </c>
      <c r="G136" s="19">
        <v>0</v>
      </c>
      <c r="H136" s="19">
        <v>0</v>
      </c>
      <c r="I136" s="62" t="s">
        <v>162</v>
      </c>
      <c r="J136" s="42">
        <f t="shared" si="4"/>
        <v>0</v>
      </c>
    </row>
    <row r="137" spans="1:10" outlineLevel="1" x14ac:dyDescent="0.2">
      <c r="D137" s="62" t="s">
        <v>395</v>
      </c>
      <c r="E137" s="64"/>
      <c r="F137" s="19">
        <v>0</v>
      </c>
      <c r="G137" s="19">
        <v>0</v>
      </c>
      <c r="H137" s="19">
        <v>0</v>
      </c>
      <c r="I137" s="62" t="s">
        <v>162</v>
      </c>
      <c r="J137" s="42">
        <f t="shared" si="4"/>
        <v>0</v>
      </c>
    </row>
    <row r="138" spans="1:10" outlineLevel="1" x14ac:dyDescent="0.2">
      <c r="D138" s="62" t="s">
        <v>396</v>
      </c>
      <c r="E138" s="64"/>
      <c r="F138" s="19">
        <v>0</v>
      </c>
      <c r="G138" s="19">
        <v>0</v>
      </c>
      <c r="H138" s="19">
        <v>0</v>
      </c>
      <c r="I138" s="62" t="s">
        <v>162</v>
      </c>
      <c r="J138" s="42">
        <f t="shared" si="4"/>
        <v>0</v>
      </c>
    </row>
    <row r="139" spans="1:10" outlineLevel="1" x14ac:dyDescent="0.2">
      <c r="D139" s="62" t="s">
        <v>397</v>
      </c>
      <c r="E139" s="64"/>
      <c r="F139" s="19">
        <v>0</v>
      </c>
      <c r="G139" s="19">
        <v>0</v>
      </c>
      <c r="H139" s="19">
        <v>0</v>
      </c>
      <c r="I139" s="62" t="s">
        <v>162</v>
      </c>
      <c r="J139" s="42">
        <f t="shared" si="4"/>
        <v>0</v>
      </c>
    </row>
    <row r="140" spans="1:10" outlineLevel="1" x14ac:dyDescent="0.2">
      <c r="D140" s="55" t="str">
        <f>Lang_Error_Check_Flags_If_Input_Econ_Cost_Is_Less_Than_Fin_Cost</f>
        <v>ERROR CHECK (FLAGS IF INPUT ECONOMIC COST IS LESS THAN FINANCIAL COST)</v>
      </c>
      <c r="J140" s="43">
        <f>IF(ISERROR(SUM(J125:J139)),1,MIN(SUM(J125:J139),1))</f>
        <v>0</v>
      </c>
    </row>
    <row r="141" spans="1:10" outlineLevel="1" x14ac:dyDescent="0.2"/>
    <row r="142" spans="1:10" outlineLevel="1" x14ac:dyDescent="0.2">
      <c r="D142" s="47" t="str">
        <f>Lang_GoTo&amp;" "&amp;HL_TOP_ACTV_20_Personnel_Outputs</f>
        <v>Go to Other Activity #2 - (Recurrent Costs Only) (Not in Use) Personnel - Outputs</v>
      </c>
    </row>
    <row r="144" spans="1:10" s="13" customFormat="1" x14ac:dyDescent="0.2">
      <c r="A144" s="6" t="s">
        <v>127</v>
      </c>
      <c r="B144" s="13" t="str">
        <f>C146</f>
        <v>Other Activity #2 - (Recurrent Costs Only) (Not in Use) - Detailed Allowance Cost Assumptions</v>
      </c>
    </row>
    <row r="145" spans="3:10" outlineLevel="1" x14ac:dyDescent="0.2"/>
    <row r="146" spans="3:10" outlineLevel="1" x14ac:dyDescent="0.2">
      <c r="C146" s="18" t="str">
        <f>HL_TOP_ACTV_20_Name&amp;" - "&amp;Lang_Detailed_Allowance_Cost_Assumptions</f>
        <v>Other Activity #2 - (Recurrent Costs Only) (Not in Use) - Detailed Allowance Cost Assumptions</v>
      </c>
    </row>
    <row r="147" spans="3:10" ht="48" outlineLevel="1" x14ac:dyDescent="0.2">
      <c r="D147" s="55" t="str">
        <f>Lang_Allowance_Type</f>
        <v>Allowance Type</v>
      </c>
      <c r="E147" s="85" t="str">
        <f>Lang_Allowance_Unit_Per_Day_Round_Trip_Travel</f>
        <v>Allowance Unit (e.g. Per Day, Round-trip Travel,etc.)</v>
      </c>
      <c r="F147" s="85" t="str">
        <f>Lang_Number_Of_Allowance_Units_Required</f>
        <v>Number of Allowance Units Required</v>
      </c>
      <c r="G147" s="63" t="str">
        <f ca="1">OTHER_Lu!$D$67&amp;" "&amp;Lang_Cost_Per_Activity_Unit&amp;" ("&amp;OFFSET(OTHER_Lu!$D$46,DD_TOP_ACTV_20_Detailed_Currency_Used,0)&amp;")"</f>
        <v>Financial Cost per Activity Unit (USD)</v>
      </c>
      <c r="H147" s="63" t="str">
        <f ca="1">OTHER_Lu!$D$68&amp;" "&amp;Lang_Cost_Per_Activity_Unit&amp;" ("&amp;OFFSET(OTHER_Lu!$D$46,DD_TOP_ACTV_20_Detailed_Currency_Used,0)&amp;")"</f>
        <v>Economic Cost per Activity Unit (USD)</v>
      </c>
      <c r="I147" s="87" t="str">
        <f>Lang_Evidence_For_Using_This_Cost_Information_Source_Or_Notes</f>
        <v>Evidence for Using this Cost Information (source or notes)</v>
      </c>
    </row>
    <row r="148" spans="3:10" outlineLevel="1" x14ac:dyDescent="0.2">
      <c r="D148" s="62" t="s">
        <v>163</v>
      </c>
      <c r="E148" s="64"/>
      <c r="F148" s="19">
        <v>0</v>
      </c>
      <c r="G148" s="19">
        <v>0</v>
      </c>
      <c r="H148" s="19">
        <v>0</v>
      </c>
      <c r="I148" s="62" t="s">
        <v>162</v>
      </c>
      <c r="J148" s="42">
        <f t="shared" ref="J148:J157" si="5">IF(H148&lt;G148,1,0)</f>
        <v>0</v>
      </c>
    </row>
    <row r="149" spans="3:10" outlineLevel="1" x14ac:dyDescent="0.2">
      <c r="D149" s="62" t="s">
        <v>164</v>
      </c>
      <c r="E149" s="64"/>
      <c r="F149" s="19">
        <v>0</v>
      </c>
      <c r="G149" s="19">
        <v>0</v>
      </c>
      <c r="H149" s="19">
        <v>0</v>
      </c>
      <c r="I149" s="62" t="s">
        <v>162</v>
      </c>
      <c r="J149" s="42">
        <f t="shared" si="5"/>
        <v>0</v>
      </c>
    </row>
    <row r="150" spans="3:10" outlineLevel="1" x14ac:dyDescent="0.2">
      <c r="D150" s="62" t="s">
        <v>165</v>
      </c>
      <c r="E150" s="64"/>
      <c r="F150" s="19">
        <v>0</v>
      </c>
      <c r="G150" s="19">
        <v>0</v>
      </c>
      <c r="H150" s="19">
        <v>0</v>
      </c>
      <c r="I150" s="62" t="s">
        <v>162</v>
      </c>
      <c r="J150" s="42">
        <f t="shared" si="5"/>
        <v>0</v>
      </c>
    </row>
    <row r="151" spans="3:10" outlineLevel="1" x14ac:dyDescent="0.2">
      <c r="D151" s="62" t="s">
        <v>166</v>
      </c>
      <c r="E151" s="64"/>
      <c r="F151" s="19">
        <v>0</v>
      </c>
      <c r="G151" s="19">
        <v>0</v>
      </c>
      <c r="H151" s="19">
        <v>0</v>
      </c>
      <c r="I151" s="62" t="s">
        <v>162</v>
      </c>
      <c r="J151" s="42">
        <f t="shared" si="5"/>
        <v>0</v>
      </c>
    </row>
    <row r="152" spans="3:10" outlineLevel="1" x14ac:dyDescent="0.2">
      <c r="D152" s="62" t="s">
        <v>167</v>
      </c>
      <c r="E152" s="64"/>
      <c r="F152" s="19">
        <v>0</v>
      </c>
      <c r="G152" s="19">
        <v>0</v>
      </c>
      <c r="H152" s="19">
        <v>0</v>
      </c>
      <c r="I152" s="62" t="s">
        <v>162</v>
      </c>
      <c r="J152" s="42">
        <f t="shared" si="5"/>
        <v>0</v>
      </c>
    </row>
    <row r="153" spans="3:10" outlineLevel="1" x14ac:dyDescent="0.2">
      <c r="D153" s="62" t="s">
        <v>168</v>
      </c>
      <c r="E153" s="64"/>
      <c r="F153" s="19">
        <v>0</v>
      </c>
      <c r="G153" s="19">
        <v>0</v>
      </c>
      <c r="H153" s="19">
        <v>0</v>
      </c>
      <c r="I153" s="62" t="s">
        <v>162</v>
      </c>
      <c r="J153" s="42">
        <f t="shared" si="5"/>
        <v>0</v>
      </c>
    </row>
    <row r="154" spans="3:10" outlineLevel="1" x14ac:dyDescent="0.2">
      <c r="D154" s="62" t="s">
        <v>169</v>
      </c>
      <c r="E154" s="64"/>
      <c r="F154" s="19">
        <v>0</v>
      </c>
      <c r="G154" s="19">
        <v>0</v>
      </c>
      <c r="H154" s="19">
        <v>0</v>
      </c>
      <c r="I154" s="62" t="s">
        <v>162</v>
      </c>
      <c r="J154" s="42">
        <f t="shared" si="5"/>
        <v>0</v>
      </c>
    </row>
    <row r="155" spans="3:10" outlineLevel="1" x14ac:dyDescent="0.2">
      <c r="D155" s="62" t="s">
        <v>170</v>
      </c>
      <c r="E155" s="64"/>
      <c r="F155" s="19">
        <v>0</v>
      </c>
      <c r="G155" s="19">
        <v>0</v>
      </c>
      <c r="H155" s="19">
        <v>0</v>
      </c>
      <c r="I155" s="62" t="s">
        <v>162</v>
      </c>
      <c r="J155" s="42">
        <f t="shared" si="5"/>
        <v>0</v>
      </c>
    </row>
    <row r="156" spans="3:10" outlineLevel="1" x14ac:dyDescent="0.2">
      <c r="D156" s="62" t="s">
        <v>171</v>
      </c>
      <c r="E156" s="64"/>
      <c r="F156" s="19">
        <v>0</v>
      </c>
      <c r="G156" s="19">
        <v>0</v>
      </c>
      <c r="H156" s="19">
        <v>0</v>
      </c>
      <c r="I156" s="62" t="s">
        <v>162</v>
      </c>
      <c r="J156" s="42">
        <f t="shared" si="5"/>
        <v>0</v>
      </c>
    </row>
    <row r="157" spans="3:10" outlineLevel="1" x14ac:dyDescent="0.2">
      <c r="D157" s="62" t="s">
        <v>172</v>
      </c>
      <c r="E157" s="64"/>
      <c r="F157" s="19">
        <v>0</v>
      </c>
      <c r="G157" s="19">
        <v>0</v>
      </c>
      <c r="H157" s="19">
        <v>0</v>
      </c>
      <c r="I157" s="62" t="s">
        <v>162</v>
      </c>
      <c r="J157" s="42">
        <f t="shared" si="5"/>
        <v>0</v>
      </c>
    </row>
    <row r="158" spans="3:10" outlineLevel="1" x14ac:dyDescent="0.2">
      <c r="D158" s="55" t="str">
        <f>Lang_Error_Check_Flags_If_Input_Econ_Cost_Is_Less_Than_Fin_Cost</f>
        <v>ERROR CHECK (FLAGS IF INPUT ECONOMIC COST IS LESS THAN FINANCIAL COST)</v>
      </c>
      <c r="J158" s="43">
        <f>IF(ISERROR(SUM(J148:J157)),1,MIN(SUM(J148:J157),1))</f>
        <v>0</v>
      </c>
    </row>
    <row r="159" spans="3:10" outlineLevel="1" x14ac:dyDescent="0.2"/>
    <row r="160" spans="3:10" outlineLevel="1" x14ac:dyDescent="0.2">
      <c r="D160" s="47" t="str">
        <f>Lang_GoTo&amp;" "&amp;HL_TOP_ACTV_20_Out_A</f>
        <v>Go to Other Activity #2 - (Recurrent Costs Only) (Not in Use) Allowances - Outputs</v>
      </c>
    </row>
    <row r="162" spans="1:10" s="13" customFormat="1" x14ac:dyDescent="0.2">
      <c r="A162" s="6" t="s">
        <v>127</v>
      </c>
      <c r="B162" s="13" t="str">
        <f>C164</f>
        <v>Other Activity #2 - (Recurrent Costs Only) (Not in Use) - Detailed Supply and Material Cost Assumptions</v>
      </c>
    </row>
    <row r="163" spans="1:10" outlineLevel="1" x14ac:dyDescent="0.2"/>
    <row r="164" spans="1:10" outlineLevel="1" x14ac:dyDescent="0.2">
      <c r="C164" s="18" t="str">
        <f>HL_TOP_ACTV_20_Name&amp;" - "&amp;Lang_Detailed_Supply_And_Material_Cost_Assumptions</f>
        <v>Other Activity #2 - (Recurrent Costs Only) (Not in Use) - Detailed Supply and Material Cost Assumptions</v>
      </c>
    </row>
    <row r="165" spans="1:10" ht="36" outlineLevel="1" x14ac:dyDescent="0.2">
      <c r="D165" s="55" t="str">
        <f>Lang_Supply_Type</f>
        <v>Supply Type</v>
      </c>
      <c r="E165" s="85" t="str">
        <f>Lang_Supply_Unit_Each_Dozen_100_Pack</f>
        <v>Supply Unit (e.g. Each, Dozen, 100-pack,etc.)</v>
      </c>
      <c r="F165" s="85" t="str">
        <f>Lang_Number_Of_Supply_Units_Required</f>
        <v>Number of Supply Units Required</v>
      </c>
      <c r="G165" s="63" t="str">
        <f ca="1">OTHER_Lu!$D$67&amp;" "&amp;Lang_Cost_Per_Activity_Unit&amp;" ("&amp;OFFSET(OTHER_Lu!$D$46,DD_TOP_ACTV_20_Detailed_Currency_Used,0)&amp;")"</f>
        <v>Financial Cost per Activity Unit (USD)</v>
      </c>
      <c r="H165" s="63" t="str">
        <f ca="1">OTHER_Lu!$D$68&amp;" "&amp;Lang_Cost_Per_Activity_Unit&amp;" ("&amp;OFFSET(OTHER_Lu!$D$46,DD_TOP_ACTV_20_Detailed_Currency_Used,0)&amp;")"</f>
        <v>Economic Cost per Activity Unit (USD)</v>
      </c>
      <c r="I165" s="87" t="str">
        <f>Lang_Evidence_For_Using_This_Cost_Information_Source_Or_Notes</f>
        <v>Evidence for Using this Cost Information (source or notes)</v>
      </c>
    </row>
    <row r="166" spans="1:10" outlineLevel="1" x14ac:dyDescent="0.2">
      <c r="D166" s="62" t="s">
        <v>173</v>
      </c>
      <c r="E166" s="64"/>
      <c r="F166" s="19">
        <v>0</v>
      </c>
      <c r="G166" s="19">
        <v>0</v>
      </c>
      <c r="H166" s="19">
        <v>0</v>
      </c>
      <c r="I166" s="62" t="s">
        <v>162</v>
      </c>
      <c r="J166" s="42">
        <f t="shared" ref="J166:J175" si="6">IF(H166&lt;G166,1,0)</f>
        <v>0</v>
      </c>
    </row>
    <row r="167" spans="1:10" outlineLevel="1" x14ac:dyDescent="0.2">
      <c r="D167" s="62" t="s">
        <v>174</v>
      </c>
      <c r="E167" s="64"/>
      <c r="F167" s="19">
        <v>0</v>
      </c>
      <c r="G167" s="19">
        <v>0</v>
      </c>
      <c r="H167" s="19">
        <v>0</v>
      </c>
      <c r="I167" s="62" t="s">
        <v>162</v>
      </c>
      <c r="J167" s="42">
        <f t="shared" si="6"/>
        <v>0</v>
      </c>
    </row>
    <row r="168" spans="1:10" outlineLevel="1" x14ac:dyDescent="0.2">
      <c r="D168" s="62" t="s">
        <v>175</v>
      </c>
      <c r="E168" s="64"/>
      <c r="F168" s="19">
        <v>0</v>
      </c>
      <c r="G168" s="19">
        <v>0</v>
      </c>
      <c r="H168" s="19">
        <v>0</v>
      </c>
      <c r="I168" s="62" t="s">
        <v>162</v>
      </c>
      <c r="J168" s="42">
        <f t="shared" si="6"/>
        <v>0</v>
      </c>
    </row>
    <row r="169" spans="1:10" outlineLevel="1" x14ac:dyDescent="0.2">
      <c r="D169" s="62" t="s">
        <v>176</v>
      </c>
      <c r="E169" s="64"/>
      <c r="F169" s="19">
        <v>0</v>
      </c>
      <c r="G169" s="19">
        <v>0</v>
      </c>
      <c r="H169" s="19">
        <v>0</v>
      </c>
      <c r="I169" s="62" t="s">
        <v>162</v>
      </c>
      <c r="J169" s="42">
        <f t="shared" si="6"/>
        <v>0</v>
      </c>
    </row>
    <row r="170" spans="1:10" outlineLevel="1" x14ac:dyDescent="0.2">
      <c r="D170" s="62" t="s">
        <v>177</v>
      </c>
      <c r="E170" s="64"/>
      <c r="F170" s="19">
        <v>0</v>
      </c>
      <c r="G170" s="19">
        <v>0</v>
      </c>
      <c r="H170" s="19">
        <v>0</v>
      </c>
      <c r="I170" s="62" t="s">
        <v>162</v>
      </c>
      <c r="J170" s="42">
        <f t="shared" si="6"/>
        <v>0</v>
      </c>
    </row>
    <row r="171" spans="1:10" outlineLevel="1" x14ac:dyDescent="0.2">
      <c r="D171" s="62" t="s">
        <v>178</v>
      </c>
      <c r="E171" s="64"/>
      <c r="F171" s="19">
        <v>0</v>
      </c>
      <c r="G171" s="19">
        <v>0</v>
      </c>
      <c r="H171" s="19">
        <v>0</v>
      </c>
      <c r="I171" s="62" t="s">
        <v>162</v>
      </c>
      <c r="J171" s="42">
        <f t="shared" si="6"/>
        <v>0</v>
      </c>
    </row>
    <row r="172" spans="1:10" outlineLevel="1" x14ac:dyDescent="0.2">
      <c r="D172" s="62" t="s">
        <v>179</v>
      </c>
      <c r="E172" s="64"/>
      <c r="F172" s="19">
        <v>0</v>
      </c>
      <c r="G172" s="19">
        <v>0</v>
      </c>
      <c r="H172" s="19">
        <v>0</v>
      </c>
      <c r="I172" s="62" t="s">
        <v>162</v>
      </c>
      <c r="J172" s="42">
        <f t="shared" si="6"/>
        <v>0</v>
      </c>
    </row>
    <row r="173" spans="1:10" outlineLevel="1" x14ac:dyDescent="0.2">
      <c r="D173" s="62" t="s">
        <v>180</v>
      </c>
      <c r="E173" s="64"/>
      <c r="F173" s="19">
        <v>0</v>
      </c>
      <c r="G173" s="19">
        <v>0</v>
      </c>
      <c r="H173" s="19">
        <v>0</v>
      </c>
      <c r="I173" s="62" t="s">
        <v>162</v>
      </c>
      <c r="J173" s="42">
        <f t="shared" si="6"/>
        <v>0</v>
      </c>
    </row>
    <row r="174" spans="1:10" outlineLevel="1" x14ac:dyDescent="0.2">
      <c r="D174" s="62" t="s">
        <v>181</v>
      </c>
      <c r="E174" s="64"/>
      <c r="F174" s="19">
        <v>0</v>
      </c>
      <c r="G174" s="19">
        <v>0</v>
      </c>
      <c r="H174" s="19">
        <v>0</v>
      </c>
      <c r="I174" s="62" t="s">
        <v>162</v>
      </c>
      <c r="J174" s="42">
        <f t="shared" si="6"/>
        <v>0</v>
      </c>
    </row>
    <row r="175" spans="1:10" outlineLevel="1" x14ac:dyDescent="0.2">
      <c r="D175" s="62" t="s">
        <v>182</v>
      </c>
      <c r="E175" s="64"/>
      <c r="F175" s="19">
        <v>0</v>
      </c>
      <c r="G175" s="19">
        <v>0</v>
      </c>
      <c r="H175" s="19">
        <v>0</v>
      </c>
      <c r="I175" s="62" t="s">
        <v>162</v>
      </c>
      <c r="J175" s="42">
        <f t="shared" si="6"/>
        <v>0</v>
      </c>
    </row>
    <row r="176" spans="1:10" outlineLevel="1" x14ac:dyDescent="0.2">
      <c r="D176" s="55" t="str">
        <f>Lang_Error_Check_Flags_If_Input_Econ_Cost_Is_Less_Than_Fin_Cost</f>
        <v>ERROR CHECK (FLAGS IF INPUT ECONOMIC COST IS LESS THAN FINANCIAL COST)</v>
      </c>
      <c r="J176" s="43">
        <f>IF(ISERROR(SUM(J166:J175)),1,MIN(SUM(J166:J175),1))</f>
        <v>0</v>
      </c>
    </row>
    <row r="177" spans="1:10" outlineLevel="1" x14ac:dyDescent="0.2"/>
    <row r="178" spans="1:10" outlineLevel="1" x14ac:dyDescent="0.2">
      <c r="D178" s="47" t="str">
        <f>Lang_GoTo&amp;" "&amp;HL_TOP_ACTV_20_Supplies_and_Materials_Outputs</f>
        <v>Go to Other Activity #2 - (Recurrent Costs Only) (Not in Use) Supplies and Materials - Outputs</v>
      </c>
    </row>
    <row r="180" spans="1:10" s="13" customFormat="1" x14ac:dyDescent="0.2">
      <c r="A180" s="6" t="s">
        <v>127</v>
      </c>
      <c r="B180" s="13" t="str">
        <f>C182</f>
        <v>Other Activity #2 - (Recurrent Costs Only) (Not in Use) - Detailed Other Direct Cost Assumptions</v>
      </c>
    </row>
    <row r="181" spans="1:10" outlineLevel="1" x14ac:dyDescent="0.2"/>
    <row r="182" spans="1:10" outlineLevel="1" x14ac:dyDescent="0.2">
      <c r="C182" s="18" t="str">
        <f>HL_TOP_ACTV_20_Name&amp;" - "&amp;Lang_Detailed_Other_Direct_Cost_Assumptions</f>
        <v>Other Activity #2 - (Recurrent Costs Only) (Not in Use) - Detailed Other Direct Cost Assumptions</v>
      </c>
    </row>
    <row r="183" spans="1:10" ht="36" outlineLevel="1" x14ac:dyDescent="0.2">
      <c r="D183" s="55" t="str">
        <f>Lang_Other_Direct_Cost_ODC_Type</f>
        <v>Other Direct Cost (ODC) Type</v>
      </c>
      <c r="E183" s="85" t="str">
        <f>Lang_ODC_Unit_Each_Dozen_100_Pack</f>
        <v>ODC Unit (e.g. Each, Dozen, 100-pack,etc.)</v>
      </c>
      <c r="F183" s="85" t="str">
        <f>Lang_Number_Of_ODC_Units_Required</f>
        <v>Number of ODC Units Required</v>
      </c>
      <c r="G183" s="63" t="str">
        <f ca="1">OTHER_Lu!$D$102&amp;" "&amp;Lang_Cost_Per_Activity_Unit&amp;" ("&amp;OFFSET(OTHER_Lu!$D$81,DD_TOP_ACTV_19_Detailed_Currency_Used,0)&amp;")"</f>
        <v>Financial Cost per Activity Unit (USD)</v>
      </c>
      <c r="H183" s="63" t="str">
        <f ca="1">OTHER_Lu!$D$103&amp;" "&amp;Lang_Cost_Per_Activity_Unit&amp;" ("&amp;OFFSET(OTHER_Lu!$D$81,DD_TOP_ACTV_19_Detailed_Currency_Used,0)&amp;")"</f>
        <v>Economic Cost per Activity Unit (USD)</v>
      </c>
      <c r="I183" s="87" t="str">
        <f>Lang_Evidence_For_Using_This_Cost_Information_Source_Or_Notes</f>
        <v>Evidence for Using this Cost Information (source or notes)</v>
      </c>
    </row>
    <row r="184" spans="1:10" outlineLevel="1" x14ac:dyDescent="0.2">
      <c r="D184" s="62" t="s">
        <v>183</v>
      </c>
      <c r="E184" s="64"/>
      <c r="F184" s="19">
        <v>0</v>
      </c>
      <c r="G184" s="19">
        <v>0</v>
      </c>
      <c r="H184" s="19">
        <v>0</v>
      </c>
      <c r="I184" s="62" t="s">
        <v>162</v>
      </c>
      <c r="J184" s="42">
        <f t="shared" ref="J184:J193" si="7">IF(H184&lt;G184,1,0)</f>
        <v>0</v>
      </c>
    </row>
    <row r="185" spans="1:10" outlineLevel="1" x14ac:dyDescent="0.2">
      <c r="D185" s="62" t="s">
        <v>184</v>
      </c>
      <c r="E185" s="64"/>
      <c r="F185" s="19">
        <v>0</v>
      </c>
      <c r="G185" s="19">
        <v>0</v>
      </c>
      <c r="H185" s="19">
        <v>0</v>
      </c>
      <c r="I185" s="62" t="s">
        <v>162</v>
      </c>
      <c r="J185" s="42">
        <f t="shared" si="7"/>
        <v>0</v>
      </c>
    </row>
    <row r="186" spans="1:10" outlineLevel="1" x14ac:dyDescent="0.2">
      <c r="D186" s="62" t="s">
        <v>185</v>
      </c>
      <c r="E186" s="64"/>
      <c r="F186" s="19">
        <v>0</v>
      </c>
      <c r="G186" s="19">
        <v>0</v>
      </c>
      <c r="H186" s="19">
        <v>0</v>
      </c>
      <c r="I186" s="62" t="s">
        <v>162</v>
      </c>
      <c r="J186" s="42">
        <f t="shared" si="7"/>
        <v>0</v>
      </c>
    </row>
    <row r="187" spans="1:10" outlineLevel="1" x14ac:dyDescent="0.2">
      <c r="D187" s="62" t="s">
        <v>186</v>
      </c>
      <c r="E187" s="64"/>
      <c r="F187" s="19">
        <v>0</v>
      </c>
      <c r="G187" s="19">
        <v>0</v>
      </c>
      <c r="H187" s="19">
        <v>0</v>
      </c>
      <c r="I187" s="62" t="s">
        <v>162</v>
      </c>
      <c r="J187" s="42">
        <f t="shared" si="7"/>
        <v>0</v>
      </c>
    </row>
    <row r="188" spans="1:10" outlineLevel="1" x14ac:dyDescent="0.2">
      <c r="D188" s="62" t="s">
        <v>187</v>
      </c>
      <c r="E188" s="64"/>
      <c r="F188" s="19">
        <v>0</v>
      </c>
      <c r="G188" s="19">
        <v>0</v>
      </c>
      <c r="H188" s="19">
        <v>0</v>
      </c>
      <c r="I188" s="62" t="s">
        <v>162</v>
      </c>
      <c r="J188" s="42">
        <f t="shared" si="7"/>
        <v>0</v>
      </c>
    </row>
    <row r="189" spans="1:10" outlineLevel="1" x14ac:dyDescent="0.2">
      <c r="D189" s="62" t="s">
        <v>188</v>
      </c>
      <c r="E189" s="64"/>
      <c r="F189" s="19">
        <v>0</v>
      </c>
      <c r="G189" s="19">
        <v>0</v>
      </c>
      <c r="H189" s="19">
        <v>0</v>
      </c>
      <c r="I189" s="62" t="s">
        <v>162</v>
      </c>
      <c r="J189" s="42">
        <f t="shared" si="7"/>
        <v>0</v>
      </c>
    </row>
    <row r="190" spans="1:10" outlineLevel="1" x14ac:dyDescent="0.2">
      <c r="D190" s="62" t="s">
        <v>189</v>
      </c>
      <c r="E190" s="64"/>
      <c r="F190" s="19">
        <v>0</v>
      </c>
      <c r="G190" s="19">
        <v>0</v>
      </c>
      <c r="H190" s="19">
        <v>0</v>
      </c>
      <c r="I190" s="62" t="s">
        <v>162</v>
      </c>
      <c r="J190" s="42">
        <f t="shared" si="7"/>
        <v>0</v>
      </c>
    </row>
    <row r="191" spans="1:10" outlineLevel="1" x14ac:dyDescent="0.2">
      <c r="D191" s="62" t="s">
        <v>190</v>
      </c>
      <c r="E191" s="64"/>
      <c r="F191" s="19">
        <v>0</v>
      </c>
      <c r="G191" s="19">
        <v>0</v>
      </c>
      <c r="H191" s="19">
        <v>0</v>
      </c>
      <c r="I191" s="62" t="s">
        <v>162</v>
      </c>
      <c r="J191" s="42">
        <f t="shared" si="7"/>
        <v>0</v>
      </c>
    </row>
    <row r="192" spans="1:10" outlineLevel="1" x14ac:dyDescent="0.2">
      <c r="D192" s="62" t="s">
        <v>191</v>
      </c>
      <c r="E192" s="64"/>
      <c r="F192" s="19">
        <v>0</v>
      </c>
      <c r="G192" s="19">
        <v>0</v>
      </c>
      <c r="H192" s="19">
        <v>0</v>
      </c>
      <c r="I192" s="62" t="s">
        <v>162</v>
      </c>
      <c r="J192" s="42">
        <f t="shared" si="7"/>
        <v>0</v>
      </c>
    </row>
    <row r="193" spans="1:10" outlineLevel="1" x14ac:dyDescent="0.2">
      <c r="D193" s="62" t="s">
        <v>192</v>
      </c>
      <c r="E193" s="64"/>
      <c r="F193" s="19">
        <v>0</v>
      </c>
      <c r="G193" s="19">
        <v>0</v>
      </c>
      <c r="H193" s="19">
        <v>0</v>
      </c>
      <c r="I193" s="62" t="s">
        <v>162</v>
      </c>
      <c r="J193" s="42">
        <f t="shared" si="7"/>
        <v>0</v>
      </c>
    </row>
    <row r="194" spans="1:10" outlineLevel="1" x14ac:dyDescent="0.2">
      <c r="D194" s="55" t="str">
        <f>Lang_Error_Check_Flags_If_Input_Econ_Cost_Is_Less_Than_Fin_Cost</f>
        <v>ERROR CHECK (FLAGS IF INPUT ECONOMIC COST IS LESS THAN FINANCIAL COST)</v>
      </c>
      <c r="J194" s="43">
        <f>IF(ISERROR(SUM(J184:J193)),1,MIN(SUM(J184:J193),1))</f>
        <v>0</v>
      </c>
    </row>
    <row r="195" spans="1:10" outlineLevel="1" x14ac:dyDescent="0.2"/>
    <row r="196" spans="1:10" outlineLevel="1" x14ac:dyDescent="0.2">
      <c r="D196" s="47" t="str">
        <f>Lang_GoTo&amp;" "&amp;HL_TOP_ACTV_19_Other_Direct_Costs_Outputs</f>
        <v>Go to Other Activity #3 - (Recurrent Costs Only) (Not in Use) Other Direct Costs - Outputs</v>
      </c>
    </row>
    <row r="197" spans="1:10" s="10" customFormat="1" x14ac:dyDescent="0.2"/>
    <row r="198" spans="1:10" s="13" customFormat="1" x14ac:dyDescent="0.2">
      <c r="A198" s="12" t="s">
        <v>125</v>
      </c>
      <c r="B198" s="13" t="str">
        <f>C200</f>
        <v>Other Activity #3 - (Recurrent Costs Only) (Not in Use) -  Detailed Activity Costing Worksheet - Instructions</v>
      </c>
    </row>
    <row r="199" spans="1:10" s="10" customFormat="1" outlineLevel="1" x14ac:dyDescent="0.2"/>
    <row r="200" spans="1:10" s="10" customFormat="1" outlineLevel="1" x14ac:dyDescent="0.2">
      <c r="C200" s="71" t="str">
        <f>HL_TOP_ACTV_19_Name&amp;" -  "&amp;Lang_Detailed_Activity_Costing_Worksheet_Instructions</f>
        <v>Other Activity #3 - (Recurrent Costs Only) (Not in Use) -  Detailed Activity Costing Worksheet - Instructions</v>
      </c>
    </row>
    <row r="201" spans="1:10" s="10" customFormat="1" outlineLevel="1" x14ac:dyDescent="0.2"/>
    <row r="202" spans="1:10" s="10" customFormat="1" outlineLevel="1" x14ac:dyDescent="0.2">
      <c r="D202" s="50" t="str">
        <f>Lang_Detailed_Costing_Worksheets_Notes_1</f>
        <v>This detailed costing worksheet can be used to document the types and amounts of resources required to complete a single instance of an activity.</v>
      </c>
    </row>
    <row r="203" spans="1:10" s="10" customFormat="1" outlineLevel="1" x14ac:dyDescent="0.2">
      <c r="D203" s="50" t="str">
        <f>Lang_Detailed_Costing_Worksheets_Notes_2</f>
        <v>When completed, it will automatically provide a single activity cost in the general assumption worksheet.</v>
      </c>
    </row>
    <row r="204" spans="1:10" s="10" customFormat="1" outlineLevel="1" x14ac:dyDescent="0.2">
      <c r="D204" s="50" t="str">
        <f>Lang_Detailed_Costing_Worksheets_Notes_3</f>
        <v>The user may then choose to use the results of the detailed costing in the model, or override the detailed costing and insert alternate cost estimates.</v>
      </c>
    </row>
    <row r="206" spans="1:10" s="13" customFormat="1" x14ac:dyDescent="0.2">
      <c r="A206" s="6" t="s">
        <v>125</v>
      </c>
      <c r="B206" s="13" t="str">
        <f>C208</f>
        <v>Other Activity #3 - (Recurrent Costs Only) (Not in Use) - Detailed Activity Costing Worksheet - Currency Selection</v>
      </c>
    </row>
    <row r="207" spans="1:10" outlineLevel="1" x14ac:dyDescent="0.2"/>
    <row r="208" spans="1:10" outlineLevel="1" x14ac:dyDescent="0.2">
      <c r="C208" s="18" t="str">
        <f>HL_TOP_ACTV_19_Name&amp;" - "&amp;Lang_Detailed_Activity_Costing_Worksheet_Currency_Selection</f>
        <v>Other Activity #3 - (Recurrent Costs Only) (Not in Use) - Detailed Activity Costing Worksheet - Currency Selection</v>
      </c>
    </row>
    <row r="209" spans="1:10" outlineLevel="1" x14ac:dyDescent="0.2">
      <c r="D209" s="55" t="str">
        <f>Lang_Currency_Used_For_Cost_Inputs</f>
        <v>Currency Used for Cost Inputs</v>
      </c>
      <c r="E209" s="22">
        <v>1</v>
      </c>
    </row>
    <row r="210" spans="1:10" outlineLevel="1" x14ac:dyDescent="0.2"/>
    <row r="211" spans="1:10" outlineLevel="1" x14ac:dyDescent="0.2"/>
    <row r="212" spans="1:10" outlineLevel="1" x14ac:dyDescent="0.2">
      <c r="D212" s="54" t="str">
        <f>Lang_Imported_From_Econ_Module</f>
        <v>Imported from Econ Module</v>
      </c>
    </row>
    <row r="213" spans="1:10" outlineLevel="1" x14ac:dyDescent="0.2">
      <c r="D213" s="49" t="str">
        <f>ECONOMICS!F7</f>
        <v>USD</v>
      </c>
    </row>
    <row r="214" spans="1:10" outlineLevel="1" x14ac:dyDescent="0.2">
      <c r="D214" s="49" t="str">
        <f>ECONOMICS!F8</f>
        <v>LCU</v>
      </c>
    </row>
    <row r="215" spans="1:10" outlineLevel="1" x14ac:dyDescent="0.2"/>
    <row r="216" spans="1:10" outlineLevel="1" x14ac:dyDescent="0.2">
      <c r="D216" s="50" t="str">
        <f>Lang_Exchange_Rate_From_Econ</f>
        <v>Exchange Rate (from Economics)</v>
      </c>
      <c r="E216" s="41">
        <f>ECONOMICS!E13</f>
        <v>1234.5</v>
      </c>
    </row>
    <row r="218" spans="1:10" s="13" customFormat="1" x14ac:dyDescent="0.2">
      <c r="A218" s="6" t="s">
        <v>127</v>
      </c>
      <c r="B218" s="13" t="str">
        <f>C220</f>
        <v>Other Activity #3 - (Recurrent Costs Only) (Not in Use) - Detailed Personnel Cost Assumptions</v>
      </c>
    </row>
    <row r="219" spans="1:10" outlineLevel="1" x14ac:dyDescent="0.2"/>
    <row r="220" spans="1:10" outlineLevel="1" x14ac:dyDescent="0.2">
      <c r="C220" s="18" t="str">
        <f>HL_TOP_ACTV_19_Name&amp;" - "&amp;Lang_Detailed_Personnel_Cost_Assumptions</f>
        <v>Other Activity #3 - (Recurrent Costs Only) (Not in Use) - Detailed Personnel Cost Assumptions</v>
      </c>
    </row>
    <row r="221" spans="1:10" ht="36" outlineLevel="1" x14ac:dyDescent="0.2">
      <c r="D221" s="55" t="str">
        <f>Lang_Personnel_Cadre_Type</f>
        <v>Personnel Cadre Type</v>
      </c>
      <c r="E221" s="85" t="str">
        <f>Lang_Activity_Unit_Day_Hour_Minute</f>
        <v>Activity Unit (e.g. Day, Hour, Minute)</v>
      </c>
      <c r="F221" s="85" t="str">
        <f>Lang_Number_Of_Activity_Units_Required</f>
        <v>Number of Activity Units Required</v>
      </c>
      <c r="G221" s="63" t="str">
        <f ca="1">OTHER_Lu!$D$102&amp;" "&amp;Lang_Cost_Per_Activity_Unit&amp;" ("&amp;OFFSET(OTHER_Lu!$D$81,DD_TOP_ACTV_19_Detailed_Currency_Used,0)&amp;")"</f>
        <v>Financial Cost per Activity Unit (USD)</v>
      </c>
      <c r="H221" s="63" t="str">
        <f ca="1">OTHER_Lu!$D$103&amp;" "&amp;Lang_Cost_Per_Activity_Unit&amp;" ("&amp;OFFSET(OTHER_Lu!$D$81,DD_TOP_ACTV_19_Detailed_Currency_Used,0)&amp;")"</f>
        <v>Economic Cost per Activity Unit (USD)</v>
      </c>
      <c r="I221" s="87" t="str">
        <f>Lang_Evidence_For_Using_This_Cost_Information_Source_Or_Notes</f>
        <v>Evidence for Using this Cost Information (source or notes)</v>
      </c>
    </row>
    <row r="222" spans="1:10" outlineLevel="1" x14ac:dyDescent="0.2">
      <c r="D222" s="62" t="s">
        <v>152</v>
      </c>
      <c r="E222" s="64"/>
      <c r="F222" s="19">
        <v>0</v>
      </c>
      <c r="G222" s="19">
        <v>0</v>
      </c>
      <c r="H222" s="19">
        <v>0</v>
      </c>
      <c r="I222" s="62" t="s">
        <v>162</v>
      </c>
      <c r="J222" s="42">
        <f t="shared" ref="J222:J236" si="8">IF(H222&lt;G222,1,0)</f>
        <v>0</v>
      </c>
    </row>
    <row r="223" spans="1:10" outlineLevel="1" x14ac:dyDescent="0.2">
      <c r="D223" s="62" t="s">
        <v>153</v>
      </c>
      <c r="E223" s="64"/>
      <c r="F223" s="19">
        <v>0</v>
      </c>
      <c r="G223" s="19">
        <v>0</v>
      </c>
      <c r="H223" s="19">
        <v>0</v>
      </c>
      <c r="I223" s="62" t="s">
        <v>162</v>
      </c>
      <c r="J223" s="42">
        <f t="shared" si="8"/>
        <v>0</v>
      </c>
    </row>
    <row r="224" spans="1:10" outlineLevel="1" x14ac:dyDescent="0.2">
      <c r="D224" s="62" t="s">
        <v>154</v>
      </c>
      <c r="E224" s="64"/>
      <c r="F224" s="19">
        <v>0</v>
      </c>
      <c r="G224" s="19">
        <v>0</v>
      </c>
      <c r="H224" s="19">
        <v>0</v>
      </c>
      <c r="I224" s="62" t="s">
        <v>162</v>
      </c>
      <c r="J224" s="42">
        <f t="shared" si="8"/>
        <v>0</v>
      </c>
    </row>
    <row r="225" spans="4:10" outlineLevel="1" x14ac:dyDescent="0.2">
      <c r="D225" s="62" t="s">
        <v>155</v>
      </c>
      <c r="E225" s="64"/>
      <c r="F225" s="19">
        <v>0</v>
      </c>
      <c r="G225" s="19">
        <v>0</v>
      </c>
      <c r="H225" s="19">
        <v>0</v>
      </c>
      <c r="I225" s="62" t="s">
        <v>162</v>
      </c>
      <c r="J225" s="42">
        <f t="shared" si="8"/>
        <v>0</v>
      </c>
    </row>
    <row r="226" spans="4:10" outlineLevel="1" x14ac:dyDescent="0.2">
      <c r="D226" s="62" t="s">
        <v>156</v>
      </c>
      <c r="E226" s="64"/>
      <c r="F226" s="19">
        <v>0</v>
      </c>
      <c r="G226" s="19">
        <v>0</v>
      </c>
      <c r="H226" s="19">
        <v>0</v>
      </c>
      <c r="I226" s="62" t="s">
        <v>162</v>
      </c>
      <c r="J226" s="42">
        <f t="shared" si="8"/>
        <v>0</v>
      </c>
    </row>
    <row r="227" spans="4:10" outlineLevel="1" x14ac:dyDescent="0.2">
      <c r="D227" s="62" t="s">
        <v>157</v>
      </c>
      <c r="E227" s="64"/>
      <c r="F227" s="19">
        <v>0</v>
      </c>
      <c r="G227" s="19">
        <v>0</v>
      </c>
      <c r="H227" s="19">
        <v>0</v>
      </c>
      <c r="I227" s="62" t="s">
        <v>162</v>
      </c>
      <c r="J227" s="42">
        <f t="shared" si="8"/>
        <v>0</v>
      </c>
    </row>
    <row r="228" spans="4:10" outlineLevel="1" x14ac:dyDescent="0.2">
      <c r="D228" s="62" t="s">
        <v>158</v>
      </c>
      <c r="E228" s="64"/>
      <c r="F228" s="19">
        <v>0</v>
      </c>
      <c r="G228" s="19">
        <v>0</v>
      </c>
      <c r="H228" s="19">
        <v>0</v>
      </c>
      <c r="I228" s="62" t="s">
        <v>162</v>
      </c>
      <c r="J228" s="42">
        <f t="shared" si="8"/>
        <v>0</v>
      </c>
    </row>
    <row r="229" spans="4:10" outlineLevel="1" x14ac:dyDescent="0.2">
      <c r="D229" s="62" t="s">
        <v>159</v>
      </c>
      <c r="E229" s="64"/>
      <c r="F229" s="19">
        <v>0</v>
      </c>
      <c r="G229" s="19">
        <v>0</v>
      </c>
      <c r="H229" s="19">
        <v>0</v>
      </c>
      <c r="I229" s="62" t="s">
        <v>162</v>
      </c>
      <c r="J229" s="42">
        <f t="shared" si="8"/>
        <v>0</v>
      </c>
    </row>
    <row r="230" spans="4:10" outlineLevel="1" x14ac:dyDescent="0.2">
      <c r="D230" s="62" t="s">
        <v>160</v>
      </c>
      <c r="E230" s="64"/>
      <c r="F230" s="19">
        <v>0</v>
      </c>
      <c r="G230" s="19">
        <v>0</v>
      </c>
      <c r="H230" s="19">
        <v>0</v>
      </c>
      <c r="I230" s="62" t="s">
        <v>162</v>
      </c>
      <c r="J230" s="42">
        <f t="shared" si="8"/>
        <v>0</v>
      </c>
    </row>
    <row r="231" spans="4:10" outlineLevel="1" x14ac:dyDescent="0.2">
      <c r="D231" s="62" t="s">
        <v>161</v>
      </c>
      <c r="E231" s="64"/>
      <c r="F231" s="19">
        <v>0</v>
      </c>
      <c r="G231" s="19">
        <v>0</v>
      </c>
      <c r="H231" s="19">
        <v>0</v>
      </c>
      <c r="I231" s="62" t="s">
        <v>162</v>
      </c>
      <c r="J231" s="42">
        <f t="shared" si="8"/>
        <v>0</v>
      </c>
    </row>
    <row r="232" spans="4:10" outlineLevel="1" x14ac:dyDescent="0.2">
      <c r="D232" s="62" t="s">
        <v>393</v>
      </c>
      <c r="E232" s="64"/>
      <c r="F232" s="19">
        <v>0</v>
      </c>
      <c r="G232" s="19">
        <v>0</v>
      </c>
      <c r="H232" s="19">
        <v>0</v>
      </c>
      <c r="I232" s="62" t="s">
        <v>162</v>
      </c>
      <c r="J232" s="42">
        <f t="shared" si="8"/>
        <v>0</v>
      </c>
    </row>
    <row r="233" spans="4:10" outlineLevel="1" x14ac:dyDescent="0.2">
      <c r="D233" s="62" t="s">
        <v>394</v>
      </c>
      <c r="E233" s="64"/>
      <c r="F233" s="19">
        <v>0</v>
      </c>
      <c r="G233" s="19">
        <v>0</v>
      </c>
      <c r="H233" s="19">
        <v>0</v>
      </c>
      <c r="I233" s="62" t="s">
        <v>162</v>
      </c>
      <c r="J233" s="42">
        <f t="shared" si="8"/>
        <v>0</v>
      </c>
    </row>
    <row r="234" spans="4:10" outlineLevel="1" x14ac:dyDescent="0.2">
      <c r="D234" s="62" t="s">
        <v>395</v>
      </c>
      <c r="E234" s="64"/>
      <c r="F234" s="19">
        <v>0</v>
      </c>
      <c r="G234" s="19">
        <v>0</v>
      </c>
      <c r="H234" s="19">
        <v>0</v>
      </c>
      <c r="I234" s="62" t="s">
        <v>162</v>
      </c>
      <c r="J234" s="42">
        <f t="shared" si="8"/>
        <v>0</v>
      </c>
    </row>
    <row r="235" spans="4:10" outlineLevel="1" x14ac:dyDescent="0.2">
      <c r="D235" s="62" t="s">
        <v>396</v>
      </c>
      <c r="E235" s="64"/>
      <c r="F235" s="19">
        <v>0</v>
      </c>
      <c r="G235" s="19">
        <v>0</v>
      </c>
      <c r="H235" s="19">
        <v>0</v>
      </c>
      <c r="I235" s="62" t="s">
        <v>162</v>
      </c>
      <c r="J235" s="42">
        <f t="shared" si="8"/>
        <v>0</v>
      </c>
    </row>
    <row r="236" spans="4:10" outlineLevel="1" x14ac:dyDescent="0.2">
      <c r="D236" s="62" t="s">
        <v>397</v>
      </c>
      <c r="E236" s="64"/>
      <c r="F236" s="19">
        <v>0</v>
      </c>
      <c r="G236" s="19">
        <v>0</v>
      </c>
      <c r="H236" s="19">
        <v>0</v>
      </c>
      <c r="I236" s="62" t="s">
        <v>162</v>
      </c>
      <c r="J236" s="42">
        <f t="shared" si="8"/>
        <v>0</v>
      </c>
    </row>
    <row r="237" spans="4:10" outlineLevel="1" x14ac:dyDescent="0.2">
      <c r="D237" s="55" t="str">
        <f>Lang_Error_Check_Flags_If_Input_Econ_Cost_Is_Less_Than_Fin_Cost</f>
        <v>ERROR CHECK (FLAGS IF INPUT ECONOMIC COST IS LESS THAN FINANCIAL COST)</v>
      </c>
      <c r="J237" s="43">
        <f>IF(ISERROR(SUM(J222:J236)),1,MIN(SUM(J222:J236),1))</f>
        <v>0</v>
      </c>
    </row>
    <row r="238" spans="4:10" outlineLevel="1" x14ac:dyDescent="0.2"/>
    <row r="239" spans="4:10" outlineLevel="1" x14ac:dyDescent="0.2">
      <c r="D239" s="47" t="str">
        <f>Lang_GoTo&amp;" "&amp;HL_TOP_ACTV_19_Personnel_Outputs</f>
        <v>Go to Other Activity #3 - (Recurrent Costs Only) (Not in Use) Personnel - Outputs</v>
      </c>
    </row>
    <row r="241" spans="1:10" s="13" customFormat="1" x14ac:dyDescent="0.2">
      <c r="A241" s="6" t="s">
        <v>127</v>
      </c>
      <c r="B241" s="13" t="str">
        <f>C243</f>
        <v>Other Activity #3 - (Recurrent Costs Only) (Not in Use) - Detailed Allowance Cost Assumptions</v>
      </c>
    </row>
    <row r="242" spans="1:10" outlineLevel="1" x14ac:dyDescent="0.2"/>
    <row r="243" spans="1:10" outlineLevel="1" x14ac:dyDescent="0.2">
      <c r="C243" s="18" t="str">
        <f>HL_TOP_ACTV_19_Name&amp;" - "&amp;Lang_Detailed_Allowance_Cost_Assumptions</f>
        <v>Other Activity #3 - (Recurrent Costs Only) (Not in Use) - Detailed Allowance Cost Assumptions</v>
      </c>
    </row>
    <row r="244" spans="1:10" ht="48" outlineLevel="1" x14ac:dyDescent="0.2">
      <c r="D244" s="55" t="str">
        <f>Lang_Allowance_Type</f>
        <v>Allowance Type</v>
      </c>
      <c r="E244" s="85" t="str">
        <f>Lang_Allowance_Unit_Per_Day_Round_Trip_Travel</f>
        <v>Allowance Unit (e.g. Per Day, Round-trip Travel,etc.)</v>
      </c>
      <c r="F244" s="85" t="str">
        <f>Lang_Number_Of_Allowance_Units_Required</f>
        <v>Number of Allowance Units Required</v>
      </c>
      <c r="G244" s="63" t="str">
        <f ca="1">OTHER_Lu!$D$102&amp;" "&amp;Lang_Cost_Per_Activity_Unit&amp;" ("&amp;OFFSET(OTHER_Lu!$D$81,DD_TOP_ACTV_19_Detailed_Currency_Used,0)&amp;")"</f>
        <v>Financial Cost per Activity Unit (USD)</v>
      </c>
      <c r="H244" s="63" t="str">
        <f ca="1">OTHER_Lu!$D$103&amp;" "&amp;Lang_Cost_Per_Activity_Unit&amp;" ("&amp;OFFSET(OTHER_Lu!$D$81,DD_TOP_ACTV_19_Detailed_Currency_Used,0)&amp;")"</f>
        <v>Economic Cost per Activity Unit (USD)</v>
      </c>
      <c r="I244" s="87" t="str">
        <f>Lang_Evidence_For_Using_This_Cost_Information_Source_Or_Notes</f>
        <v>Evidence for Using this Cost Information (source or notes)</v>
      </c>
    </row>
    <row r="245" spans="1:10" outlineLevel="1" x14ac:dyDescent="0.2">
      <c r="D245" s="62" t="s">
        <v>163</v>
      </c>
      <c r="E245" s="64"/>
      <c r="F245" s="19">
        <v>0</v>
      </c>
      <c r="G245" s="19">
        <v>0</v>
      </c>
      <c r="H245" s="19">
        <v>0</v>
      </c>
      <c r="I245" s="62" t="s">
        <v>162</v>
      </c>
      <c r="J245" s="42">
        <f t="shared" ref="J245:J254" si="9">IF(H245&lt;G245,1,0)</f>
        <v>0</v>
      </c>
    </row>
    <row r="246" spans="1:10" outlineLevel="1" x14ac:dyDescent="0.2">
      <c r="D246" s="62" t="s">
        <v>164</v>
      </c>
      <c r="E246" s="64"/>
      <c r="F246" s="19">
        <v>0</v>
      </c>
      <c r="G246" s="19">
        <v>0</v>
      </c>
      <c r="H246" s="19">
        <v>0</v>
      </c>
      <c r="I246" s="62" t="s">
        <v>162</v>
      </c>
      <c r="J246" s="42">
        <f t="shared" si="9"/>
        <v>0</v>
      </c>
    </row>
    <row r="247" spans="1:10" outlineLevel="1" x14ac:dyDescent="0.2">
      <c r="D247" s="62" t="s">
        <v>165</v>
      </c>
      <c r="E247" s="64"/>
      <c r="F247" s="19">
        <v>0</v>
      </c>
      <c r="G247" s="19">
        <v>0</v>
      </c>
      <c r="H247" s="19">
        <v>0</v>
      </c>
      <c r="I247" s="62" t="s">
        <v>162</v>
      </c>
      <c r="J247" s="42">
        <f t="shared" si="9"/>
        <v>0</v>
      </c>
    </row>
    <row r="248" spans="1:10" outlineLevel="1" x14ac:dyDescent="0.2">
      <c r="D248" s="62" t="s">
        <v>166</v>
      </c>
      <c r="E248" s="64"/>
      <c r="F248" s="19">
        <v>0</v>
      </c>
      <c r="G248" s="19">
        <v>0</v>
      </c>
      <c r="H248" s="19">
        <v>0</v>
      </c>
      <c r="I248" s="62" t="s">
        <v>162</v>
      </c>
      <c r="J248" s="42">
        <f t="shared" si="9"/>
        <v>0</v>
      </c>
    </row>
    <row r="249" spans="1:10" outlineLevel="1" x14ac:dyDescent="0.2">
      <c r="D249" s="62" t="s">
        <v>167</v>
      </c>
      <c r="E249" s="64"/>
      <c r="F249" s="19">
        <v>0</v>
      </c>
      <c r="G249" s="19">
        <v>0</v>
      </c>
      <c r="H249" s="19">
        <v>0</v>
      </c>
      <c r="I249" s="62" t="s">
        <v>162</v>
      </c>
      <c r="J249" s="42">
        <f t="shared" si="9"/>
        <v>0</v>
      </c>
    </row>
    <row r="250" spans="1:10" outlineLevel="1" x14ac:dyDescent="0.2">
      <c r="D250" s="62" t="s">
        <v>168</v>
      </c>
      <c r="E250" s="64"/>
      <c r="F250" s="19">
        <v>0</v>
      </c>
      <c r="G250" s="19">
        <v>0</v>
      </c>
      <c r="H250" s="19">
        <v>0</v>
      </c>
      <c r="I250" s="62" t="s">
        <v>162</v>
      </c>
      <c r="J250" s="42">
        <f t="shared" si="9"/>
        <v>0</v>
      </c>
    </row>
    <row r="251" spans="1:10" outlineLevel="1" x14ac:dyDescent="0.2">
      <c r="D251" s="62" t="s">
        <v>169</v>
      </c>
      <c r="E251" s="64"/>
      <c r="F251" s="19">
        <v>0</v>
      </c>
      <c r="G251" s="19">
        <v>0</v>
      </c>
      <c r="H251" s="19">
        <v>0</v>
      </c>
      <c r="I251" s="62" t="s">
        <v>162</v>
      </c>
      <c r="J251" s="42">
        <f t="shared" si="9"/>
        <v>0</v>
      </c>
    </row>
    <row r="252" spans="1:10" outlineLevel="1" x14ac:dyDescent="0.2">
      <c r="D252" s="62" t="s">
        <v>170</v>
      </c>
      <c r="E252" s="64"/>
      <c r="F252" s="19">
        <v>0</v>
      </c>
      <c r="G252" s="19">
        <v>0</v>
      </c>
      <c r="H252" s="19">
        <v>0</v>
      </c>
      <c r="I252" s="62" t="s">
        <v>162</v>
      </c>
      <c r="J252" s="42">
        <f t="shared" si="9"/>
        <v>0</v>
      </c>
    </row>
    <row r="253" spans="1:10" outlineLevel="1" x14ac:dyDescent="0.2">
      <c r="D253" s="62" t="s">
        <v>171</v>
      </c>
      <c r="E253" s="64"/>
      <c r="F253" s="19">
        <v>0</v>
      </c>
      <c r="G253" s="19">
        <v>0</v>
      </c>
      <c r="H253" s="19">
        <v>0</v>
      </c>
      <c r="I253" s="62" t="s">
        <v>162</v>
      </c>
      <c r="J253" s="42">
        <f t="shared" si="9"/>
        <v>0</v>
      </c>
    </row>
    <row r="254" spans="1:10" outlineLevel="1" x14ac:dyDescent="0.2">
      <c r="D254" s="62" t="s">
        <v>172</v>
      </c>
      <c r="E254" s="64"/>
      <c r="F254" s="19">
        <v>0</v>
      </c>
      <c r="G254" s="19">
        <v>0</v>
      </c>
      <c r="H254" s="19">
        <v>0</v>
      </c>
      <c r="I254" s="62" t="s">
        <v>162</v>
      </c>
      <c r="J254" s="42">
        <f t="shared" si="9"/>
        <v>0</v>
      </c>
    </row>
    <row r="255" spans="1:10" outlineLevel="1" x14ac:dyDescent="0.2">
      <c r="D255" s="55" t="str">
        <f>Lang_Error_Check_Flags_If_Input_Econ_Cost_Is_Less_Than_Fin_Cost</f>
        <v>ERROR CHECK (FLAGS IF INPUT ECONOMIC COST IS LESS THAN FINANCIAL COST)</v>
      </c>
      <c r="J255" s="43">
        <f>IF(ISERROR(SUM(J245:J254)),1,MIN(SUM(J245:J254),1))</f>
        <v>0</v>
      </c>
    </row>
    <row r="256" spans="1:10" outlineLevel="1" x14ac:dyDescent="0.2"/>
    <row r="257" spans="1:10" outlineLevel="1" x14ac:dyDescent="0.2">
      <c r="D257" s="47" t="str">
        <f>Lang_GoTo&amp;" "&amp;HL_TOP_ACTV_19_Out_A</f>
        <v>Go to Other Activity #3 - (Recurrent Costs Only) (Not in Use) Allowances - Outputs</v>
      </c>
    </row>
    <row r="259" spans="1:10" s="13" customFormat="1" x14ac:dyDescent="0.2">
      <c r="A259" s="6" t="s">
        <v>127</v>
      </c>
      <c r="B259" s="13" t="str">
        <f>C261</f>
        <v>Other Activity #3 - (Recurrent Costs Only) (Not in Use) - Detailed Supply and Material Cost Assumptions</v>
      </c>
    </row>
    <row r="260" spans="1:10" outlineLevel="1" x14ac:dyDescent="0.2"/>
    <row r="261" spans="1:10" outlineLevel="1" x14ac:dyDescent="0.2">
      <c r="C261" s="18" t="str">
        <f>HL_TOP_ACTV_19_Name&amp;" - "&amp;Lang_Detailed_Supply_And_Material_Cost_Assumptions</f>
        <v>Other Activity #3 - (Recurrent Costs Only) (Not in Use) - Detailed Supply and Material Cost Assumptions</v>
      </c>
    </row>
    <row r="262" spans="1:10" ht="36" outlineLevel="1" x14ac:dyDescent="0.2">
      <c r="D262" s="55" t="str">
        <f>Lang_Supply_Type</f>
        <v>Supply Type</v>
      </c>
      <c r="E262" s="85" t="str">
        <f>Lang_Supply_Unit_Each_Dozen_100_Pack</f>
        <v>Supply Unit (e.g. Each, Dozen, 100-pack,etc.)</v>
      </c>
      <c r="F262" s="85" t="str">
        <f>Lang_Number_Of_Supply_Units_Required</f>
        <v>Number of Supply Units Required</v>
      </c>
      <c r="G262" s="63" t="str">
        <f ca="1">OTHER_Lu!$D$102&amp;" "&amp;Lang_Cost_Per_Activity_Unit&amp;" ("&amp;OFFSET(OTHER_Lu!$D$81,DD_TOP_ACTV_19_Detailed_Currency_Used,0)&amp;")"</f>
        <v>Financial Cost per Activity Unit (USD)</v>
      </c>
      <c r="H262" s="63" t="str">
        <f ca="1">OTHER_Lu!$D$103&amp;" "&amp;Lang_Cost_Per_Activity_Unit&amp;" ("&amp;OFFSET(OTHER_Lu!$D$81,DD_TOP_ACTV_19_Detailed_Currency_Used,0)&amp;")"</f>
        <v>Economic Cost per Activity Unit (USD)</v>
      </c>
      <c r="I262" s="87" t="str">
        <f>Lang_Evidence_For_Using_This_Cost_Information_Source_Or_Notes</f>
        <v>Evidence for Using this Cost Information (source or notes)</v>
      </c>
    </row>
    <row r="263" spans="1:10" outlineLevel="1" x14ac:dyDescent="0.2">
      <c r="D263" s="62" t="s">
        <v>173</v>
      </c>
      <c r="E263" s="64"/>
      <c r="F263" s="19">
        <v>0</v>
      </c>
      <c r="G263" s="19">
        <v>0</v>
      </c>
      <c r="H263" s="19">
        <v>0</v>
      </c>
      <c r="I263" s="62" t="s">
        <v>162</v>
      </c>
      <c r="J263" s="42">
        <f t="shared" ref="J263:J272" si="10">IF(H263&lt;G263,1,0)</f>
        <v>0</v>
      </c>
    </row>
    <row r="264" spans="1:10" outlineLevel="1" x14ac:dyDescent="0.2">
      <c r="D264" s="62" t="s">
        <v>174</v>
      </c>
      <c r="E264" s="64"/>
      <c r="F264" s="19">
        <v>0</v>
      </c>
      <c r="G264" s="19">
        <v>0</v>
      </c>
      <c r="H264" s="19">
        <v>0</v>
      </c>
      <c r="I264" s="62" t="s">
        <v>162</v>
      </c>
      <c r="J264" s="42">
        <f t="shared" si="10"/>
        <v>0</v>
      </c>
    </row>
    <row r="265" spans="1:10" outlineLevel="1" x14ac:dyDescent="0.2">
      <c r="D265" s="62" t="s">
        <v>175</v>
      </c>
      <c r="E265" s="64"/>
      <c r="F265" s="19">
        <v>0</v>
      </c>
      <c r="G265" s="19">
        <v>0</v>
      </c>
      <c r="H265" s="19">
        <v>0</v>
      </c>
      <c r="I265" s="62" t="s">
        <v>162</v>
      </c>
      <c r="J265" s="42">
        <f t="shared" si="10"/>
        <v>0</v>
      </c>
    </row>
    <row r="266" spans="1:10" outlineLevel="1" x14ac:dyDescent="0.2">
      <c r="D266" s="62" t="s">
        <v>176</v>
      </c>
      <c r="E266" s="64"/>
      <c r="F266" s="19">
        <v>0</v>
      </c>
      <c r="G266" s="19">
        <v>0</v>
      </c>
      <c r="H266" s="19">
        <v>0</v>
      </c>
      <c r="I266" s="62" t="s">
        <v>162</v>
      </c>
      <c r="J266" s="42">
        <f t="shared" si="10"/>
        <v>0</v>
      </c>
    </row>
    <row r="267" spans="1:10" outlineLevel="1" x14ac:dyDescent="0.2">
      <c r="D267" s="62" t="s">
        <v>177</v>
      </c>
      <c r="E267" s="64"/>
      <c r="F267" s="19">
        <v>0</v>
      </c>
      <c r="G267" s="19">
        <v>0</v>
      </c>
      <c r="H267" s="19">
        <v>0</v>
      </c>
      <c r="I267" s="62" t="s">
        <v>162</v>
      </c>
      <c r="J267" s="42">
        <f t="shared" si="10"/>
        <v>0</v>
      </c>
    </row>
    <row r="268" spans="1:10" outlineLevel="1" x14ac:dyDescent="0.2">
      <c r="D268" s="62" t="s">
        <v>178</v>
      </c>
      <c r="E268" s="64"/>
      <c r="F268" s="19">
        <v>0</v>
      </c>
      <c r="G268" s="19">
        <v>0</v>
      </c>
      <c r="H268" s="19">
        <v>0</v>
      </c>
      <c r="I268" s="62" t="s">
        <v>162</v>
      </c>
      <c r="J268" s="42">
        <f t="shared" si="10"/>
        <v>0</v>
      </c>
    </row>
    <row r="269" spans="1:10" outlineLevel="1" x14ac:dyDescent="0.2">
      <c r="D269" s="62" t="s">
        <v>179</v>
      </c>
      <c r="E269" s="64"/>
      <c r="F269" s="19">
        <v>0</v>
      </c>
      <c r="G269" s="19">
        <v>0</v>
      </c>
      <c r="H269" s="19">
        <v>0</v>
      </c>
      <c r="I269" s="62" t="s">
        <v>162</v>
      </c>
      <c r="J269" s="42">
        <f t="shared" si="10"/>
        <v>0</v>
      </c>
    </row>
    <row r="270" spans="1:10" outlineLevel="1" x14ac:dyDescent="0.2">
      <c r="D270" s="62" t="s">
        <v>180</v>
      </c>
      <c r="E270" s="64"/>
      <c r="F270" s="19">
        <v>0</v>
      </c>
      <c r="G270" s="19">
        <v>0</v>
      </c>
      <c r="H270" s="19">
        <v>0</v>
      </c>
      <c r="I270" s="62" t="s">
        <v>162</v>
      </c>
      <c r="J270" s="42">
        <f t="shared" si="10"/>
        <v>0</v>
      </c>
    </row>
    <row r="271" spans="1:10" outlineLevel="1" x14ac:dyDescent="0.2">
      <c r="D271" s="62" t="s">
        <v>181</v>
      </c>
      <c r="E271" s="64"/>
      <c r="F271" s="19">
        <v>0</v>
      </c>
      <c r="G271" s="19">
        <v>0</v>
      </c>
      <c r="H271" s="19">
        <v>0</v>
      </c>
      <c r="I271" s="62" t="s">
        <v>162</v>
      </c>
      <c r="J271" s="42">
        <f t="shared" si="10"/>
        <v>0</v>
      </c>
    </row>
    <row r="272" spans="1:10" outlineLevel="1" x14ac:dyDescent="0.2">
      <c r="D272" s="62" t="s">
        <v>182</v>
      </c>
      <c r="E272" s="64"/>
      <c r="F272" s="19">
        <v>0</v>
      </c>
      <c r="G272" s="19">
        <v>0</v>
      </c>
      <c r="H272" s="19">
        <v>0</v>
      </c>
      <c r="I272" s="62" t="s">
        <v>162</v>
      </c>
      <c r="J272" s="42">
        <f t="shared" si="10"/>
        <v>0</v>
      </c>
    </row>
    <row r="273" spans="1:10" outlineLevel="1" x14ac:dyDescent="0.2">
      <c r="D273" s="55" t="str">
        <f>Lang_Error_Check_Flags_If_Input_Econ_Cost_Is_Less_Than_Fin_Cost</f>
        <v>ERROR CHECK (FLAGS IF INPUT ECONOMIC COST IS LESS THAN FINANCIAL COST)</v>
      </c>
      <c r="J273" s="43">
        <f>IF(ISERROR(SUM(J263:J272)),1,MIN(SUM(J263:J272),1))</f>
        <v>0</v>
      </c>
    </row>
    <row r="274" spans="1:10" outlineLevel="1" x14ac:dyDescent="0.2"/>
    <row r="275" spans="1:10" outlineLevel="1" x14ac:dyDescent="0.2">
      <c r="D275" s="47" t="str">
        <f>Lang_GoTo&amp;" "&amp;HL_TOP_ACTV_19_Supplies_and_Materials_Outputs</f>
        <v>Go to Other Activity #3 - (Recurrent Costs Only) (Not in Use) Supplies and Materials - Outputs</v>
      </c>
    </row>
    <row r="277" spans="1:10" s="13" customFormat="1" x14ac:dyDescent="0.2">
      <c r="A277" s="6" t="s">
        <v>127</v>
      </c>
      <c r="B277" s="13" t="str">
        <f>C279</f>
        <v>Other Activity #3 - (Recurrent Costs Only) (Not in Use) - Detailed Other Direct Cost Assumptions</v>
      </c>
    </row>
    <row r="278" spans="1:10" outlineLevel="1" x14ac:dyDescent="0.2"/>
    <row r="279" spans="1:10" outlineLevel="1" x14ac:dyDescent="0.2">
      <c r="C279" s="18" t="str">
        <f>HL_TOP_ACTV_19_Name&amp;" - "&amp;Lang_Detailed_Other_Direct_Cost_Assumptions</f>
        <v>Other Activity #3 - (Recurrent Costs Only) (Not in Use) - Detailed Other Direct Cost Assumptions</v>
      </c>
    </row>
    <row r="280" spans="1:10" ht="36" outlineLevel="1" x14ac:dyDescent="0.2">
      <c r="D280" s="55" t="str">
        <f>Lang_Other_Direct_Cost_ODC_Type</f>
        <v>Other Direct Cost (ODC) Type</v>
      </c>
      <c r="E280" s="85" t="str">
        <f>Lang_ODC_Unit_Each_Dozen_100_Pack</f>
        <v>ODC Unit (e.g. Each, Dozen, 100-pack,etc.)</v>
      </c>
      <c r="F280" s="85" t="str">
        <f>Lang_Number_Of_ODC_Units_Required</f>
        <v>Number of ODC Units Required</v>
      </c>
      <c r="G280" s="63" t="str">
        <f ca="1">OTHER_Lu!$D$67&amp;" "&amp;Lang_Cost_Per_Activity_Unit&amp;" ("&amp;OFFSET(OTHER_Lu!$D$46,DD_TOP_ACTV_20_Detailed_Currency_Used,0)&amp;")"</f>
        <v>Financial Cost per Activity Unit (USD)</v>
      </c>
      <c r="H280" s="63" t="str">
        <f ca="1">OTHER_Lu!$D$68&amp;" "&amp;Lang_Cost_Per_Activity_Unit&amp;" ("&amp;OFFSET(OTHER_Lu!$D$46,DD_TOP_ACTV_20_Detailed_Currency_Used,0)&amp;")"</f>
        <v>Economic Cost per Activity Unit (USD)</v>
      </c>
      <c r="I280" s="87" t="str">
        <f>Lang_Evidence_For_Using_This_Cost_Information_Source_Or_Notes</f>
        <v>Evidence for Using this Cost Information (source or notes)</v>
      </c>
    </row>
    <row r="281" spans="1:10" outlineLevel="1" x14ac:dyDescent="0.2">
      <c r="D281" s="62" t="s">
        <v>183</v>
      </c>
      <c r="E281" s="64"/>
      <c r="F281" s="19">
        <v>0</v>
      </c>
      <c r="G281" s="19">
        <v>0</v>
      </c>
      <c r="H281" s="19">
        <v>0</v>
      </c>
      <c r="I281" s="62" t="s">
        <v>162</v>
      </c>
      <c r="J281" s="42">
        <f t="shared" ref="J281:J290" si="11">IF(H281&lt;G281,1,0)</f>
        <v>0</v>
      </c>
    </row>
    <row r="282" spans="1:10" outlineLevel="1" x14ac:dyDescent="0.2">
      <c r="D282" s="62" t="s">
        <v>184</v>
      </c>
      <c r="E282" s="64"/>
      <c r="F282" s="19">
        <v>0</v>
      </c>
      <c r="G282" s="19">
        <v>0</v>
      </c>
      <c r="H282" s="19">
        <v>0</v>
      </c>
      <c r="I282" s="62" t="s">
        <v>162</v>
      </c>
      <c r="J282" s="42">
        <f t="shared" si="11"/>
        <v>0</v>
      </c>
    </row>
    <row r="283" spans="1:10" outlineLevel="1" x14ac:dyDescent="0.2">
      <c r="D283" s="62" t="s">
        <v>185</v>
      </c>
      <c r="E283" s="64"/>
      <c r="F283" s="19">
        <v>0</v>
      </c>
      <c r="G283" s="19">
        <v>0</v>
      </c>
      <c r="H283" s="19">
        <v>0</v>
      </c>
      <c r="I283" s="62" t="s">
        <v>162</v>
      </c>
      <c r="J283" s="42">
        <f t="shared" si="11"/>
        <v>0</v>
      </c>
    </row>
    <row r="284" spans="1:10" outlineLevel="1" x14ac:dyDescent="0.2">
      <c r="D284" s="62" t="s">
        <v>186</v>
      </c>
      <c r="E284" s="64"/>
      <c r="F284" s="19">
        <v>0</v>
      </c>
      <c r="G284" s="19">
        <v>0</v>
      </c>
      <c r="H284" s="19">
        <v>0</v>
      </c>
      <c r="I284" s="62" t="s">
        <v>162</v>
      </c>
      <c r="J284" s="42">
        <f t="shared" si="11"/>
        <v>0</v>
      </c>
    </row>
    <row r="285" spans="1:10" outlineLevel="1" x14ac:dyDescent="0.2">
      <c r="D285" s="62" t="s">
        <v>187</v>
      </c>
      <c r="E285" s="64"/>
      <c r="F285" s="19">
        <v>0</v>
      </c>
      <c r="G285" s="19">
        <v>0</v>
      </c>
      <c r="H285" s="19">
        <v>0</v>
      </c>
      <c r="I285" s="62" t="s">
        <v>162</v>
      </c>
      <c r="J285" s="42">
        <f t="shared" si="11"/>
        <v>0</v>
      </c>
    </row>
    <row r="286" spans="1:10" outlineLevel="1" x14ac:dyDescent="0.2">
      <c r="D286" s="62" t="s">
        <v>188</v>
      </c>
      <c r="E286" s="64"/>
      <c r="F286" s="19">
        <v>0</v>
      </c>
      <c r="G286" s="19">
        <v>0</v>
      </c>
      <c r="H286" s="19">
        <v>0</v>
      </c>
      <c r="I286" s="62" t="s">
        <v>162</v>
      </c>
      <c r="J286" s="42">
        <f t="shared" si="11"/>
        <v>0</v>
      </c>
    </row>
    <row r="287" spans="1:10" outlineLevel="1" x14ac:dyDescent="0.2">
      <c r="D287" s="62" t="s">
        <v>189</v>
      </c>
      <c r="E287" s="64"/>
      <c r="F287" s="19">
        <v>0</v>
      </c>
      <c r="G287" s="19">
        <v>0</v>
      </c>
      <c r="H287" s="19">
        <v>0</v>
      </c>
      <c r="I287" s="62" t="s">
        <v>162</v>
      </c>
      <c r="J287" s="42">
        <f t="shared" si="11"/>
        <v>0</v>
      </c>
    </row>
    <row r="288" spans="1:10" outlineLevel="1" x14ac:dyDescent="0.2">
      <c r="D288" s="62" t="s">
        <v>190</v>
      </c>
      <c r="E288" s="64"/>
      <c r="F288" s="19">
        <v>0</v>
      </c>
      <c r="G288" s="19">
        <v>0</v>
      </c>
      <c r="H288" s="19">
        <v>0</v>
      </c>
      <c r="I288" s="62" t="s">
        <v>162</v>
      </c>
      <c r="J288" s="42">
        <f t="shared" si="11"/>
        <v>0</v>
      </c>
    </row>
    <row r="289" spans="1:10" outlineLevel="1" x14ac:dyDescent="0.2">
      <c r="D289" s="62" t="s">
        <v>191</v>
      </c>
      <c r="E289" s="64"/>
      <c r="F289" s="19">
        <v>0</v>
      </c>
      <c r="G289" s="19">
        <v>0</v>
      </c>
      <c r="H289" s="19">
        <v>0</v>
      </c>
      <c r="I289" s="62" t="s">
        <v>162</v>
      </c>
      <c r="J289" s="42">
        <f t="shared" si="11"/>
        <v>0</v>
      </c>
    </row>
    <row r="290" spans="1:10" outlineLevel="1" x14ac:dyDescent="0.2">
      <c r="D290" s="62" t="s">
        <v>192</v>
      </c>
      <c r="E290" s="64"/>
      <c r="F290" s="19">
        <v>0</v>
      </c>
      <c r="G290" s="19">
        <v>0</v>
      </c>
      <c r="H290" s="19">
        <v>0</v>
      </c>
      <c r="I290" s="62" t="s">
        <v>162</v>
      </c>
      <c r="J290" s="42">
        <f t="shared" si="11"/>
        <v>0</v>
      </c>
    </row>
    <row r="291" spans="1:10" outlineLevel="1" x14ac:dyDescent="0.2">
      <c r="D291" s="55" t="str">
        <f>Lang_Error_Check_Flags_If_Input_Econ_Cost_Is_Less_Than_Fin_Cost</f>
        <v>ERROR CHECK (FLAGS IF INPUT ECONOMIC COST IS LESS THAN FINANCIAL COST)</v>
      </c>
      <c r="J291" s="43">
        <f>IF(ISERROR(SUM(J281:J290)),1,MIN(SUM(J281:J290),1))</f>
        <v>0</v>
      </c>
    </row>
    <row r="292" spans="1:10" outlineLevel="1" x14ac:dyDescent="0.2"/>
    <row r="293" spans="1:10" outlineLevel="1" x14ac:dyDescent="0.2">
      <c r="D293" s="47" t="str">
        <f>Lang_GoTo&amp;" "&amp;HL_TOP_ACTV_20_Other_Direct_Costs_Outputs</f>
        <v>Go to Other Activity #2 - (Recurrent Costs Only) (Not in Use) Other Direct Costs - Outputs</v>
      </c>
    </row>
    <row r="295" spans="1:10" s="13" customFormat="1" x14ac:dyDescent="0.2">
      <c r="A295" s="6" t="s">
        <v>125</v>
      </c>
      <c r="B295" s="13" t="str">
        <f>C297</f>
        <v>Other Activity #4 - (Recurrent Costs Only) (Not in Use) -  Detailed Activity Costing Worksheet - Instructions</v>
      </c>
    </row>
    <row r="296" spans="1:10" s="10" customFormat="1" outlineLevel="1" collapsed="1" x14ac:dyDescent="0.2"/>
    <row r="297" spans="1:10" s="10" customFormat="1" outlineLevel="1" x14ac:dyDescent="0.2">
      <c r="C297" s="71" t="str">
        <f>HL_LVL2_ACTV_7_Name&amp;" -  "&amp;Lang_Detailed_Activity_Costing_Worksheet_Instructions</f>
        <v>Other Activity #4 - (Recurrent Costs Only) (Not in Use) -  Detailed Activity Costing Worksheet - Instructions</v>
      </c>
    </row>
    <row r="298" spans="1:10" s="10" customFormat="1" outlineLevel="1" x14ac:dyDescent="0.2"/>
    <row r="299" spans="1:10" s="10" customFormat="1" outlineLevel="1" x14ac:dyDescent="0.2">
      <c r="D299" s="50" t="str">
        <f>Lang_Detailed_Costing_Worksheets_Notes_1</f>
        <v>This detailed costing worksheet can be used to document the types and amounts of resources required to complete a single instance of an activity.</v>
      </c>
    </row>
    <row r="300" spans="1:10" s="10" customFormat="1" outlineLevel="1" x14ac:dyDescent="0.2">
      <c r="D300" s="50" t="str">
        <f>Lang_Detailed_Costing_Worksheets_Notes_2</f>
        <v>When completed, it will automatically provide a single activity cost in the general assumption worksheet.</v>
      </c>
    </row>
    <row r="301" spans="1:10" s="10" customFormat="1" outlineLevel="1" x14ac:dyDescent="0.2">
      <c r="D301" s="50" t="str">
        <f>Lang_Detailed_Costing_Worksheets_Notes_3</f>
        <v>The user may then choose to use the results of the detailed costing in the model, or override the detailed costing and insert alternate cost estimates.</v>
      </c>
    </row>
    <row r="302" spans="1:10" s="10" customFormat="1" outlineLevel="1" x14ac:dyDescent="0.2"/>
    <row r="303" spans="1:10" s="10" customFormat="1" x14ac:dyDescent="0.2"/>
    <row r="304" spans="1:10" s="13" customFormat="1" x14ac:dyDescent="0.2">
      <c r="A304" s="12" t="s">
        <v>125</v>
      </c>
      <c r="B304" s="13" t="str">
        <f>C306</f>
        <v>Other Activity #4 - (Recurrent Costs Only) (Not in Use) - Detailed Activity Costing Worksheet - Currency Selection</v>
      </c>
    </row>
    <row r="305" spans="1:9" s="10" customFormat="1" outlineLevel="1" x14ac:dyDescent="0.2"/>
    <row r="306" spans="1:9" s="10" customFormat="1" outlineLevel="1" x14ac:dyDescent="0.2">
      <c r="C306" s="71" t="str">
        <f>HL_LVL2_ACTV_7_Name&amp;" - "&amp;Lang_Detailed_Activity_Costing_Worksheet_Currency_Selection</f>
        <v>Other Activity #4 - (Recurrent Costs Only) (Not in Use) - Detailed Activity Costing Worksheet - Currency Selection</v>
      </c>
    </row>
    <row r="307" spans="1:9" s="10" customFormat="1" outlineLevel="1" x14ac:dyDescent="0.2"/>
    <row r="308" spans="1:9" s="10" customFormat="1" outlineLevel="1" x14ac:dyDescent="0.2">
      <c r="D308" s="55" t="str">
        <f>Lang_Currency_Used_For_Cost_Inputs</f>
        <v>Currency Used for Cost Inputs</v>
      </c>
      <c r="E308" s="72">
        <v>1</v>
      </c>
    </row>
    <row r="309" spans="1:9" s="10" customFormat="1" outlineLevel="1" x14ac:dyDescent="0.2"/>
    <row r="310" spans="1:9" s="10" customFormat="1" outlineLevel="1" x14ac:dyDescent="0.2"/>
    <row r="311" spans="1:9" s="10" customFormat="1" outlineLevel="1" x14ac:dyDescent="0.2">
      <c r="D311" s="54" t="str">
        <f>Lang_Imported_From_Econ_Module</f>
        <v>Imported from Econ Module</v>
      </c>
    </row>
    <row r="312" spans="1:9" s="10" customFormat="1" outlineLevel="1" x14ac:dyDescent="0.2">
      <c r="D312" s="49" t="str">
        <f>ECONOMICS!F7</f>
        <v>USD</v>
      </c>
    </row>
    <row r="313" spans="1:9" s="10" customFormat="1" outlineLevel="1" x14ac:dyDescent="0.2">
      <c r="D313" s="49" t="str">
        <f>ECONOMICS!F8</f>
        <v>LCU</v>
      </c>
    </row>
    <row r="314" spans="1:9" s="10" customFormat="1" outlineLevel="1" x14ac:dyDescent="0.2"/>
    <row r="315" spans="1:9" s="10" customFormat="1" outlineLevel="1" x14ac:dyDescent="0.2">
      <c r="D315" s="50" t="str">
        <f>Lang_Exchange_Rate_From_Econ</f>
        <v>Exchange Rate (from Economics)</v>
      </c>
      <c r="E315" s="41">
        <f>ECONOMICS!E13</f>
        <v>1234.5</v>
      </c>
    </row>
    <row r="317" spans="1:9" s="13" customFormat="1" x14ac:dyDescent="0.2">
      <c r="A317" s="6" t="s">
        <v>127</v>
      </c>
      <c r="B317" s="13" t="str">
        <f>C319</f>
        <v>Other Activity #4 - (Recurrent Costs Only) (Not in Use) - Detailed Personnel Cost Assumptions</v>
      </c>
    </row>
    <row r="318" spans="1:9" outlineLevel="1" x14ac:dyDescent="0.2"/>
    <row r="319" spans="1:9" outlineLevel="1" x14ac:dyDescent="0.2">
      <c r="C319" s="18" t="str">
        <f>HL_LVL2_ACTV_7_Name&amp;" - "&amp;Lang_Detailed_Personnel_Cost_Assumptions</f>
        <v>Other Activity #4 - (Recurrent Costs Only) (Not in Use) - Detailed Personnel Cost Assumptions</v>
      </c>
    </row>
    <row r="320" spans="1:9" ht="36" outlineLevel="1" x14ac:dyDescent="0.2">
      <c r="D320" s="55" t="str">
        <f>Lang_Personnel_Cadre_Type</f>
        <v>Personnel Cadre Type</v>
      </c>
      <c r="E320" s="85" t="str">
        <f>Lang_Activity_Unit_Day_Hour_Minute</f>
        <v>Activity Unit (e.g. Day, Hour, Minute)</v>
      </c>
      <c r="F320" s="85" t="str">
        <f>Lang_Number_Of_Activity_Units_Required</f>
        <v>Number of Activity Units Required</v>
      </c>
      <c r="G320" s="63" t="str">
        <f ca="1">OTHER_Lu!$D$137&amp;" "&amp;Lang_Cost_Per_Activity_Unit&amp;" ("&amp;OFFSET(OTHER_Lu!$D$116,DD_LVL2_ACTV_7_Currency_Selected,0)&amp;")"</f>
        <v>Financial Cost per Activity Unit (USD)</v>
      </c>
      <c r="H320" s="63" t="str">
        <f ca="1">OTHER_Lu!$D$138&amp;" "&amp;Lang_Cost_Per_Activity_Unit&amp;" ("&amp;OFFSET(OTHER_Lu!$D$116,DD_LVL2_ACTV_7_Currency_Selected,0)&amp;")"</f>
        <v>Economic Cost per Activity Unit (USD)</v>
      </c>
      <c r="I320" s="87" t="str">
        <f>Lang_Evidence_For_Using_This_Cost_Information_Source_Or_Notes</f>
        <v>Evidence for Using this Cost Information (source or notes)</v>
      </c>
    </row>
    <row r="321" spans="4:10" outlineLevel="1" x14ac:dyDescent="0.2">
      <c r="D321" s="62" t="s">
        <v>152</v>
      </c>
      <c r="E321" s="64"/>
      <c r="F321" s="19">
        <v>0</v>
      </c>
      <c r="G321" s="19">
        <v>0</v>
      </c>
      <c r="H321" s="19">
        <v>0</v>
      </c>
      <c r="I321" s="62" t="s">
        <v>162</v>
      </c>
      <c r="J321" s="42">
        <f t="shared" ref="J321:J335" si="12">IF(H321&lt;G321,1,0)</f>
        <v>0</v>
      </c>
    </row>
    <row r="322" spans="4:10" outlineLevel="1" x14ac:dyDescent="0.2">
      <c r="D322" s="62" t="s">
        <v>153</v>
      </c>
      <c r="E322" s="64"/>
      <c r="F322" s="19">
        <v>0</v>
      </c>
      <c r="G322" s="19">
        <v>0</v>
      </c>
      <c r="H322" s="19">
        <v>0</v>
      </c>
      <c r="I322" s="62" t="s">
        <v>162</v>
      </c>
      <c r="J322" s="42">
        <f t="shared" si="12"/>
        <v>0</v>
      </c>
    </row>
    <row r="323" spans="4:10" outlineLevel="1" x14ac:dyDescent="0.2">
      <c r="D323" s="62" t="s">
        <v>154</v>
      </c>
      <c r="E323" s="64"/>
      <c r="F323" s="19">
        <v>0</v>
      </c>
      <c r="G323" s="19">
        <v>0</v>
      </c>
      <c r="H323" s="19">
        <v>0</v>
      </c>
      <c r="I323" s="62" t="s">
        <v>162</v>
      </c>
      <c r="J323" s="42">
        <f t="shared" si="12"/>
        <v>0</v>
      </c>
    </row>
    <row r="324" spans="4:10" outlineLevel="1" x14ac:dyDescent="0.2">
      <c r="D324" s="62" t="s">
        <v>155</v>
      </c>
      <c r="E324" s="64"/>
      <c r="F324" s="19">
        <v>0</v>
      </c>
      <c r="G324" s="19">
        <v>0</v>
      </c>
      <c r="H324" s="19">
        <v>0</v>
      </c>
      <c r="I324" s="62" t="s">
        <v>162</v>
      </c>
      <c r="J324" s="42">
        <f t="shared" si="12"/>
        <v>0</v>
      </c>
    </row>
    <row r="325" spans="4:10" outlineLevel="1" x14ac:dyDescent="0.2">
      <c r="D325" s="62" t="s">
        <v>156</v>
      </c>
      <c r="E325" s="64"/>
      <c r="F325" s="19">
        <v>0</v>
      </c>
      <c r="G325" s="19">
        <v>0</v>
      </c>
      <c r="H325" s="19">
        <v>0</v>
      </c>
      <c r="I325" s="62" t="s">
        <v>162</v>
      </c>
      <c r="J325" s="42">
        <f t="shared" si="12"/>
        <v>0</v>
      </c>
    </row>
    <row r="326" spans="4:10" outlineLevel="1" x14ac:dyDescent="0.2">
      <c r="D326" s="62" t="s">
        <v>157</v>
      </c>
      <c r="E326" s="64"/>
      <c r="F326" s="19">
        <v>0</v>
      </c>
      <c r="G326" s="19">
        <v>0</v>
      </c>
      <c r="H326" s="19">
        <v>0</v>
      </c>
      <c r="I326" s="62" t="s">
        <v>162</v>
      </c>
      <c r="J326" s="42">
        <f t="shared" si="12"/>
        <v>0</v>
      </c>
    </row>
    <row r="327" spans="4:10" outlineLevel="1" x14ac:dyDescent="0.2">
      <c r="D327" s="62" t="s">
        <v>158</v>
      </c>
      <c r="E327" s="64"/>
      <c r="F327" s="19">
        <v>0</v>
      </c>
      <c r="G327" s="19">
        <v>0</v>
      </c>
      <c r="H327" s="19">
        <v>0</v>
      </c>
      <c r="I327" s="62" t="s">
        <v>162</v>
      </c>
      <c r="J327" s="42">
        <f t="shared" si="12"/>
        <v>0</v>
      </c>
    </row>
    <row r="328" spans="4:10" outlineLevel="1" x14ac:dyDescent="0.2">
      <c r="D328" s="62" t="s">
        <v>159</v>
      </c>
      <c r="E328" s="64"/>
      <c r="F328" s="19">
        <v>0</v>
      </c>
      <c r="G328" s="19">
        <v>0</v>
      </c>
      <c r="H328" s="19">
        <v>0</v>
      </c>
      <c r="I328" s="62" t="s">
        <v>162</v>
      </c>
      <c r="J328" s="42">
        <f t="shared" si="12"/>
        <v>0</v>
      </c>
    </row>
    <row r="329" spans="4:10" outlineLevel="1" x14ac:dyDescent="0.2">
      <c r="D329" s="62" t="s">
        <v>160</v>
      </c>
      <c r="E329" s="64"/>
      <c r="F329" s="19">
        <v>0</v>
      </c>
      <c r="G329" s="19">
        <v>0</v>
      </c>
      <c r="H329" s="19">
        <v>0</v>
      </c>
      <c r="I329" s="62" t="s">
        <v>162</v>
      </c>
      <c r="J329" s="42">
        <f t="shared" si="12"/>
        <v>0</v>
      </c>
    </row>
    <row r="330" spans="4:10" outlineLevel="1" x14ac:dyDescent="0.2">
      <c r="D330" s="62" t="s">
        <v>161</v>
      </c>
      <c r="E330" s="64"/>
      <c r="F330" s="19">
        <v>0</v>
      </c>
      <c r="G330" s="19">
        <v>0</v>
      </c>
      <c r="H330" s="19">
        <v>0</v>
      </c>
      <c r="I330" s="62" t="s">
        <v>162</v>
      </c>
      <c r="J330" s="42">
        <f t="shared" si="12"/>
        <v>0</v>
      </c>
    </row>
    <row r="331" spans="4:10" outlineLevel="1" x14ac:dyDescent="0.2">
      <c r="D331" s="62" t="s">
        <v>393</v>
      </c>
      <c r="E331" s="64"/>
      <c r="F331" s="19">
        <v>0</v>
      </c>
      <c r="G331" s="19">
        <v>0</v>
      </c>
      <c r="H331" s="19">
        <v>0</v>
      </c>
      <c r="I331" s="62" t="s">
        <v>162</v>
      </c>
      <c r="J331" s="42">
        <f t="shared" si="12"/>
        <v>0</v>
      </c>
    </row>
    <row r="332" spans="4:10" outlineLevel="1" x14ac:dyDescent="0.2">
      <c r="D332" s="62" t="s">
        <v>394</v>
      </c>
      <c r="E332" s="64"/>
      <c r="F332" s="19">
        <v>0</v>
      </c>
      <c r="G332" s="19">
        <v>0</v>
      </c>
      <c r="H332" s="19">
        <v>0</v>
      </c>
      <c r="I332" s="62" t="s">
        <v>162</v>
      </c>
      <c r="J332" s="42">
        <f t="shared" si="12"/>
        <v>0</v>
      </c>
    </row>
    <row r="333" spans="4:10" outlineLevel="1" x14ac:dyDescent="0.2">
      <c r="D333" s="62" t="s">
        <v>395</v>
      </c>
      <c r="E333" s="64"/>
      <c r="F333" s="19">
        <v>0</v>
      </c>
      <c r="G333" s="19">
        <v>0</v>
      </c>
      <c r="H333" s="19">
        <v>0</v>
      </c>
      <c r="I333" s="62" t="s">
        <v>162</v>
      </c>
      <c r="J333" s="42">
        <f t="shared" si="12"/>
        <v>0</v>
      </c>
    </row>
    <row r="334" spans="4:10" outlineLevel="1" x14ac:dyDescent="0.2">
      <c r="D334" s="62" t="s">
        <v>396</v>
      </c>
      <c r="E334" s="64"/>
      <c r="F334" s="19">
        <v>0</v>
      </c>
      <c r="G334" s="19">
        <v>0</v>
      </c>
      <c r="H334" s="19">
        <v>0</v>
      </c>
      <c r="I334" s="62" t="s">
        <v>162</v>
      </c>
      <c r="J334" s="42">
        <f t="shared" si="12"/>
        <v>0</v>
      </c>
    </row>
    <row r="335" spans="4:10" outlineLevel="1" x14ac:dyDescent="0.2">
      <c r="D335" s="62" t="s">
        <v>397</v>
      </c>
      <c r="E335" s="64"/>
      <c r="F335" s="19">
        <v>0</v>
      </c>
      <c r="G335" s="19">
        <v>0</v>
      </c>
      <c r="H335" s="19">
        <v>0</v>
      </c>
      <c r="I335" s="62" t="s">
        <v>162</v>
      </c>
      <c r="J335" s="42">
        <f t="shared" si="12"/>
        <v>0</v>
      </c>
    </row>
    <row r="336" spans="4:10" outlineLevel="1" x14ac:dyDescent="0.2">
      <c r="D336" s="55" t="str">
        <f>Lang_Error_Check_Flags_If_Input_Econ_Cost_Is_Less_Than_Fin_Cost</f>
        <v>ERROR CHECK (FLAGS IF INPUT ECONOMIC COST IS LESS THAN FINANCIAL COST)</v>
      </c>
      <c r="J336" s="43">
        <f>IF(ISERROR(SUM(J321:J335)),1,MIN(SUM(J321:J335),1))</f>
        <v>0</v>
      </c>
    </row>
    <row r="337" spans="1:10" outlineLevel="1" x14ac:dyDescent="0.2"/>
    <row r="338" spans="1:10" outlineLevel="1" x14ac:dyDescent="0.2">
      <c r="D338" s="47" t="str">
        <f>Lang_GoTo&amp;" "&amp;HL_LVL2_ACTV_7_Personnel_Outputs</f>
        <v>Go to Other Activity #4 - (Recurrent Costs Only) (Not in Use) Personnel - Outputs</v>
      </c>
    </row>
    <row r="339" spans="1:10" s="10" customFormat="1" x14ac:dyDescent="0.2"/>
    <row r="340" spans="1:10" s="13" customFormat="1" x14ac:dyDescent="0.2">
      <c r="A340" s="12" t="s">
        <v>127</v>
      </c>
      <c r="B340" s="13" t="str">
        <f>C342</f>
        <v>Other Activity #4 - (Recurrent Costs Only) (Not in Use) - Detailed Allowance Cost Assumptions</v>
      </c>
    </row>
    <row r="341" spans="1:10" s="10" customFormat="1" outlineLevel="1" x14ac:dyDescent="0.2"/>
    <row r="342" spans="1:10" s="10" customFormat="1" outlineLevel="1" x14ac:dyDescent="0.2">
      <c r="C342" s="71" t="str">
        <f>HL_LVL2_ACTV_7_Name&amp;" - "&amp;Lang_Detailed_Allowance_Cost_Assumptions</f>
        <v>Other Activity #4 - (Recurrent Costs Only) (Not in Use) - Detailed Allowance Cost Assumptions</v>
      </c>
    </row>
    <row r="343" spans="1:10" s="10" customFormat="1" ht="48" outlineLevel="1" x14ac:dyDescent="0.2">
      <c r="D343" s="55" t="str">
        <f>Lang_Allowance_Type</f>
        <v>Allowance Type</v>
      </c>
      <c r="E343" s="85" t="str">
        <f>Lang_Allowance_Unit_Per_Day_Round_Trip_Travel</f>
        <v>Allowance Unit (e.g. Per Day, Round-trip Travel,etc.)</v>
      </c>
      <c r="F343" s="85" t="str">
        <f>Lang_Number_Of_Allowance_Units_Required</f>
        <v>Number of Allowance Units Required</v>
      </c>
      <c r="G343" s="86" t="str">
        <f ca="1">OTHER_Lu!$D$137&amp;" "&amp;Lang_Cost_Per_Activity_Unit&amp;" ("&amp;OFFSET(OTHER_Lu!$D$116,DD_LVL2_ACTV_7_Currency_Selected,0)&amp;")"</f>
        <v>Financial Cost per Activity Unit (USD)</v>
      </c>
      <c r="H343" s="86" t="str">
        <f ca="1">OTHER_Lu!$D$138&amp;" "&amp;Lang_Cost_Per_Activity_Unit&amp;" ("&amp;OFFSET(OTHER_Lu!$D$116,DD_LVL2_ACTV_7_Currency_Selected,0)&amp;")"</f>
        <v>Economic Cost per Activity Unit (USD)</v>
      </c>
      <c r="I343" s="87" t="str">
        <f>Lang_Evidence_For_Using_This_Cost_Information_Source_Or_Notes</f>
        <v>Evidence for Using this Cost Information (source or notes)</v>
      </c>
    </row>
    <row r="344" spans="1:10" s="10" customFormat="1" outlineLevel="1" x14ac:dyDescent="0.2">
      <c r="D344" s="75" t="s">
        <v>163</v>
      </c>
      <c r="E344" s="88"/>
      <c r="F344" s="80">
        <v>0</v>
      </c>
      <c r="G344" s="80">
        <v>0</v>
      </c>
      <c r="H344" s="80">
        <v>0</v>
      </c>
      <c r="I344" s="75" t="s">
        <v>162</v>
      </c>
      <c r="J344" s="42">
        <f t="shared" ref="J344:J353" si="13">IF(H344&lt;G344,1,0)</f>
        <v>0</v>
      </c>
    </row>
    <row r="345" spans="1:10" s="10" customFormat="1" outlineLevel="1" x14ac:dyDescent="0.2">
      <c r="D345" s="75" t="s">
        <v>164</v>
      </c>
      <c r="E345" s="88"/>
      <c r="F345" s="80">
        <v>0</v>
      </c>
      <c r="G345" s="80">
        <v>0</v>
      </c>
      <c r="H345" s="80">
        <v>0</v>
      </c>
      <c r="I345" s="75" t="s">
        <v>162</v>
      </c>
      <c r="J345" s="42">
        <f t="shared" si="13"/>
        <v>0</v>
      </c>
    </row>
    <row r="346" spans="1:10" s="10" customFormat="1" outlineLevel="1" x14ac:dyDescent="0.2">
      <c r="D346" s="75" t="s">
        <v>165</v>
      </c>
      <c r="E346" s="88"/>
      <c r="F346" s="80">
        <v>0</v>
      </c>
      <c r="G346" s="80">
        <v>0</v>
      </c>
      <c r="H346" s="80">
        <v>0</v>
      </c>
      <c r="I346" s="75" t="s">
        <v>162</v>
      </c>
      <c r="J346" s="42">
        <f t="shared" si="13"/>
        <v>0</v>
      </c>
    </row>
    <row r="347" spans="1:10" s="10" customFormat="1" outlineLevel="1" x14ac:dyDescent="0.2">
      <c r="D347" s="75" t="s">
        <v>166</v>
      </c>
      <c r="E347" s="88"/>
      <c r="F347" s="80">
        <v>0</v>
      </c>
      <c r="G347" s="80">
        <v>0</v>
      </c>
      <c r="H347" s="80">
        <v>0</v>
      </c>
      <c r="I347" s="75" t="s">
        <v>162</v>
      </c>
      <c r="J347" s="42">
        <f t="shared" si="13"/>
        <v>0</v>
      </c>
    </row>
    <row r="348" spans="1:10" s="10" customFormat="1" outlineLevel="1" x14ac:dyDescent="0.2">
      <c r="D348" s="75" t="s">
        <v>167</v>
      </c>
      <c r="E348" s="88"/>
      <c r="F348" s="80">
        <v>0</v>
      </c>
      <c r="G348" s="80">
        <v>0</v>
      </c>
      <c r="H348" s="80">
        <v>0</v>
      </c>
      <c r="I348" s="75" t="s">
        <v>162</v>
      </c>
      <c r="J348" s="42">
        <f t="shared" si="13"/>
        <v>0</v>
      </c>
    </row>
    <row r="349" spans="1:10" s="10" customFormat="1" outlineLevel="1" x14ac:dyDescent="0.2">
      <c r="D349" s="75" t="s">
        <v>168</v>
      </c>
      <c r="E349" s="88"/>
      <c r="F349" s="80">
        <v>0</v>
      </c>
      <c r="G349" s="80">
        <v>0</v>
      </c>
      <c r="H349" s="80">
        <v>0</v>
      </c>
      <c r="I349" s="75" t="s">
        <v>162</v>
      </c>
      <c r="J349" s="42">
        <f t="shared" si="13"/>
        <v>0</v>
      </c>
    </row>
    <row r="350" spans="1:10" s="10" customFormat="1" outlineLevel="1" x14ac:dyDescent="0.2">
      <c r="D350" s="75" t="s">
        <v>169</v>
      </c>
      <c r="E350" s="88"/>
      <c r="F350" s="80">
        <v>0</v>
      </c>
      <c r="G350" s="80">
        <v>0</v>
      </c>
      <c r="H350" s="80">
        <v>0</v>
      </c>
      <c r="I350" s="75" t="s">
        <v>162</v>
      </c>
      <c r="J350" s="42">
        <f t="shared" si="13"/>
        <v>0</v>
      </c>
    </row>
    <row r="351" spans="1:10" s="10" customFormat="1" outlineLevel="1" x14ac:dyDescent="0.2">
      <c r="D351" s="75" t="s">
        <v>170</v>
      </c>
      <c r="E351" s="88"/>
      <c r="F351" s="80">
        <v>0</v>
      </c>
      <c r="G351" s="80">
        <v>0</v>
      </c>
      <c r="H351" s="80">
        <v>0</v>
      </c>
      <c r="I351" s="75" t="s">
        <v>162</v>
      </c>
      <c r="J351" s="42">
        <f t="shared" si="13"/>
        <v>0</v>
      </c>
    </row>
    <row r="352" spans="1:10" s="10" customFormat="1" outlineLevel="1" x14ac:dyDescent="0.2">
      <c r="D352" s="75" t="s">
        <v>171</v>
      </c>
      <c r="E352" s="88"/>
      <c r="F352" s="80">
        <v>0</v>
      </c>
      <c r="G352" s="80">
        <v>0</v>
      </c>
      <c r="H352" s="80">
        <v>0</v>
      </c>
      <c r="I352" s="75" t="s">
        <v>162</v>
      </c>
      <c r="J352" s="42">
        <f t="shared" si="13"/>
        <v>0</v>
      </c>
    </row>
    <row r="353" spans="1:10" s="10" customFormat="1" outlineLevel="1" x14ac:dyDescent="0.2">
      <c r="D353" s="75" t="s">
        <v>172</v>
      </c>
      <c r="E353" s="88"/>
      <c r="F353" s="80">
        <v>0</v>
      </c>
      <c r="G353" s="80">
        <v>0</v>
      </c>
      <c r="H353" s="80">
        <v>0</v>
      </c>
      <c r="I353" s="75" t="s">
        <v>162</v>
      </c>
      <c r="J353" s="42">
        <f t="shared" si="13"/>
        <v>0</v>
      </c>
    </row>
    <row r="354" spans="1:10" s="10" customFormat="1" outlineLevel="1" x14ac:dyDescent="0.2">
      <c r="D354" s="55" t="str">
        <f>Lang_Error_Check_Flags_If_Input_Econ_Cost_Is_Less_Than_Fin_Cost</f>
        <v>ERROR CHECK (FLAGS IF INPUT ECONOMIC COST IS LESS THAN FINANCIAL COST)</v>
      </c>
      <c r="J354" s="43">
        <f>IF(ISERROR(SUM(J344:J353)),1,MIN(SUM(J344:J353),1))</f>
        <v>0</v>
      </c>
    </row>
    <row r="355" spans="1:10" s="10" customFormat="1" outlineLevel="1" x14ac:dyDescent="0.2"/>
    <row r="356" spans="1:10" s="10" customFormat="1" outlineLevel="1" x14ac:dyDescent="0.2">
      <c r="D356" s="76" t="str">
        <f>Lang_GoTo&amp;" "&amp;HL_LVL2_ACTV_7_Out_A</f>
        <v>Go to Other Activity #4 - (Recurrent Costs Only) (Not in Use) Allowances - Outputs</v>
      </c>
    </row>
    <row r="358" spans="1:10" s="13" customFormat="1" x14ac:dyDescent="0.2">
      <c r="A358" s="6" t="s">
        <v>127</v>
      </c>
      <c r="B358" s="13" t="str">
        <f>C360</f>
        <v>Other Activity #4 - (Recurrent Costs Only) (Not in Use) - Detailed Supply and Material Cost Assumptions</v>
      </c>
    </row>
    <row r="359" spans="1:10" outlineLevel="1" x14ac:dyDescent="0.2"/>
    <row r="360" spans="1:10" outlineLevel="1" x14ac:dyDescent="0.2">
      <c r="C360" s="18" t="str">
        <f>HL_LVL2_ACTV_7_Name&amp;" - "&amp;Lang_Detailed_Supply_And_Material_Cost_Assumptions</f>
        <v>Other Activity #4 - (Recurrent Costs Only) (Not in Use) - Detailed Supply and Material Cost Assumptions</v>
      </c>
    </row>
    <row r="361" spans="1:10" ht="36" outlineLevel="1" x14ac:dyDescent="0.2">
      <c r="D361" s="55" t="str">
        <f>Lang_Supply_Type</f>
        <v>Supply Type</v>
      </c>
      <c r="E361" s="85" t="str">
        <f>Lang_Supply_Unit_Each_Dozen_100_Pack</f>
        <v>Supply Unit (e.g. Each, Dozen, 100-pack,etc.)</v>
      </c>
      <c r="F361" s="85" t="str">
        <f>Lang_Number_Of_Supply_Units_Required</f>
        <v>Number of Supply Units Required</v>
      </c>
      <c r="G361" s="63" t="str">
        <f ca="1">OTHER_Lu!$D$137&amp;" "&amp;Lang_Cost_Per_Activity_Unit&amp;" ("&amp;OFFSET(OTHER_Lu!$D$116,DD_LVL2_ACTV_7_Currency_Selected,0)&amp;")"</f>
        <v>Financial Cost per Activity Unit (USD)</v>
      </c>
      <c r="H361" s="63" t="str">
        <f ca="1">OTHER_Lu!$D$138&amp;" "&amp;Lang_Cost_Per_Activity_Unit&amp;" ("&amp;OFFSET(OTHER_Lu!$D$116,DD_LVL2_ACTV_7_Currency_Selected,0)&amp;")"</f>
        <v>Economic Cost per Activity Unit (USD)</v>
      </c>
      <c r="I361" s="87" t="str">
        <f>Lang_Evidence_For_Using_This_Cost_Information_Source_Or_Notes</f>
        <v>Evidence for Using this Cost Information (source or notes)</v>
      </c>
    </row>
    <row r="362" spans="1:10" outlineLevel="1" x14ac:dyDescent="0.2">
      <c r="D362" s="62" t="s">
        <v>173</v>
      </c>
      <c r="E362" s="64"/>
      <c r="F362" s="19">
        <v>0</v>
      </c>
      <c r="G362" s="19">
        <v>0</v>
      </c>
      <c r="H362" s="19">
        <v>0</v>
      </c>
      <c r="I362" s="62" t="s">
        <v>162</v>
      </c>
      <c r="J362" s="42">
        <f t="shared" ref="J362:J371" si="14">IF(H362&lt;G362,1,0)</f>
        <v>0</v>
      </c>
    </row>
    <row r="363" spans="1:10" outlineLevel="1" x14ac:dyDescent="0.2">
      <c r="D363" s="62" t="s">
        <v>174</v>
      </c>
      <c r="E363" s="64"/>
      <c r="F363" s="19">
        <v>0</v>
      </c>
      <c r="G363" s="19">
        <v>0</v>
      </c>
      <c r="H363" s="19">
        <v>0</v>
      </c>
      <c r="I363" s="62" t="s">
        <v>162</v>
      </c>
      <c r="J363" s="42">
        <f t="shared" si="14"/>
        <v>0</v>
      </c>
    </row>
    <row r="364" spans="1:10" outlineLevel="1" x14ac:dyDescent="0.2">
      <c r="D364" s="62" t="s">
        <v>175</v>
      </c>
      <c r="E364" s="64"/>
      <c r="F364" s="19">
        <v>0</v>
      </c>
      <c r="G364" s="19">
        <v>0</v>
      </c>
      <c r="H364" s="19">
        <v>0</v>
      </c>
      <c r="I364" s="62" t="s">
        <v>162</v>
      </c>
      <c r="J364" s="42">
        <f t="shared" si="14"/>
        <v>0</v>
      </c>
    </row>
    <row r="365" spans="1:10" outlineLevel="1" x14ac:dyDescent="0.2">
      <c r="D365" s="62" t="s">
        <v>176</v>
      </c>
      <c r="E365" s="64"/>
      <c r="F365" s="19">
        <v>0</v>
      </c>
      <c r="G365" s="19">
        <v>0</v>
      </c>
      <c r="H365" s="19">
        <v>0</v>
      </c>
      <c r="I365" s="62" t="s">
        <v>162</v>
      </c>
      <c r="J365" s="42">
        <f t="shared" si="14"/>
        <v>0</v>
      </c>
    </row>
    <row r="366" spans="1:10" outlineLevel="1" x14ac:dyDescent="0.2">
      <c r="D366" s="62" t="s">
        <v>177</v>
      </c>
      <c r="E366" s="64"/>
      <c r="F366" s="19">
        <v>0</v>
      </c>
      <c r="G366" s="19">
        <v>0</v>
      </c>
      <c r="H366" s="19">
        <v>0</v>
      </c>
      <c r="I366" s="62" t="s">
        <v>162</v>
      </c>
      <c r="J366" s="42">
        <f t="shared" si="14"/>
        <v>0</v>
      </c>
    </row>
    <row r="367" spans="1:10" outlineLevel="1" x14ac:dyDescent="0.2">
      <c r="D367" s="62" t="s">
        <v>178</v>
      </c>
      <c r="E367" s="64"/>
      <c r="F367" s="19">
        <v>0</v>
      </c>
      <c r="G367" s="19">
        <v>0</v>
      </c>
      <c r="H367" s="19">
        <v>0</v>
      </c>
      <c r="I367" s="62" t="s">
        <v>162</v>
      </c>
      <c r="J367" s="42">
        <f t="shared" si="14"/>
        <v>0</v>
      </c>
    </row>
    <row r="368" spans="1:10" outlineLevel="1" x14ac:dyDescent="0.2">
      <c r="D368" s="62" t="s">
        <v>179</v>
      </c>
      <c r="E368" s="64"/>
      <c r="F368" s="19">
        <v>0</v>
      </c>
      <c r="G368" s="19">
        <v>0</v>
      </c>
      <c r="H368" s="19">
        <v>0</v>
      </c>
      <c r="I368" s="62" t="s">
        <v>162</v>
      </c>
      <c r="J368" s="42">
        <f t="shared" si="14"/>
        <v>0</v>
      </c>
    </row>
    <row r="369" spans="1:10" outlineLevel="1" x14ac:dyDescent="0.2">
      <c r="D369" s="62" t="s">
        <v>180</v>
      </c>
      <c r="E369" s="64"/>
      <c r="F369" s="19">
        <v>0</v>
      </c>
      <c r="G369" s="19">
        <v>0</v>
      </c>
      <c r="H369" s="19">
        <v>0</v>
      </c>
      <c r="I369" s="62" t="s">
        <v>162</v>
      </c>
      <c r="J369" s="42">
        <f t="shared" si="14"/>
        <v>0</v>
      </c>
    </row>
    <row r="370" spans="1:10" outlineLevel="1" x14ac:dyDescent="0.2">
      <c r="D370" s="62" t="s">
        <v>181</v>
      </c>
      <c r="E370" s="64"/>
      <c r="F370" s="19">
        <v>0</v>
      </c>
      <c r="G370" s="19">
        <v>0</v>
      </c>
      <c r="H370" s="19">
        <v>0</v>
      </c>
      <c r="I370" s="62" t="s">
        <v>162</v>
      </c>
      <c r="J370" s="42">
        <f t="shared" si="14"/>
        <v>0</v>
      </c>
    </row>
    <row r="371" spans="1:10" outlineLevel="1" x14ac:dyDescent="0.2">
      <c r="D371" s="62" t="s">
        <v>182</v>
      </c>
      <c r="E371" s="64"/>
      <c r="F371" s="19">
        <v>0</v>
      </c>
      <c r="G371" s="19">
        <v>0</v>
      </c>
      <c r="H371" s="19">
        <v>0</v>
      </c>
      <c r="I371" s="62" t="s">
        <v>162</v>
      </c>
      <c r="J371" s="42">
        <f t="shared" si="14"/>
        <v>0</v>
      </c>
    </row>
    <row r="372" spans="1:10" outlineLevel="1" x14ac:dyDescent="0.2">
      <c r="D372" s="55" t="str">
        <f>Lang_Error_Check_Flags_If_Input_Econ_Cost_Is_Less_Than_Fin_Cost</f>
        <v>ERROR CHECK (FLAGS IF INPUT ECONOMIC COST IS LESS THAN FINANCIAL COST)</v>
      </c>
      <c r="J372" s="43">
        <f>IF(ISERROR(SUM(J362:J371)),1,MIN(SUM(J362:J371),1))</f>
        <v>0</v>
      </c>
    </row>
    <row r="373" spans="1:10" outlineLevel="1" x14ac:dyDescent="0.2"/>
    <row r="374" spans="1:10" outlineLevel="1" x14ac:dyDescent="0.2">
      <c r="D374" s="47" t="str">
        <f>Lang_GoTo&amp;" "&amp;HL_LVL2_ACTV_7_Supplies_and_Materials_Outputs</f>
        <v>Go to Other Activity #4 - (Recurrent Costs Only) (Not in Use) Supplies and Materials - Outputs</v>
      </c>
    </row>
    <row r="376" spans="1:10" s="13" customFormat="1" x14ac:dyDescent="0.2">
      <c r="A376" s="6" t="s">
        <v>127</v>
      </c>
      <c r="B376" s="13" t="str">
        <f>C378</f>
        <v>Other Activity #4 - (Recurrent Costs Only) (Not in Use) - Detailed Other Direct Cost Assumptions</v>
      </c>
    </row>
    <row r="377" spans="1:10" outlineLevel="1" x14ac:dyDescent="0.2"/>
    <row r="378" spans="1:10" outlineLevel="1" x14ac:dyDescent="0.2">
      <c r="C378" s="18" t="str">
        <f>HL_LVL2_ACTV_7_Name&amp;" - "&amp;Lang_Detailed_Other_Direct_Cost_Assumptions</f>
        <v>Other Activity #4 - (Recurrent Costs Only) (Not in Use) - Detailed Other Direct Cost Assumptions</v>
      </c>
    </row>
    <row r="379" spans="1:10" ht="36" outlineLevel="1" x14ac:dyDescent="0.2">
      <c r="D379" s="55" t="str">
        <f>Lang_Other_Direct_Cost_ODC_Type</f>
        <v>Other Direct Cost (ODC) Type</v>
      </c>
      <c r="E379" s="85" t="str">
        <f>Lang_ODC_Unit_Each_Dozen_100_Pack</f>
        <v>ODC Unit (e.g. Each, Dozen, 100-pack,etc.)</v>
      </c>
      <c r="F379" s="85" t="str">
        <f>Lang_Number_Of_ODC_Units_Required</f>
        <v>Number of ODC Units Required</v>
      </c>
      <c r="G379" s="63" t="str">
        <f ca="1">OTHER_Lu!$D$137&amp;" "&amp;Lang_Cost_Per_Activity_Unit&amp;" ("&amp;OFFSET(OTHER_Lu!$D$116,DD_LVL2_ACTV_7_Currency_Selected,0)&amp;")"</f>
        <v>Financial Cost per Activity Unit (USD)</v>
      </c>
      <c r="H379" s="63" t="str">
        <f ca="1">OTHER_Lu!$D$138&amp;" "&amp;Lang_Cost_Per_Activity_Unit&amp;" ("&amp;OFFSET(OTHER_Lu!$D$116,DD_LVL2_ACTV_7_Currency_Selected,0)&amp;")"</f>
        <v>Economic Cost per Activity Unit (USD)</v>
      </c>
      <c r="I379" s="87" t="str">
        <f>Lang_Evidence_For_Using_This_Cost_Information_Source_Or_Notes</f>
        <v>Evidence for Using this Cost Information (source or notes)</v>
      </c>
    </row>
    <row r="380" spans="1:10" outlineLevel="1" x14ac:dyDescent="0.2">
      <c r="D380" s="62" t="s">
        <v>183</v>
      </c>
      <c r="E380" s="64"/>
      <c r="F380" s="19">
        <v>0</v>
      </c>
      <c r="G380" s="19">
        <v>0</v>
      </c>
      <c r="H380" s="19">
        <v>0</v>
      </c>
      <c r="I380" s="62" t="s">
        <v>162</v>
      </c>
      <c r="J380" s="42">
        <f t="shared" ref="J380:J389" si="15">IF(H380&lt;G380,1,0)</f>
        <v>0</v>
      </c>
    </row>
    <row r="381" spans="1:10" outlineLevel="1" x14ac:dyDescent="0.2">
      <c r="D381" s="62" t="s">
        <v>184</v>
      </c>
      <c r="E381" s="64"/>
      <c r="F381" s="19">
        <v>0</v>
      </c>
      <c r="G381" s="19">
        <v>0</v>
      </c>
      <c r="H381" s="19">
        <v>0</v>
      </c>
      <c r="I381" s="62" t="s">
        <v>162</v>
      </c>
      <c r="J381" s="42">
        <f t="shared" si="15"/>
        <v>0</v>
      </c>
    </row>
    <row r="382" spans="1:10" outlineLevel="1" x14ac:dyDescent="0.2">
      <c r="D382" s="62" t="s">
        <v>185</v>
      </c>
      <c r="E382" s="64"/>
      <c r="F382" s="19">
        <v>0</v>
      </c>
      <c r="G382" s="19">
        <v>0</v>
      </c>
      <c r="H382" s="19">
        <v>0</v>
      </c>
      <c r="I382" s="62" t="s">
        <v>162</v>
      </c>
      <c r="J382" s="42">
        <f t="shared" si="15"/>
        <v>0</v>
      </c>
    </row>
    <row r="383" spans="1:10" outlineLevel="1" x14ac:dyDescent="0.2">
      <c r="D383" s="62" t="s">
        <v>186</v>
      </c>
      <c r="E383" s="64"/>
      <c r="F383" s="19">
        <v>0</v>
      </c>
      <c r="G383" s="19">
        <v>0</v>
      </c>
      <c r="H383" s="19">
        <v>0</v>
      </c>
      <c r="I383" s="62" t="s">
        <v>162</v>
      </c>
      <c r="J383" s="42">
        <f t="shared" si="15"/>
        <v>0</v>
      </c>
    </row>
    <row r="384" spans="1:10" outlineLevel="1" x14ac:dyDescent="0.2">
      <c r="D384" s="62" t="s">
        <v>187</v>
      </c>
      <c r="E384" s="64"/>
      <c r="F384" s="19">
        <v>0</v>
      </c>
      <c r="G384" s="19">
        <v>0</v>
      </c>
      <c r="H384" s="19">
        <v>0</v>
      </c>
      <c r="I384" s="62" t="s">
        <v>162</v>
      </c>
      <c r="J384" s="42">
        <f t="shared" si="15"/>
        <v>0</v>
      </c>
    </row>
    <row r="385" spans="1:10" outlineLevel="1" x14ac:dyDescent="0.2">
      <c r="D385" s="62" t="s">
        <v>188</v>
      </c>
      <c r="E385" s="64"/>
      <c r="F385" s="19">
        <v>0</v>
      </c>
      <c r="G385" s="19">
        <v>0</v>
      </c>
      <c r="H385" s="19">
        <v>0</v>
      </c>
      <c r="I385" s="62" t="s">
        <v>162</v>
      </c>
      <c r="J385" s="42">
        <f t="shared" si="15"/>
        <v>0</v>
      </c>
    </row>
    <row r="386" spans="1:10" outlineLevel="1" x14ac:dyDescent="0.2">
      <c r="D386" s="62" t="s">
        <v>189</v>
      </c>
      <c r="E386" s="64"/>
      <c r="F386" s="19">
        <v>0</v>
      </c>
      <c r="G386" s="19">
        <v>0</v>
      </c>
      <c r="H386" s="19">
        <v>0</v>
      </c>
      <c r="I386" s="62" t="s">
        <v>162</v>
      </c>
      <c r="J386" s="42">
        <f t="shared" si="15"/>
        <v>0</v>
      </c>
    </row>
    <row r="387" spans="1:10" outlineLevel="1" x14ac:dyDescent="0.2">
      <c r="D387" s="62" t="s">
        <v>190</v>
      </c>
      <c r="E387" s="64"/>
      <c r="F387" s="19">
        <v>0</v>
      </c>
      <c r="G387" s="19">
        <v>0</v>
      </c>
      <c r="H387" s="19">
        <v>0</v>
      </c>
      <c r="I387" s="62" t="s">
        <v>162</v>
      </c>
      <c r="J387" s="42">
        <f t="shared" si="15"/>
        <v>0</v>
      </c>
    </row>
    <row r="388" spans="1:10" outlineLevel="1" x14ac:dyDescent="0.2">
      <c r="D388" s="62" t="s">
        <v>191</v>
      </c>
      <c r="E388" s="64"/>
      <c r="F388" s="19">
        <v>0</v>
      </c>
      <c r="G388" s="19">
        <v>0</v>
      </c>
      <c r="H388" s="19">
        <v>0</v>
      </c>
      <c r="I388" s="62" t="s">
        <v>162</v>
      </c>
      <c r="J388" s="42">
        <f t="shared" si="15"/>
        <v>0</v>
      </c>
    </row>
    <row r="389" spans="1:10" outlineLevel="1" x14ac:dyDescent="0.2">
      <c r="D389" s="62" t="s">
        <v>192</v>
      </c>
      <c r="E389" s="64"/>
      <c r="F389" s="19">
        <v>0</v>
      </c>
      <c r="G389" s="19">
        <v>0</v>
      </c>
      <c r="H389" s="19">
        <v>0</v>
      </c>
      <c r="I389" s="62" t="s">
        <v>162</v>
      </c>
      <c r="J389" s="42">
        <f t="shared" si="15"/>
        <v>0</v>
      </c>
    </row>
    <row r="390" spans="1:10" outlineLevel="1" x14ac:dyDescent="0.2">
      <c r="D390" s="55" t="str">
        <f>Lang_Error_Check_Flags_If_Input_Econ_Cost_Is_Less_Than_Fin_Cost</f>
        <v>ERROR CHECK (FLAGS IF INPUT ECONOMIC COST IS LESS THAN FINANCIAL COST)</v>
      </c>
      <c r="J390" s="43">
        <f>IF(ISERROR(SUM(J380:J389)),1,MIN(SUM(J380:J389),1))</f>
        <v>0</v>
      </c>
    </row>
    <row r="391" spans="1:10" outlineLevel="1" x14ac:dyDescent="0.2"/>
    <row r="392" spans="1:10" outlineLevel="1" x14ac:dyDescent="0.2">
      <c r="D392" s="47" t="str">
        <f>Lang_GoTo&amp;" "&amp;HL_LVL2_ACTV_7_Other_Direct_Costs_Outputs</f>
        <v>Go to Other Activity #4 - (Recurrent Costs Only) (Not in Use) Other Direct Costs - Outputs</v>
      </c>
    </row>
    <row r="394" spans="1:10" s="13" customFormat="1" x14ac:dyDescent="0.2">
      <c r="A394" s="6" t="s">
        <v>125</v>
      </c>
      <c r="B394" s="13" t="str">
        <f>C396</f>
        <v>Other Activity #5 - (Recurrent Costs Only) (Not in Use) -  Detailed Activity Costing Worksheet - Instructions</v>
      </c>
    </row>
    <row r="395" spans="1:10" s="10" customFormat="1" outlineLevel="1" collapsed="1" x14ac:dyDescent="0.2"/>
    <row r="396" spans="1:10" s="10" customFormat="1" outlineLevel="1" x14ac:dyDescent="0.2">
      <c r="C396" s="71" t="str">
        <f>HL_LVL2_ACTV_16_Name&amp;" -  "&amp;Lang_Detailed_Activity_Costing_Worksheet_Instructions</f>
        <v>Other Activity #5 - (Recurrent Costs Only) (Not in Use) -  Detailed Activity Costing Worksheet - Instructions</v>
      </c>
    </row>
    <row r="397" spans="1:10" s="10" customFormat="1" outlineLevel="1" x14ac:dyDescent="0.2"/>
    <row r="398" spans="1:10" s="10" customFormat="1" outlineLevel="1" x14ac:dyDescent="0.2">
      <c r="D398" s="50" t="str">
        <f>Lang_Detailed_Costing_Worksheets_Notes_1</f>
        <v>This detailed costing worksheet can be used to document the types and amounts of resources required to complete a single instance of an activity.</v>
      </c>
    </row>
    <row r="399" spans="1:10" s="10" customFormat="1" outlineLevel="1" x14ac:dyDescent="0.2">
      <c r="D399" s="50" t="str">
        <f>Lang_Detailed_Costing_Worksheets_Notes_2</f>
        <v>When completed, it will automatically provide a single activity cost in the general assumption worksheet.</v>
      </c>
    </row>
    <row r="400" spans="1:10" s="10" customFormat="1" outlineLevel="1" x14ac:dyDescent="0.2">
      <c r="D400" s="50" t="str">
        <f>Lang_Detailed_Costing_Worksheets_Notes_3</f>
        <v>The user may then choose to use the results of the detailed costing in the model, or override the detailed costing and insert alternate cost estimates.</v>
      </c>
    </row>
    <row r="401" spans="1:5" s="10" customFormat="1" outlineLevel="1" x14ac:dyDescent="0.2"/>
    <row r="402" spans="1:5" s="10" customFormat="1" x14ac:dyDescent="0.2"/>
    <row r="403" spans="1:5" s="13" customFormat="1" x14ac:dyDescent="0.2">
      <c r="A403" s="12" t="s">
        <v>125</v>
      </c>
      <c r="B403" s="13" t="str">
        <f>C405</f>
        <v>Other Activity #5 - (Recurrent Costs Only) (Not in Use) - Detailed Activity Costing Worksheet - Currency Selection</v>
      </c>
    </row>
    <row r="404" spans="1:5" s="10" customFormat="1" outlineLevel="1" x14ac:dyDescent="0.2"/>
    <row r="405" spans="1:5" s="10" customFormat="1" outlineLevel="1" x14ac:dyDescent="0.2">
      <c r="C405" s="71" t="str">
        <f>HL_LVL2_ACTV_16_Name&amp;" - "&amp;Lang_Detailed_Activity_Costing_Worksheet_Currency_Selection</f>
        <v>Other Activity #5 - (Recurrent Costs Only) (Not in Use) - Detailed Activity Costing Worksheet - Currency Selection</v>
      </c>
    </row>
    <row r="406" spans="1:5" s="10" customFormat="1" outlineLevel="1" x14ac:dyDescent="0.2"/>
    <row r="407" spans="1:5" s="10" customFormat="1" outlineLevel="1" x14ac:dyDescent="0.2">
      <c r="D407" s="55" t="str">
        <f>Lang_Currency_Used_For_Cost_Inputs</f>
        <v>Currency Used for Cost Inputs</v>
      </c>
      <c r="E407" s="72">
        <v>1</v>
      </c>
    </row>
    <row r="408" spans="1:5" s="10" customFormat="1" outlineLevel="1" x14ac:dyDescent="0.2"/>
    <row r="409" spans="1:5" s="10" customFormat="1" outlineLevel="1" x14ac:dyDescent="0.2"/>
    <row r="410" spans="1:5" s="10" customFormat="1" outlineLevel="1" x14ac:dyDescent="0.2">
      <c r="D410" s="54" t="str">
        <f>Lang_Imported_From_Econ_Module</f>
        <v>Imported from Econ Module</v>
      </c>
    </row>
    <row r="411" spans="1:5" s="10" customFormat="1" outlineLevel="1" x14ac:dyDescent="0.2">
      <c r="D411" s="49" t="str">
        <f>ECONOMICS!F7</f>
        <v>USD</v>
      </c>
    </row>
    <row r="412" spans="1:5" s="10" customFormat="1" outlineLevel="1" x14ac:dyDescent="0.2">
      <c r="D412" s="49" t="str">
        <f>ECONOMICS!F8</f>
        <v>LCU</v>
      </c>
    </row>
    <row r="413" spans="1:5" s="10" customFormat="1" outlineLevel="1" x14ac:dyDescent="0.2"/>
    <row r="414" spans="1:5" s="10" customFormat="1" outlineLevel="1" x14ac:dyDescent="0.2">
      <c r="D414" s="50" t="str">
        <f>Lang_Exchange_Rate_From_Econ</f>
        <v>Exchange Rate (from Economics)</v>
      </c>
      <c r="E414" s="41">
        <f>ECONOMICS!E13</f>
        <v>1234.5</v>
      </c>
    </row>
    <row r="416" spans="1:5" s="13" customFormat="1" x14ac:dyDescent="0.2">
      <c r="A416" s="6" t="s">
        <v>127</v>
      </c>
      <c r="B416" s="13" t="str">
        <f>C418</f>
        <v>Other Activity #5 - (Recurrent Costs Only) (Not in Use) - Detailed Personnel Cost Assumptions</v>
      </c>
    </row>
    <row r="417" spans="3:10" outlineLevel="1" x14ac:dyDescent="0.2"/>
    <row r="418" spans="3:10" outlineLevel="1" x14ac:dyDescent="0.2">
      <c r="C418" s="18" t="str">
        <f>HL_LVL2_ACTV_16_Name&amp;" - "&amp;Lang_Detailed_Personnel_Cost_Assumptions</f>
        <v>Other Activity #5 - (Recurrent Costs Only) (Not in Use) - Detailed Personnel Cost Assumptions</v>
      </c>
    </row>
    <row r="419" spans="3:10" ht="36" outlineLevel="1" x14ac:dyDescent="0.2">
      <c r="D419" s="55" t="str">
        <f>Lang_Personnel_Cadre_Type</f>
        <v>Personnel Cadre Type</v>
      </c>
      <c r="E419" s="85" t="str">
        <f>Lang_Activity_Unit_Day_Hour_Minute</f>
        <v>Activity Unit (e.g. Day, Hour, Minute)</v>
      </c>
      <c r="F419" s="85" t="str">
        <f>Lang_Number_Of_Activity_Units_Required</f>
        <v>Number of Activity Units Required</v>
      </c>
      <c r="G419" s="63" t="str">
        <f ca="1">OTHER_Lu!$D$172&amp;" "&amp;Lang_Cost_Per_Activity_Unit&amp;" ("&amp;OFFSET(OTHER_Lu!$D$151,DD_LVL2_ACTV_16_Currency_Selected,0)&amp;")"</f>
        <v>Financial Cost per Activity Unit (USD)</v>
      </c>
      <c r="H419" s="63" t="str">
        <f ca="1">OTHER_Lu!$D$173&amp;" "&amp;Lang_Cost_Per_Activity_Unit&amp;" ("&amp;OFFSET(OTHER_Lu!$D$151,DD_LVL2_ACTV_16_Currency_Selected,0)&amp;")"</f>
        <v>Economic Cost per Activity Unit (USD)</v>
      </c>
      <c r="I419" s="87" t="str">
        <f>Lang_Evidence_For_Using_This_Cost_Information_Source_Or_Notes</f>
        <v>Evidence for Using this Cost Information (source or notes)</v>
      </c>
    </row>
    <row r="420" spans="3:10" outlineLevel="1" x14ac:dyDescent="0.2">
      <c r="D420" s="62" t="s">
        <v>152</v>
      </c>
      <c r="E420" s="64"/>
      <c r="F420" s="19">
        <v>0</v>
      </c>
      <c r="G420" s="19">
        <v>0</v>
      </c>
      <c r="H420" s="19">
        <v>0</v>
      </c>
      <c r="I420" s="62" t="s">
        <v>162</v>
      </c>
      <c r="J420" s="42">
        <f t="shared" ref="J420:J434" si="16">IF(H420&lt;G420,1,0)</f>
        <v>0</v>
      </c>
    </row>
    <row r="421" spans="3:10" outlineLevel="1" x14ac:dyDescent="0.2">
      <c r="D421" s="62" t="s">
        <v>153</v>
      </c>
      <c r="E421" s="64"/>
      <c r="F421" s="19">
        <v>0</v>
      </c>
      <c r="G421" s="19">
        <v>0</v>
      </c>
      <c r="H421" s="19">
        <v>0</v>
      </c>
      <c r="I421" s="62" t="s">
        <v>162</v>
      </c>
      <c r="J421" s="42">
        <f t="shared" si="16"/>
        <v>0</v>
      </c>
    </row>
    <row r="422" spans="3:10" outlineLevel="1" x14ac:dyDescent="0.2">
      <c r="D422" s="62" t="s">
        <v>154</v>
      </c>
      <c r="E422" s="64"/>
      <c r="F422" s="19">
        <v>0</v>
      </c>
      <c r="G422" s="19">
        <v>0</v>
      </c>
      <c r="H422" s="19">
        <v>0</v>
      </c>
      <c r="I422" s="62" t="s">
        <v>162</v>
      </c>
      <c r="J422" s="42">
        <f t="shared" si="16"/>
        <v>0</v>
      </c>
    </row>
    <row r="423" spans="3:10" outlineLevel="1" x14ac:dyDescent="0.2">
      <c r="D423" s="62" t="s">
        <v>155</v>
      </c>
      <c r="E423" s="64"/>
      <c r="F423" s="19">
        <v>0</v>
      </c>
      <c r="G423" s="19">
        <v>0</v>
      </c>
      <c r="H423" s="19">
        <v>0</v>
      </c>
      <c r="I423" s="62" t="s">
        <v>162</v>
      </c>
      <c r="J423" s="42">
        <f t="shared" si="16"/>
        <v>0</v>
      </c>
    </row>
    <row r="424" spans="3:10" outlineLevel="1" x14ac:dyDescent="0.2">
      <c r="D424" s="62" t="s">
        <v>156</v>
      </c>
      <c r="E424" s="64"/>
      <c r="F424" s="19">
        <v>0</v>
      </c>
      <c r="G424" s="19">
        <v>0</v>
      </c>
      <c r="H424" s="19">
        <v>0</v>
      </c>
      <c r="I424" s="62" t="s">
        <v>162</v>
      </c>
      <c r="J424" s="42">
        <f t="shared" si="16"/>
        <v>0</v>
      </c>
    </row>
    <row r="425" spans="3:10" outlineLevel="1" x14ac:dyDescent="0.2">
      <c r="D425" s="62" t="s">
        <v>157</v>
      </c>
      <c r="E425" s="64"/>
      <c r="F425" s="19">
        <v>0</v>
      </c>
      <c r="G425" s="19">
        <v>0</v>
      </c>
      <c r="H425" s="19">
        <v>0</v>
      </c>
      <c r="I425" s="62" t="s">
        <v>162</v>
      </c>
      <c r="J425" s="42">
        <f t="shared" si="16"/>
        <v>0</v>
      </c>
    </row>
    <row r="426" spans="3:10" outlineLevel="1" x14ac:dyDescent="0.2">
      <c r="D426" s="62" t="s">
        <v>158</v>
      </c>
      <c r="E426" s="64"/>
      <c r="F426" s="19">
        <v>0</v>
      </c>
      <c r="G426" s="19">
        <v>0</v>
      </c>
      <c r="H426" s="19">
        <v>0</v>
      </c>
      <c r="I426" s="62" t="s">
        <v>162</v>
      </c>
      <c r="J426" s="42">
        <f t="shared" si="16"/>
        <v>0</v>
      </c>
    </row>
    <row r="427" spans="3:10" outlineLevel="1" x14ac:dyDescent="0.2">
      <c r="D427" s="62" t="s">
        <v>159</v>
      </c>
      <c r="E427" s="64"/>
      <c r="F427" s="19">
        <v>0</v>
      </c>
      <c r="G427" s="19">
        <v>0</v>
      </c>
      <c r="H427" s="19">
        <v>0</v>
      </c>
      <c r="I427" s="62" t="s">
        <v>162</v>
      </c>
      <c r="J427" s="42">
        <f t="shared" si="16"/>
        <v>0</v>
      </c>
    </row>
    <row r="428" spans="3:10" outlineLevel="1" x14ac:dyDescent="0.2">
      <c r="D428" s="62" t="s">
        <v>160</v>
      </c>
      <c r="E428" s="64"/>
      <c r="F428" s="19">
        <v>0</v>
      </c>
      <c r="G428" s="19">
        <v>0</v>
      </c>
      <c r="H428" s="19">
        <v>0</v>
      </c>
      <c r="I428" s="62" t="s">
        <v>162</v>
      </c>
      <c r="J428" s="42">
        <f t="shared" si="16"/>
        <v>0</v>
      </c>
    </row>
    <row r="429" spans="3:10" outlineLevel="1" x14ac:dyDescent="0.2">
      <c r="D429" s="62" t="s">
        <v>161</v>
      </c>
      <c r="E429" s="64"/>
      <c r="F429" s="19">
        <v>0</v>
      </c>
      <c r="G429" s="19">
        <v>0</v>
      </c>
      <c r="H429" s="19">
        <v>0</v>
      </c>
      <c r="I429" s="62" t="s">
        <v>162</v>
      </c>
      <c r="J429" s="42">
        <f t="shared" si="16"/>
        <v>0</v>
      </c>
    </row>
    <row r="430" spans="3:10" outlineLevel="1" x14ac:dyDescent="0.2">
      <c r="D430" s="62" t="s">
        <v>393</v>
      </c>
      <c r="E430" s="64"/>
      <c r="F430" s="19">
        <v>0</v>
      </c>
      <c r="G430" s="19">
        <v>0</v>
      </c>
      <c r="H430" s="19">
        <v>0</v>
      </c>
      <c r="I430" s="62" t="s">
        <v>162</v>
      </c>
      <c r="J430" s="42">
        <f t="shared" si="16"/>
        <v>0</v>
      </c>
    </row>
    <row r="431" spans="3:10" outlineLevel="1" x14ac:dyDescent="0.2">
      <c r="D431" s="62" t="s">
        <v>394</v>
      </c>
      <c r="E431" s="64"/>
      <c r="F431" s="19">
        <v>0</v>
      </c>
      <c r="G431" s="19">
        <v>0</v>
      </c>
      <c r="H431" s="19">
        <v>0</v>
      </c>
      <c r="I431" s="62" t="s">
        <v>162</v>
      </c>
      <c r="J431" s="42">
        <f t="shared" si="16"/>
        <v>0</v>
      </c>
    </row>
    <row r="432" spans="3:10" outlineLevel="1" x14ac:dyDescent="0.2">
      <c r="D432" s="62" t="s">
        <v>395</v>
      </c>
      <c r="E432" s="64"/>
      <c r="F432" s="19">
        <v>0</v>
      </c>
      <c r="G432" s="19">
        <v>0</v>
      </c>
      <c r="H432" s="19">
        <v>0</v>
      </c>
      <c r="I432" s="62" t="s">
        <v>162</v>
      </c>
      <c r="J432" s="42">
        <f t="shared" si="16"/>
        <v>0</v>
      </c>
    </row>
    <row r="433" spans="1:10" outlineLevel="1" x14ac:dyDescent="0.2">
      <c r="D433" s="62" t="s">
        <v>396</v>
      </c>
      <c r="E433" s="64"/>
      <c r="F433" s="19">
        <v>0</v>
      </c>
      <c r="G433" s="19">
        <v>0</v>
      </c>
      <c r="H433" s="19">
        <v>0</v>
      </c>
      <c r="I433" s="62" t="s">
        <v>162</v>
      </c>
      <c r="J433" s="42">
        <f t="shared" si="16"/>
        <v>0</v>
      </c>
    </row>
    <row r="434" spans="1:10" outlineLevel="1" x14ac:dyDescent="0.2">
      <c r="D434" s="62" t="s">
        <v>397</v>
      </c>
      <c r="E434" s="64"/>
      <c r="F434" s="19">
        <v>0</v>
      </c>
      <c r="G434" s="19">
        <v>0</v>
      </c>
      <c r="H434" s="19">
        <v>0</v>
      </c>
      <c r="I434" s="62" t="s">
        <v>162</v>
      </c>
      <c r="J434" s="42">
        <f t="shared" si="16"/>
        <v>0</v>
      </c>
    </row>
    <row r="435" spans="1:10" outlineLevel="1" x14ac:dyDescent="0.2">
      <c r="D435" s="55" t="str">
        <f>Lang_Error_Check_Flags_If_Input_Econ_Cost_Is_Less_Than_Fin_Cost</f>
        <v>ERROR CHECK (FLAGS IF INPUT ECONOMIC COST IS LESS THAN FINANCIAL COST)</v>
      </c>
      <c r="J435" s="43">
        <f>IF(ISERROR(SUM(J420:J434)),1,MIN(SUM(J420:J434),1))</f>
        <v>0</v>
      </c>
    </row>
    <row r="436" spans="1:10" outlineLevel="1" x14ac:dyDescent="0.2"/>
    <row r="437" spans="1:10" outlineLevel="1" x14ac:dyDescent="0.2">
      <c r="D437" s="47" t="str">
        <f>Lang_GoTo&amp;" "&amp;HL_LVL2_ACTV_16_Personnel_Outputs</f>
        <v>Go to Other Activity #5 - (Recurrent Costs Only) (Not in Use) Personnel - Outputs</v>
      </c>
    </row>
    <row r="439" spans="1:10" s="13" customFormat="1" x14ac:dyDescent="0.2">
      <c r="A439" s="6" t="s">
        <v>127</v>
      </c>
      <c r="B439" s="13" t="str">
        <f>C441</f>
        <v>Other Activity #5 - (Recurrent Costs Only) (Not in Use) - Detailed Allowance Cost Assumptions</v>
      </c>
    </row>
    <row r="440" spans="1:10" outlineLevel="1" x14ac:dyDescent="0.2"/>
    <row r="441" spans="1:10" outlineLevel="1" x14ac:dyDescent="0.2">
      <c r="C441" s="18" t="str">
        <f>HL_LVL2_ACTV_16_Name&amp;" - "&amp;Lang_Detailed_Allowance_Cost_Assumptions</f>
        <v>Other Activity #5 - (Recurrent Costs Only) (Not in Use) - Detailed Allowance Cost Assumptions</v>
      </c>
    </row>
    <row r="442" spans="1:10" ht="48" outlineLevel="1" x14ac:dyDescent="0.2">
      <c r="D442" s="55" t="str">
        <f>Lang_Allowance_Type</f>
        <v>Allowance Type</v>
      </c>
      <c r="E442" s="85" t="str">
        <f>Lang_Allowance_Unit_Per_Day_Round_Trip_Travel</f>
        <v>Allowance Unit (e.g. Per Day, Round-trip Travel,etc.)</v>
      </c>
      <c r="F442" s="85" t="str">
        <f>Lang_Number_Of_Allowance_Units_Required</f>
        <v>Number of Allowance Units Required</v>
      </c>
      <c r="G442" s="63" t="str">
        <f ca="1">OTHER_Lu!$D$172&amp;" "&amp;Lang_Cost_Per_Activity_Unit&amp;" ("&amp;OFFSET(OTHER_Lu!$D$151,DD_LVL2_ACTV_16_Currency_Selected,0)&amp;")"</f>
        <v>Financial Cost per Activity Unit (USD)</v>
      </c>
      <c r="H442" s="63" t="str">
        <f ca="1">OTHER_Lu!$D$173&amp;" "&amp;Lang_Cost_Per_Activity_Unit&amp;" ("&amp;OFFSET(OTHER_Lu!$D$151,DD_LVL2_ACTV_16_Currency_Selected,0)&amp;")"</f>
        <v>Economic Cost per Activity Unit (USD)</v>
      </c>
      <c r="I442" s="87" t="str">
        <f>Lang_Evidence_For_Using_This_Cost_Information_Source_Or_Notes</f>
        <v>Evidence for Using this Cost Information (source or notes)</v>
      </c>
    </row>
    <row r="443" spans="1:10" outlineLevel="1" x14ac:dyDescent="0.2">
      <c r="D443" s="62" t="s">
        <v>163</v>
      </c>
      <c r="E443" s="64"/>
      <c r="F443" s="19">
        <v>0</v>
      </c>
      <c r="G443" s="19">
        <v>0</v>
      </c>
      <c r="H443" s="19">
        <v>0</v>
      </c>
      <c r="I443" s="62" t="s">
        <v>162</v>
      </c>
      <c r="J443" s="42">
        <f t="shared" ref="J443:J452" si="17">IF(H443&lt;G443,1,0)</f>
        <v>0</v>
      </c>
    </row>
    <row r="444" spans="1:10" outlineLevel="1" x14ac:dyDescent="0.2">
      <c r="D444" s="62" t="s">
        <v>164</v>
      </c>
      <c r="E444" s="64"/>
      <c r="F444" s="19">
        <v>0</v>
      </c>
      <c r="G444" s="19">
        <v>0</v>
      </c>
      <c r="H444" s="19">
        <v>0</v>
      </c>
      <c r="I444" s="62" t="s">
        <v>162</v>
      </c>
      <c r="J444" s="42">
        <f t="shared" si="17"/>
        <v>0</v>
      </c>
    </row>
    <row r="445" spans="1:10" outlineLevel="1" x14ac:dyDescent="0.2">
      <c r="D445" s="62" t="s">
        <v>165</v>
      </c>
      <c r="E445" s="64"/>
      <c r="F445" s="19">
        <v>0</v>
      </c>
      <c r="G445" s="19">
        <v>0</v>
      </c>
      <c r="H445" s="19">
        <v>0</v>
      </c>
      <c r="I445" s="62" t="s">
        <v>162</v>
      </c>
      <c r="J445" s="42">
        <f t="shared" si="17"/>
        <v>0</v>
      </c>
    </row>
    <row r="446" spans="1:10" outlineLevel="1" x14ac:dyDescent="0.2">
      <c r="D446" s="62" t="s">
        <v>166</v>
      </c>
      <c r="E446" s="64"/>
      <c r="F446" s="19">
        <v>0</v>
      </c>
      <c r="G446" s="19">
        <v>0</v>
      </c>
      <c r="H446" s="19">
        <v>0</v>
      </c>
      <c r="I446" s="62" t="s">
        <v>162</v>
      </c>
      <c r="J446" s="42">
        <f t="shared" si="17"/>
        <v>0</v>
      </c>
    </row>
    <row r="447" spans="1:10" outlineLevel="1" x14ac:dyDescent="0.2">
      <c r="D447" s="62" t="s">
        <v>167</v>
      </c>
      <c r="E447" s="64"/>
      <c r="F447" s="19">
        <v>0</v>
      </c>
      <c r="G447" s="19">
        <v>0</v>
      </c>
      <c r="H447" s="19">
        <v>0</v>
      </c>
      <c r="I447" s="62" t="s">
        <v>162</v>
      </c>
      <c r="J447" s="42">
        <f t="shared" si="17"/>
        <v>0</v>
      </c>
    </row>
    <row r="448" spans="1:10" outlineLevel="1" x14ac:dyDescent="0.2">
      <c r="D448" s="62" t="s">
        <v>168</v>
      </c>
      <c r="E448" s="64"/>
      <c r="F448" s="19">
        <v>0</v>
      </c>
      <c r="G448" s="19">
        <v>0</v>
      </c>
      <c r="H448" s="19">
        <v>0</v>
      </c>
      <c r="I448" s="62" t="s">
        <v>162</v>
      </c>
      <c r="J448" s="42">
        <f t="shared" si="17"/>
        <v>0</v>
      </c>
    </row>
    <row r="449" spans="1:10" outlineLevel="1" x14ac:dyDescent="0.2">
      <c r="D449" s="62" t="s">
        <v>169</v>
      </c>
      <c r="E449" s="64"/>
      <c r="F449" s="19">
        <v>0</v>
      </c>
      <c r="G449" s="19">
        <v>0</v>
      </c>
      <c r="H449" s="19">
        <v>0</v>
      </c>
      <c r="I449" s="62" t="s">
        <v>162</v>
      </c>
      <c r="J449" s="42">
        <f t="shared" si="17"/>
        <v>0</v>
      </c>
    </row>
    <row r="450" spans="1:10" outlineLevel="1" x14ac:dyDescent="0.2">
      <c r="D450" s="62" t="s">
        <v>170</v>
      </c>
      <c r="E450" s="64"/>
      <c r="F450" s="19">
        <v>0</v>
      </c>
      <c r="G450" s="19">
        <v>0</v>
      </c>
      <c r="H450" s="19">
        <v>0</v>
      </c>
      <c r="I450" s="62" t="s">
        <v>162</v>
      </c>
      <c r="J450" s="42">
        <f t="shared" si="17"/>
        <v>0</v>
      </c>
    </row>
    <row r="451" spans="1:10" outlineLevel="1" x14ac:dyDescent="0.2">
      <c r="D451" s="62" t="s">
        <v>171</v>
      </c>
      <c r="E451" s="64"/>
      <c r="F451" s="19">
        <v>0</v>
      </c>
      <c r="G451" s="19">
        <v>0</v>
      </c>
      <c r="H451" s="19">
        <v>0</v>
      </c>
      <c r="I451" s="62" t="s">
        <v>162</v>
      </c>
      <c r="J451" s="42">
        <f t="shared" si="17"/>
        <v>0</v>
      </c>
    </row>
    <row r="452" spans="1:10" outlineLevel="1" x14ac:dyDescent="0.2">
      <c r="D452" s="62" t="s">
        <v>172</v>
      </c>
      <c r="E452" s="64"/>
      <c r="F452" s="19">
        <v>0</v>
      </c>
      <c r="G452" s="19">
        <v>0</v>
      </c>
      <c r="H452" s="19">
        <v>0</v>
      </c>
      <c r="I452" s="62" t="s">
        <v>162</v>
      </c>
      <c r="J452" s="42">
        <f t="shared" si="17"/>
        <v>0</v>
      </c>
    </row>
    <row r="453" spans="1:10" outlineLevel="1" x14ac:dyDescent="0.2">
      <c r="D453" s="55" t="str">
        <f>Lang_Error_Check_Flags_If_Input_Econ_Cost_Is_Less_Than_Fin_Cost</f>
        <v>ERROR CHECK (FLAGS IF INPUT ECONOMIC COST IS LESS THAN FINANCIAL COST)</v>
      </c>
      <c r="J453" s="43">
        <f>IF(ISERROR(SUM(J443:J452)),1,MIN(SUM(J443:J452),1))</f>
        <v>0</v>
      </c>
    </row>
    <row r="454" spans="1:10" outlineLevel="1" x14ac:dyDescent="0.2"/>
    <row r="455" spans="1:10" outlineLevel="1" x14ac:dyDescent="0.2">
      <c r="D455" s="47" t="str">
        <f>Lang_GoTo&amp;" "&amp;HL_LVL2_ACTV_16_Out_A</f>
        <v>Go to Other Activity #5 - (Recurrent Costs Only) (Not in Use) Allowances - Outputs</v>
      </c>
    </row>
    <row r="457" spans="1:10" s="13" customFormat="1" x14ac:dyDescent="0.2">
      <c r="A457" s="6" t="s">
        <v>127</v>
      </c>
      <c r="B457" s="13" t="str">
        <f>C459</f>
        <v>Other Activity #5 - (Recurrent Costs Only) (Not in Use) - Detailed Supply and Material Cost Assumptions</v>
      </c>
    </row>
    <row r="458" spans="1:10" outlineLevel="1" x14ac:dyDescent="0.2"/>
    <row r="459" spans="1:10" outlineLevel="1" x14ac:dyDescent="0.2">
      <c r="C459" s="18" t="str">
        <f>HL_LVL2_ACTV_16_Name&amp;" - "&amp;Lang_Detailed_Supply_And_Material_Cost_Assumptions</f>
        <v>Other Activity #5 - (Recurrent Costs Only) (Not in Use) - Detailed Supply and Material Cost Assumptions</v>
      </c>
    </row>
    <row r="460" spans="1:10" ht="36" outlineLevel="1" x14ac:dyDescent="0.2">
      <c r="D460" s="55" t="str">
        <f>Lang_Supply_Type</f>
        <v>Supply Type</v>
      </c>
      <c r="E460" s="85" t="str">
        <f>Lang_Supply_Unit_Each_Dozen_100_Pack</f>
        <v>Supply Unit (e.g. Each, Dozen, 100-pack,etc.)</v>
      </c>
      <c r="F460" s="85" t="str">
        <f>Lang_Number_Of_Supply_Units_Required</f>
        <v>Number of Supply Units Required</v>
      </c>
      <c r="G460" s="63" t="str">
        <f ca="1">OTHER_Lu!$D$172&amp;" "&amp;Lang_Cost_Per_Activity_Unit&amp;" ("&amp;OFFSET(OTHER_Lu!$D$151,DD_LVL2_ACTV_16_Currency_Selected,0)&amp;")"</f>
        <v>Financial Cost per Activity Unit (USD)</v>
      </c>
      <c r="H460" s="63" t="str">
        <f ca="1">OTHER_Lu!$D$173&amp;" "&amp;Lang_Cost_Per_Activity_Unit&amp;" ("&amp;OFFSET(OTHER_Lu!$D$151,DD_LVL2_ACTV_16_Currency_Selected,0)&amp;")"</f>
        <v>Economic Cost per Activity Unit (USD)</v>
      </c>
      <c r="I460" s="87" t="str">
        <f>Lang_Evidence_For_Using_This_Cost_Information_Source_Or_Notes</f>
        <v>Evidence for Using this Cost Information (source or notes)</v>
      </c>
    </row>
    <row r="461" spans="1:10" outlineLevel="1" x14ac:dyDescent="0.2">
      <c r="D461" s="62" t="s">
        <v>173</v>
      </c>
      <c r="E461" s="64"/>
      <c r="F461" s="19">
        <v>0</v>
      </c>
      <c r="G461" s="19">
        <v>0</v>
      </c>
      <c r="H461" s="19">
        <v>0</v>
      </c>
      <c r="I461" s="62" t="s">
        <v>162</v>
      </c>
      <c r="J461" s="42">
        <f t="shared" ref="J461:J470" si="18">IF(H461&lt;G461,1,0)</f>
        <v>0</v>
      </c>
    </row>
    <row r="462" spans="1:10" outlineLevel="1" x14ac:dyDescent="0.2">
      <c r="D462" s="62" t="s">
        <v>174</v>
      </c>
      <c r="E462" s="64"/>
      <c r="F462" s="19">
        <v>0</v>
      </c>
      <c r="G462" s="19">
        <v>0</v>
      </c>
      <c r="H462" s="19">
        <v>0</v>
      </c>
      <c r="I462" s="62" t="s">
        <v>162</v>
      </c>
      <c r="J462" s="42">
        <f t="shared" si="18"/>
        <v>0</v>
      </c>
    </row>
    <row r="463" spans="1:10" outlineLevel="1" x14ac:dyDescent="0.2">
      <c r="D463" s="62" t="s">
        <v>175</v>
      </c>
      <c r="E463" s="64"/>
      <c r="F463" s="19">
        <v>0</v>
      </c>
      <c r="G463" s="19">
        <v>0</v>
      </c>
      <c r="H463" s="19">
        <v>0</v>
      </c>
      <c r="I463" s="62" t="s">
        <v>162</v>
      </c>
      <c r="J463" s="42">
        <f t="shared" si="18"/>
        <v>0</v>
      </c>
    </row>
    <row r="464" spans="1:10" outlineLevel="1" x14ac:dyDescent="0.2">
      <c r="D464" s="62" t="s">
        <v>176</v>
      </c>
      <c r="E464" s="64"/>
      <c r="F464" s="19">
        <v>0</v>
      </c>
      <c r="G464" s="19">
        <v>0</v>
      </c>
      <c r="H464" s="19">
        <v>0</v>
      </c>
      <c r="I464" s="62" t="s">
        <v>162</v>
      </c>
      <c r="J464" s="42">
        <f t="shared" si="18"/>
        <v>0</v>
      </c>
    </row>
    <row r="465" spans="1:10" outlineLevel="1" x14ac:dyDescent="0.2">
      <c r="D465" s="62" t="s">
        <v>177</v>
      </c>
      <c r="E465" s="64"/>
      <c r="F465" s="19">
        <v>0</v>
      </c>
      <c r="G465" s="19">
        <v>0</v>
      </c>
      <c r="H465" s="19">
        <v>0</v>
      </c>
      <c r="I465" s="62" t="s">
        <v>162</v>
      </c>
      <c r="J465" s="42">
        <f t="shared" si="18"/>
        <v>0</v>
      </c>
    </row>
    <row r="466" spans="1:10" outlineLevel="1" x14ac:dyDescent="0.2">
      <c r="D466" s="62" t="s">
        <v>178</v>
      </c>
      <c r="E466" s="64"/>
      <c r="F466" s="19">
        <v>0</v>
      </c>
      <c r="G466" s="19">
        <v>0</v>
      </c>
      <c r="H466" s="19">
        <v>0</v>
      </c>
      <c r="I466" s="62" t="s">
        <v>162</v>
      </c>
      <c r="J466" s="42">
        <f t="shared" si="18"/>
        <v>0</v>
      </c>
    </row>
    <row r="467" spans="1:10" outlineLevel="1" x14ac:dyDescent="0.2">
      <c r="D467" s="62" t="s">
        <v>179</v>
      </c>
      <c r="E467" s="64"/>
      <c r="F467" s="19">
        <v>0</v>
      </c>
      <c r="G467" s="19">
        <v>0</v>
      </c>
      <c r="H467" s="19">
        <v>0</v>
      </c>
      <c r="I467" s="62" t="s">
        <v>162</v>
      </c>
      <c r="J467" s="42">
        <f t="shared" si="18"/>
        <v>0</v>
      </c>
    </row>
    <row r="468" spans="1:10" outlineLevel="1" x14ac:dyDescent="0.2">
      <c r="D468" s="62" t="s">
        <v>180</v>
      </c>
      <c r="E468" s="64"/>
      <c r="F468" s="19">
        <v>0</v>
      </c>
      <c r="G468" s="19">
        <v>0</v>
      </c>
      <c r="H468" s="19">
        <v>0</v>
      </c>
      <c r="I468" s="62" t="s">
        <v>162</v>
      </c>
      <c r="J468" s="42">
        <f t="shared" si="18"/>
        <v>0</v>
      </c>
    </row>
    <row r="469" spans="1:10" outlineLevel="1" x14ac:dyDescent="0.2">
      <c r="D469" s="62" t="s">
        <v>181</v>
      </c>
      <c r="E469" s="64"/>
      <c r="F469" s="19">
        <v>0</v>
      </c>
      <c r="G469" s="19">
        <v>0</v>
      </c>
      <c r="H469" s="19">
        <v>0</v>
      </c>
      <c r="I469" s="62" t="s">
        <v>162</v>
      </c>
      <c r="J469" s="42">
        <f t="shared" si="18"/>
        <v>0</v>
      </c>
    </row>
    <row r="470" spans="1:10" outlineLevel="1" x14ac:dyDescent="0.2">
      <c r="D470" s="62" t="s">
        <v>182</v>
      </c>
      <c r="E470" s="64"/>
      <c r="F470" s="19">
        <v>0</v>
      </c>
      <c r="G470" s="19">
        <v>0</v>
      </c>
      <c r="H470" s="19">
        <v>0</v>
      </c>
      <c r="I470" s="62" t="s">
        <v>162</v>
      </c>
      <c r="J470" s="42">
        <f t="shared" si="18"/>
        <v>0</v>
      </c>
    </row>
    <row r="471" spans="1:10" outlineLevel="1" x14ac:dyDescent="0.2">
      <c r="D471" s="55" t="str">
        <f>Lang_Error_Check_Flags_If_Input_Econ_Cost_Is_Less_Than_Fin_Cost</f>
        <v>ERROR CHECK (FLAGS IF INPUT ECONOMIC COST IS LESS THAN FINANCIAL COST)</v>
      </c>
      <c r="J471" s="43">
        <f>IF(ISERROR(SUM(J461:J470)),1,MIN(SUM(J461:J470),1))</f>
        <v>0</v>
      </c>
    </row>
    <row r="472" spans="1:10" outlineLevel="1" x14ac:dyDescent="0.2"/>
    <row r="473" spans="1:10" outlineLevel="1" x14ac:dyDescent="0.2">
      <c r="D473" s="47" t="str">
        <f>Lang_GoTo&amp;" "&amp;HL_LVL2_ACTV_16_Supplies_and_Materials_Outputs</f>
        <v>Go to Other Activity #5 - (Recurrent Costs Only) (Not in Use) Supplies and Materials - Outputs</v>
      </c>
    </row>
    <row r="475" spans="1:10" s="13" customFormat="1" x14ac:dyDescent="0.2">
      <c r="A475" s="6" t="s">
        <v>127</v>
      </c>
      <c r="B475" s="13" t="str">
        <f>C477</f>
        <v>Other Activity #5 - (Recurrent Costs Only) (Not in Use) - Detailed Other Direct Cost Assumptions</v>
      </c>
    </row>
    <row r="476" spans="1:10" outlineLevel="1" x14ac:dyDescent="0.2"/>
    <row r="477" spans="1:10" outlineLevel="1" x14ac:dyDescent="0.2">
      <c r="C477" s="18" t="str">
        <f>HL_LVL2_ACTV_16_Name&amp;" - "&amp;Lang_Detailed_Other_Direct_Cost_Assumptions</f>
        <v>Other Activity #5 - (Recurrent Costs Only) (Not in Use) - Detailed Other Direct Cost Assumptions</v>
      </c>
    </row>
    <row r="478" spans="1:10" ht="36" outlineLevel="1" x14ac:dyDescent="0.2">
      <c r="D478" s="55" t="str">
        <f>Lang_Other_Direct_Cost_ODC_Type</f>
        <v>Other Direct Cost (ODC) Type</v>
      </c>
      <c r="E478" s="85" t="str">
        <f>Lang_ODC_Unit_Each_Dozen_100_Pack</f>
        <v>ODC Unit (e.g. Each, Dozen, 100-pack,etc.)</v>
      </c>
      <c r="F478" s="85" t="str">
        <f>Lang_Number_Of_ODC_Units_Required</f>
        <v>Number of ODC Units Required</v>
      </c>
      <c r="G478" s="63" t="str">
        <f ca="1">OTHER_Lu!$D$172&amp;" "&amp;Lang_Cost_Per_Activity_Unit&amp;" ("&amp;OFFSET(OTHER_Lu!$D$151,DD_LVL2_ACTV_16_Currency_Selected,0)&amp;")"</f>
        <v>Financial Cost per Activity Unit (USD)</v>
      </c>
      <c r="H478" s="63" t="str">
        <f ca="1">OTHER_Lu!$D$173&amp;" "&amp;Lang_Cost_Per_Activity_Unit&amp;" ("&amp;OFFSET(OTHER_Lu!$D$151,DD_LVL2_ACTV_16_Currency_Selected,0)&amp;")"</f>
        <v>Economic Cost per Activity Unit (USD)</v>
      </c>
      <c r="I478" s="87" t="str">
        <f>Lang_Evidence_For_Using_This_Cost_Information_Source_Or_Notes</f>
        <v>Evidence for Using this Cost Information (source or notes)</v>
      </c>
    </row>
    <row r="479" spans="1:10" outlineLevel="1" x14ac:dyDescent="0.2">
      <c r="D479" s="62" t="s">
        <v>183</v>
      </c>
      <c r="E479" s="64"/>
      <c r="F479" s="19">
        <v>0</v>
      </c>
      <c r="G479" s="19">
        <v>0</v>
      </c>
      <c r="H479" s="19">
        <v>0</v>
      </c>
      <c r="I479" s="62" t="s">
        <v>162</v>
      </c>
      <c r="J479" s="42">
        <f t="shared" ref="J479:J488" si="19">IF(H479&lt;G479,1,0)</f>
        <v>0</v>
      </c>
    </row>
    <row r="480" spans="1:10" outlineLevel="1" x14ac:dyDescent="0.2">
      <c r="D480" s="62" t="s">
        <v>184</v>
      </c>
      <c r="E480" s="64"/>
      <c r="F480" s="19">
        <v>0</v>
      </c>
      <c r="G480" s="19">
        <v>0</v>
      </c>
      <c r="H480" s="19">
        <v>0</v>
      </c>
      <c r="I480" s="62" t="s">
        <v>162</v>
      </c>
      <c r="J480" s="42">
        <f t="shared" si="19"/>
        <v>0</v>
      </c>
    </row>
    <row r="481" spans="4:10" outlineLevel="1" x14ac:dyDescent="0.2">
      <c r="D481" s="62" t="s">
        <v>185</v>
      </c>
      <c r="E481" s="64"/>
      <c r="F481" s="19">
        <v>0</v>
      </c>
      <c r="G481" s="19">
        <v>0</v>
      </c>
      <c r="H481" s="19">
        <v>0</v>
      </c>
      <c r="I481" s="62" t="s">
        <v>162</v>
      </c>
      <c r="J481" s="42">
        <f t="shared" si="19"/>
        <v>0</v>
      </c>
    </row>
    <row r="482" spans="4:10" outlineLevel="1" x14ac:dyDescent="0.2">
      <c r="D482" s="62" t="s">
        <v>186</v>
      </c>
      <c r="E482" s="64"/>
      <c r="F482" s="19">
        <v>0</v>
      </c>
      <c r="G482" s="19">
        <v>0</v>
      </c>
      <c r="H482" s="19">
        <v>0</v>
      </c>
      <c r="I482" s="62" t="s">
        <v>162</v>
      </c>
      <c r="J482" s="42">
        <f t="shared" si="19"/>
        <v>0</v>
      </c>
    </row>
    <row r="483" spans="4:10" outlineLevel="1" x14ac:dyDescent="0.2">
      <c r="D483" s="62" t="s">
        <v>187</v>
      </c>
      <c r="E483" s="64"/>
      <c r="F483" s="19">
        <v>0</v>
      </c>
      <c r="G483" s="19">
        <v>0</v>
      </c>
      <c r="H483" s="19">
        <v>0</v>
      </c>
      <c r="I483" s="62" t="s">
        <v>162</v>
      </c>
      <c r="J483" s="42">
        <f t="shared" si="19"/>
        <v>0</v>
      </c>
    </row>
    <row r="484" spans="4:10" outlineLevel="1" x14ac:dyDescent="0.2">
      <c r="D484" s="62" t="s">
        <v>188</v>
      </c>
      <c r="E484" s="64"/>
      <c r="F484" s="19">
        <v>0</v>
      </c>
      <c r="G484" s="19">
        <v>0</v>
      </c>
      <c r="H484" s="19">
        <v>0</v>
      </c>
      <c r="I484" s="62" t="s">
        <v>162</v>
      </c>
      <c r="J484" s="42">
        <f t="shared" si="19"/>
        <v>0</v>
      </c>
    </row>
    <row r="485" spans="4:10" outlineLevel="1" x14ac:dyDescent="0.2">
      <c r="D485" s="62" t="s">
        <v>189</v>
      </c>
      <c r="E485" s="64"/>
      <c r="F485" s="19">
        <v>0</v>
      </c>
      <c r="G485" s="19">
        <v>0</v>
      </c>
      <c r="H485" s="19">
        <v>0</v>
      </c>
      <c r="I485" s="62" t="s">
        <v>162</v>
      </c>
      <c r="J485" s="42">
        <f t="shared" si="19"/>
        <v>0</v>
      </c>
    </row>
    <row r="486" spans="4:10" outlineLevel="1" x14ac:dyDescent="0.2">
      <c r="D486" s="62" t="s">
        <v>190</v>
      </c>
      <c r="E486" s="64"/>
      <c r="F486" s="19">
        <v>0</v>
      </c>
      <c r="G486" s="19">
        <v>0</v>
      </c>
      <c r="H486" s="19">
        <v>0</v>
      </c>
      <c r="I486" s="62" t="s">
        <v>162</v>
      </c>
      <c r="J486" s="42">
        <f t="shared" si="19"/>
        <v>0</v>
      </c>
    </row>
    <row r="487" spans="4:10" outlineLevel="1" x14ac:dyDescent="0.2">
      <c r="D487" s="62" t="s">
        <v>191</v>
      </c>
      <c r="E487" s="64"/>
      <c r="F487" s="19">
        <v>0</v>
      </c>
      <c r="G487" s="19">
        <v>0</v>
      </c>
      <c r="H487" s="19">
        <v>0</v>
      </c>
      <c r="I487" s="62" t="s">
        <v>162</v>
      </c>
      <c r="J487" s="42">
        <f t="shared" si="19"/>
        <v>0</v>
      </c>
    </row>
    <row r="488" spans="4:10" outlineLevel="1" x14ac:dyDescent="0.2">
      <c r="D488" s="62" t="s">
        <v>192</v>
      </c>
      <c r="E488" s="64"/>
      <c r="F488" s="19">
        <v>0</v>
      </c>
      <c r="G488" s="19">
        <v>0</v>
      </c>
      <c r="H488" s="19">
        <v>0</v>
      </c>
      <c r="I488" s="62" t="s">
        <v>162</v>
      </c>
      <c r="J488" s="42">
        <f t="shared" si="19"/>
        <v>0</v>
      </c>
    </row>
    <row r="489" spans="4:10" outlineLevel="1" x14ac:dyDescent="0.2">
      <c r="D489" s="55" t="str">
        <f>Lang_Error_Check_Flags_If_Input_Econ_Cost_Is_Less_Than_Fin_Cost</f>
        <v>ERROR CHECK (FLAGS IF INPUT ECONOMIC COST IS LESS THAN FINANCIAL COST)</v>
      </c>
      <c r="J489" s="43">
        <f>IF(ISERROR(SUM(J479:J488)),1,MIN(SUM(J479:J488),1))</f>
        <v>0</v>
      </c>
    </row>
    <row r="490" spans="4:10" outlineLevel="1" x14ac:dyDescent="0.2"/>
    <row r="491" spans="4:10" outlineLevel="1" x14ac:dyDescent="0.2">
      <c r="D491" s="47" t="str">
        <f>Lang_GoTo&amp;" "&amp;HL_LVL2_ACTV_16_Other_Direct_Costs_Outputs</f>
        <v>Go to Other Activity #5 - (Recurrent Costs Only) (Not in Use) Other Direct Costs - Outputs</v>
      </c>
    </row>
  </sheetData>
  <conditionalFormatting sqref="G28:H42 G51:H60 G69:H78 G87:H96">
    <cfRule type="expression" dxfId="36" priority="5">
      <formula>$E$15=1</formula>
    </cfRule>
  </conditionalFormatting>
  <conditionalFormatting sqref="G125:H139 G148:H157 G166:H175 G184:H193">
    <cfRule type="expression" dxfId="35" priority="4">
      <formula>$E$112=1</formula>
    </cfRule>
  </conditionalFormatting>
  <conditionalFormatting sqref="G222:H236 G245:H254 G263:H272 G281:H290">
    <cfRule type="expression" dxfId="34" priority="3">
      <formula>$E$209=1</formula>
    </cfRule>
  </conditionalFormatting>
  <conditionalFormatting sqref="G321:H335 G344:H353 G362:H371 G380:H389">
    <cfRule type="expression" dxfId="33" priority="2">
      <formula>$E$308=1</formula>
    </cfRule>
  </conditionalFormatting>
  <conditionalFormatting sqref="G420:H434 G443:H452 G461:H470 G479:H488">
    <cfRule type="expression" dxfId="32" priority="1">
      <formula>$E$407=1</formula>
    </cfRule>
  </conditionalFormatting>
  <conditionalFormatting sqref="J28:J43">
    <cfRule type="cellIs" dxfId="31" priority="118" operator="notEqual">
      <formula>0</formula>
    </cfRule>
  </conditionalFormatting>
  <conditionalFormatting sqref="J51:J61">
    <cfRule type="cellIs" dxfId="30" priority="113" operator="notEqual">
      <formula>0</formula>
    </cfRule>
  </conditionalFormatting>
  <conditionalFormatting sqref="J69:J79">
    <cfRule type="cellIs" dxfId="29" priority="112" operator="notEqual">
      <formula>0</formula>
    </cfRule>
  </conditionalFormatting>
  <conditionalFormatting sqref="J87:J97">
    <cfRule type="cellIs" dxfId="28" priority="111" operator="notEqual">
      <formula>0</formula>
    </cfRule>
  </conditionalFormatting>
  <conditionalFormatting sqref="J125:J140">
    <cfRule type="cellIs" dxfId="27" priority="117" operator="notEqual">
      <formula>0</formula>
    </cfRule>
  </conditionalFormatting>
  <conditionalFormatting sqref="J148:J158">
    <cfRule type="cellIs" dxfId="26" priority="110" operator="notEqual">
      <formula>0</formula>
    </cfRule>
  </conditionalFormatting>
  <conditionalFormatting sqref="J166:J176">
    <cfRule type="cellIs" dxfId="25" priority="109" operator="notEqual">
      <formula>0</formula>
    </cfRule>
  </conditionalFormatting>
  <conditionalFormatting sqref="J184:J194">
    <cfRule type="cellIs" dxfId="24" priority="108" operator="notEqual">
      <formula>0</formula>
    </cfRule>
  </conditionalFormatting>
  <conditionalFormatting sqref="J222:J237">
    <cfRule type="cellIs" dxfId="23" priority="116" operator="notEqual">
      <formula>0</formula>
    </cfRule>
  </conditionalFormatting>
  <conditionalFormatting sqref="J245:J255">
    <cfRule type="cellIs" dxfId="22" priority="107" operator="notEqual">
      <formula>0</formula>
    </cfRule>
  </conditionalFormatting>
  <conditionalFormatting sqref="J263:J273">
    <cfRule type="cellIs" dxfId="21" priority="106" operator="notEqual">
      <formula>0</formula>
    </cfRule>
  </conditionalFormatting>
  <conditionalFormatting sqref="J281:J291">
    <cfRule type="cellIs" dxfId="20" priority="105" operator="notEqual">
      <formula>0</formula>
    </cfRule>
  </conditionalFormatting>
  <conditionalFormatting sqref="J321:J336">
    <cfRule type="cellIs" dxfId="19" priority="115" operator="notEqual">
      <formula>0</formula>
    </cfRule>
  </conditionalFormatting>
  <conditionalFormatting sqref="J344:J354">
    <cfRule type="cellIs" dxfId="18" priority="104" operator="notEqual">
      <formula>0</formula>
    </cfRule>
  </conditionalFormatting>
  <conditionalFormatting sqref="J362:J372">
    <cfRule type="cellIs" dxfId="17" priority="103" operator="notEqual">
      <formula>0</formula>
    </cfRule>
  </conditionalFormatting>
  <conditionalFormatting sqref="J380:J390">
    <cfRule type="cellIs" dxfId="16" priority="102" operator="notEqual">
      <formula>0</formula>
    </cfRule>
  </conditionalFormatting>
  <conditionalFormatting sqref="J420:J435">
    <cfRule type="cellIs" dxfId="15" priority="114" operator="notEqual">
      <formula>0</formula>
    </cfRule>
  </conditionalFormatting>
  <conditionalFormatting sqref="J443:J453">
    <cfRule type="cellIs" dxfId="14" priority="101" operator="notEqual">
      <formula>0</formula>
    </cfRule>
  </conditionalFormatting>
  <conditionalFormatting sqref="J461:J471">
    <cfRule type="cellIs" dxfId="13" priority="100" operator="notEqual">
      <formula>0</formula>
    </cfRule>
  </conditionalFormatting>
  <conditionalFormatting sqref="J479:J489">
    <cfRule type="cellIs" dxfId="12" priority="99" operator="notEqual">
      <formula>0</formula>
    </cfRule>
  </conditionalFormatting>
  <dataValidations count="6">
    <dataValidation type="custom" showErrorMessage="1" errorTitle="Invalid Assumption" error="Assumption must be a number." sqref="F380:H389 E414 F51:H60 F69:H78 F87:H96 F28:H42 F222:H236 F344:H353 F362:H371 E119 E216 F184:H193 F263:H272 F245:H254 F420:H434 E22 F281:H290 F166:H175 F148:H157 F125:H139 F321:H335 F479:H488 F461:H470 F443:H452 E315" xr:uid="{00000000-0002-0000-2600-000000000000}">
      <formula1>NOT(ISERROR(E22/1))</formula1>
    </dataValidation>
    <dataValidation type="whole" showDropDown="1" showErrorMessage="1" errorTitle="Drop Down Box Cell Link" error="The value in a drop down box cell link must be a whole number within the control's lookup range rows." sqref="E308" xr:uid="{00000000-0002-0000-2600-000001000000}">
      <formula1>1</formula1>
      <formula2>ROWS(LU_LVL2_ACTV_7_Currencies)</formula2>
    </dataValidation>
    <dataValidation type="whole" showDropDown="1" showErrorMessage="1" errorTitle="Drop Down Box Cell Link" error="The value in a drop down box cell link must be a whole number within the control's lookup range rows." sqref="E15" xr:uid="{00000000-0002-0000-2600-000002000000}">
      <formula1>1</formula1>
      <formula2>ROWS(LU_TOP_ACTV_6_Currencies)</formula2>
    </dataValidation>
    <dataValidation type="whole" showDropDown="1" showErrorMessage="1" errorTitle="Drop Down Box Cell Link" error="The value in a drop down box cell link must be a whole number within the control's lookup range rows." sqref="E209" xr:uid="{00000000-0002-0000-2600-000003000000}">
      <formula1>1</formula1>
      <formula2>ROWS(LU_TOP_ACTV_19_Currencies)</formula2>
    </dataValidation>
    <dataValidation type="whole" showDropDown="1" showErrorMessage="1" errorTitle="Drop Down Box Cell Link" error="The value in a drop down box cell link must be a whole number within the control's lookup range rows." sqref="E112" xr:uid="{00000000-0002-0000-2600-000004000000}">
      <formula1>1</formula1>
      <formula2>ROWS(LU_TOP_ACTV_20_Currencies)</formula2>
    </dataValidation>
    <dataValidation type="whole" showDropDown="1" showErrorMessage="1" errorTitle="Drop Down Box Cell Link" error="The value in a drop down box cell link must be a whole number within the control's lookup range rows." sqref="E407" xr:uid="{00000000-0002-0000-2600-000005000000}">
      <formula1>1</formula1>
      <formula2>ROWS(LU_LVL2_ACTV_16_Currencies)</formula2>
    </dataValidation>
  </dataValidations>
  <hyperlinks>
    <hyperlink ref="D392" location="HL_LVL2_ACTV_7_Other_Direct_Costs_Outputs" tooltip="Click to follow hyperlink." display="HL_LVL2_ACTV_7_Other_Direct_Costs_Outputs" xr:uid="{00000000-0004-0000-2600-000000000000}"/>
    <hyperlink ref="D374" location="HL_LVL2_ACTV_7_Supplies_and_Materials_Outputs" tooltip="Click to follow hyperlink." display="HL_LVL2_ACTV_7_Supplies_and_Materials_Outputs" xr:uid="{00000000-0004-0000-2600-000001000000}"/>
    <hyperlink ref="D356" location="HL_LVL2_ACTV_7_Out_A" tooltip="Click to follow hyperlink." display="HL_LVL2_ACTV_7_Out_A" xr:uid="{00000000-0004-0000-2600-000002000000}"/>
    <hyperlink ref="D338" location="HL_LVL2_ACTV_7_Personnel_Outputs" tooltip="Click to follow hyperlink." display="HL_LVL2_ACTV_7_Personnel_Outputs" xr:uid="{00000000-0004-0000-2600-000003000000}"/>
    <hyperlink ref="A304" location="HL_LVL2_ACTV_7_Personnel_Assumptions" tooltip="Click to follow hyperlink." display="HL_LVL2_ACTV_7_Personnel_Assumptions" xr:uid="{00000000-0004-0000-2600-000004000000}"/>
    <hyperlink ref="A295" location="HL_LVL2_ACTV_7_Ass_B" tooltip="Click to follow hyperlink." display="HL_LVL2_ACTV_7_Ass_B" xr:uid="{00000000-0004-0000-2600-000005000000}"/>
    <hyperlink ref="D99" location="HL_TOP_ACTV_6_Other_Direct_Costs_Outputs" tooltip="Click to follow hyperlink." display="HL_TOP_ACTV_6_Other_Direct_Costs_Outputs" xr:uid="{00000000-0004-0000-2600-000006000000}"/>
    <hyperlink ref="D81" location="HL_TOP_ACTV_6_Supplies_and_Materials_Outputs" tooltip="Click to follow hyperlink." display="HL_TOP_ACTV_6_Supplies_and_Materials_Outputs" xr:uid="{00000000-0004-0000-2600-000007000000}"/>
    <hyperlink ref="D63" location="HL_TOP_ACTV_6_Out_A" tooltip="Click to follow hyperlink." display="HL_TOP_ACTV_6_Out_A" xr:uid="{00000000-0004-0000-2600-000008000000}"/>
    <hyperlink ref="D45" location="HL_TOP_ACTV_6_Personnel_Outputs" tooltip="Click to follow hyperlink." display="HL_TOP_ACTV_6_Personnel_Outputs" xr:uid="{00000000-0004-0000-2600-000009000000}"/>
    <hyperlink ref="A12" location="HL_TOP_ACTV_6_Personnel_Assumptions" tooltip="Click to follow hyperlink." display="HL_TOP_ACTV_6_Personnel_Assumptions" xr:uid="{00000000-0004-0000-2600-00000A000000}"/>
    <hyperlink ref="A4" location="HL_TOP_ACTV_6_Ass_B" tooltip="Click to follow hyperlink." display="HL_TOP_ACTV_6_Ass_B" xr:uid="{00000000-0004-0000-2600-00000B000000}"/>
    <hyperlink ref="A198" location="HL_TOP_ACTV_19_Ass_B" tooltip="Click to follow hyperlink." display="HL_TOP_ACTV_19_Ass_B" xr:uid="{00000000-0004-0000-2600-00000C000000}"/>
    <hyperlink ref="A206" location="HL_TOP_ACTV_19_Personnel_Assumptions" tooltip="Click to follow hyperlink." display="HL_TOP_ACTV_19_Personnel_Assumptions" xr:uid="{00000000-0004-0000-2600-00000D000000}"/>
    <hyperlink ref="D239" location="HL_TOP_ACTV_19_Personnel_Outputs" tooltip="Click to follow hyperlink." display="HL_TOP_ACTV_19_Personnel_Outputs" xr:uid="{00000000-0004-0000-2600-00000E000000}"/>
    <hyperlink ref="D257" location="HL_TOP_ACTV_19_Out_A" tooltip="Click to follow hyperlink." display="HL_TOP_ACTV_19_Out_A" xr:uid="{00000000-0004-0000-2600-00000F000000}"/>
    <hyperlink ref="D275" location="HL_TOP_ACTV_19_Supplies_and_Materials_Outputs" tooltip="Click to follow hyperlink." display="HL_TOP_ACTV_19_Supplies_and_Materials_Outputs" xr:uid="{00000000-0004-0000-2600-000010000000}"/>
    <hyperlink ref="D196" location="HL_TOP_ACTV_19_Other_Direct_Costs_Outputs" tooltip="Click to follow hyperlink." display="HL_TOP_ACTV_19_Other_Direct_Costs_Outputs" xr:uid="{00000000-0004-0000-2600-000011000000}"/>
    <hyperlink ref="A101" location="HL_TOP_ACTV_20_Ass_B" tooltip="Click to follow hyperlink." display="HL_TOP_ACTV_20_Ass_B" xr:uid="{00000000-0004-0000-2600-000012000000}"/>
    <hyperlink ref="A109" location="HL_TOP_ACTV_20_Personnel_Assumptions" tooltip="Click to follow hyperlink." display="HL_TOP_ACTV_20_Personnel_Assumptions" xr:uid="{00000000-0004-0000-2600-000013000000}"/>
    <hyperlink ref="D142" location="HL_TOP_ACTV_20_Personnel_Outputs" tooltip="Click to follow hyperlink." display="HL_TOP_ACTV_20_Personnel_Outputs" xr:uid="{00000000-0004-0000-2600-000014000000}"/>
    <hyperlink ref="D160" location="HL_TOP_ACTV_20_Out_A" tooltip="Click to follow hyperlink." display="HL_TOP_ACTV_20_Out_A" xr:uid="{00000000-0004-0000-2600-000015000000}"/>
    <hyperlink ref="D178" location="HL_TOP_ACTV_20_Supplies_and_Materials_Outputs" tooltip="Click to follow hyperlink." display="HL_TOP_ACTV_20_Supplies_and_Materials_Outputs" xr:uid="{00000000-0004-0000-2600-000016000000}"/>
    <hyperlink ref="D293" location="HL_TOP_ACTV_20_Other_Direct_Costs_Outputs" tooltip="Click to follow hyperlink." display="HL_TOP_ACTV_20_Other_Direct_Costs_Outputs" xr:uid="{00000000-0004-0000-2600-000017000000}"/>
    <hyperlink ref="A394" location="HL_LVL2_ACTV_16_Ass_B" tooltip="Click to follow hyperlink." display="HL_LVL2_ACTV_16_Ass_B" xr:uid="{00000000-0004-0000-2600-000018000000}"/>
    <hyperlink ref="A403" location="HL_LVL2_ACTV_16_Personnel_Assumptions" tooltip="Click to follow hyperlink." display="HL_LVL2_ACTV_16_Personnel_Assumptions" xr:uid="{00000000-0004-0000-2600-000019000000}"/>
    <hyperlink ref="D437" location="HL_LVL2_ACTV_16_Personnel_Outputs" tooltip="Click to follow hyperlink." display="HL_LVL2_ACTV_16_Personnel_Outputs" xr:uid="{00000000-0004-0000-2600-00001A000000}"/>
    <hyperlink ref="D455" location="HL_LVL2_ACTV_16_Out_A" tooltip="Click to follow hyperlink." display="HL_LVL2_ACTV_16_Out_A" xr:uid="{00000000-0004-0000-2600-00001B000000}"/>
    <hyperlink ref="D473" location="HL_LVL2_ACTV_16_Supplies_and_Materials_Outputs" tooltip="Click to follow hyperlink." display="HL_LVL2_ACTV_16_Supplies_and_Materials_Outputs" xr:uid="{00000000-0004-0000-2600-00001C000000}"/>
    <hyperlink ref="D491" location="HL_LVL2_ACTV_16_Other_Direct_Costs_Outputs" tooltip="Click to follow hyperlink." display="HL_LVL2_ACTV_16_Other_Direct_Costs_Outputs" xr:uid="{00000000-0004-0000-2600-00001D000000}"/>
    <hyperlink ref="A1" location="Contents!A1" tooltip="Go to Table of Contents" display="±" xr:uid="{00000000-0004-0000-2600-00001E000000}"/>
  </hyperlinks>
  <pageMargins left="0.7" right="0.7" top="0.75" bottom="0.75" header="0.3" footer="0.3"/>
  <pageSetup scale="58" fitToHeight="0" orientation="landscape" horizontalDpi="0" verticalDpi="0" r:id="rId1"/>
  <headerFooter>
    <oddFooter>&amp;L&amp;B Confidential&amp;B&amp;C&amp;D&amp;RPage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1257" r:id="rId4" name="bpmDropDownLVL2_ACTV_71">
              <controlPr defaultSize="0" autoFill="0" autoPict="0">
                <anchor moveWithCells="1" sizeWithCells="1">
                  <from>
                    <xdr:col>4</xdr:col>
                    <xdr:colOff>0</xdr:colOff>
                    <xdr:row>307</xdr:row>
                    <xdr:rowOff>0</xdr:rowOff>
                  </from>
                  <to>
                    <xdr:col>5</xdr:col>
                    <xdr:colOff>0</xdr:colOff>
                    <xdr:row>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58" r:id="rId5" name="bpmDropDownTOP_ACTV_61">
              <controlPr defaultSize="0" autoFill="0" autoPict="0">
                <anchor moveWithCells="1" sizeWithCells="1">
                  <from>
                    <xdr:col>4</xdr:col>
                    <xdr:colOff>0</xdr:colOff>
                    <xdr:row>14</xdr:row>
                    <xdr:rowOff>0</xdr:rowOff>
                  </from>
                  <to>
                    <xdr:col>5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63" r:id="rId6" name="bpmDropDownTOP_ACTV_191">
              <controlPr defaultSize="0" autoFill="0" autoPict="0">
                <anchor moveWithCells="1" sizeWithCells="1">
                  <from>
                    <xdr:col>4</xdr:col>
                    <xdr:colOff>0</xdr:colOff>
                    <xdr:row>208</xdr:row>
                    <xdr:rowOff>0</xdr:rowOff>
                  </from>
                  <to>
                    <xdr:col>5</xdr:col>
                    <xdr:colOff>0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68" r:id="rId7" name="bpmDropDownTOP_ACTV_201">
              <controlPr defaultSize="0" autoFill="0" autoPict="0">
                <anchor moveWithCells="1" sizeWithCells="1">
                  <from>
                    <xdr:col>4</xdr:col>
                    <xdr:colOff>0</xdr:colOff>
                    <xdr:row>111</xdr:row>
                    <xdr:rowOff>0</xdr:rowOff>
                  </from>
                  <to>
                    <xdr:col>5</xdr:col>
                    <xdr:colOff>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73" r:id="rId8" name="bpmDropDownLVL2_ACTV_161">
              <controlPr defaultSize="0" autoFill="0" autoPict="0">
                <anchor moveWithCells="1" sizeWithCells="1">
                  <from>
                    <xdr:col>4</xdr:col>
                    <xdr:colOff>0</xdr:colOff>
                    <xdr:row>406</xdr:row>
                    <xdr:rowOff>0</xdr:rowOff>
                  </from>
                  <to>
                    <xdr:col>5</xdr:col>
                    <xdr:colOff>0</xdr:colOff>
                    <xdr:row>407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FF0000"/>
    <outlinePr showOutlineSymbols="0"/>
    <pageSetUpPr autoPageBreaks="0" fitToPage="1"/>
  </sheetPr>
  <dimension ref="A1:S418"/>
  <sheetViews>
    <sheetView showGridLines="0" showOutlineSymbols="0" zoomScaleNormal="100" workbookViewId="0">
      <pane xSplit="1" ySplit="6" topLeftCell="B7" activePane="bottomRight" state="frozen"/>
      <selection activeCell="I511" sqref="I511"/>
      <selection pane="topRight" activeCell="I511" sqref="I511"/>
      <selection pane="bottomLeft" activeCell="I511" sqref="I511"/>
      <selection pane="bottomRight" activeCell="Q25" sqref="Q25"/>
    </sheetView>
  </sheetViews>
  <sheetFormatPr defaultColWidth="0" defaultRowHeight="12" zeroHeight="1" outlineLevelRow="1" x14ac:dyDescent="0.2"/>
  <cols>
    <col min="1" max="2" width="3.7109375" customWidth="1"/>
    <col min="3" max="3" width="5.7109375" customWidth="1"/>
    <col min="4" max="6" width="3.7109375" customWidth="1"/>
    <col min="7" max="7" width="11.7109375" customWidth="1"/>
    <col min="8" max="8" width="1.5703125" customWidth="1"/>
    <col min="9" max="16" width="11.7109375" customWidth="1"/>
    <col min="17" max="17" width="6.85546875" customWidth="1"/>
    <col min="18" max="19" width="11.7109375" customWidth="1"/>
    <col min="20" max="16384" width="11.7109375" hidden="1"/>
  </cols>
  <sheetData>
    <row r="1" spans="1:16" ht="23.25" x14ac:dyDescent="0.2">
      <c r="B1" s="1" t="str">
        <f>Lang_HL_Home</f>
        <v>Table of Contents</v>
      </c>
    </row>
    <row r="2" spans="1:16" ht="18" x14ac:dyDescent="0.2">
      <c r="B2" s="60" t="str">
        <f ca="1">Model_Name</f>
        <v>Cervical Cancer Prevention and Control Costing (C4P) Tool (Cost Projection)</v>
      </c>
    </row>
    <row r="3" spans="1:16" x14ac:dyDescent="0.2">
      <c r="B3" s="454" t="str">
        <f>Lang_Goto_Cover</f>
        <v>Go to Cover Sheet</v>
      </c>
      <c r="C3" s="454"/>
      <c r="D3" s="454"/>
      <c r="E3" s="454"/>
      <c r="F3" s="454"/>
      <c r="G3" s="454"/>
      <c r="H3" s="454"/>
      <c r="I3" s="454"/>
    </row>
    <row r="4" spans="1:16" x14ac:dyDescent="0.2"/>
    <row r="5" spans="1:16" x14ac:dyDescent="0.2"/>
    <row r="6" spans="1:16" s="13" customFormat="1" x14ac:dyDescent="0.2">
      <c r="A6" s="3" t="s">
        <v>5</v>
      </c>
      <c r="B6" s="20" t="str">
        <f>Lang_Section_Sheet_Titles</f>
        <v>Section &amp; Sheet Titles</v>
      </c>
    </row>
    <row r="7" spans="1:16" x14ac:dyDescent="0.2"/>
    <row r="8" spans="1:16" x14ac:dyDescent="0.2">
      <c r="D8" s="457" t="s">
        <v>2448</v>
      </c>
      <c r="E8" s="457"/>
      <c r="F8" s="457"/>
      <c r="G8" s="457"/>
    </row>
    <row r="9" spans="1:16" outlineLevel="1" x14ac:dyDescent="0.2">
      <c r="F9" s="453" t="s">
        <v>59</v>
      </c>
      <c r="G9" s="453"/>
      <c r="H9" s="455" t="str">
        <f>Dashboard!B1</f>
        <v>Dashboard</v>
      </c>
      <c r="I9" s="455"/>
      <c r="J9" s="455"/>
      <c r="K9" s="455"/>
      <c r="L9" s="455"/>
      <c r="M9" s="455"/>
      <c r="N9" s="455"/>
      <c r="O9" s="455"/>
      <c r="P9" s="455"/>
    </row>
    <row r="10" spans="1:16" outlineLevel="1" x14ac:dyDescent="0.2">
      <c r="F10" s="453" t="s">
        <v>68</v>
      </c>
      <c r="G10" s="453"/>
      <c r="H10" s="455" t="str">
        <f>Analysis!B1</f>
        <v>Analysis</v>
      </c>
      <c r="I10" s="455"/>
      <c r="J10" s="455"/>
      <c r="K10" s="455"/>
      <c r="L10" s="455"/>
      <c r="M10" s="455"/>
      <c r="N10" s="455"/>
      <c r="O10" s="455"/>
      <c r="P10" s="455"/>
    </row>
    <row r="11" spans="1:16" outlineLevel="1" x14ac:dyDescent="0.2">
      <c r="H11" s="34" t="s">
        <v>62</v>
      </c>
      <c r="I11" s="456" t="str">
        <f>TOC_Hdg_420</f>
        <v>Analysis - Target Population Count</v>
      </c>
      <c r="J11" s="456"/>
      <c r="K11" s="456"/>
      <c r="L11" s="456"/>
      <c r="M11" s="456"/>
      <c r="N11" s="456"/>
      <c r="O11" s="456"/>
      <c r="P11" s="456"/>
    </row>
    <row r="12" spans="1:16" outlineLevel="1" x14ac:dyDescent="0.2">
      <c r="H12" s="34" t="s">
        <v>62</v>
      </c>
      <c r="I12" s="456" t="str">
        <f>TOC_Hdg_421</f>
        <v>Analysis - Immunization Coverage</v>
      </c>
      <c r="J12" s="456"/>
      <c r="K12" s="456"/>
      <c r="L12" s="456"/>
      <c r="M12" s="456"/>
      <c r="N12" s="456"/>
      <c r="O12" s="456"/>
      <c r="P12" s="456"/>
    </row>
    <row r="13" spans="1:16" outlineLevel="1" x14ac:dyDescent="0.2">
      <c r="H13" s="34" t="s">
        <v>62</v>
      </c>
      <c r="I13" s="456" t="str">
        <f>TOC_Hdg_422</f>
        <v>Analysis - Vaccine and Injection Supply Quantities (includes administered and wasted)</v>
      </c>
      <c r="J13" s="456"/>
      <c r="K13" s="456"/>
      <c r="L13" s="456"/>
      <c r="M13" s="456"/>
      <c r="N13" s="456"/>
      <c r="O13" s="456"/>
      <c r="P13" s="456"/>
    </row>
    <row r="14" spans="1:16" outlineLevel="1" x14ac:dyDescent="0.2">
      <c r="H14" s="34" t="s">
        <v>62</v>
      </c>
      <c r="I14" s="456" t="str">
        <f>TOC_Hdg_423</f>
        <v>Analysis - Vaccine and Injection Supply Costs</v>
      </c>
      <c r="J14" s="456"/>
      <c r="K14" s="456"/>
      <c r="L14" s="456"/>
      <c r="M14" s="456"/>
      <c r="N14" s="456"/>
      <c r="O14" s="456"/>
      <c r="P14" s="456"/>
    </row>
    <row r="15" spans="1:16" outlineLevel="1" x14ac:dyDescent="0.2">
      <c r="H15" s="34" t="s">
        <v>62</v>
      </c>
      <c r="I15" s="456" t="str">
        <f>TOC_Hdg_426</f>
        <v>Analysis - Microplanning</v>
      </c>
      <c r="J15" s="456"/>
      <c r="K15" s="456"/>
      <c r="L15" s="456"/>
      <c r="M15" s="456"/>
      <c r="N15" s="456"/>
      <c r="O15" s="456"/>
      <c r="P15" s="456"/>
    </row>
    <row r="16" spans="1:16" outlineLevel="1" x14ac:dyDescent="0.2">
      <c r="H16" s="34" t="s">
        <v>62</v>
      </c>
      <c r="I16" s="456" t="str">
        <f>TOC_Hdg_427</f>
        <v>Analysis - Training</v>
      </c>
      <c r="J16" s="456"/>
      <c r="K16" s="456"/>
      <c r="L16" s="456"/>
      <c r="M16" s="456"/>
      <c r="N16" s="456"/>
      <c r="O16" s="456"/>
      <c r="P16" s="456"/>
    </row>
    <row r="17" spans="2:18" outlineLevel="1" x14ac:dyDescent="0.2">
      <c r="H17" s="34" t="s">
        <v>62</v>
      </c>
      <c r="I17" s="456" t="str">
        <f>TOC_Hdg_428</f>
        <v>Analysis - Sensitisation</v>
      </c>
      <c r="J17" s="456"/>
      <c r="K17" s="456"/>
      <c r="L17" s="456"/>
      <c r="M17" s="456"/>
      <c r="N17" s="456"/>
      <c r="O17" s="456"/>
      <c r="P17" s="456"/>
    </row>
    <row r="18" spans="2:18" outlineLevel="1" x14ac:dyDescent="0.2">
      <c r="H18" s="34" t="s">
        <v>62</v>
      </c>
      <c r="I18" s="456" t="str">
        <f>TOC_Hdg_429</f>
        <v>Analysis - Social Mobilisation</v>
      </c>
      <c r="J18" s="456"/>
      <c r="K18" s="456"/>
      <c r="L18" s="456"/>
      <c r="M18" s="456"/>
      <c r="N18" s="456"/>
      <c r="O18" s="456"/>
      <c r="P18" s="456"/>
    </row>
    <row r="19" spans="2:18" outlineLevel="1" x14ac:dyDescent="0.2">
      <c r="H19" s="34" t="s">
        <v>62</v>
      </c>
      <c r="I19" s="456" t="str">
        <f>TOC_Hdg_430</f>
        <v>Analysis - Service Delivery</v>
      </c>
      <c r="J19" s="456"/>
      <c r="K19" s="456"/>
      <c r="L19" s="456"/>
      <c r="M19" s="456"/>
      <c r="N19" s="456"/>
      <c r="O19" s="456"/>
      <c r="P19" s="456"/>
    </row>
    <row r="20" spans="2:18" outlineLevel="1" x14ac:dyDescent="0.2">
      <c r="H20" s="34" t="s">
        <v>62</v>
      </c>
      <c r="I20" s="456" t="str">
        <f>TOC_Hdg_431</f>
        <v>Analysis - Supervision</v>
      </c>
      <c r="J20" s="456"/>
      <c r="K20" s="456"/>
      <c r="L20" s="456"/>
      <c r="M20" s="456"/>
      <c r="N20" s="456"/>
      <c r="O20" s="456"/>
      <c r="P20" s="456"/>
    </row>
    <row r="21" spans="2:18" outlineLevel="1" x14ac:dyDescent="0.2">
      <c r="H21" s="34" t="s">
        <v>62</v>
      </c>
      <c r="I21" s="456" t="str">
        <f>TOC_Hdg_473</f>
        <v>Analysis - Other</v>
      </c>
      <c r="J21" s="456"/>
      <c r="K21" s="456"/>
      <c r="L21" s="456"/>
      <c r="M21" s="456"/>
      <c r="N21" s="456"/>
      <c r="O21" s="456"/>
      <c r="P21" s="456"/>
    </row>
    <row r="22" spans="2:18" outlineLevel="1" x14ac:dyDescent="0.2">
      <c r="H22" s="34" t="s">
        <v>62</v>
      </c>
      <c r="I22" s="456" t="str">
        <f>TOC_Hdg_178</f>
        <v>Analysis - Cold Chain Expansion</v>
      </c>
      <c r="J22" s="456"/>
      <c r="K22" s="456"/>
      <c r="L22" s="456"/>
      <c r="M22" s="456"/>
      <c r="N22" s="456"/>
      <c r="O22" s="456"/>
      <c r="P22" s="456"/>
    </row>
    <row r="23" spans="2:18" outlineLevel="1" x14ac:dyDescent="0.2">
      <c r="H23" s="34" t="s">
        <v>62</v>
      </c>
      <c r="I23" s="456" t="str">
        <f>TOC_Hdg_186</f>
        <v>Analysis - Other Capital Investments</v>
      </c>
      <c r="J23" s="456"/>
      <c r="K23" s="456"/>
      <c r="L23" s="456"/>
      <c r="M23" s="456"/>
      <c r="N23" s="456"/>
      <c r="O23" s="456"/>
      <c r="P23" s="456"/>
    </row>
    <row r="24" spans="2:18" outlineLevel="1" x14ac:dyDescent="0.2">
      <c r="H24" s="34"/>
      <c r="I24" s="418"/>
      <c r="J24" s="418"/>
      <c r="K24" s="418"/>
      <c r="L24" s="418"/>
      <c r="M24" s="418"/>
      <c r="N24" s="418"/>
      <c r="O24" s="418"/>
      <c r="P24" s="418"/>
    </row>
    <row r="25" spans="2:18" outlineLevel="1" x14ac:dyDescent="0.2">
      <c r="H25" s="34"/>
      <c r="I25" s="418"/>
      <c r="J25" s="418"/>
      <c r="K25" s="418"/>
      <c r="L25" s="418"/>
      <c r="M25" s="418"/>
      <c r="N25" s="418"/>
      <c r="O25" s="418"/>
      <c r="P25" s="418"/>
    </row>
    <row r="26" spans="2:18" ht="12" customHeight="1" x14ac:dyDescent="0.2">
      <c r="B26" s="452">
        <v>1</v>
      </c>
      <c r="C26" s="452"/>
      <c r="D26" s="457" t="str">
        <f>Assumptions!C9</f>
        <v>Assumptions</v>
      </c>
      <c r="E26" s="457"/>
      <c r="F26" s="457"/>
      <c r="G26" s="457"/>
      <c r="H26" s="457"/>
      <c r="I26" s="457"/>
      <c r="J26" s="457"/>
      <c r="K26" s="457"/>
      <c r="L26" s="457"/>
      <c r="M26" s="457"/>
      <c r="N26" s="457"/>
      <c r="O26" s="458"/>
      <c r="P26" s="457"/>
    </row>
    <row r="27" spans="2:18" outlineLevel="1" x14ac:dyDescent="0.2">
      <c r="F27" s="453" t="s">
        <v>59</v>
      </c>
      <c r="G27" s="453"/>
      <c r="H27" s="455" t="str">
        <f>TIME_SERIES!B1</f>
        <v>Time Series</v>
      </c>
      <c r="I27" s="455"/>
      <c r="J27" s="455"/>
      <c r="K27" s="455"/>
      <c r="L27" s="455"/>
      <c r="M27" s="455"/>
      <c r="N27" s="455"/>
      <c r="O27" s="455"/>
      <c r="P27" s="455"/>
    </row>
    <row r="28" spans="2:18" outlineLevel="1" x14ac:dyDescent="0.2">
      <c r="F28" s="453" t="s">
        <v>68</v>
      </c>
      <c r="G28" s="453"/>
      <c r="H28" s="455" t="str">
        <f>LABELS!B1</f>
        <v>Labels for Important Data Points</v>
      </c>
      <c r="I28" s="455"/>
      <c r="J28" s="455"/>
      <c r="K28" s="455"/>
      <c r="L28" s="455"/>
      <c r="M28" s="455"/>
      <c r="N28" s="455"/>
      <c r="O28" s="455"/>
      <c r="P28" s="455"/>
    </row>
    <row r="29" spans="2:18" outlineLevel="1" x14ac:dyDescent="0.2">
      <c r="F29" s="453" t="s">
        <v>69</v>
      </c>
      <c r="G29" s="453"/>
      <c r="H29" s="455" t="str">
        <f>ECONOMICS!B1</f>
        <v>Economic</v>
      </c>
      <c r="I29" s="455"/>
      <c r="J29" s="455"/>
      <c r="K29" s="455"/>
      <c r="L29" s="455"/>
      <c r="M29" s="455"/>
      <c r="N29" s="455"/>
      <c r="O29" s="455"/>
      <c r="P29" s="455"/>
      <c r="R29" s="401"/>
    </row>
    <row r="30" spans="2:18" outlineLevel="1" x14ac:dyDescent="0.2">
      <c r="F30" s="453" t="s">
        <v>74</v>
      </c>
      <c r="G30" s="453"/>
      <c r="H30" s="455" t="str">
        <f>COUNTS!B1</f>
        <v>Counts</v>
      </c>
      <c r="I30" s="455"/>
      <c r="J30" s="455"/>
      <c r="K30" s="455"/>
      <c r="L30" s="455"/>
      <c r="M30" s="455"/>
      <c r="N30" s="455"/>
      <c r="O30" s="455"/>
      <c r="P30" s="455"/>
      <c r="R30" s="401"/>
    </row>
    <row r="31" spans="2:18" outlineLevel="1" x14ac:dyDescent="0.2">
      <c r="F31" s="453" t="s">
        <v>75</v>
      </c>
      <c r="G31" s="453"/>
      <c r="H31" s="455" t="str">
        <f>COVERAGE!B1</f>
        <v>Immunization Coverage Assumptions</v>
      </c>
      <c r="I31" s="455"/>
      <c r="J31" s="455"/>
      <c r="K31" s="455"/>
      <c r="L31" s="455"/>
      <c r="M31" s="455"/>
      <c r="N31" s="455"/>
      <c r="O31" s="455"/>
      <c r="P31" s="455"/>
      <c r="R31" s="401"/>
    </row>
    <row r="32" spans="2:18" outlineLevel="1" x14ac:dyDescent="0.2">
      <c r="F32" s="453" t="s">
        <v>76</v>
      </c>
      <c r="G32" s="453"/>
      <c r="H32" s="455" t="str">
        <f>'VACCS_&amp;_SUPPLIES'!B1</f>
        <v>Vaccine</v>
      </c>
      <c r="I32" s="455"/>
      <c r="J32" s="455"/>
      <c r="K32" s="455"/>
      <c r="L32" s="455"/>
      <c r="M32" s="455"/>
      <c r="N32" s="455"/>
      <c r="O32" s="455"/>
      <c r="P32" s="455"/>
    </row>
    <row r="33" spans="2:16" outlineLevel="1" x14ac:dyDescent="0.2">
      <c r="F33" s="453" t="s">
        <v>83</v>
      </c>
      <c r="G33" s="453"/>
      <c r="H33" s="455" t="str">
        <f>SERVICE_DELIVERY!B1</f>
        <v>Service Delivery -  Annual Assumptions</v>
      </c>
      <c r="I33" s="455"/>
      <c r="J33" s="455"/>
      <c r="K33" s="455"/>
      <c r="L33" s="455"/>
      <c r="M33" s="455"/>
      <c r="N33" s="455"/>
      <c r="O33" s="455"/>
      <c r="P33" s="455"/>
    </row>
    <row r="34" spans="2:16" outlineLevel="1" x14ac:dyDescent="0.2">
      <c r="F34" s="453" t="s">
        <v>84</v>
      </c>
      <c r="G34" s="453"/>
      <c r="H34" s="455" t="str">
        <f>MICROPLANNING!B1</f>
        <v>Microplanning Activities - Annual Assumptions</v>
      </c>
      <c r="I34" s="455"/>
      <c r="J34" s="455"/>
      <c r="K34" s="455"/>
      <c r="L34" s="455"/>
      <c r="M34" s="455"/>
      <c r="N34" s="455"/>
      <c r="O34" s="455"/>
      <c r="P34" s="455"/>
    </row>
    <row r="35" spans="2:16" outlineLevel="1" x14ac:dyDescent="0.2">
      <c r="F35" s="453" t="s">
        <v>93</v>
      </c>
      <c r="G35" s="453"/>
      <c r="H35" s="455" t="str">
        <f>TRAINING!B1</f>
        <v>Training Activities - Annual Assumptions</v>
      </c>
      <c r="I35" s="455"/>
      <c r="J35" s="455"/>
      <c r="K35" s="455"/>
      <c r="L35" s="455"/>
      <c r="M35" s="455"/>
      <c r="N35" s="455"/>
      <c r="O35" s="455"/>
      <c r="P35" s="455"/>
    </row>
    <row r="36" spans="2:16" outlineLevel="1" x14ac:dyDescent="0.2">
      <c r="F36" s="453" t="s">
        <v>94</v>
      </c>
      <c r="G36" s="453"/>
      <c r="H36" s="455" t="str">
        <f>SENSITISATION!B1</f>
        <v>Sensitisation Activities - Annual Assumptions</v>
      </c>
      <c r="I36" s="455"/>
      <c r="J36" s="455"/>
      <c r="K36" s="455"/>
      <c r="L36" s="455"/>
      <c r="M36" s="455"/>
      <c r="N36" s="455"/>
      <c r="O36" s="455"/>
      <c r="P36" s="455"/>
    </row>
    <row r="37" spans="2:16" outlineLevel="1" x14ac:dyDescent="0.2">
      <c r="F37" s="453" t="s">
        <v>95</v>
      </c>
      <c r="G37" s="453"/>
      <c r="H37" s="455" t="str">
        <f>SOCIAL_MOBILISATION!B1</f>
        <v>IEC/ Social Mobilisation Activities - Annual Assumptions</v>
      </c>
      <c r="I37" s="455"/>
      <c r="J37" s="455"/>
      <c r="K37" s="455"/>
      <c r="L37" s="455"/>
      <c r="M37" s="455"/>
      <c r="N37" s="455"/>
      <c r="O37" s="455"/>
      <c r="P37" s="455"/>
    </row>
    <row r="38" spans="2:16" outlineLevel="1" x14ac:dyDescent="0.2">
      <c r="F38" s="453" t="s">
        <v>96</v>
      </c>
      <c r="G38" s="453"/>
      <c r="H38" s="455" t="str">
        <f>SUPERVISION!B1</f>
        <v>Supervision , Monitoring, and Evaluation Activities (SME) - Annual Assumptions</v>
      </c>
      <c r="I38" s="455"/>
      <c r="J38" s="455"/>
      <c r="K38" s="455"/>
      <c r="L38" s="455"/>
      <c r="M38" s="455"/>
      <c r="N38" s="455"/>
      <c r="O38" s="455"/>
      <c r="P38" s="455"/>
    </row>
    <row r="39" spans="2:16" outlineLevel="1" x14ac:dyDescent="0.2">
      <c r="F39" s="453" t="s">
        <v>360</v>
      </c>
      <c r="G39" s="453"/>
      <c r="H39" s="455" t="str">
        <f>OTHER!B1</f>
        <v>OTHER Activity (Recurrent Costs Only) - Annual Assumptions</v>
      </c>
      <c r="I39" s="455"/>
      <c r="J39" s="455"/>
      <c r="K39" s="455"/>
      <c r="L39" s="455"/>
      <c r="M39" s="455"/>
      <c r="N39" s="455"/>
      <c r="O39" s="455"/>
      <c r="P39" s="455"/>
    </row>
    <row r="40" spans="2:16" outlineLevel="1" x14ac:dyDescent="0.2">
      <c r="F40" s="453" t="s">
        <v>4001</v>
      </c>
      <c r="G40" s="453"/>
      <c r="H40" s="455" t="str">
        <f>COLD_CHAIN_EXPANS!B1</f>
        <v>Cold Chain Expansion</v>
      </c>
      <c r="I40" s="455"/>
      <c r="J40" s="455"/>
      <c r="K40" s="455"/>
      <c r="L40" s="455"/>
      <c r="M40" s="455"/>
      <c r="N40" s="455"/>
      <c r="O40" s="455"/>
      <c r="P40" s="455"/>
    </row>
    <row r="41" spans="2:16" outlineLevel="1" x14ac:dyDescent="0.2">
      <c r="F41" s="453" t="s">
        <v>4002</v>
      </c>
      <c r="G41" s="453"/>
      <c r="H41" s="455" t="str">
        <f>CAPITAL_INVESTS_OTH!B1</f>
        <v>Other Capital Investments</v>
      </c>
      <c r="I41" s="455"/>
      <c r="J41" s="455"/>
      <c r="K41" s="455"/>
      <c r="L41" s="455"/>
      <c r="M41" s="455"/>
      <c r="N41" s="455"/>
      <c r="O41" s="455"/>
      <c r="P41" s="455"/>
    </row>
    <row r="42" spans="2:16" outlineLevel="1" x14ac:dyDescent="0.2">
      <c r="F42" s="420"/>
      <c r="G42" s="420"/>
      <c r="H42" s="419"/>
      <c r="I42" s="419"/>
      <c r="J42" s="419"/>
      <c r="K42" s="419"/>
      <c r="L42" s="419"/>
      <c r="M42" s="419"/>
      <c r="N42" s="419"/>
      <c r="O42" s="419"/>
      <c r="P42" s="419"/>
    </row>
    <row r="43" spans="2:16" outlineLevel="1" x14ac:dyDescent="0.2">
      <c r="F43" s="420"/>
      <c r="G43" s="420"/>
      <c r="H43" s="419"/>
      <c r="I43" s="419"/>
      <c r="J43" s="419"/>
      <c r="K43" s="419"/>
      <c r="L43" s="419"/>
      <c r="M43" s="419"/>
      <c r="N43" s="419"/>
      <c r="O43" s="419"/>
      <c r="P43" s="419"/>
    </row>
    <row r="44" spans="2:16" outlineLevel="1" x14ac:dyDescent="0.2">
      <c r="B44" s="452">
        <v>2</v>
      </c>
      <c r="C44" s="452"/>
      <c r="D44" s="422" t="str">
        <f>Outputs!$C$9</f>
        <v>Outputs</v>
      </c>
      <c r="F44" s="420"/>
      <c r="G44" s="420"/>
      <c r="H44" s="419"/>
      <c r="I44" s="419"/>
      <c r="J44" s="419"/>
      <c r="K44" s="419"/>
      <c r="L44" s="419"/>
      <c r="M44" s="419"/>
      <c r="N44" s="419"/>
      <c r="O44" s="419"/>
      <c r="P44" s="419"/>
    </row>
    <row r="45" spans="2:16" outlineLevel="1" x14ac:dyDescent="0.2">
      <c r="F45" s="453" t="s">
        <v>59</v>
      </c>
      <c r="G45" s="453"/>
      <c r="H45" s="419"/>
      <c r="I45" s="419" t="str">
        <f>COUNTS_and_COVERAGE_Summary!B1</f>
        <v>Target Populations and Coverage Summary</v>
      </c>
      <c r="J45" s="419"/>
      <c r="K45" s="419"/>
      <c r="L45" s="419"/>
      <c r="M45" s="419"/>
      <c r="N45" s="419"/>
      <c r="O45" s="419"/>
      <c r="P45" s="419"/>
    </row>
    <row r="46" spans="2:16" outlineLevel="1" x14ac:dyDescent="0.2">
      <c r="F46" s="453" t="s">
        <v>68</v>
      </c>
      <c r="G46" s="453"/>
      <c r="H46" s="419"/>
      <c r="I46" s="419" t="str">
        <f>COST_SUMMARY!B1</f>
        <v>Activity Quantities and Cost Summary</v>
      </c>
      <c r="J46" s="419"/>
      <c r="K46" s="419"/>
      <c r="L46" s="419"/>
      <c r="M46" s="419"/>
      <c r="N46" s="419"/>
      <c r="O46" s="419"/>
      <c r="P46" s="419"/>
    </row>
    <row r="47" spans="2:16" outlineLevel="1" x14ac:dyDescent="0.2">
      <c r="F47" s="453" t="s">
        <v>69</v>
      </c>
      <c r="G47" s="453"/>
      <c r="H47" s="419"/>
      <c r="I47" s="419" t="str">
        <f>COLD_CHAIN!B1</f>
        <v>Cold Chain Expansion</v>
      </c>
      <c r="J47" s="419"/>
      <c r="K47" s="419"/>
      <c r="L47" s="419"/>
      <c r="M47" s="419"/>
      <c r="N47" s="419"/>
      <c r="O47" s="419"/>
      <c r="P47" s="419"/>
    </row>
    <row r="48" spans="2:16" outlineLevel="1" x14ac:dyDescent="0.2">
      <c r="F48" s="453" t="s">
        <v>74</v>
      </c>
      <c r="G48" s="453"/>
      <c r="H48" s="419"/>
      <c r="I48" s="419" t="str">
        <f>CAP_OTH!B1</f>
        <v>Other Capital Investments</v>
      </c>
      <c r="J48" s="419"/>
      <c r="K48" s="419"/>
      <c r="L48" s="419"/>
      <c r="M48" s="419"/>
      <c r="N48" s="419"/>
      <c r="O48" s="419"/>
      <c r="P48" s="419"/>
    </row>
    <row r="49" spans="2:16" outlineLevel="1" x14ac:dyDescent="0.2">
      <c r="F49" s="453" t="s">
        <v>75</v>
      </c>
      <c r="G49" s="453"/>
      <c r="H49" s="419"/>
      <c r="I49" s="419" t="str">
        <f>COSTS_DETAILED_SUMMARY!B1</f>
        <v>Detailed Cost Worksheet (OPTIONAL) Outputs - Summaries</v>
      </c>
      <c r="J49" s="419"/>
      <c r="K49" s="419"/>
      <c r="L49" s="419"/>
      <c r="M49" s="419"/>
      <c r="N49" s="419"/>
      <c r="O49" s="419"/>
      <c r="P49" s="419"/>
    </row>
    <row r="50" spans="2:16" outlineLevel="1" x14ac:dyDescent="0.2">
      <c r="F50" s="420"/>
      <c r="G50" s="420"/>
      <c r="H50" s="419"/>
      <c r="I50" s="419"/>
      <c r="J50" s="419"/>
      <c r="K50" s="419"/>
      <c r="L50" s="419"/>
      <c r="M50" s="419"/>
      <c r="N50" s="419"/>
      <c r="O50" s="419"/>
      <c r="P50" s="419"/>
    </row>
    <row r="51" spans="2:16" outlineLevel="1" x14ac:dyDescent="0.2">
      <c r="F51" s="420"/>
      <c r="G51" s="420"/>
      <c r="H51" s="419"/>
      <c r="I51" s="419"/>
      <c r="J51" s="419"/>
      <c r="K51" s="419"/>
      <c r="L51" s="419"/>
      <c r="M51" s="419"/>
      <c r="N51" s="419"/>
      <c r="O51" s="419"/>
      <c r="P51" s="419"/>
    </row>
    <row r="52" spans="2:16" ht="12" customHeight="1" x14ac:dyDescent="0.2">
      <c r="B52" s="452">
        <v>3</v>
      </c>
      <c r="C52" s="452"/>
      <c r="D52" s="457" t="str">
        <f>APPENDIX!C9</f>
        <v>Appendices</v>
      </c>
      <c r="E52" s="457"/>
      <c r="F52" s="457"/>
      <c r="G52" s="457"/>
      <c r="H52" s="457"/>
      <c r="I52" s="457"/>
      <c r="J52" s="457"/>
      <c r="K52" s="457"/>
      <c r="L52" s="457"/>
      <c r="M52" s="457"/>
      <c r="N52" s="457"/>
      <c r="O52" s="457"/>
      <c r="P52" s="457"/>
    </row>
    <row r="53" spans="2:16" outlineLevel="1" x14ac:dyDescent="0.2">
      <c r="F53" s="453" t="s">
        <v>59</v>
      </c>
      <c r="G53" s="453"/>
      <c r="H53" s="455" t="str">
        <f>MICRO_DETAILED_COST_WKSHT!B1</f>
        <v>Microplanning - Detailed Costing Worksheets (OPTIONAL)</v>
      </c>
      <c r="I53" s="455"/>
      <c r="J53" s="455"/>
      <c r="K53" s="455"/>
      <c r="L53" s="455"/>
      <c r="M53" s="455"/>
      <c r="N53" s="455"/>
      <c r="O53" s="455"/>
      <c r="P53" s="455"/>
    </row>
    <row r="54" spans="2:16" outlineLevel="1" collapsed="1" x14ac:dyDescent="0.2">
      <c r="F54" s="453" t="s">
        <v>68</v>
      </c>
      <c r="G54" s="453"/>
      <c r="H54" s="455" t="str">
        <f>TRAIN_DETAILED_COST_WKSHT!B1</f>
        <v>Training - Detailed Costing Worksheets (OPTIONAL)</v>
      </c>
      <c r="I54" s="455"/>
      <c r="J54" s="455"/>
      <c r="K54" s="455"/>
      <c r="L54" s="455"/>
      <c r="M54" s="455"/>
      <c r="N54" s="455"/>
      <c r="O54" s="455"/>
      <c r="P54" s="455"/>
    </row>
    <row r="55" spans="2:16" outlineLevel="1" x14ac:dyDescent="0.2">
      <c r="F55" s="453" t="s">
        <v>69</v>
      </c>
      <c r="G55" s="453"/>
      <c r="H55" s="455" t="str">
        <f>SD_DETAILED_COST_WKSHT!B1</f>
        <v>Service Delivery  - Detailed Costing Worksheets (OPTIONAL)</v>
      </c>
      <c r="I55" s="455"/>
      <c r="J55" s="455"/>
      <c r="K55" s="455"/>
      <c r="L55" s="455"/>
      <c r="M55" s="455"/>
      <c r="N55" s="455"/>
      <c r="O55" s="455"/>
      <c r="P55" s="455"/>
    </row>
    <row r="56" spans="2:16" outlineLevel="1" x14ac:dyDescent="0.2">
      <c r="F56" s="453" t="s">
        <v>74</v>
      </c>
      <c r="G56" s="453"/>
      <c r="H56" s="455" t="str">
        <f>SENS_DETAILED_COST_WKSHT!B1</f>
        <v>Sensitisation  - Detailed Costing Worksheets (OPTIONAL)</v>
      </c>
      <c r="I56" s="455"/>
      <c r="J56" s="455"/>
      <c r="K56" s="455"/>
      <c r="L56" s="455"/>
      <c r="M56" s="455"/>
      <c r="N56" s="455"/>
      <c r="O56" s="455"/>
      <c r="P56" s="455"/>
    </row>
    <row r="57" spans="2:16" outlineLevel="1" x14ac:dyDescent="0.2">
      <c r="F57" s="453" t="s">
        <v>75</v>
      </c>
      <c r="G57" s="453"/>
      <c r="H57" s="455" t="str">
        <f>SOCMOB_DETAILED_COST_WKSHT!B1</f>
        <v>Social Mobilisation -  Detailed Costing Worksheets (OPTIONAL)</v>
      </c>
      <c r="I57" s="455"/>
      <c r="J57" s="455"/>
      <c r="K57" s="455"/>
      <c r="L57" s="455"/>
      <c r="M57" s="455"/>
      <c r="N57" s="455"/>
      <c r="O57" s="455"/>
      <c r="P57" s="455"/>
    </row>
    <row r="58" spans="2:16" outlineLevel="1" x14ac:dyDescent="0.2">
      <c r="F58" s="453" t="s">
        <v>76</v>
      </c>
      <c r="G58" s="453"/>
      <c r="H58" s="455" t="str">
        <f>SUPV_DETAILED_COST_WKSHT!B1</f>
        <v>Supervision  - Detailed Costing Worksheets (OPTIONAL)</v>
      </c>
      <c r="I58" s="455"/>
      <c r="J58" s="455"/>
      <c r="K58" s="455"/>
      <c r="L58" s="455"/>
      <c r="M58" s="455"/>
      <c r="N58" s="455"/>
      <c r="O58" s="455"/>
      <c r="P58" s="455"/>
    </row>
    <row r="59" spans="2:16" outlineLevel="1" x14ac:dyDescent="0.2">
      <c r="F59" s="453" t="s">
        <v>83</v>
      </c>
      <c r="G59" s="453"/>
      <c r="H59" s="455" t="str">
        <f>OTHER_DETAILED_COST_WKSHT!B1</f>
        <v>OTHER  (Recurrent Costs Only) - Detailed Costing Worksheets (OPTIONAL)</v>
      </c>
      <c r="I59" s="455"/>
      <c r="J59" s="455"/>
      <c r="K59" s="455"/>
      <c r="L59" s="455"/>
      <c r="M59" s="455"/>
      <c r="N59" s="455"/>
      <c r="O59" s="455"/>
      <c r="P59" s="455"/>
    </row>
    <row r="60" spans="2:16" x14ac:dyDescent="0.2"/>
    <row r="61" spans="2:16" x14ac:dyDescent="0.2"/>
    <row r="62" spans="2:16" x14ac:dyDescent="0.2"/>
    <row r="63" spans="2:16" x14ac:dyDescent="0.2"/>
    <row r="64" spans="2:16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</sheetData>
  <mergeCells count="73">
    <mergeCell ref="F40:G40"/>
    <mergeCell ref="F41:G41"/>
    <mergeCell ref="H30:P30"/>
    <mergeCell ref="H31:P31"/>
    <mergeCell ref="F34:G34"/>
    <mergeCell ref="H36:P36"/>
    <mergeCell ref="F38:G38"/>
    <mergeCell ref="H40:P40"/>
    <mergeCell ref="D8:G8"/>
    <mergeCell ref="H37:P37"/>
    <mergeCell ref="H38:P38"/>
    <mergeCell ref="B52:C52"/>
    <mergeCell ref="D52:P52"/>
    <mergeCell ref="F9:G9"/>
    <mergeCell ref="H9:P9"/>
    <mergeCell ref="I11:P11"/>
    <mergeCell ref="F35:G35"/>
    <mergeCell ref="F36:G36"/>
    <mergeCell ref="F32:G32"/>
    <mergeCell ref="H34:P34"/>
    <mergeCell ref="F37:G37"/>
    <mergeCell ref="B26:C26"/>
    <mergeCell ref="D26:P26"/>
    <mergeCell ref="F33:G33"/>
    <mergeCell ref="F59:G59"/>
    <mergeCell ref="H59:P59"/>
    <mergeCell ref="F58:G58"/>
    <mergeCell ref="H58:P58"/>
    <mergeCell ref="F57:G57"/>
    <mergeCell ref="H57:P57"/>
    <mergeCell ref="F54:G54"/>
    <mergeCell ref="H54:P54"/>
    <mergeCell ref="F55:G55"/>
    <mergeCell ref="H55:P55"/>
    <mergeCell ref="F56:G56"/>
    <mergeCell ref="H56:P56"/>
    <mergeCell ref="F28:G28"/>
    <mergeCell ref="H28:P28"/>
    <mergeCell ref="I22:P22"/>
    <mergeCell ref="I23:P23"/>
    <mergeCell ref="F53:G53"/>
    <mergeCell ref="H53:P53"/>
    <mergeCell ref="F39:G39"/>
    <mergeCell ref="H41:P41"/>
    <mergeCell ref="F29:G29"/>
    <mergeCell ref="H29:P29"/>
    <mergeCell ref="H32:P32"/>
    <mergeCell ref="F31:G31"/>
    <mergeCell ref="H33:P33"/>
    <mergeCell ref="F49:G49"/>
    <mergeCell ref="H35:P35"/>
    <mergeCell ref="F30:G30"/>
    <mergeCell ref="B3:I3"/>
    <mergeCell ref="H39:P39"/>
    <mergeCell ref="F10:G10"/>
    <mergeCell ref="H10:P10"/>
    <mergeCell ref="I12:P12"/>
    <mergeCell ref="I13:P13"/>
    <mergeCell ref="I14:P14"/>
    <mergeCell ref="I15:P15"/>
    <mergeCell ref="I16:P16"/>
    <mergeCell ref="I20:P20"/>
    <mergeCell ref="I21:P21"/>
    <mergeCell ref="I17:P17"/>
    <mergeCell ref="I18:P18"/>
    <mergeCell ref="I19:P19"/>
    <mergeCell ref="F27:G27"/>
    <mergeCell ref="H27:P27"/>
    <mergeCell ref="B44:C44"/>
    <mergeCell ref="F45:G45"/>
    <mergeCell ref="F46:G46"/>
    <mergeCell ref="F47:G47"/>
    <mergeCell ref="F48:G48"/>
  </mergeCells>
  <hyperlinks>
    <hyperlink ref="A6" location="$B$7" tooltip="Go to Top of Sheet" display="$B$7" xr:uid="{00000000-0004-0000-0300-000000000000}"/>
    <hyperlink ref="F9" location="HL_Sheet_Main_21" tooltip="Go to Dashboard" display="HL_Sheet_Main_21" xr:uid="{00000000-0004-0000-0300-000001000000}"/>
    <hyperlink ref="H9" location="HL_Sheet_Main_21" tooltip="Go to Dashboard" display="HL_Sheet_Main_21" xr:uid="{00000000-0004-0000-0300-000002000000}"/>
    <hyperlink ref="F10" location="HL_Sheet_Main_57" tooltip="Go to Analysis" display="HL_Sheet_Main_57" xr:uid="{00000000-0004-0000-0300-000003000000}"/>
    <hyperlink ref="H10" location="HL_Sheet_Main_57" tooltip="Go to Analysis" display="HL_Sheet_Main_57" xr:uid="{00000000-0004-0000-0300-000004000000}"/>
    <hyperlink ref="H11" location="HL_TOC_420" tooltip="Go to Analysis - Target Population Count" display="HL_TOC_420" xr:uid="{00000000-0004-0000-0300-000005000000}"/>
    <hyperlink ref="I11" location="HL_TOC_420" tooltip="Go to Analysis - Target Population Count" display="HL_TOC_420" xr:uid="{00000000-0004-0000-0300-000006000000}"/>
    <hyperlink ref="H12" location="HL_TOC_421" tooltip="Go to Analysis - Immunization Coverage" display="HL_TOC_421" xr:uid="{00000000-0004-0000-0300-000007000000}"/>
    <hyperlink ref="I12" location="HL_TOC_421" tooltip="Go to Analysis - Immunization Coverage" display="HL_TOC_421" xr:uid="{00000000-0004-0000-0300-000008000000}"/>
    <hyperlink ref="H13" location="HL_TOC_422" tooltip="Go to Analysis - Vaccine and Injection Supply Quantities (includes administered and wasted)" display="HL_TOC_422" xr:uid="{00000000-0004-0000-0300-000009000000}"/>
    <hyperlink ref="I13" location="HL_TOC_422" tooltip="Go to Analysis - Vaccine and Injection Supply Quantities (includes administered and wasted)" display="HL_TOC_422" xr:uid="{00000000-0004-0000-0300-00000A000000}"/>
    <hyperlink ref="H14" location="HL_TOC_423" tooltip="Go to Analysis - Vaccine and Injection Supply Costs" display="HL_TOC_423" xr:uid="{00000000-0004-0000-0300-00000B000000}"/>
    <hyperlink ref="I14" location="HL_TOC_423" tooltip="Go to Analysis - Vaccine and Injection Supply Costs" display="HL_TOC_423" xr:uid="{00000000-0004-0000-0300-00000C000000}"/>
    <hyperlink ref="H15" location="HL_TOC_426" tooltip="Go to Analysis - Microplanning" display="HL_TOC_426" xr:uid="{00000000-0004-0000-0300-00000D000000}"/>
    <hyperlink ref="I15" location="HL_TOC_426" tooltip="Go to Analysis - Microplanning" display="HL_TOC_426" xr:uid="{00000000-0004-0000-0300-00000E000000}"/>
    <hyperlink ref="H16" location="HL_TOC_427" tooltip="Go to Analysis - Training" display="HL_TOC_427" xr:uid="{00000000-0004-0000-0300-00000F000000}"/>
    <hyperlink ref="I16" location="HL_TOC_427" tooltip="Go to Analysis - Training" display="HL_TOC_427" xr:uid="{00000000-0004-0000-0300-000010000000}"/>
    <hyperlink ref="H17" location="HL_TOC_428" tooltip="Go to Analysis - Sensitisation" display="HL_TOC_428" xr:uid="{00000000-0004-0000-0300-000011000000}"/>
    <hyperlink ref="I17" location="HL_TOC_428" tooltip="Go to Analysis - Sensitisation" display="HL_TOC_428" xr:uid="{00000000-0004-0000-0300-000012000000}"/>
    <hyperlink ref="H18" location="HL_TOC_429" tooltip="Go to Analysis - Social Mobilisation" display="HL_TOC_429" xr:uid="{00000000-0004-0000-0300-000013000000}"/>
    <hyperlink ref="I18" location="HL_TOC_429" tooltip="Go to Analysis - Social Mobilisation" display="HL_TOC_429" xr:uid="{00000000-0004-0000-0300-000014000000}"/>
    <hyperlink ref="H19" location="HL_TOC_430" tooltip="Go to Analysis - Service Delivery" display="HL_TOC_430" xr:uid="{00000000-0004-0000-0300-000015000000}"/>
    <hyperlink ref="I19" location="HL_TOC_430" tooltip="Go to Analysis - Service Delivery" display="HL_TOC_430" xr:uid="{00000000-0004-0000-0300-000016000000}"/>
    <hyperlink ref="H20" location="HL_TOC_431" tooltip="Go to Analysis - Supervision" display="HL_TOC_431" xr:uid="{00000000-0004-0000-0300-000017000000}"/>
    <hyperlink ref="I20" location="HL_TOC_431" tooltip="Go to Analysis - Supervision" display="HL_TOC_431" xr:uid="{00000000-0004-0000-0300-000018000000}"/>
    <hyperlink ref="H21" location="HL_TOC_473" tooltip="Go to Analysis - OTHER" display="HL_TOC_473" xr:uid="{00000000-0004-0000-0300-000019000000}"/>
    <hyperlink ref="I21" location="HL_TOC_473" tooltip="Go to Analysis - OTHER" display="HL_TOC_473" xr:uid="{00000000-0004-0000-0300-00001A000000}"/>
    <hyperlink ref="H22" location="HL_TOC_178" tooltip="Go to ANALYSIS - Cold Chain Expansion" display="HL_TOC_178" xr:uid="{00000000-0004-0000-0300-00001B000000}"/>
    <hyperlink ref="I22" location="HL_TOC_178" tooltip="Go to ANALYSIS - Cold Chain Expansion" display="HL_TOC_178" xr:uid="{00000000-0004-0000-0300-00001C000000}"/>
    <hyperlink ref="H23" location="HL_TOC_186" tooltip="Go to ANALYSIS - Other Capital Investment" display="HL_TOC_186" xr:uid="{00000000-0004-0000-0300-00001D000000}"/>
    <hyperlink ref="I23" location="HL_TOC_186" tooltip="Go to ANALYSIS - Other Capital Investment" display="HL_TOC_186" xr:uid="{00000000-0004-0000-0300-00001E000000}"/>
    <hyperlink ref="B26" location="HL_Sheet_Main_64" tooltip="Go to Assumptions" display="HL_Sheet_Main_64" xr:uid="{00000000-0004-0000-0300-00001F000000}"/>
    <hyperlink ref="D26" location="HL_Sheet_Main_64" tooltip="Go to Assumptions" display="HL_Sheet_Main_64" xr:uid="{00000000-0004-0000-0300-000020000000}"/>
    <hyperlink ref="F27" location="HL_Sheet_Main_7" tooltip="Go to Time Series" display="HL_Sheet_Main_7" xr:uid="{00000000-0004-0000-0300-000021000000}"/>
    <hyperlink ref="H27" location="HL_Sheet_Main_7" tooltip="Go to Time Series" display="HL_Sheet_Main_7" xr:uid="{00000000-0004-0000-0300-000022000000}"/>
    <hyperlink ref="F28" location="HL_Sheet_Main_20" tooltip="Go to Labels for Important Data Points" display="HL_Sheet_Main_20" xr:uid="{00000000-0004-0000-0300-000027000000}"/>
    <hyperlink ref="H28" location="HL_Sheet_Main_20" tooltip="Go to Labels for Important Data Points" display="HL_Sheet_Main_20" xr:uid="{00000000-0004-0000-0300-000028000000}"/>
    <hyperlink ref="F29" location="HL_Sheet_Main_17" tooltip="Go to Economic" display="HL_Sheet_Main_17" xr:uid="{00000000-0004-0000-0300-000031000000}"/>
    <hyperlink ref="H29" location="HL_Sheet_Main_17" tooltip="Go to Economic" display="HL_Sheet_Main_17" xr:uid="{00000000-0004-0000-0300-000032000000}"/>
    <hyperlink ref="H32" location="HL_Sheet_Main_50" tooltip="Go to Vaccine" display="HL_Sheet_Main_50" xr:uid="{00000000-0004-0000-0300-00003A000000}"/>
    <hyperlink ref="F31" location="HL_Sheet_Main_32" tooltip="Go to Service Delivery -  Annual Assumptions" display="HL_Sheet_Main_32" xr:uid="{00000000-0004-0000-0300-000043000000}"/>
    <hyperlink ref="H33" location="HL_Sheet_Main_32" tooltip="Go to Service Delivery -  Annual Assumptions" display="HL_Sheet_Main_32" xr:uid="{00000000-0004-0000-0300-000044000000}"/>
    <hyperlink ref="F32" location="HL_Sheet_Main_41" tooltip="Go to Microplanning Activities - Annual Assumptions" display="HL_Sheet_Main_41" xr:uid="{00000000-0004-0000-0300-00005B000000}"/>
    <hyperlink ref="H34" location="HL_Sheet_Main_41" tooltip="Go to Microplanning Activities - Annual Assumptions" display="HL_Sheet_Main_41" xr:uid="{00000000-0004-0000-0300-00005C000000}"/>
    <hyperlink ref="F33" location="HL_Sheet_Main_42" tooltip="Go to Training Activities - Annual Assumptions" display="HL_Sheet_Main_42" xr:uid="{00000000-0004-0000-0300-000075000000}"/>
    <hyperlink ref="H35" location="HL_Sheet_Main_42" tooltip="Go to Training Activities - Annual Assumptions" display="HL_Sheet_Main_42" xr:uid="{00000000-0004-0000-0300-000076000000}"/>
    <hyperlink ref="F34" location="HL_Sheet_Main_43" tooltip="Go to Sensitisation Activities - Annual Assumptions" display="HL_Sheet_Main_43" xr:uid="{00000000-0004-0000-0300-00008F000000}"/>
    <hyperlink ref="H36" location="HL_Sheet_Main_43" tooltip="Go to Sensitisation Activities - Annual Assumptions" display="HL_Sheet_Main_43" xr:uid="{00000000-0004-0000-0300-000090000000}"/>
    <hyperlink ref="F35" location="HL_Sheet_Main_44" tooltip="Go to IEC/ Social Mobilisation Activities - Annual Assumptions" display="HL_Sheet_Main_44" xr:uid="{00000000-0004-0000-0300-0000B5000000}"/>
    <hyperlink ref="H37" location="HL_Sheet_Main_44" tooltip="Go to IEC/ Social Mobilisation Activities - Annual Assumptions" display="HL_Sheet_Main_44" xr:uid="{00000000-0004-0000-0300-0000B6000000}"/>
    <hyperlink ref="F36" location="HL_Sheet_Main_9" tooltip="Go to Supervision , Monitoring, and Evaluation Activities (SME) - Annual Assumptions" display="HL_Sheet_Main_9" xr:uid="{00000000-0004-0000-0300-0000E7000000}"/>
    <hyperlink ref="H38" location="HL_Sheet_Main_9" tooltip="Go to Supervision , Monitoring, and Evaluation Activities (SME) - Annual Assumptions" display="HL_Sheet_Main_9" xr:uid="{00000000-0004-0000-0300-0000E8000000}"/>
    <hyperlink ref="F37" location="HL_Sheet_Main_62" tooltip="Go to OTHER Activity Cost - Annual Assumptions" display="HL_Sheet_Main_62" xr:uid="{00000000-0004-0000-0300-000013010000}"/>
    <hyperlink ref="H39" location="HL_Sheet_Main_62" tooltip="Go to OTHER Activity Cost - Annual Assumptions" display="HL_Sheet_Main_62" xr:uid="{00000000-0004-0000-0300-000014010000}"/>
    <hyperlink ref="F38" location="HL_Sheet_Main_22" tooltip="Go to Cold Chain Expansion" display="HL_Sheet_Main_22" xr:uid="{00000000-0004-0000-0300-000033010000}"/>
    <hyperlink ref="H40" location="HL_Sheet_Main_22" tooltip="Go to Cold Chain Expansion" display="HL_Sheet_Main_22" xr:uid="{00000000-0004-0000-0300-000034010000}"/>
    <hyperlink ref="F39" location="HL_Sheet_Main_19" tooltip="Go to Other Capital Investments" display="HL_Sheet_Main_19" xr:uid="{00000000-0004-0000-0300-000035010000}"/>
    <hyperlink ref="H41" location="HL_Sheet_Main_19" tooltip="Go to Other Capital Investments" display="HL_Sheet_Main_19" xr:uid="{00000000-0004-0000-0300-000036010000}"/>
    <hyperlink ref="B52" location="HL_Sheet_Main_5" tooltip="Go to Appendices" display="HL_Sheet_Main_5" xr:uid="{00000000-0004-0000-0300-000037010000}"/>
    <hyperlink ref="D52" location="HL_Sheet_Main_5" tooltip="Go to Appendices" display="HL_Sheet_Main_5" xr:uid="{00000000-0004-0000-0300-000038010000}"/>
    <hyperlink ref="F53" location="HL_Sheet_Main_37" tooltip="Go to Microplanning - Detailed Costing Worksheets (OPTIONAL)" display="HL_Sheet_Main_37" xr:uid="{00000000-0004-0000-0300-000039010000}"/>
    <hyperlink ref="H53" location="HL_Sheet_Main_37" tooltip="Go to Microplanning - Detailed Costing Worksheets (OPTIONAL)" display="HL_Sheet_Main_37" xr:uid="{00000000-0004-0000-0300-00003A010000}"/>
    <hyperlink ref="F54" location="HL_Sheet_Main_38" tooltip="Go to Training - Detailed Costing Worksheets (OPTIONAL)" display="HL_Sheet_Main_38" xr:uid="{00000000-0004-0000-0300-00006B010000}"/>
    <hyperlink ref="H54" location="HL_Sheet_Main_38" tooltip="Go to Training - Detailed Costing Worksheets (OPTIONAL)" display="HL_Sheet_Main_38" xr:uid="{00000000-0004-0000-0300-00006C010000}"/>
    <hyperlink ref="F55" location="HL_Sheet_Main_3" tooltip="Go to Service Delivery  - Detailed Costing Worksheets (OPTIONAL)" display="HL_Sheet_Main_3" xr:uid="{00000000-0004-0000-0300-00009D010000}"/>
    <hyperlink ref="H55" location="HL_Sheet_Main_3" tooltip="Go to Service Delivery  - Detailed Costing Worksheets (OPTIONAL)" display="HL_Sheet_Main_3" xr:uid="{00000000-0004-0000-0300-00009E010000}"/>
    <hyperlink ref="F56" location="HL_Sheet_Main_39" tooltip="Go to Sensitisation  - Detailed Costing Worksheets (OPTIONAL)" display="HL_Sheet_Main_39" xr:uid="{00000000-0004-0000-0300-0000CF010000}"/>
    <hyperlink ref="H56" location="HL_Sheet_Main_39" tooltip="Go to Sensitisation  - Detailed Costing Worksheets (OPTIONAL)" display="HL_Sheet_Main_39" xr:uid="{00000000-0004-0000-0300-0000D0010000}"/>
    <hyperlink ref="F57" location="HL_Sheet_Main_40" tooltip="Go to Social Mobilisation -  Detailed Costing Worksheets (OPTIONAL)" display="HL_Sheet_Main_40" xr:uid="{00000000-0004-0000-0300-000019020000}"/>
    <hyperlink ref="H57" location="HL_Sheet_Main_40" tooltip="Go to Social Mobilisation -  Detailed Costing Worksheets (OPTIONAL)" display="HL_Sheet_Main_40" xr:uid="{00000000-0004-0000-0300-00001A020000}"/>
    <hyperlink ref="F58" location="HL_Sheet_Main_4" tooltip="Go to Supervision  - Detailed Costing Worksheets (OPTIONAL)" display="HL_Sheet_Main_4" xr:uid="{00000000-0004-0000-0300-00007B020000}"/>
    <hyperlink ref="H58" location="HL_Sheet_Main_4" tooltip="Go to Supervision  - Detailed Costing Worksheets (OPTIONAL)" display="HL_Sheet_Main_4" xr:uid="{00000000-0004-0000-0300-00007C020000}"/>
    <hyperlink ref="F59" location="HL_Sheet_Main_59" tooltip="Go to OTHER - Detailed Costing Worksheets (OPTIONAL)" display="HL_Sheet_Main_59" xr:uid="{00000000-0004-0000-0300-0000D1020000}"/>
    <hyperlink ref="H59" location="HL_Sheet_Main_59" tooltip="Go to OTHER - Detailed Costing Worksheets (OPTIONAL)" display="HL_Sheet_Main_59" xr:uid="{00000000-0004-0000-0300-0000D2020000}"/>
    <hyperlink ref="B3" location="'Cover'!A1" tooltip="Go to Cover Sheet" display="'Cover'!A1" xr:uid="{00000000-0004-0000-0300-00000F030000}"/>
    <hyperlink ref="D44" location="Outputs!C9" display="Outputs!C9" xr:uid="{489DDB54-365F-4442-AECC-7452D37C3EC8}"/>
    <hyperlink ref="B44" location="HL_Sheet_Main_5" tooltip="Go to Appendices" display="HL_Sheet_Main_5" xr:uid="{DEF6D6D7-B324-48E7-B64E-304D46615F1E}"/>
    <hyperlink ref="F45" location="HL_Sheet_Main_7" tooltip="Go to Time Series" display="HL_Sheet_Main_7" xr:uid="{7B6345D3-0E74-4EDC-9326-A3074B5D3A8A}"/>
    <hyperlink ref="F46" location="HL_Sheet_Main_20" tooltip="Go to Labels for Important Data Points" display="HL_Sheet_Main_20" xr:uid="{ABF0BF6B-DAF0-42E7-AFEC-0853757E1A24}"/>
    <hyperlink ref="F47" location="HL_Sheet_Main_17" tooltip="Go to Economic" display="HL_Sheet_Main_17" xr:uid="{EA89B9E8-062A-485B-8BC1-A0EE8D429756}"/>
    <hyperlink ref="F48" location="HL_Sheet_Main_50" tooltip="Go to Vaccine" display="HL_Sheet_Main_50" xr:uid="{6A4339E6-40F1-4541-BABC-70D4EE60CDFD}"/>
    <hyperlink ref="F49" location="HL_Sheet_Main_32" tooltip="Go to Service Delivery -  Annual Assumptions" display="HL_Sheet_Main_32" xr:uid="{10E35285-6DA0-4652-9DE9-DCF2A733A04F}"/>
    <hyperlink ref="I49" location="COSTS_DETAILED_SUMMARY!B1" display="COSTS_DETAILED_SUMMARY!B1" xr:uid="{F48137D1-C399-4E19-A748-6289FE431B7C}"/>
    <hyperlink ref="I48" location="CAP_OTH!B1" display="CAP_OTH!B1" xr:uid="{6500671E-3D19-4002-8F09-7A2BAD1D913C}"/>
    <hyperlink ref="I47" location="COLD_CHAIN!B1" display="COLD_CHAIN!B1" xr:uid="{E1A3E2B9-8E75-45E1-BA7E-21F15CD33629}"/>
    <hyperlink ref="I46" location="COST_SUMMARY!B1" display="COST_SUMMARY!B1" xr:uid="{6B95AF06-5B9F-44E5-A12A-729417F753B4}"/>
    <hyperlink ref="I45" location="COUNTS_and_COVERAGE_Summary!B1" display="COUNTS_and_COVERAGE_Summary!B1" xr:uid="{921687F3-7A94-493A-9E8B-1AF93E470C98}"/>
    <hyperlink ref="F30" location="HL_Sheet_Main_50" tooltip="Go to Vaccine" display="HL_Sheet_Main_50" xr:uid="{C7D7CA8D-1CC9-4EC6-9F97-AF94B33B902A}"/>
    <hyperlink ref="F40" location="HL_Sheet_Main_19" tooltip="Go to Other Capital Investments" display="HL_Sheet_Main_19" xr:uid="{B35A429D-C47B-4B89-BC0E-A73F2A6EE8FC}"/>
    <hyperlink ref="F41" location="HL_Sheet_Main_19" tooltip="Go to Other Capital Investments" display="HL_Sheet_Main_19" xr:uid="{2FC97B30-51B4-4F75-8426-7E80C1487B0A}"/>
    <hyperlink ref="H30" location="HL_Sheet_Main_17" tooltip="Go to Economic" display="HL_Sheet_Main_17" xr:uid="{628DE3C0-3EA7-4916-A906-AF3262EABA87}"/>
    <hyperlink ref="H31" location="HL_Sheet_Main_17" tooltip="Go to Economic" display="HL_Sheet_Main_17" xr:uid="{978140F3-BC9C-40FC-99CB-2FEE21CE7131}"/>
    <hyperlink ref="H30:P30" location="HL_Count_Ass_C" tooltip="Go to Economic" display="HL_Count_Ass_C" xr:uid="{58B81000-EC24-4299-BE90-86D92FE57553}"/>
    <hyperlink ref="H31:P31" location="COVERAGE!A1" tooltip="Go to Economic" display="COVERAGE!A1" xr:uid="{6983D2C7-946C-42CA-A88F-3C0251E99BC1}"/>
  </hyperlinks>
  <pageMargins left="0.7" right="0.7" top="0.75" bottom="0.75" header="0.3" footer="0.3"/>
  <pageSetup fitToHeight="0" orientation="landscape" horizontalDpi="4294967292" r:id="rId1"/>
  <headerFooter>
    <oddFooter>&amp;L&amp;B Confidential&amp;B&amp;C&amp;D&amp;RPage &amp;P</oddFooter>
  </headerFooter>
  <customProperties>
    <customPr name="LastActive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2">
    <tabColor rgb="FF0070C0"/>
    <pageSetUpPr autoPageBreaks="0" fitToPage="1"/>
  </sheetPr>
  <dimension ref="A1:R222"/>
  <sheetViews>
    <sheetView showGridLines="0" zoomScaleNormal="100" workbookViewId="0">
      <pane xSplit="1" ySplit="2" topLeftCell="B158" activePane="bottomRight" state="frozen"/>
      <selection activeCell="I511" sqref="I511"/>
      <selection pane="topRight" activeCell="I511" sqref="I511"/>
      <selection pane="bottomLeft" activeCell="I511" sqref="I511"/>
      <selection pane="bottomRight"/>
    </sheetView>
  </sheetViews>
  <sheetFormatPr defaultColWidth="0" defaultRowHeight="12" zeroHeight="1" outlineLevelRow="1" x14ac:dyDescent="0.2"/>
  <cols>
    <col min="1" max="5" width="3.7109375" customWidth="1"/>
    <col min="6" max="11" width="11.7109375" customWidth="1"/>
    <col min="12" max="12" width="0" hidden="1" customWidth="1"/>
    <col min="13" max="17" width="11.7109375" customWidth="1"/>
    <col min="18" max="16384" width="11.7109375" hidden="1"/>
  </cols>
  <sheetData>
    <row r="1" spans="1:13" ht="15" x14ac:dyDescent="0.2">
      <c r="A1" s="35" t="s">
        <v>128</v>
      </c>
      <c r="B1" s="30" t="str">
        <f>Lang_Checks</f>
        <v>Checks</v>
      </c>
    </row>
    <row r="2" spans="1:13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3" spans="1:13" x14ac:dyDescent="0.2"/>
    <row r="4" spans="1:13" s="13" customFormat="1" x14ac:dyDescent="0.2">
      <c r="A4"/>
      <c r="B4" s="20" t="str">
        <f>Lang_Error_Checks</f>
        <v>Error Checks</v>
      </c>
    </row>
    <row r="5" spans="1:13" hidden="1" outlineLevel="1" x14ac:dyDescent="0.2"/>
    <row r="6" spans="1:13" hidden="1" outlineLevel="1" x14ac:dyDescent="0.2">
      <c r="B6" s="22" t="b">
        <v>0</v>
      </c>
      <c r="H6" s="28" t="str">
        <f>Lang_Summary_Colon</f>
        <v>Summary:</v>
      </c>
      <c r="I6" s="44">
        <f>Err_Chks_Ttl_Areas</f>
        <v>0</v>
      </c>
      <c r="J6" s="29" t="str">
        <f>IF(OR(NOT(CB_Err_Chks_Show_Msg),Err_Chks_Ttl_Areas=0),"",IF(Err_Chks_Ttl_Areas=1," ("&amp;Lang_Error_In&amp;" "&amp;INDEX(CA_Err_Chks_Area_Names,MATCH(1,CA_Err_Chks_Flags,0))&amp;")"," ("&amp;TEXT(Err_Chks_Ttl_Areas,"#,##0")&amp;" "&amp;Lang_Errors_Detected&amp;")"))</f>
        <v/>
      </c>
    </row>
    <row r="7" spans="1:13" hidden="1" outlineLevel="1" x14ac:dyDescent="0.2"/>
    <row r="8" spans="1:13" outlineLevel="1" x14ac:dyDescent="0.2">
      <c r="B8" s="24" t="str">
        <f>Lang_Error_Checks</f>
        <v>Error Checks</v>
      </c>
      <c r="C8" s="14"/>
      <c r="D8" s="14"/>
      <c r="E8" s="14"/>
      <c r="F8" s="14"/>
      <c r="G8" s="14"/>
      <c r="H8" s="14"/>
      <c r="I8" s="14"/>
      <c r="J8" s="14"/>
      <c r="K8" s="25" t="str">
        <f>Lang_Check</f>
        <v>Check</v>
      </c>
      <c r="L8" s="25" t="str">
        <f>Lang_Include</f>
        <v>Include?</v>
      </c>
      <c r="M8" s="25" t="str">
        <f>Lang_Flag</f>
        <v>Flag</v>
      </c>
    </row>
    <row r="9" spans="1:13" ht="6" customHeight="1" outlineLevel="1" x14ac:dyDescent="0.2"/>
    <row r="10" spans="1:13" ht="12.75" outlineLevel="1" x14ac:dyDescent="0.2">
      <c r="B10" s="47" t="str">
        <f>IF(ISERROR(Err_Chk_45_Hdg),Lang_Miscellaneous_Check,Err_Chk_45_Hdg)</f>
        <v>Coverage (#) Retrospective Data - HPV 1 Target Group Name1</v>
      </c>
      <c r="C10" s="9"/>
      <c r="D10" s="9"/>
      <c r="E10" s="9"/>
      <c r="F10" s="9"/>
      <c r="G10" s="9"/>
      <c r="H10" s="9"/>
      <c r="I10" s="9"/>
      <c r="J10" s="9"/>
      <c r="K10" s="67">
        <f>IF(ISERROR(HL_Err_Chk_45),1,(HL_Err_Chk_45&lt;&gt;0)*1)</f>
        <v>0</v>
      </c>
      <c r="L10" s="21" t="s">
        <v>82</v>
      </c>
      <c r="M10" s="26">
        <f t="shared" ref="M10:M41" si="0">K10*(L10="Yes")</f>
        <v>0</v>
      </c>
    </row>
    <row r="11" spans="1:13" ht="12.75" outlineLevel="1" x14ac:dyDescent="0.2">
      <c r="B11" s="47" t="str">
        <f>IF(ISERROR(Err_Chk_44_Hdg),Lang_Miscellaneous_Check,Err_Chk_44_Hdg)</f>
        <v>Coverage (#) Retrospective Data - HPV 1 Target Group Name1</v>
      </c>
      <c r="C11" s="9"/>
      <c r="D11" s="9"/>
      <c r="E11" s="9"/>
      <c r="F11" s="9"/>
      <c r="G11" s="9"/>
      <c r="H11" s="9"/>
      <c r="I11" s="9"/>
      <c r="J11" s="9"/>
      <c r="K11" s="67">
        <f>IF(ISERROR(HL_Err_Chk_44),1,(HL_Err_Chk_44&lt;&gt;0)*1)</f>
        <v>0</v>
      </c>
      <c r="L11" s="21" t="s">
        <v>82</v>
      </c>
      <c r="M11" s="26">
        <f t="shared" si="0"/>
        <v>0</v>
      </c>
    </row>
    <row r="12" spans="1:13" ht="12.75" outlineLevel="1" x14ac:dyDescent="0.2">
      <c r="B12" s="47" t="str">
        <f>IF(ISERROR(Err_Chk_61_Hdg),Lang_Miscellaneous_Check,Err_Chk_61_Hdg)</f>
        <v>Coverage (#) Retrospective Data - HPV 1 Target Group Name1</v>
      </c>
      <c r="C12" s="9"/>
      <c r="D12" s="9"/>
      <c r="E12" s="9"/>
      <c r="F12" s="9"/>
      <c r="G12" s="9"/>
      <c r="H12" s="9"/>
      <c r="I12" s="9"/>
      <c r="J12" s="9"/>
      <c r="K12" s="67">
        <f>IF(ISERROR(HL_Err_Chk_61),1,(HL_Err_Chk_61&lt;&gt;0)*1)</f>
        <v>0</v>
      </c>
      <c r="L12" s="21" t="s">
        <v>82</v>
      </c>
      <c r="M12" s="26">
        <f t="shared" si="0"/>
        <v>0</v>
      </c>
    </row>
    <row r="13" spans="1:13" ht="12.75" outlineLevel="1" x14ac:dyDescent="0.2">
      <c r="B13" s="47" t="str">
        <f>IF(ISERROR(Err_Chk_62_Hdg),Lang_Miscellaneous_Check,Err_Chk_62_Hdg)</f>
        <v>Coverage (#) Retrospective Data - HPV 1 Target Group Name2</v>
      </c>
      <c r="C13" s="9"/>
      <c r="D13" s="9"/>
      <c r="E13" s="9"/>
      <c r="F13" s="9"/>
      <c r="G13" s="9"/>
      <c r="H13" s="9"/>
      <c r="I13" s="9"/>
      <c r="J13" s="9"/>
      <c r="K13" s="67">
        <f>IF(ISERROR(HL_Err_Chk_62),1,(HL_Err_Chk_62&lt;&gt;0)*1)</f>
        <v>0</v>
      </c>
      <c r="L13" s="21" t="s">
        <v>82</v>
      </c>
      <c r="M13" s="26">
        <f t="shared" si="0"/>
        <v>0</v>
      </c>
    </row>
    <row r="14" spans="1:13" ht="12.75" outlineLevel="1" x14ac:dyDescent="0.2">
      <c r="B14" s="47" t="str">
        <f>IF(ISERROR(Err_Chk_63_Hdg),Lang_Miscellaneous_Check,Err_Chk_63_Hdg)</f>
        <v>Coverage (#) Retrospective Data - HPV 1 Target Group Name2</v>
      </c>
      <c r="C14" s="9"/>
      <c r="D14" s="9"/>
      <c r="E14" s="9"/>
      <c r="F14" s="9"/>
      <c r="G14" s="9"/>
      <c r="H14" s="9"/>
      <c r="I14" s="9"/>
      <c r="J14" s="9"/>
      <c r="K14" s="67">
        <f>IF(ISERROR(HL_Err_Chk_63),1,(HL_Err_Chk_63&lt;&gt;0)*1)</f>
        <v>0</v>
      </c>
      <c r="L14" s="21" t="s">
        <v>82</v>
      </c>
      <c r="M14" s="26">
        <f t="shared" si="0"/>
        <v>0</v>
      </c>
    </row>
    <row r="15" spans="1:13" ht="12.75" outlineLevel="1" x14ac:dyDescent="0.2">
      <c r="B15" s="47" t="str">
        <f>IF(ISERROR(Err_Chk_64_Hdg),Lang_Miscellaneous_Check,Err_Chk_64_Hdg)</f>
        <v>Coverage (#) Retrospective Data - HPV 2 Target Group Name1</v>
      </c>
      <c r="C15" s="9"/>
      <c r="D15" s="9"/>
      <c r="E15" s="9"/>
      <c r="F15" s="9"/>
      <c r="G15" s="9"/>
      <c r="H15" s="9"/>
      <c r="I15" s="9"/>
      <c r="J15" s="9"/>
      <c r="K15" s="67">
        <f>IF(ISERROR(HL_Err_Chk_64),1,(HL_Err_Chk_64&lt;&gt;0)*1)</f>
        <v>0</v>
      </c>
      <c r="L15" s="21" t="s">
        <v>82</v>
      </c>
      <c r="M15" s="26">
        <f t="shared" si="0"/>
        <v>0</v>
      </c>
    </row>
    <row r="16" spans="1:13" ht="12.75" outlineLevel="1" x14ac:dyDescent="0.2">
      <c r="B16" s="47" t="str">
        <f>IF(ISERROR(Err_Chk_42_Hdg),Lang_Miscellaneous_Check,Err_Chk_42_Hdg)</f>
        <v>Coverage (#) Retrospective Data - HPV 2 Target Group Name2</v>
      </c>
      <c r="C16" s="9"/>
      <c r="D16" s="9"/>
      <c r="E16" s="9"/>
      <c r="F16" s="9"/>
      <c r="G16" s="9"/>
      <c r="H16" s="9"/>
      <c r="I16" s="9"/>
      <c r="J16" s="9"/>
      <c r="K16" s="67">
        <f>IF(ISERROR(HL_Err_Chk_42),1,(HL_Err_Chk_42&lt;&gt;0)*1)</f>
        <v>0</v>
      </c>
      <c r="L16" s="21" t="s">
        <v>82</v>
      </c>
      <c r="M16" s="26">
        <f t="shared" si="0"/>
        <v>0</v>
      </c>
    </row>
    <row r="17" spans="2:13" ht="12.75" outlineLevel="1" x14ac:dyDescent="0.2">
      <c r="B17" s="47" t="str">
        <f>IF(ISERROR(Err_Chk_41_Hdg),Lang_Miscellaneous_Check,Err_Chk_41_Hdg)</f>
        <v>Proportion and Number of Vaccinations Delivered, by Year and Service Delivery Type (Projection)</v>
      </c>
      <c r="C17" s="9"/>
      <c r="D17" s="9"/>
      <c r="E17" s="9"/>
      <c r="F17" s="9"/>
      <c r="G17" s="9"/>
      <c r="H17" s="9"/>
      <c r="I17" s="9"/>
      <c r="J17" s="9"/>
      <c r="K17" s="67">
        <f>IF(ISERROR(HL_Err_Chk_41),1,(HL_Err_Chk_41&lt;&gt;0)*1)</f>
        <v>0</v>
      </c>
      <c r="L17" s="21" t="s">
        <v>82</v>
      </c>
      <c r="M17" s="26">
        <f t="shared" si="0"/>
        <v>0</v>
      </c>
    </row>
    <row r="18" spans="2:13" ht="12.75" outlineLevel="1" x14ac:dyDescent="0.2">
      <c r="B18" s="47" t="str">
        <f>IF(ISERROR(Err_Chk_80_Hdg),Lang_Miscellaneous_Check,Err_Chk_80_Hdg)</f>
        <v>Single Vaccination Service Delivery Type 1 Single Activity Cost - Annual Assumptions</v>
      </c>
      <c r="C18" s="9"/>
      <c r="D18" s="9"/>
      <c r="E18" s="9"/>
      <c r="F18" s="9"/>
      <c r="G18" s="9"/>
      <c r="H18" s="9"/>
      <c r="I18" s="9"/>
      <c r="J18" s="9"/>
      <c r="K18" s="67">
        <f>IF(ISERROR(HL_Err_Chk_80),1,(HL_Err_Chk_80&lt;&gt;0)*1)</f>
        <v>0</v>
      </c>
      <c r="L18" s="21" t="s">
        <v>82</v>
      </c>
      <c r="M18" s="26">
        <f t="shared" si="0"/>
        <v>0</v>
      </c>
    </row>
    <row r="19" spans="2:13" ht="12.75" outlineLevel="1" x14ac:dyDescent="0.2">
      <c r="B19" s="47" t="str">
        <f>IF(ISERROR(Err_Chk_170_Hdg),Lang_Miscellaneous_Check,Err_Chk_170_Hdg)</f>
        <v>Single Vaccination Service Delivery Type 2 Single Activity Cost - Annual Assumptions</v>
      </c>
      <c r="C19" s="9"/>
      <c r="D19" s="9"/>
      <c r="E19" s="9"/>
      <c r="F19" s="9"/>
      <c r="G19" s="9"/>
      <c r="H19" s="9"/>
      <c r="I19" s="9"/>
      <c r="J19" s="9"/>
      <c r="K19" s="67">
        <f>IF(ISERROR(HL_Err_Chk_170),1,(HL_Err_Chk_170&lt;&gt;0)*1)</f>
        <v>0</v>
      </c>
      <c r="L19" s="21" t="s">
        <v>82</v>
      </c>
      <c r="M19" s="26">
        <f t="shared" si="0"/>
        <v>0</v>
      </c>
    </row>
    <row r="20" spans="2:13" ht="12.75" outlineLevel="1" x14ac:dyDescent="0.2">
      <c r="B20" s="47" t="str">
        <f>IF(ISERROR(Err_Chk_175_Hdg),Lang_Miscellaneous_Check,Err_Chk_175_Hdg)</f>
        <v>Small Group Vaccination Activity (30 people vaccinated) Single Activity Cost - Annual Assumptions</v>
      </c>
      <c r="C20" s="9"/>
      <c r="D20" s="9"/>
      <c r="E20" s="9"/>
      <c r="F20" s="9"/>
      <c r="G20" s="9"/>
      <c r="H20" s="9"/>
      <c r="I20" s="9"/>
      <c r="J20" s="9"/>
      <c r="K20" s="67">
        <f>IF(ISERROR(HL_Err_Chk_175),1,(HL_Err_Chk_175&lt;&gt;0)*1)</f>
        <v>0</v>
      </c>
      <c r="L20" s="21" t="s">
        <v>82</v>
      </c>
      <c r="M20" s="26">
        <f t="shared" si="0"/>
        <v>0</v>
      </c>
    </row>
    <row r="21" spans="2:13" ht="12.75" outlineLevel="1" x14ac:dyDescent="0.2">
      <c r="B21" s="47" t="str">
        <f>IF(ISERROR(Err_Chk_15_Hdg),Lang_Miscellaneous_Check,Err_Chk_15_Hdg)</f>
        <v>Large Group Vaccination Activity (100 people vaccinated) Single Activity Cost - Annual Assumptions</v>
      </c>
      <c r="C21" s="9"/>
      <c r="D21" s="9"/>
      <c r="E21" s="9"/>
      <c r="F21" s="9"/>
      <c r="G21" s="9"/>
      <c r="H21" s="9"/>
      <c r="I21" s="9"/>
      <c r="J21" s="9"/>
      <c r="K21" s="67">
        <f>IF(ISERROR(HL_Err_Chk_15),1,(HL_Err_Chk_15&lt;&gt;0)*1)</f>
        <v>0</v>
      </c>
      <c r="L21" s="21" t="s">
        <v>82</v>
      </c>
      <c r="M21" s="26">
        <f t="shared" si="0"/>
        <v>0</v>
      </c>
    </row>
    <row r="22" spans="2:13" ht="12.75" outlineLevel="1" x14ac:dyDescent="0.2">
      <c r="B22" s="47" t="str">
        <f>IF(ISERROR(Err_Chk_5_Hdg),Lang_Miscellaneous_Check,Err_Chk_5_Hdg)</f>
        <v>Microplanning Activity #1 (Not in Use) Single Activity Cost - Annual Assumptions (Projected or Retrospective)</v>
      </c>
      <c r="C22" s="9"/>
      <c r="D22" s="9"/>
      <c r="E22" s="9"/>
      <c r="F22" s="9"/>
      <c r="G22" s="9"/>
      <c r="H22" s="9"/>
      <c r="I22" s="9"/>
      <c r="J22" s="9"/>
      <c r="K22" s="67">
        <f>IF(ISERROR(HL_Err_Chk_5),1,(HL_Err_Chk_5&lt;&gt;0)*1)</f>
        <v>0</v>
      </c>
      <c r="L22" s="21" t="s">
        <v>82</v>
      </c>
      <c r="M22" s="26">
        <f t="shared" si="0"/>
        <v>0</v>
      </c>
    </row>
    <row r="23" spans="2:13" ht="12.75" outlineLevel="1" x14ac:dyDescent="0.2">
      <c r="B23" s="47" t="str">
        <f>IF(ISERROR(Err_Chk_100_Hdg),Lang_Miscellaneous_Check,Err_Chk_100_Hdg)</f>
        <v>Microplanning Activity #2 (Not in Use) Single Activity Cost - Annual Assumptions (Projected or Retrospective)</v>
      </c>
      <c r="C23" s="9"/>
      <c r="D23" s="9"/>
      <c r="E23" s="9"/>
      <c r="F23" s="9"/>
      <c r="G23" s="9"/>
      <c r="H23" s="9"/>
      <c r="I23" s="9"/>
      <c r="J23" s="9"/>
      <c r="K23" s="67">
        <f>IF(ISERROR(HL_Err_Chk_100),1,(HL_Err_Chk_100&lt;&gt;0)*1)</f>
        <v>0</v>
      </c>
      <c r="L23" s="21" t="s">
        <v>82</v>
      </c>
      <c r="M23" s="26">
        <f t="shared" si="0"/>
        <v>0</v>
      </c>
    </row>
    <row r="24" spans="2:13" ht="12.75" outlineLevel="1" x14ac:dyDescent="0.2">
      <c r="B24" s="47" t="str">
        <f>IF(ISERROR(Err_Chk_10_Hdg),Lang_Miscellaneous_Check,Err_Chk_10_Hdg)</f>
        <v>Microplanning Activity #3 (Not in Use) Single Activity Cost - Annual Assumptions (Projected or Retrospective)</v>
      </c>
      <c r="C24" s="9"/>
      <c r="D24" s="9"/>
      <c r="E24" s="9"/>
      <c r="F24" s="9"/>
      <c r="G24" s="9"/>
      <c r="H24" s="9"/>
      <c r="I24" s="9"/>
      <c r="J24" s="9"/>
      <c r="K24" s="67">
        <f>IF(ISERROR(HL_Err_Chk_10),1,(HL_Err_Chk_10&lt;&gt;0)*1)</f>
        <v>0</v>
      </c>
      <c r="L24" s="21" t="s">
        <v>82</v>
      </c>
      <c r="M24" s="26">
        <f t="shared" si="0"/>
        <v>0</v>
      </c>
    </row>
    <row r="25" spans="2:13" ht="12.75" outlineLevel="1" x14ac:dyDescent="0.2">
      <c r="B25" s="47" t="str">
        <f>IF(ISERROR(Err_Chk_105_Hdg),Lang_Miscellaneous_Check,Err_Chk_105_Hdg)</f>
        <v>Microplanning Activity #4 (Not in Use) Single Activity Cost - Annual Assumptions (Projected or Retrospective)</v>
      </c>
      <c r="C25" s="9"/>
      <c r="D25" s="9"/>
      <c r="E25" s="9"/>
      <c r="F25" s="9"/>
      <c r="G25" s="9"/>
      <c r="H25" s="9"/>
      <c r="I25" s="9"/>
      <c r="J25" s="9"/>
      <c r="K25" s="67">
        <f>IF(ISERROR(HL_Err_Chk_105),1,(HL_Err_Chk_105&lt;&gt;0)*1)</f>
        <v>0</v>
      </c>
      <c r="L25" s="21" t="s">
        <v>82</v>
      </c>
      <c r="M25" s="26">
        <f t="shared" si="0"/>
        <v>0</v>
      </c>
    </row>
    <row r="26" spans="2:13" ht="12.75" outlineLevel="1" x14ac:dyDescent="0.2">
      <c r="B26" s="47" t="str">
        <f>IF(ISERROR(Err_Chk_20_Hdg),Lang_Miscellaneous_Check,Err_Chk_20_Hdg)</f>
        <v>Training Activity #1 (Not in Use) Single Activity Cost - Annual Assumptions (Projected or Retrospective)</v>
      </c>
      <c r="C26" s="9"/>
      <c r="D26" s="9"/>
      <c r="E26" s="9"/>
      <c r="F26" s="9"/>
      <c r="G26" s="9"/>
      <c r="H26" s="9"/>
      <c r="I26" s="9"/>
      <c r="J26" s="9"/>
      <c r="K26" s="67">
        <f>IF(ISERROR(HL_Err_Chk_20),1,(HL_Err_Chk_20&lt;&gt;0)*1)</f>
        <v>0</v>
      </c>
      <c r="L26" s="21" t="s">
        <v>82</v>
      </c>
      <c r="M26" s="26">
        <f t="shared" si="0"/>
        <v>0</v>
      </c>
    </row>
    <row r="27" spans="2:13" ht="12.75" outlineLevel="1" x14ac:dyDescent="0.2">
      <c r="B27" s="47" t="str">
        <f>IF(ISERROR(Err_Chk_130_Hdg),Lang_Miscellaneous_Check,Err_Chk_130_Hdg)</f>
        <v>Training Activity #2 (Not in Use) Single Activity Cost - Annual Assumptions (Projected or Retrospective)</v>
      </c>
      <c r="C27" s="9"/>
      <c r="D27" s="9"/>
      <c r="E27" s="9"/>
      <c r="F27" s="9"/>
      <c r="G27" s="9"/>
      <c r="H27" s="9"/>
      <c r="I27" s="9"/>
      <c r="J27" s="9"/>
      <c r="K27" s="67">
        <f>IF(ISERROR(HL_Err_Chk_130),1,(HL_Err_Chk_130&lt;&gt;0)*1)</f>
        <v>0</v>
      </c>
      <c r="L27" s="21" t="s">
        <v>82</v>
      </c>
      <c r="M27" s="26">
        <f t="shared" si="0"/>
        <v>0</v>
      </c>
    </row>
    <row r="28" spans="2:13" ht="12.75" outlineLevel="1" x14ac:dyDescent="0.2">
      <c r="B28" s="47" t="str">
        <f>IF(ISERROR(Err_Chk_135_Hdg),Lang_Miscellaneous_Check,Err_Chk_135_Hdg)</f>
        <v>Training Activity #3 (Not in Use) Single Activity Cost - Annual Assumptions (Projected or Retrospective)</v>
      </c>
      <c r="C28" s="9"/>
      <c r="D28" s="9"/>
      <c r="E28" s="9"/>
      <c r="F28" s="9"/>
      <c r="G28" s="9"/>
      <c r="H28" s="9"/>
      <c r="I28" s="9"/>
      <c r="J28" s="9"/>
      <c r="K28" s="67">
        <f>IF(ISERROR(HL_Err_Chk_135),1,(HL_Err_Chk_135&lt;&gt;0)*1)</f>
        <v>0</v>
      </c>
      <c r="L28" s="21" t="s">
        <v>82</v>
      </c>
      <c r="M28" s="26">
        <f t="shared" si="0"/>
        <v>0</v>
      </c>
    </row>
    <row r="29" spans="2:13" ht="12.75" outlineLevel="1" x14ac:dyDescent="0.2">
      <c r="B29" s="47" t="str">
        <f>IF(ISERROR(Err_Chk_40_Hdg),Lang_Miscellaneous_Check,Err_Chk_40_Hdg)</f>
        <v>Training Activity #4 (Not in Use) Single Activity Cost - Annual Assumptions (Projected or Retrospective)</v>
      </c>
      <c r="C29" s="9"/>
      <c r="D29" s="9"/>
      <c r="E29" s="9"/>
      <c r="F29" s="9"/>
      <c r="G29" s="9"/>
      <c r="H29" s="9"/>
      <c r="I29" s="9"/>
      <c r="J29" s="9"/>
      <c r="K29" s="67">
        <f>IF(ISERROR(HL_Err_Chk_40),1,(HL_Err_Chk_40&lt;&gt;0)*1)</f>
        <v>0</v>
      </c>
      <c r="L29" s="21" t="s">
        <v>82</v>
      </c>
      <c r="M29" s="26">
        <f t="shared" si="0"/>
        <v>0</v>
      </c>
    </row>
    <row r="30" spans="2:13" ht="12.75" outlineLevel="1" x14ac:dyDescent="0.2">
      <c r="B30" s="47" t="str">
        <f>IF(ISERROR(Err_Chk_25_Hdg),Lang_Miscellaneous_Check,Err_Chk_25_Hdg)</f>
        <v xml:space="preserve"> Sensitisation Activity # 1 (Not in Use) Single Activity Cost - Annual Assumptions (Projected or Retrospective)</v>
      </c>
      <c r="C30" s="9"/>
      <c r="D30" s="9"/>
      <c r="E30" s="9"/>
      <c r="F30" s="9"/>
      <c r="G30" s="9"/>
      <c r="H30" s="9"/>
      <c r="I30" s="9"/>
      <c r="J30" s="9"/>
      <c r="K30" s="67">
        <f>IF(ISERROR(HL_Err_Chk_25),1,(HL_Err_Chk_25&lt;&gt;0)*1)</f>
        <v>0</v>
      </c>
      <c r="L30" s="21" t="s">
        <v>82</v>
      </c>
      <c r="M30" s="26">
        <f t="shared" si="0"/>
        <v>0</v>
      </c>
    </row>
    <row r="31" spans="2:13" ht="12.75" outlineLevel="1" x14ac:dyDescent="0.2">
      <c r="B31" s="47" t="str">
        <f>IF(ISERROR(Err_Chk_115_Hdg),Lang_Miscellaneous_Check,Err_Chk_115_Hdg)</f>
        <v xml:space="preserve"> Sensitisation Activity # 2 (Not in Use) Single Activity Cost - Annual Assumptions (Projected or Retrospective)</v>
      </c>
      <c r="C31" s="9"/>
      <c r="D31" s="9"/>
      <c r="E31" s="9"/>
      <c r="F31" s="9"/>
      <c r="G31" s="9"/>
      <c r="H31" s="9"/>
      <c r="I31" s="9"/>
      <c r="J31" s="9"/>
      <c r="K31" s="67">
        <f>IF(ISERROR(HL_Err_Chk_115),1,(HL_Err_Chk_115&lt;&gt;0)*1)</f>
        <v>0</v>
      </c>
      <c r="L31" s="21" t="s">
        <v>82</v>
      </c>
      <c r="M31" s="26">
        <f t="shared" si="0"/>
        <v>0</v>
      </c>
    </row>
    <row r="32" spans="2:13" ht="12.75" outlineLevel="1" x14ac:dyDescent="0.2">
      <c r="B32" s="47" t="str">
        <f>IF(ISERROR(Err_Chk_120_Hdg),Lang_Miscellaneous_Check,Err_Chk_120_Hdg)</f>
        <v xml:space="preserve"> Sensitisation Activity # 3 (Not in Use) Single Activity Cost - Annual Assumptions (Projected or Retrospective)</v>
      </c>
      <c r="C32" s="9"/>
      <c r="D32" s="9"/>
      <c r="E32" s="9"/>
      <c r="F32" s="9"/>
      <c r="G32" s="9"/>
      <c r="H32" s="9"/>
      <c r="I32" s="9"/>
      <c r="J32" s="9"/>
      <c r="K32" s="67">
        <f>IF(ISERROR(HL_Err_Chk_120),1,(HL_Err_Chk_120&lt;&gt;0)*1)</f>
        <v>0</v>
      </c>
      <c r="L32" s="21" t="s">
        <v>82</v>
      </c>
      <c r="M32" s="26">
        <f t="shared" si="0"/>
        <v>0</v>
      </c>
    </row>
    <row r="33" spans="2:18" ht="12.75" outlineLevel="1" x14ac:dyDescent="0.2">
      <c r="B33" s="47" t="str">
        <f>IF(ISERROR(Err_Chk_50_Hdg),Lang_Miscellaneous_Check,Err_Chk_50_Hdg)</f>
        <v xml:space="preserve"> Sensitisation Activity # 4 (Not in Use) Single Activity Cost - Annual Assumptions (Projected or Retrospective)</v>
      </c>
      <c r="C33" s="9"/>
      <c r="D33" s="9"/>
      <c r="E33" s="9"/>
      <c r="F33" s="9"/>
      <c r="G33" s="9"/>
      <c r="H33" s="9"/>
      <c r="I33" s="9"/>
      <c r="J33" s="9"/>
      <c r="K33" s="67">
        <f>IF(ISERROR(HL_Err_Chk_50),1,(HL_Err_Chk_50&lt;&gt;0)*1)</f>
        <v>0</v>
      </c>
      <c r="L33" s="21" t="s">
        <v>82</v>
      </c>
      <c r="M33" s="26">
        <f t="shared" si="0"/>
        <v>0</v>
      </c>
      <c r="R33" t="s">
        <v>39</v>
      </c>
    </row>
    <row r="34" spans="2:18" ht="12.75" outlineLevel="1" x14ac:dyDescent="0.2">
      <c r="B34" s="47" t="str">
        <f>IF(ISERROR(Err_Chk_225_Hdg),Lang_Miscellaneous_Check,Err_Chk_225_Hdg)</f>
        <v xml:space="preserve"> Sensitisation Activity # 5 (Not in Use) Single Activity Cost - Annual Assumptions (Projected or Retrospective)</v>
      </c>
      <c r="C34" s="9"/>
      <c r="D34" s="9"/>
      <c r="E34" s="9"/>
      <c r="F34" s="9"/>
      <c r="G34" s="9"/>
      <c r="H34" s="9"/>
      <c r="I34" s="9"/>
      <c r="J34" s="9"/>
      <c r="K34" s="67">
        <f>IF(ISERROR(HL_Err_Chk_225),1,(HL_Err_Chk_225&lt;&gt;0)*1)</f>
        <v>0</v>
      </c>
      <c r="L34" s="21" t="s">
        <v>82</v>
      </c>
      <c r="M34" s="26">
        <f t="shared" si="0"/>
        <v>0</v>
      </c>
    </row>
    <row r="35" spans="2:18" ht="12.75" outlineLevel="1" x14ac:dyDescent="0.2">
      <c r="B35" s="47" t="str">
        <f>IF(ISERROR(Err_Chk_230_Hdg),Lang_Miscellaneous_Check,Err_Chk_230_Hdg)</f>
        <v xml:space="preserve"> Sensitisation Activity # 6 (Not in Use) Single Activity Cost - Annual Assumptions (Projected or Retrospective)</v>
      </c>
      <c r="C35" s="9"/>
      <c r="D35" s="9"/>
      <c r="E35" s="9"/>
      <c r="F35" s="9"/>
      <c r="G35" s="9"/>
      <c r="H35" s="9"/>
      <c r="I35" s="9"/>
      <c r="J35" s="9"/>
      <c r="K35" s="67">
        <f>IF(ISERROR(HL_Err_Chk_230),1,(HL_Err_Chk_230&lt;&gt;0)*1)</f>
        <v>0</v>
      </c>
      <c r="L35" s="21" t="s">
        <v>82</v>
      </c>
      <c r="M35" s="26">
        <f t="shared" si="0"/>
        <v>0</v>
      </c>
    </row>
    <row r="36" spans="2:18" ht="12.75" outlineLevel="1" x14ac:dyDescent="0.2">
      <c r="B36" s="47" t="str">
        <f>IF(ISERROR(Err_Chk_30_Hdg),Lang_Miscellaneous_Check,Err_Chk_30_Hdg)</f>
        <v>IEC Soc Mob  Activity # 1 (Not in Use) Single Activity Cost - Annual Assumptions (Projected or Retrospective)</v>
      </c>
      <c r="C36" s="9"/>
      <c r="D36" s="9"/>
      <c r="E36" s="9"/>
      <c r="F36" s="9"/>
      <c r="G36" s="9"/>
      <c r="H36" s="9"/>
      <c r="I36" s="9"/>
      <c r="J36" s="9"/>
      <c r="K36" s="67">
        <f>IF(ISERROR(HL_Err_Chk_30),1,(HL_Err_Chk_30&lt;&gt;0)*1)</f>
        <v>0</v>
      </c>
      <c r="L36" s="21" t="s">
        <v>82</v>
      </c>
      <c r="M36" s="26">
        <f t="shared" si="0"/>
        <v>0</v>
      </c>
    </row>
    <row r="37" spans="2:18" ht="12.75" outlineLevel="1" x14ac:dyDescent="0.2">
      <c r="B37" s="47" t="str">
        <f>IF(ISERROR(Err_Chk_150_Hdg),Lang_Miscellaneous_Check,Err_Chk_150_Hdg)</f>
        <v>IEC Soc Mob  Activity # 2 (Not in Use) Single Activity Cost - Annual Assumptions (Projected or Retrospective)</v>
      </c>
      <c r="C37" s="9"/>
      <c r="D37" s="9"/>
      <c r="E37" s="9"/>
      <c r="F37" s="9"/>
      <c r="G37" s="9"/>
      <c r="H37" s="9"/>
      <c r="I37" s="9"/>
      <c r="J37" s="9"/>
      <c r="K37" s="67">
        <f>IF(ISERROR(HL_Err_Chk_150),1,(HL_Err_Chk_150&lt;&gt;0)*1)</f>
        <v>0</v>
      </c>
      <c r="L37" s="21" t="s">
        <v>82</v>
      </c>
      <c r="M37" s="26">
        <f t="shared" si="0"/>
        <v>0</v>
      </c>
    </row>
    <row r="38" spans="2:18" ht="12.75" outlineLevel="1" x14ac:dyDescent="0.2">
      <c r="B38" s="47" t="str">
        <f>IF(ISERROR(Err_Chk_155_Hdg),Lang_Miscellaneous_Check,Err_Chk_155_Hdg)</f>
        <v>IEC Soc Mob  Activity # 3 (Not in Use) Single Activity Cost - Annual Assumptions (Projected or Retrospective)</v>
      </c>
      <c r="C38" s="9"/>
      <c r="D38" s="9"/>
      <c r="E38" s="9"/>
      <c r="F38" s="9"/>
      <c r="G38" s="9"/>
      <c r="H38" s="9"/>
      <c r="I38" s="9"/>
      <c r="J38" s="9"/>
      <c r="K38" s="67">
        <f>IF(ISERROR(HL_Err_Chk_155),1,(HL_Err_Chk_155&lt;&gt;0)*1)</f>
        <v>0</v>
      </c>
      <c r="L38" s="21" t="s">
        <v>82</v>
      </c>
      <c r="M38" s="26">
        <f t="shared" si="0"/>
        <v>0</v>
      </c>
    </row>
    <row r="39" spans="2:18" ht="12.75" outlineLevel="1" x14ac:dyDescent="0.2">
      <c r="B39" s="47" t="str">
        <f>IF(ISERROR(Err_Chk_55_Hdg),Lang_Miscellaneous_Check,Err_Chk_55_Hdg)</f>
        <v>IEC Soc Mob  Activity # 4  (Not in Use) Single Activity Cost - Annual Assumptions (Projected or Retrospective)</v>
      </c>
      <c r="C39" s="9"/>
      <c r="D39" s="9"/>
      <c r="E39" s="9"/>
      <c r="F39" s="9"/>
      <c r="G39" s="9"/>
      <c r="H39" s="9"/>
      <c r="I39" s="9"/>
      <c r="J39" s="9"/>
      <c r="K39" s="67">
        <f>IF(ISERROR(HL_Err_Chk_55),1,(HL_Err_Chk_55&lt;&gt;0)*1)</f>
        <v>0</v>
      </c>
      <c r="L39" s="21" t="s">
        <v>82</v>
      </c>
      <c r="M39" s="26">
        <f t="shared" si="0"/>
        <v>0</v>
      </c>
    </row>
    <row r="40" spans="2:18" ht="12.75" outlineLevel="1" x14ac:dyDescent="0.2">
      <c r="B40" s="47" t="str">
        <f>IF(ISERROR(Err_Chk_160_Hdg),Lang_Miscellaneous_Check,Err_Chk_160_Hdg)</f>
        <v>IEC Soc Mob  Activity # 5  (Not in Use) Single Activity Cost - Annual Assumptions (Projected or Retrospective)</v>
      </c>
      <c r="C40" s="9"/>
      <c r="D40" s="9"/>
      <c r="E40" s="9"/>
      <c r="F40" s="9"/>
      <c r="G40" s="9"/>
      <c r="H40" s="9"/>
      <c r="I40" s="9"/>
      <c r="J40" s="9"/>
      <c r="K40" s="67">
        <f>IF(ISERROR(HL_Err_Chk_160),1,(HL_Err_Chk_160&lt;&gt;0)*1)</f>
        <v>0</v>
      </c>
      <c r="L40" s="21" t="s">
        <v>82</v>
      </c>
      <c r="M40" s="26">
        <f t="shared" si="0"/>
        <v>0</v>
      </c>
    </row>
    <row r="41" spans="2:18" ht="12.75" outlineLevel="1" x14ac:dyDescent="0.2">
      <c r="B41" s="47" t="str">
        <f>IF(ISERROR(Err_Chk_165_Hdg),Lang_Miscellaneous_Check,Err_Chk_165_Hdg)</f>
        <v>IEC Soc Mob  Activity # 6 (Not in Use) Single Activity Cost - Annual Assumptions (Projected or Retrospective)</v>
      </c>
      <c r="C41" s="9"/>
      <c r="D41" s="9"/>
      <c r="E41" s="9"/>
      <c r="F41" s="9"/>
      <c r="G41" s="9"/>
      <c r="H41" s="9"/>
      <c r="I41" s="9"/>
      <c r="J41" s="9"/>
      <c r="K41" s="67">
        <f>IF(ISERROR(HL_Err_Chk_165),1,(HL_Err_Chk_165&lt;&gt;0)*1)</f>
        <v>0</v>
      </c>
      <c r="L41" s="21" t="s">
        <v>82</v>
      </c>
      <c r="M41" s="26">
        <f t="shared" si="0"/>
        <v>0</v>
      </c>
    </row>
    <row r="42" spans="2:18" ht="12.75" outlineLevel="1" x14ac:dyDescent="0.2">
      <c r="B42" s="47" t="str">
        <f>IF(ISERROR(Err_Chk_110_Hdg),Lang_Miscellaneous_Check,Err_Chk_110_Hdg)</f>
        <v>IEC Soc Mob  Activity # 7 (Not in Use) Single Activity Cost - Annual Assumptions (Projected or Retrospective)</v>
      </c>
      <c r="C42" s="9"/>
      <c r="D42" s="9"/>
      <c r="E42" s="9"/>
      <c r="F42" s="9"/>
      <c r="G42" s="9"/>
      <c r="H42" s="9"/>
      <c r="I42" s="9"/>
      <c r="J42" s="9"/>
      <c r="K42" s="67">
        <f>IF(ISERROR(HL_Err_Chk_110),1,(HL_Err_Chk_110&lt;&gt;0)*1)</f>
        <v>0</v>
      </c>
      <c r="L42" s="21" t="s">
        <v>82</v>
      </c>
      <c r="M42" s="26">
        <f t="shared" ref="M42:M73" si="1">K42*(L42="Yes")</f>
        <v>0</v>
      </c>
    </row>
    <row r="43" spans="2:18" ht="12.75" outlineLevel="1" x14ac:dyDescent="0.2">
      <c r="B43" s="47" t="str">
        <f>IF(ISERROR(Err_Chk_125_Hdg),Lang_Miscellaneous_Check,Err_Chk_125_Hdg)</f>
        <v>IEC Soc Mob  Activity # 8 (Not in Use) Single Activity Cost - Annual Assumptions (Projected or Retrospective)</v>
      </c>
      <c r="C43" s="9"/>
      <c r="D43" s="9"/>
      <c r="E43" s="9"/>
      <c r="F43" s="9"/>
      <c r="G43" s="9"/>
      <c r="H43" s="9"/>
      <c r="I43" s="9"/>
      <c r="J43" s="9"/>
      <c r="K43" s="67">
        <f>IF(ISERROR(HL_Err_Chk_125),1,(HL_Err_Chk_125&lt;&gt;0)*1)</f>
        <v>0</v>
      </c>
      <c r="L43" s="21" t="s">
        <v>82</v>
      </c>
      <c r="M43" s="26">
        <f t="shared" si="1"/>
        <v>0</v>
      </c>
    </row>
    <row r="44" spans="2:18" ht="12.75" outlineLevel="1" x14ac:dyDescent="0.2">
      <c r="B44" s="47" t="str">
        <f>IF(ISERROR(Err_Chk_35_Hdg),Lang_Miscellaneous_Check,Err_Chk_35_Hdg)</f>
        <v>SME Activity #1 (Not in Use) Single Activity Cost - Annual Assumptions (Projected or Retrospective)</v>
      </c>
      <c r="C44" s="9"/>
      <c r="D44" s="9"/>
      <c r="E44" s="9"/>
      <c r="F44" s="9"/>
      <c r="G44" s="9"/>
      <c r="H44" s="9"/>
      <c r="I44" s="9"/>
      <c r="J44" s="9"/>
      <c r="K44" s="67">
        <f>IF(ISERROR(HL_Err_Chk_35),1,(HL_Err_Chk_35&lt;&gt;0)*1)</f>
        <v>0</v>
      </c>
      <c r="L44" s="21" t="s">
        <v>82</v>
      </c>
      <c r="M44" s="26">
        <f t="shared" si="1"/>
        <v>0</v>
      </c>
    </row>
    <row r="45" spans="2:18" ht="12.75" outlineLevel="1" x14ac:dyDescent="0.2">
      <c r="B45" s="47" t="str">
        <f>IF(ISERROR(Err_Chk_180_Hdg),Lang_Miscellaneous_Check,Err_Chk_180_Hdg)</f>
        <v>SME Activity #2 (Not in Use) Single Activity Cost - Annual Assumptions (Projected or Retrospective)</v>
      </c>
      <c r="C45" s="9"/>
      <c r="D45" s="9"/>
      <c r="E45" s="9"/>
      <c r="F45" s="9"/>
      <c r="G45" s="9"/>
      <c r="H45" s="9"/>
      <c r="I45" s="9"/>
      <c r="J45" s="9"/>
      <c r="K45" s="67">
        <f>IF(ISERROR(HL_Err_Chk_180),1,(HL_Err_Chk_180&lt;&gt;0)*1)</f>
        <v>0</v>
      </c>
      <c r="L45" s="21" t="s">
        <v>82</v>
      </c>
      <c r="M45" s="26">
        <f t="shared" si="1"/>
        <v>0</v>
      </c>
    </row>
    <row r="46" spans="2:18" ht="12.75" outlineLevel="1" x14ac:dyDescent="0.2">
      <c r="B46" s="47" t="str">
        <f>IF(ISERROR(Err_Chk_185_Hdg),Lang_Miscellaneous_Check,Err_Chk_185_Hdg)</f>
        <v>SME Activity #3 (Not in Use) Single Activity Cost - Annual Assumptions (Projected or Retrospective)</v>
      </c>
      <c r="C46" s="9"/>
      <c r="D46" s="9"/>
      <c r="E46" s="9"/>
      <c r="F46" s="9"/>
      <c r="G46" s="9"/>
      <c r="H46" s="9"/>
      <c r="I46" s="9"/>
      <c r="J46" s="9"/>
      <c r="K46" s="67">
        <f>IF(ISERROR(HL_Err_Chk_185),1,(HL_Err_Chk_185&lt;&gt;0)*1)</f>
        <v>0</v>
      </c>
      <c r="L46" s="21" t="s">
        <v>82</v>
      </c>
      <c r="M46" s="26">
        <f t="shared" si="1"/>
        <v>0</v>
      </c>
    </row>
    <row r="47" spans="2:18" ht="12.75" outlineLevel="1" x14ac:dyDescent="0.2">
      <c r="B47" s="47" t="str">
        <f>IF(ISERROR(Err_Chk_220_Hdg),Lang_Miscellaneous_Check,Err_Chk_220_Hdg)</f>
        <v>SME Activity #4 (Not in Use) Single Activity Cost - Annual Assumptions (Projected or Retrospective)</v>
      </c>
      <c r="C47" s="9"/>
      <c r="D47" s="9"/>
      <c r="E47" s="9"/>
      <c r="F47" s="9"/>
      <c r="G47" s="9"/>
      <c r="H47" s="9"/>
      <c r="I47" s="9"/>
      <c r="J47" s="9"/>
      <c r="K47" s="67">
        <f>IF(ISERROR(HL_Err_Chk_220),1,(HL_Err_Chk_220&lt;&gt;0)*1)</f>
        <v>0</v>
      </c>
      <c r="L47" s="21" t="s">
        <v>82</v>
      </c>
      <c r="M47" s="26">
        <f t="shared" si="1"/>
        <v>0</v>
      </c>
    </row>
    <row r="48" spans="2:18" ht="12.75" outlineLevel="1" x14ac:dyDescent="0.2">
      <c r="B48" s="47" t="str">
        <f>IF(ISERROR(Err_Chk_60_Hdg),Lang_Miscellaneous_Check,Err_Chk_60_Hdg)</f>
        <v>SME Activity #5 (Not in Use) Single Activity Cost - Annual Assumptions (Projected or Retrospective)</v>
      </c>
      <c r="C48" s="9"/>
      <c r="D48" s="9"/>
      <c r="E48" s="9"/>
      <c r="F48" s="9"/>
      <c r="G48" s="9"/>
      <c r="H48" s="9"/>
      <c r="I48" s="9"/>
      <c r="J48" s="9"/>
      <c r="K48" s="67">
        <f>IF(ISERROR(HL_Err_Chk_60),1,(HL_Err_Chk_60&lt;&gt;0)*1)</f>
        <v>0</v>
      </c>
      <c r="L48" s="21" t="s">
        <v>82</v>
      </c>
      <c r="M48" s="26">
        <f t="shared" si="1"/>
        <v>0</v>
      </c>
    </row>
    <row r="49" spans="2:13" ht="12.75" outlineLevel="1" x14ac:dyDescent="0.2">
      <c r="B49" s="47" t="str">
        <f>IF(ISERROR(Err_Chk_190_Hdg),Lang_Miscellaneous_Check,Err_Chk_190_Hdg)</f>
        <v>SME Activity #6 (Not in Use) Single Activity Cost - Annual Assumptions (Projected or Retrospective)</v>
      </c>
      <c r="C49" s="9"/>
      <c r="D49" s="9"/>
      <c r="E49" s="9"/>
      <c r="F49" s="9"/>
      <c r="G49" s="9"/>
      <c r="H49" s="9"/>
      <c r="I49" s="9"/>
      <c r="J49" s="9"/>
      <c r="K49" s="67">
        <f>IF(ISERROR(HL_Err_Chk_190),1,(HL_Err_Chk_190&lt;&gt;0)*1)</f>
        <v>0</v>
      </c>
      <c r="L49" s="21" t="s">
        <v>82</v>
      </c>
      <c r="M49" s="26">
        <f t="shared" si="1"/>
        <v>0</v>
      </c>
    </row>
    <row r="50" spans="2:13" ht="12.75" outlineLevel="1" x14ac:dyDescent="0.2">
      <c r="B50" s="47" t="str">
        <f>IF(ISERROR(Err_Chk_195_Hdg),Lang_Miscellaneous_Check,Err_Chk_195_Hdg)</f>
        <v>SME Activity #7 (Not in Use) Single Activity Cost - Annual Assumptions (Projected or Retrospective)</v>
      </c>
      <c r="C50" s="9"/>
      <c r="D50" s="9"/>
      <c r="E50" s="9"/>
      <c r="F50" s="9"/>
      <c r="G50" s="9"/>
      <c r="H50" s="9"/>
      <c r="I50" s="9"/>
      <c r="J50" s="9"/>
      <c r="K50" s="67">
        <f>IF(ISERROR(HL_Err_Chk_195),1,(HL_Err_Chk_195&lt;&gt;0)*1)</f>
        <v>0</v>
      </c>
      <c r="L50" s="21" t="s">
        <v>82</v>
      </c>
      <c r="M50" s="26">
        <f t="shared" si="1"/>
        <v>0</v>
      </c>
    </row>
    <row r="51" spans="2:13" ht="12.75" outlineLevel="1" x14ac:dyDescent="0.2">
      <c r="B51" s="47" t="str">
        <f>IF(ISERROR(Err_Chk_90_Hdg),Lang_Miscellaneous_Check,Err_Chk_90_Hdg)</f>
        <v>Other Activity #1 - (Recurrent Costs Only) (Not in Use) Single Activity Cost - Annual Assumptions (Projected or Retrospective)</v>
      </c>
      <c r="C51" s="9"/>
      <c r="D51" s="9"/>
      <c r="E51" s="9"/>
      <c r="F51" s="9"/>
      <c r="G51" s="9"/>
      <c r="H51" s="9"/>
      <c r="I51" s="9"/>
      <c r="J51" s="9"/>
      <c r="K51" s="67">
        <f>IF(ISERROR(HL_Err_Chk_90),1,(HL_Err_Chk_90&lt;&gt;0)*1)</f>
        <v>0</v>
      </c>
      <c r="L51" s="21" t="s">
        <v>82</v>
      </c>
      <c r="M51" s="26">
        <f t="shared" si="1"/>
        <v>0</v>
      </c>
    </row>
    <row r="52" spans="2:13" ht="12.75" outlineLevel="1" x14ac:dyDescent="0.2">
      <c r="B52" s="47" t="str">
        <f>IF(ISERROR(Err_Chk_205_Hdg),Lang_Miscellaneous_Check,Err_Chk_205_Hdg)</f>
        <v>Other Activity #2 - (Recurrent Costs Only) (Not in Use) Single Activity Cost - Annual Assumptions (Projected or Retrospective)</v>
      </c>
      <c r="C52" s="9"/>
      <c r="D52" s="9"/>
      <c r="E52" s="9"/>
      <c r="F52" s="9"/>
      <c r="G52" s="9"/>
      <c r="H52" s="9"/>
      <c r="I52" s="9"/>
      <c r="J52" s="9"/>
      <c r="K52" s="67">
        <f>IF(ISERROR(HL_Err_Chk_205),1,(HL_Err_Chk_205&lt;&gt;0)*1)</f>
        <v>0</v>
      </c>
      <c r="L52" s="21" t="s">
        <v>82</v>
      </c>
      <c r="M52" s="26">
        <f t="shared" si="1"/>
        <v>0</v>
      </c>
    </row>
    <row r="53" spans="2:13" ht="12.75" outlineLevel="1" x14ac:dyDescent="0.2">
      <c r="B53" s="47" t="str">
        <f>IF(ISERROR(Err_Chk_200_Hdg),Lang_Miscellaneous_Check,Err_Chk_200_Hdg)</f>
        <v>Other Activity #3 - (Recurrent Costs Only) (Not in Use) Single Activity Cost - Annual Assumptions (Projected or Retrospective)</v>
      </c>
      <c r="C53" s="9"/>
      <c r="D53" s="9"/>
      <c r="E53" s="9"/>
      <c r="F53" s="9"/>
      <c r="G53" s="9"/>
      <c r="H53" s="9"/>
      <c r="I53" s="9"/>
      <c r="J53" s="9"/>
      <c r="K53" s="67">
        <f>IF(ISERROR(HL_Err_Chk_200),1,(HL_Err_Chk_200&lt;&gt;0)*1)</f>
        <v>0</v>
      </c>
      <c r="L53" s="21" t="s">
        <v>82</v>
      </c>
      <c r="M53" s="26">
        <f t="shared" si="1"/>
        <v>0</v>
      </c>
    </row>
    <row r="54" spans="2:13" ht="12.75" outlineLevel="1" x14ac:dyDescent="0.2">
      <c r="B54" s="47" t="str">
        <f>IF(ISERROR(Err_Chk_95_Hdg),Lang_Miscellaneous_Check,Err_Chk_95_Hdg)</f>
        <v>Other Activity #4 - (Recurrent Costs Only) (Not in Use) Single Activity Cost - Annual Assumptions (Projected or Retrospective)</v>
      </c>
      <c r="C54" s="9"/>
      <c r="D54" s="9"/>
      <c r="E54" s="9"/>
      <c r="F54" s="9"/>
      <c r="G54" s="9"/>
      <c r="H54" s="9"/>
      <c r="I54" s="9"/>
      <c r="J54" s="9"/>
      <c r="K54" s="67">
        <f>IF(ISERROR(HL_Err_Chk_95),1,(HL_Err_Chk_95&lt;&gt;0)*1)</f>
        <v>0</v>
      </c>
      <c r="L54" s="21" t="s">
        <v>82</v>
      </c>
      <c r="M54" s="26">
        <f t="shared" si="1"/>
        <v>0</v>
      </c>
    </row>
    <row r="55" spans="2:13" ht="12.75" outlineLevel="1" x14ac:dyDescent="0.2">
      <c r="B55" s="47" t="str">
        <f>IF(ISERROR(Err_Chk_210_Hdg),Lang_Miscellaneous_Check,Err_Chk_210_Hdg)</f>
        <v>Other Activity #5 - (Recurrent Costs Only) (Not in Use) Single Activity Cost - Annual Assumptions (Projected or Retrospective)</v>
      </c>
      <c r="C55" s="9"/>
      <c r="D55" s="9"/>
      <c r="E55" s="9"/>
      <c r="F55" s="9"/>
      <c r="G55" s="9"/>
      <c r="H55" s="9"/>
      <c r="I55" s="9"/>
      <c r="J55" s="9"/>
      <c r="K55" s="67">
        <f>IF(ISERROR(HL_Err_Chk_210),1,(HL_Err_Chk_210&lt;&gt;0)*1)</f>
        <v>0</v>
      </c>
      <c r="L55" s="21" t="s">
        <v>82</v>
      </c>
      <c r="M55" s="26">
        <f t="shared" si="1"/>
        <v>0</v>
      </c>
    </row>
    <row r="56" spans="2:13" ht="12.75" outlineLevel="1" x14ac:dyDescent="0.2">
      <c r="B56" s="47" t="str">
        <f>IF(ISERROR(Err_Chk_1_Hdg),Lang_Miscellaneous_Check,Err_Chk_1_Hdg)</f>
        <v>Microplanning Activity #1 (Not in Use) - Detailed Personnel Cost Assumptions</v>
      </c>
      <c r="C56" s="9"/>
      <c r="D56" s="9"/>
      <c r="E56" s="9"/>
      <c r="F56" s="9"/>
      <c r="G56" s="9"/>
      <c r="H56" s="9"/>
      <c r="I56" s="9"/>
      <c r="J56" s="9"/>
      <c r="K56" s="67">
        <f>IF(ISERROR(HL_Err_Chk_1),1,(HL_Err_Chk_1&lt;&gt;0)*1)</f>
        <v>0</v>
      </c>
      <c r="L56" s="21" t="s">
        <v>82</v>
      </c>
      <c r="M56" s="26">
        <f t="shared" si="1"/>
        <v>0</v>
      </c>
    </row>
    <row r="57" spans="2:13" ht="12.75" outlineLevel="1" x14ac:dyDescent="0.2">
      <c r="B57" s="47" t="str">
        <f>IF(ISERROR(Err_Chk_2_Hdg),Lang_Miscellaneous_Check,Err_Chk_2_Hdg)</f>
        <v>Microplanning Activity #1 (Not in Use) - Detailed Allowance Cost Assumptions</v>
      </c>
      <c r="C57" s="9"/>
      <c r="D57" s="9"/>
      <c r="E57" s="9"/>
      <c r="F57" s="9"/>
      <c r="G57" s="9"/>
      <c r="H57" s="9"/>
      <c r="I57" s="9"/>
      <c r="J57" s="9"/>
      <c r="K57" s="67">
        <f>IF(ISERROR(HL_Err_Chk_2),1,(HL_Err_Chk_2&lt;&gt;0)*1)</f>
        <v>0</v>
      </c>
      <c r="L57" s="21" t="s">
        <v>82</v>
      </c>
      <c r="M57" s="26">
        <f t="shared" si="1"/>
        <v>0</v>
      </c>
    </row>
    <row r="58" spans="2:13" ht="12.75" outlineLevel="1" x14ac:dyDescent="0.2">
      <c r="B58" s="47" t="str">
        <f>IF(ISERROR(Err_Chk_3_Hdg),Lang_Miscellaneous_Check,Err_Chk_3_Hdg)</f>
        <v>Microplanning Activity #1 (Not in Use) - Detailed Supply and Material Cost Assumptions</v>
      </c>
      <c r="C58" s="9"/>
      <c r="D58" s="9"/>
      <c r="E58" s="9"/>
      <c r="F58" s="9"/>
      <c r="G58" s="9"/>
      <c r="H58" s="9"/>
      <c r="I58" s="9"/>
      <c r="J58" s="9"/>
      <c r="K58" s="67">
        <f>IF(ISERROR(HL_Err_Chk_3),1,(HL_Err_Chk_3&lt;&gt;0)*1)</f>
        <v>0</v>
      </c>
      <c r="L58" s="21" t="s">
        <v>82</v>
      </c>
      <c r="M58" s="26">
        <f t="shared" si="1"/>
        <v>0</v>
      </c>
    </row>
    <row r="59" spans="2:13" ht="12.75" outlineLevel="1" x14ac:dyDescent="0.2">
      <c r="B59" s="47" t="str">
        <f>IF(ISERROR(Err_Chk_4_Hdg),Lang_Miscellaneous_Check,Err_Chk_4_Hdg)</f>
        <v>Microplanning Activity #1 (Not in Use) - Detailed Other Direct Cost Assumptions</v>
      </c>
      <c r="C59" s="9"/>
      <c r="D59" s="9"/>
      <c r="E59" s="9"/>
      <c r="F59" s="9"/>
      <c r="G59" s="9"/>
      <c r="H59" s="9"/>
      <c r="I59" s="9"/>
      <c r="J59" s="9"/>
      <c r="K59" s="67">
        <f>IF(ISERROR(HL_Err_Chk_4),1,(HL_Err_Chk_4&lt;&gt;0)*1)</f>
        <v>0</v>
      </c>
      <c r="L59" s="21" t="s">
        <v>82</v>
      </c>
      <c r="M59" s="26">
        <f t="shared" si="1"/>
        <v>0</v>
      </c>
    </row>
    <row r="60" spans="2:13" ht="12.75" outlineLevel="1" x14ac:dyDescent="0.2">
      <c r="B60" s="47" t="str">
        <f>IF(ISERROR(Err_Chk_96_Hdg),Lang_Miscellaneous_Check,Err_Chk_96_Hdg)</f>
        <v>Microplanning Activity #2 (Not in Use) - Detailed Personnel Cost Assumptions</v>
      </c>
      <c r="C60" s="9"/>
      <c r="D60" s="9"/>
      <c r="E60" s="9"/>
      <c r="F60" s="9"/>
      <c r="G60" s="9"/>
      <c r="H60" s="9"/>
      <c r="I60" s="9"/>
      <c r="J60" s="9"/>
      <c r="K60" s="67">
        <f>IF(ISERROR(HL_Err_Chk_96),1,(HL_Err_Chk_96&lt;&gt;0)*1)</f>
        <v>0</v>
      </c>
      <c r="L60" s="21" t="s">
        <v>82</v>
      </c>
      <c r="M60" s="26">
        <f t="shared" si="1"/>
        <v>0</v>
      </c>
    </row>
    <row r="61" spans="2:13" ht="12.75" outlineLevel="1" x14ac:dyDescent="0.2">
      <c r="B61" s="47" t="str">
        <f>IF(ISERROR(Err_Chk_97_Hdg),Lang_Miscellaneous_Check,Err_Chk_97_Hdg)</f>
        <v>Microplanning Activity #2 (Not in Use) - Detailed Allowance Cost Assumptions</v>
      </c>
      <c r="C61" s="9"/>
      <c r="D61" s="9"/>
      <c r="E61" s="9"/>
      <c r="F61" s="9"/>
      <c r="G61" s="9"/>
      <c r="H61" s="9"/>
      <c r="I61" s="9"/>
      <c r="J61" s="9"/>
      <c r="K61" s="67">
        <f>IF(ISERROR(HL_Err_Chk_97),1,(HL_Err_Chk_97&lt;&gt;0)*1)</f>
        <v>0</v>
      </c>
      <c r="L61" s="21" t="s">
        <v>82</v>
      </c>
      <c r="M61" s="26">
        <f t="shared" si="1"/>
        <v>0</v>
      </c>
    </row>
    <row r="62" spans="2:13" ht="12.75" outlineLevel="1" x14ac:dyDescent="0.2">
      <c r="B62" s="47" t="str">
        <f>IF(ISERROR(Err_Chk_98_Hdg),Lang_Miscellaneous_Check,Err_Chk_98_Hdg)</f>
        <v>Microplanning Activity #2 (Not in Use) - Detailed Supply and Material Cost Assumptions</v>
      </c>
      <c r="C62" s="9"/>
      <c r="D62" s="9"/>
      <c r="E62" s="9"/>
      <c r="F62" s="9"/>
      <c r="G62" s="9"/>
      <c r="H62" s="9"/>
      <c r="I62" s="9"/>
      <c r="J62" s="9"/>
      <c r="K62" s="67">
        <f>IF(ISERROR(HL_Err_Chk_98),1,(HL_Err_Chk_98&lt;&gt;0)*1)</f>
        <v>0</v>
      </c>
      <c r="L62" s="21" t="s">
        <v>82</v>
      </c>
      <c r="M62" s="26">
        <f t="shared" si="1"/>
        <v>0</v>
      </c>
    </row>
    <row r="63" spans="2:13" ht="12.75" outlineLevel="1" x14ac:dyDescent="0.2">
      <c r="B63" s="47" t="str">
        <f>IF(ISERROR(Err_Chk_99_Hdg),Lang_Miscellaneous_Check,Err_Chk_99_Hdg)</f>
        <v>Microplanning Activity #2 (Not in Use) - Detailed Other Direct Cost Assumptions</v>
      </c>
      <c r="C63" s="9"/>
      <c r="D63" s="9"/>
      <c r="E63" s="9"/>
      <c r="F63" s="9"/>
      <c r="G63" s="9"/>
      <c r="H63" s="9"/>
      <c r="I63" s="9"/>
      <c r="J63" s="9"/>
      <c r="K63" s="67">
        <f>IF(ISERROR(HL_Err_Chk_99),1,(HL_Err_Chk_99&lt;&gt;0)*1)</f>
        <v>0</v>
      </c>
      <c r="L63" s="21" t="s">
        <v>82</v>
      </c>
      <c r="M63" s="26">
        <f t="shared" si="1"/>
        <v>0</v>
      </c>
    </row>
    <row r="64" spans="2:13" ht="12.75" outlineLevel="1" x14ac:dyDescent="0.2">
      <c r="B64" s="47" t="str">
        <f>IF(ISERROR(Err_Chk_6_Hdg),Lang_Miscellaneous_Check,Err_Chk_6_Hdg)</f>
        <v>Microplanning Activity #3 (Not in Use) - Detailed Personnel Cost Assumptions</v>
      </c>
      <c r="C64" s="9"/>
      <c r="D64" s="9"/>
      <c r="E64" s="9"/>
      <c r="F64" s="9"/>
      <c r="G64" s="9"/>
      <c r="H64" s="9"/>
      <c r="I64" s="9"/>
      <c r="J64" s="9"/>
      <c r="K64" s="67">
        <f>IF(ISERROR(HL_Err_Chk_6),1,(HL_Err_Chk_6&lt;&gt;0)*1)</f>
        <v>0</v>
      </c>
      <c r="L64" s="21" t="s">
        <v>82</v>
      </c>
      <c r="M64" s="26">
        <f t="shared" si="1"/>
        <v>0</v>
      </c>
    </row>
    <row r="65" spans="2:13" ht="12.75" outlineLevel="1" x14ac:dyDescent="0.2">
      <c r="B65" s="47" t="str">
        <f>IF(ISERROR(Err_Chk_7_Hdg),Lang_Miscellaneous_Check,Err_Chk_7_Hdg)</f>
        <v>Microplanning Activity #3 (Not in Use) - Detailed Allowance Cost Assumptions</v>
      </c>
      <c r="C65" s="9"/>
      <c r="D65" s="9"/>
      <c r="E65" s="9"/>
      <c r="F65" s="9"/>
      <c r="G65" s="9"/>
      <c r="H65" s="9"/>
      <c r="I65" s="9"/>
      <c r="J65" s="9"/>
      <c r="K65" s="67">
        <f>IF(ISERROR(HL_Err_Chk_7),1,(HL_Err_Chk_7&lt;&gt;0)*1)</f>
        <v>0</v>
      </c>
      <c r="L65" s="21" t="s">
        <v>82</v>
      </c>
      <c r="M65" s="26">
        <f t="shared" si="1"/>
        <v>0</v>
      </c>
    </row>
    <row r="66" spans="2:13" ht="12.75" outlineLevel="1" x14ac:dyDescent="0.2">
      <c r="B66" s="47" t="str">
        <f>IF(ISERROR(Err_Chk_8_Hdg),Lang_Miscellaneous_Check,Err_Chk_8_Hdg)</f>
        <v>Microplanning Activity #3 (Not in Use) - Detailed Supply and Material Cost Assumptions</v>
      </c>
      <c r="C66" s="9"/>
      <c r="D66" s="9"/>
      <c r="E66" s="9"/>
      <c r="F66" s="9"/>
      <c r="G66" s="9"/>
      <c r="H66" s="9"/>
      <c r="I66" s="9"/>
      <c r="J66" s="9"/>
      <c r="K66" s="67">
        <f>IF(ISERROR(HL_Err_Chk_8),1,(HL_Err_Chk_8&lt;&gt;0)*1)</f>
        <v>0</v>
      </c>
      <c r="L66" s="21" t="s">
        <v>82</v>
      </c>
      <c r="M66" s="26">
        <f t="shared" si="1"/>
        <v>0</v>
      </c>
    </row>
    <row r="67" spans="2:13" ht="12.75" outlineLevel="1" x14ac:dyDescent="0.2">
      <c r="B67" s="47" t="str">
        <f>IF(ISERROR(Err_Chk_9_Hdg),Lang_Miscellaneous_Check,Err_Chk_9_Hdg)</f>
        <v>Microplanning Activity #3 (Not in Use) - Detailed Other Direct Cost Assumptions</v>
      </c>
      <c r="C67" s="9"/>
      <c r="D67" s="9"/>
      <c r="E67" s="9"/>
      <c r="F67" s="9"/>
      <c r="G67" s="9"/>
      <c r="H67" s="9"/>
      <c r="I67" s="9"/>
      <c r="J67" s="9"/>
      <c r="K67" s="67">
        <f>IF(ISERROR(HL_Err_Chk_9),1,(HL_Err_Chk_9&lt;&gt;0)*1)</f>
        <v>0</v>
      </c>
      <c r="L67" s="21" t="s">
        <v>82</v>
      </c>
      <c r="M67" s="26">
        <f t="shared" si="1"/>
        <v>0</v>
      </c>
    </row>
    <row r="68" spans="2:13" ht="12.75" outlineLevel="1" x14ac:dyDescent="0.2">
      <c r="B68" s="47" t="str">
        <f>IF(ISERROR(Err_Chk_101_Hdg),Lang_Miscellaneous_Check,Err_Chk_101_Hdg)</f>
        <v>Microplanning Activity #4 (Not in Use) - Detailed Personnel Cost Assumptions</v>
      </c>
      <c r="C68" s="9"/>
      <c r="D68" s="9"/>
      <c r="E68" s="9"/>
      <c r="F68" s="9"/>
      <c r="G68" s="9"/>
      <c r="H68" s="9"/>
      <c r="I68" s="9"/>
      <c r="J68" s="9"/>
      <c r="K68" s="67">
        <f>IF(ISERROR(HL_Err_Chk_101),1,(HL_Err_Chk_101&lt;&gt;0)*1)</f>
        <v>0</v>
      </c>
      <c r="L68" s="21" t="s">
        <v>82</v>
      </c>
      <c r="M68" s="26">
        <f t="shared" si="1"/>
        <v>0</v>
      </c>
    </row>
    <row r="69" spans="2:13" ht="12.75" outlineLevel="1" x14ac:dyDescent="0.2">
      <c r="B69" s="47" t="str">
        <f>IF(ISERROR(Err_Chk_102_Hdg),Lang_Miscellaneous_Check,Err_Chk_102_Hdg)</f>
        <v>Microplanning Activity #4 (Not in Use) - Detailed Allowance Cost Assumptions</v>
      </c>
      <c r="C69" s="9"/>
      <c r="D69" s="9"/>
      <c r="E69" s="9"/>
      <c r="F69" s="9"/>
      <c r="G69" s="9"/>
      <c r="H69" s="9"/>
      <c r="I69" s="9"/>
      <c r="J69" s="9"/>
      <c r="K69" s="67">
        <f>IF(ISERROR(HL_Err_Chk_102),1,(HL_Err_Chk_102&lt;&gt;0)*1)</f>
        <v>0</v>
      </c>
      <c r="L69" s="21" t="s">
        <v>82</v>
      </c>
      <c r="M69" s="26">
        <f t="shared" si="1"/>
        <v>0</v>
      </c>
    </row>
    <row r="70" spans="2:13" ht="12.75" outlineLevel="1" x14ac:dyDescent="0.2">
      <c r="B70" s="47" t="str">
        <f>IF(ISERROR(Err_Chk_103_Hdg),Lang_Miscellaneous_Check,Err_Chk_103_Hdg)</f>
        <v>Microplanning Activity #4 (Not in Use) - Detailed Supply and Material Cost Assumptions</v>
      </c>
      <c r="C70" s="9"/>
      <c r="D70" s="9"/>
      <c r="E70" s="9"/>
      <c r="F70" s="9"/>
      <c r="G70" s="9"/>
      <c r="H70" s="9"/>
      <c r="I70" s="9"/>
      <c r="J70" s="9"/>
      <c r="K70" s="67">
        <f>IF(ISERROR(HL_Err_Chk_103),1,(HL_Err_Chk_103&lt;&gt;0)*1)</f>
        <v>0</v>
      </c>
      <c r="L70" s="21" t="s">
        <v>82</v>
      </c>
      <c r="M70" s="26">
        <f t="shared" si="1"/>
        <v>0</v>
      </c>
    </row>
    <row r="71" spans="2:13" ht="12.75" outlineLevel="1" x14ac:dyDescent="0.2">
      <c r="B71" s="47" t="str">
        <f>IF(ISERROR(Err_Chk_104_Hdg),Lang_Miscellaneous_Check,Err_Chk_104_Hdg)</f>
        <v>Microplanning Activity #4 (Not in Use) - Detailed Other Direct Cost Assumptions</v>
      </c>
      <c r="C71" s="9"/>
      <c r="D71" s="9"/>
      <c r="E71" s="9"/>
      <c r="F71" s="9"/>
      <c r="G71" s="9"/>
      <c r="H71" s="9"/>
      <c r="I71" s="9"/>
      <c r="J71" s="9"/>
      <c r="K71" s="67">
        <f>IF(ISERROR(HL_Err_Chk_104),1,(HL_Err_Chk_104&lt;&gt;0)*1)</f>
        <v>0</v>
      </c>
      <c r="L71" s="21" t="s">
        <v>82</v>
      </c>
      <c r="M71" s="26">
        <f t="shared" si="1"/>
        <v>0</v>
      </c>
    </row>
    <row r="72" spans="2:13" ht="12.75" outlineLevel="1" x14ac:dyDescent="0.2">
      <c r="B72" s="47" t="str">
        <f>IF(ISERROR(Err_Chk_16_Hdg),Lang_Miscellaneous_Check,Err_Chk_16_Hdg)</f>
        <v>Training Activity #1 (Not in Use) - Detailed Personnel Cost Assumptions</v>
      </c>
      <c r="C72" s="9"/>
      <c r="D72" s="9"/>
      <c r="E72" s="9"/>
      <c r="F72" s="9"/>
      <c r="G72" s="9"/>
      <c r="H72" s="9"/>
      <c r="I72" s="9"/>
      <c r="J72" s="9"/>
      <c r="K72" s="67">
        <f>IF(ISERROR(HL_Err_Chk_16),1,(HL_Err_Chk_16&lt;&gt;0)*1)</f>
        <v>0</v>
      </c>
      <c r="L72" s="21" t="s">
        <v>82</v>
      </c>
      <c r="M72" s="26">
        <f t="shared" si="1"/>
        <v>0</v>
      </c>
    </row>
    <row r="73" spans="2:13" ht="12.75" outlineLevel="1" x14ac:dyDescent="0.2">
      <c r="B73" s="47" t="str">
        <f>IF(ISERROR(Err_Chk_17_Hdg),Lang_Miscellaneous_Check,Err_Chk_17_Hdg)</f>
        <v>Training Activity #1 (Not in Use) - Detailed Allowance Cost Assumptions</v>
      </c>
      <c r="C73" s="9"/>
      <c r="D73" s="9"/>
      <c r="E73" s="9"/>
      <c r="F73" s="9"/>
      <c r="G73" s="9"/>
      <c r="H73" s="9"/>
      <c r="I73" s="9"/>
      <c r="J73" s="9"/>
      <c r="K73" s="67">
        <f>IF(ISERROR(HL_Err_Chk_17),1,(HL_Err_Chk_17&lt;&gt;0)*1)</f>
        <v>0</v>
      </c>
      <c r="L73" s="21" t="s">
        <v>82</v>
      </c>
      <c r="M73" s="26">
        <f t="shared" si="1"/>
        <v>0</v>
      </c>
    </row>
    <row r="74" spans="2:13" ht="12.75" outlineLevel="1" x14ac:dyDescent="0.2">
      <c r="B74" s="47" t="str">
        <f>IF(ISERROR(Err_Chk_18_Hdg),Lang_Miscellaneous_Check,Err_Chk_18_Hdg)</f>
        <v>Training Activity #1 (Not in Use) - Detailed Supply and Material Cost Assumptions</v>
      </c>
      <c r="C74" s="9"/>
      <c r="D74" s="9"/>
      <c r="E74" s="9"/>
      <c r="F74" s="9"/>
      <c r="G74" s="9"/>
      <c r="H74" s="9"/>
      <c r="I74" s="9"/>
      <c r="J74" s="9"/>
      <c r="K74" s="67">
        <f>IF(ISERROR(HL_Err_Chk_18),1,(HL_Err_Chk_18&lt;&gt;0)*1)</f>
        <v>0</v>
      </c>
      <c r="L74" s="21" t="s">
        <v>82</v>
      </c>
      <c r="M74" s="26">
        <f t="shared" ref="M74:M105" si="2">K74*(L74="Yes")</f>
        <v>0</v>
      </c>
    </row>
    <row r="75" spans="2:13" ht="12.75" outlineLevel="1" x14ac:dyDescent="0.2">
      <c r="B75" s="47" t="str">
        <f>IF(ISERROR(Err_Chk_19_Hdg),Lang_Miscellaneous_Check,Err_Chk_19_Hdg)</f>
        <v>Training Activity #1 (Not in Use) - Detailed Other Direct Cost Assumptions</v>
      </c>
      <c r="C75" s="9"/>
      <c r="D75" s="9"/>
      <c r="E75" s="9"/>
      <c r="F75" s="9"/>
      <c r="G75" s="9"/>
      <c r="H75" s="9"/>
      <c r="I75" s="9"/>
      <c r="J75" s="9"/>
      <c r="K75" s="67">
        <f>IF(ISERROR(HL_Err_Chk_19),1,(HL_Err_Chk_19&lt;&gt;0)*1)</f>
        <v>0</v>
      </c>
      <c r="L75" s="21" t="s">
        <v>82</v>
      </c>
      <c r="M75" s="26">
        <f t="shared" si="2"/>
        <v>0</v>
      </c>
    </row>
    <row r="76" spans="2:13" ht="12.75" outlineLevel="1" x14ac:dyDescent="0.2">
      <c r="B76" s="47" t="str">
        <f>IF(ISERROR(Err_Chk_126_Hdg),Lang_Miscellaneous_Check,Err_Chk_126_Hdg)</f>
        <v>Training Activity #2 (Not in Use) - Detailed Personnel Cost Assumptions</v>
      </c>
      <c r="C76" s="9"/>
      <c r="D76" s="9"/>
      <c r="E76" s="9"/>
      <c r="F76" s="9"/>
      <c r="G76" s="9"/>
      <c r="H76" s="9"/>
      <c r="I76" s="9"/>
      <c r="J76" s="9"/>
      <c r="K76" s="67">
        <f>IF(ISERROR(HL_Err_Chk_126),1,(HL_Err_Chk_126&lt;&gt;0)*1)</f>
        <v>0</v>
      </c>
      <c r="L76" s="21" t="s">
        <v>82</v>
      </c>
      <c r="M76" s="26">
        <f t="shared" si="2"/>
        <v>0</v>
      </c>
    </row>
    <row r="77" spans="2:13" ht="12.75" outlineLevel="1" x14ac:dyDescent="0.2">
      <c r="B77" s="47" t="str">
        <f>IF(ISERROR(Err_Chk_127_Hdg),Lang_Miscellaneous_Check,Err_Chk_127_Hdg)</f>
        <v>Training Activity #2 (Not in Use) - Detailed Allowance Cost Assumptions</v>
      </c>
      <c r="C77" s="9"/>
      <c r="D77" s="9"/>
      <c r="E77" s="9"/>
      <c r="F77" s="9"/>
      <c r="G77" s="9"/>
      <c r="H77" s="9"/>
      <c r="I77" s="9"/>
      <c r="J77" s="9"/>
      <c r="K77" s="67">
        <f>IF(ISERROR(HL_Err_Chk_127),1,(HL_Err_Chk_127&lt;&gt;0)*1)</f>
        <v>0</v>
      </c>
      <c r="L77" s="21" t="s">
        <v>82</v>
      </c>
      <c r="M77" s="26">
        <f t="shared" si="2"/>
        <v>0</v>
      </c>
    </row>
    <row r="78" spans="2:13" ht="12.75" outlineLevel="1" x14ac:dyDescent="0.2">
      <c r="B78" s="47" t="str">
        <f>IF(ISERROR(Err_Chk_128_Hdg),Lang_Miscellaneous_Check,Err_Chk_128_Hdg)</f>
        <v>Training Activity #2 (Not in Use) - Detailed Supply and Material Cost Assumptions</v>
      </c>
      <c r="C78" s="9"/>
      <c r="D78" s="9"/>
      <c r="E78" s="9"/>
      <c r="F78" s="9"/>
      <c r="G78" s="9"/>
      <c r="H78" s="9"/>
      <c r="I78" s="9"/>
      <c r="J78" s="9"/>
      <c r="K78" s="67">
        <f>IF(ISERROR(HL_Err_Chk_128),1,(HL_Err_Chk_128&lt;&gt;0)*1)</f>
        <v>0</v>
      </c>
      <c r="L78" s="21" t="s">
        <v>82</v>
      </c>
      <c r="M78" s="26">
        <f t="shared" si="2"/>
        <v>0</v>
      </c>
    </row>
    <row r="79" spans="2:13" ht="12.75" outlineLevel="1" x14ac:dyDescent="0.2">
      <c r="B79" s="47" t="str">
        <f>IF(ISERROR(Err_Chk_129_Hdg),Lang_Miscellaneous_Check,Err_Chk_129_Hdg)</f>
        <v>Training Activity #2 (Not in Use) - Detailed Other Direct Cost Assumptions</v>
      </c>
      <c r="C79" s="9"/>
      <c r="D79" s="9"/>
      <c r="E79" s="9"/>
      <c r="F79" s="9"/>
      <c r="G79" s="9"/>
      <c r="H79" s="9"/>
      <c r="I79" s="9"/>
      <c r="J79" s="9"/>
      <c r="K79" s="67">
        <f>IF(ISERROR(HL_Err_Chk_129),1,(HL_Err_Chk_129&lt;&gt;0)*1)</f>
        <v>0</v>
      </c>
      <c r="L79" s="21" t="s">
        <v>82</v>
      </c>
      <c r="M79" s="26">
        <f t="shared" si="2"/>
        <v>0</v>
      </c>
    </row>
    <row r="80" spans="2:13" ht="12.75" outlineLevel="1" x14ac:dyDescent="0.2">
      <c r="B80" s="47" t="str">
        <f>IF(ISERROR(Err_Chk_131_Hdg),Lang_Miscellaneous_Check,Err_Chk_131_Hdg)</f>
        <v>Training Activity #3 (Not in Use) - Detailed Personnel Cost Assumptions</v>
      </c>
      <c r="C80" s="9"/>
      <c r="D80" s="9"/>
      <c r="E80" s="9"/>
      <c r="F80" s="9"/>
      <c r="G80" s="9"/>
      <c r="H80" s="9"/>
      <c r="I80" s="9"/>
      <c r="J80" s="9"/>
      <c r="K80" s="67">
        <f>IF(ISERROR(HL_Err_Chk_131),1,(HL_Err_Chk_131&lt;&gt;0)*1)</f>
        <v>0</v>
      </c>
      <c r="L80" s="21" t="s">
        <v>82</v>
      </c>
      <c r="M80" s="26">
        <f t="shared" si="2"/>
        <v>0</v>
      </c>
    </row>
    <row r="81" spans="2:13" ht="12.75" outlineLevel="1" x14ac:dyDescent="0.2">
      <c r="B81" s="47" t="str">
        <f>IF(ISERROR(Err_Chk_132_Hdg),Lang_Miscellaneous_Check,Err_Chk_132_Hdg)</f>
        <v>Training Activity #3 (Not in Use) - Detailed Allowance Cost Assumptions</v>
      </c>
      <c r="C81" s="9"/>
      <c r="D81" s="9"/>
      <c r="E81" s="9"/>
      <c r="F81" s="9"/>
      <c r="G81" s="9"/>
      <c r="H81" s="9"/>
      <c r="I81" s="9"/>
      <c r="J81" s="9"/>
      <c r="K81" s="67">
        <f>IF(ISERROR(HL_Err_Chk_132),1,(HL_Err_Chk_132&lt;&gt;0)*1)</f>
        <v>0</v>
      </c>
      <c r="L81" s="21" t="s">
        <v>82</v>
      </c>
      <c r="M81" s="26">
        <f t="shared" si="2"/>
        <v>0</v>
      </c>
    </row>
    <row r="82" spans="2:13" ht="12.75" outlineLevel="1" x14ac:dyDescent="0.2">
      <c r="B82" s="47" t="str">
        <f>IF(ISERROR(Err_Chk_133_Hdg),Lang_Miscellaneous_Check,Err_Chk_133_Hdg)</f>
        <v>Training Activity #3 (Not in Use) - Detailed Supply and Material Cost Assumptions</v>
      </c>
      <c r="C82" s="9"/>
      <c r="D82" s="9"/>
      <c r="E82" s="9"/>
      <c r="F82" s="9"/>
      <c r="G82" s="9"/>
      <c r="H82" s="9"/>
      <c r="I82" s="9"/>
      <c r="J82" s="9"/>
      <c r="K82" s="67">
        <f>IF(ISERROR(HL_Err_Chk_133),1,(HL_Err_Chk_133&lt;&gt;0)*1)</f>
        <v>0</v>
      </c>
      <c r="L82" s="21" t="s">
        <v>82</v>
      </c>
      <c r="M82" s="26">
        <f t="shared" si="2"/>
        <v>0</v>
      </c>
    </row>
    <row r="83" spans="2:13" ht="12.75" outlineLevel="1" x14ac:dyDescent="0.2">
      <c r="B83" s="47" t="str">
        <f>IF(ISERROR(Err_Chk_134_Hdg),Lang_Miscellaneous_Check,Err_Chk_134_Hdg)</f>
        <v>Training Activity #3 (Not in Use) - Detailed Other Direct Cost Assumptions</v>
      </c>
      <c r="C83" s="9"/>
      <c r="D83" s="9"/>
      <c r="E83" s="9"/>
      <c r="F83" s="9"/>
      <c r="G83" s="9"/>
      <c r="H83" s="9"/>
      <c r="I83" s="9"/>
      <c r="J83" s="9"/>
      <c r="K83" s="67">
        <f>IF(ISERROR(HL_Err_Chk_134),1,(HL_Err_Chk_134&lt;&gt;0)*1)</f>
        <v>0</v>
      </c>
      <c r="L83" s="21" t="s">
        <v>82</v>
      </c>
      <c r="M83" s="26">
        <f t="shared" si="2"/>
        <v>0</v>
      </c>
    </row>
    <row r="84" spans="2:13" ht="12.75" outlineLevel="1" x14ac:dyDescent="0.2">
      <c r="B84" s="47" t="str">
        <f>IF(ISERROR(Err_Chk_36_Hdg),Lang_Miscellaneous_Check,Err_Chk_36_Hdg)</f>
        <v>Training Activity #4 (Not in Use) - Detailed Personnel Cost Assumptions</v>
      </c>
      <c r="C84" s="9"/>
      <c r="D84" s="9"/>
      <c r="E84" s="9"/>
      <c r="F84" s="9"/>
      <c r="G84" s="9"/>
      <c r="H84" s="9"/>
      <c r="I84" s="9"/>
      <c r="J84" s="9"/>
      <c r="K84" s="67">
        <f>IF(ISERROR(HL_Err_Chk_36),1,(HL_Err_Chk_36&lt;&gt;0)*1)</f>
        <v>0</v>
      </c>
      <c r="L84" s="21" t="s">
        <v>82</v>
      </c>
      <c r="M84" s="26">
        <f t="shared" si="2"/>
        <v>0</v>
      </c>
    </row>
    <row r="85" spans="2:13" ht="12.75" outlineLevel="1" x14ac:dyDescent="0.2">
      <c r="B85" s="47" t="str">
        <f>IF(ISERROR(Err_Chk_37_Hdg),Lang_Miscellaneous_Check,Err_Chk_37_Hdg)</f>
        <v>Training Activity #4 (Not in Use) - Detailed Allowance Cost Assumptions</v>
      </c>
      <c r="C85" s="9"/>
      <c r="D85" s="9"/>
      <c r="E85" s="9"/>
      <c r="F85" s="9"/>
      <c r="G85" s="9"/>
      <c r="H85" s="9"/>
      <c r="I85" s="9"/>
      <c r="J85" s="9"/>
      <c r="K85" s="67">
        <f>IF(ISERROR(HL_Err_Chk_37),1,(HL_Err_Chk_37&lt;&gt;0)*1)</f>
        <v>0</v>
      </c>
      <c r="L85" s="21" t="s">
        <v>82</v>
      </c>
      <c r="M85" s="26">
        <f t="shared" si="2"/>
        <v>0</v>
      </c>
    </row>
    <row r="86" spans="2:13" ht="12.75" outlineLevel="1" x14ac:dyDescent="0.2">
      <c r="B86" s="47" t="str">
        <f>IF(ISERROR(Err_Chk_38_Hdg),Lang_Miscellaneous_Check,Err_Chk_38_Hdg)</f>
        <v>Training Activity #4 (Not in Use) - Detailed Supply and Material Cost Assumptions</v>
      </c>
      <c r="C86" s="9"/>
      <c r="D86" s="9"/>
      <c r="E86" s="9"/>
      <c r="F86" s="9"/>
      <c r="G86" s="9"/>
      <c r="H86" s="9"/>
      <c r="I86" s="9"/>
      <c r="J86" s="9"/>
      <c r="K86" s="67">
        <f>IF(ISERROR(HL_Err_Chk_38),1,(HL_Err_Chk_38&lt;&gt;0)*1)</f>
        <v>0</v>
      </c>
      <c r="L86" s="21" t="s">
        <v>82</v>
      </c>
      <c r="M86" s="26">
        <f t="shared" si="2"/>
        <v>0</v>
      </c>
    </row>
    <row r="87" spans="2:13" ht="12.75" outlineLevel="1" x14ac:dyDescent="0.2">
      <c r="B87" s="47" t="str">
        <f>IF(ISERROR(Err_Chk_39_Hdg),Lang_Miscellaneous_Check,Err_Chk_39_Hdg)</f>
        <v>Training Activity #4 (Not in Use) - Detailed Other Direct Cost Assumptions</v>
      </c>
      <c r="C87" s="9"/>
      <c r="D87" s="9"/>
      <c r="E87" s="9"/>
      <c r="F87" s="9"/>
      <c r="G87" s="9"/>
      <c r="H87" s="9"/>
      <c r="I87" s="9"/>
      <c r="J87" s="9"/>
      <c r="K87" s="67">
        <f>IF(ISERROR(HL_Err_Chk_39),1,(HL_Err_Chk_39&lt;&gt;0)*1)</f>
        <v>0</v>
      </c>
      <c r="L87" s="21" t="s">
        <v>82</v>
      </c>
      <c r="M87" s="26">
        <f t="shared" si="2"/>
        <v>0</v>
      </c>
    </row>
    <row r="88" spans="2:13" ht="12.75" outlineLevel="1" x14ac:dyDescent="0.2">
      <c r="B88" s="47" t="str">
        <f>IF(ISERROR(Err_Chk_76_Hdg),Lang_Miscellaneous_Check,Err_Chk_76_Hdg)</f>
        <v>Single Vaccination Service Delivery Type 1 - Detailed Personnel Cost Assumptions</v>
      </c>
      <c r="C88" s="9"/>
      <c r="D88" s="9"/>
      <c r="E88" s="9"/>
      <c r="F88" s="9"/>
      <c r="G88" s="9"/>
      <c r="H88" s="9"/>
      <c r="I88" s="9"/>
      <c r="J88" s="9"/>
      <c r="K88" s="67">
        <f>IF(ISERROR(HL_Err_Chk_76),1,(HL_Err_Chk_76&lt;&gt;0)*1)</f>
        <v>0</v>
      </c>
      <c r="L88" s="21" t="s">
        <v>82</v>
      </c>
      <c r="M88" s="26">
        <f t="shared" si="2"/>
        <v>0</v>
      </c>
    </row>
    <row r="89" spans="2:13" ht="12.75" outlineLevel="1" x14ac:dyDescent="0.2">
      <c r="B89" s="47" t="str">
        <f>IF(ISERROR(Err_Chk_77_Hdg),Lang_Miscellaneous_Check,Err_Chk_77_Hdg)</f>
        <v>Single Vaccination Service Delivery Type 1 - Detailed Allowance Cost Assumptions</v>
      </c>
      <c r="C89" s="9"/>
      <c r="D89" s="9"/>
      <c r="E89" s="9"/>
      <c r="F89" s="9"/>
      <c r="G89" s="9"/>
      <c r="H89" s="9"/>
      <c r="I89" s="9"/>
      <c r="J89" s="9"/>
      <c r="K89" s="67">
        <f>IF(ISERROR(HL_Err_Chk_77),1,(HL_Err_Chk_77&lt;&gt;0)*1)</f>
        <v>0</v>
      </c>
      <c r="L89" s="21" t="s">
        <v>82</v>
      </c>
      <c r="M89" s="26">
        <f t="shared" si="2"/>
        <v>0</v>
      </c>
    </row>
    <row r="90" spans="2:13" ht="12.75" outlineLevel="1" x14ac:dyDescent="0.2">
      <c r="B90" s="47" t="str">
        <f>IF(ISERROR(Err_Chk_78_Hdg),Lang_Miscellaneous_Check,Err_Chk_78_Hdg)</f>
        <v>Single Vaccination Service Delivery Type 1 - Detailed Supply and Material Cost Assumptions</v>
      </c>
      <c r="C90" s="9"/>
      <c r="D90" s="9"/>
      <c r="E90" s="9"/>
      <c r="F90" s="9"/>
      <c r="G90" s="9"/>
      <c r="H90" s="9"/>
      <c r="I90" s="9"/>
      <c r="J90" s="9"/>
      <c r="K90" s="67">
        <f>IF(ISERROR(HL_Err_Chk_78),1,(HL_Err_Chk_78&lt;&gt;0)*1)</f>
        <v>0</v>
      </c>
      <c r="L90" s="21" t="s">
        <v>82</v>
      </c>
      <c r="M90" s="26">
        <f t="shared" si="2"/>
        <v>0</v>
      </c>
    </row>
    <row r="91" spans="2:13" ht="12.75" outlineLevel="1" x14ac:dyDescent="0.2">
      <c r="B91" s="47" t="str">
        <f>IF(ISERROR(Err_Chk_79_Hdg),Lang_Miscellaneous_Check,Err_Chk_79_Hdg)</f>
        <v>Single Vaccination Service Delivery Type 1 - Detailed Other Direct Cost Assumptions</v>
      </c>
      <c r="C91" s="9"/>
      <c r="D91" s="9"/>
      <c r="E91" s="9"/>
      <c r="F91" s="9"/>
      <c r="G91" s="9"/>
      <c r="H91" s="9"/>
      <c r="I91" s="9"/>
      <c r="J91" s="9"/>
      <c r="K91" s="67">
        <f>IF(ISERROR(HL_Err_Chk_79),1,(HL_Err_Chk_79&lt;&gt;0)*1)</f>
        <v>0</v>
      </c>
      <c r="L91" s="21" t="s">
        <v>82</v>
      </c>
      <c r="M91" s="26">
        <f t="shared" si="2"/>
        <v>0</v>
      </c>
    </row>
    <row r="92" spans="2:13" ht="12.75" outlineLevel="1" x14ac:dyDescent="0.2">
      <c r="B92" s="47" t="str">
        <f>IF(ISERROR(Err_Chk_166_Hdg),Lang_Miscellaneous_Check,Err_Chk_166_Hdg)</f>
        <v>Single Vaccination Service Delivery Type 2 - Detailed Personnel Cost Assumptions</v>
      </c>
      <c r="C92" s="9"/>
      <c r="D92" s="9"/>
      <c r="E92" s="9"/>
      <c r="F92" s="9"/>
      <c r="G92" s="9"/>
      <c r="H92" s="9"/>
      <c r="I92" s="9"/>
      <c r="J92" s="9"/>
      <c r="K92" s="67">
        <f>IF(ISERROR(HL_Err_Chk_166),1,(HL_Err_Chk_166&lt;&gt;0)*1)</f>
        <v>0</v>
      </c>
      <c r="L92" s="21" t="s">
        <v>82</v>
      </c>
      <c r="M92" s="26">
        <f t="shared" si="2"/>
        <v>0</v>
      </c>
    </row>
    <row r="93" spans="2:13" ht="12.75" outlineLevel="1" x14ac:dyDescent="0.2">
      <c r="B93" s="47" t="str">
        <f>IF(ISERROR(Err_Chk_167_Hdg),Lang_Miscellaneous_Check,Err_Chk_167_Hdg)</f>
        <v>Single Vaccination Service Delivery Type 2 - Detailed Allowance Cost Assumptions</v>
      </c>
      <c r="C93" s="9"/>
      <c r="D93" s="9"/>
      <c r="E93" s="9"/>
      <c r="F93" s="9"/>
      <c r="G93" s="9"/>
      <c r="H93" s="9"/>
      <c r="I93" s="9"/>
      <c r="J93" s="9"/>
      <c r="K93" s="67">
        <f>IF(ISERROR(HL_Err_Chk_167),1,(HL_Err_Chk_167&lt;&gt;0)*1)</f>
        <v>0</v>
      </c>
      <c r="L93" s="21" t="s">
        <v>82</v>
      </c>
      <c r="M93" s="26">
        <f t="shared" si="2"/>
        <v>0</v>
      </c>
    </row>
    <row r="94" spans="2:13" ht="12.75" outlineLevel="1" x14ac:dyDescent="0.2">
      <c r="B94" s="47" t="str">
        <f>IF(ISERROR(Err_Chk_168_Hdg),Lang_Miscellaneous_Check,Err_Chk_168_Hdg)</f>
        <v>Single Vaccination Service Delivery Type 2 - Detailed Supply and Material Cost Assumptions</v>
      </c>
      <c r="C94" s="9"/>
      <c r="D94" s="9"/>
      <c r="E94" s="9"/>
      <c r="F94" s="9"/>
      <c r="G94" s="9"/>
      <c r="H94" s="9"/>
      <c r="I94" s="9"/>
      <c r="J94" s="9"/>
      <c r="K94" s="67">
        <f>IF(ISERROR(HL_Err_Chk_168),1,(HL_Err_Chk_168&lt;&gt;0)*1)</f>
        <v>0</v>
      </c>
      <c r="L94" s="21" t="s">
        <v>82</v>
      </c>
      <c r="M94" s="26">
        <f t="shared" si="2"/>
        <v>0</v>
      </c>
    </row>
    <row r="95" spans="2:13" ht="12.75" outlineLevel="1" x14ac:dyDescent="0.2">
      <c r="B95" s="47" t="str">
        <f>IF(ISERROR(Err_Chk_169_Hdg),Lang_Miscellaneous_Check,Err_Chk_169_Hdg)</f>
        <v>Single Vaccination Service Delivery Type 2 - Detailed Other Direct Cost Assumptions</v>
      </c>
      <c r="C95" s="9"/>
      <c r="D95" s="9"/>
      <c r="E95" s="9"/>
      <c r="F95" s="9"/>
      <c r="G95" s="9"/>
      <c r="H95" s="9"/>
      <c r="I95" s="9"/>
      <c r="J95" s="9"/>
      <c r="K95" s="67">
        <f>IF(ISERROR(HL_Err_Chk_169),1,(HL_Err_Chk_169&lt;&gt;0)*1)</f>
        <v>0</v>
      </c>
      <c r="L95" s="21" t="s">
        <v>82</v>
      </c>
      <c r="M95" s="26">
        <f t="shared" si="2"/>
        <v>0</v>
      </c>
    </row>
    <row r="96" spans="2:13" ht="12.75" outlineLevel="1" x14ac:dyDescent="0.2">
      <c r="B96" s="47" t="str">
        <f>IF(ISERROR(Err_Chk_171_Hdg),Lang_Miscellaneous_Check,Err_Chk_171_Hdg)</f>
        <v>Small Group Vaccination Activity (30 people vaccinated) - Detailed Personnel Cost Assumptions</v>
      </c>
      <c r="C96" s="9"/>
      <c r="D96" s="9"/>
      <c r="E96" s="9"/>
      <c r="F96" s="9"/>
      <c r="G96" s="9"/>
      <c r="H96" s="9"/>
      <c r="I96" s="9"/>
      <c r="J96" s="9"/>
      <c r="K96" s="67">
        <f>IF(ISERROR(HL_Err_Chk_171),1,(HL_Err_Chk_171&lt;&gt;0)*1)</f>
        <v>0</v>
      </c>
      <c r="L96" s="21" t="s">
        <v>82</v>
      </c>
      <c r="M96" s="26">
        <f t="shared" si="2"/>
        <v>0</v>
      </c>
    </row>
    <row r="97" spans="2:13" ht="12.75" outlineLevel="1" x14ac:dyDescent="0.2">
      <c r="B97" s="47" t="str">
        <f>IF(ISERROR(Err_Chk_172_Hdg),Lang_Miscellaneous_Check,Err_Chk_172_Hdg)</f>
        <v>Small Group Vaccination Activity (30 people vaccinated) - Detailed Allowance Cost Assumptions</v>
      </c>
      <c r="C97" s="9"/>
      <c r="D97" s="9"/>
      <c r="E97" s="9"/>
      <c r="F97" s="9"/>
      <c r="G97" s="9"/>
      <c r="H97" s="9"/>
      <c r="I97" s="9"/>
      <c r="J97" s="9"/>
      <c r="K97" s="67">
        <f>IF(ISERROR(HL_Err_Chk_172),1,(HL_Err_Chk_172&lt;&gt;0)*1)</f>
        <v>0</v>
      </c>
      <c r="L97" s="21" t="s">
        <v>82</v>
      </c>
      <c r="M97" s="26">
        <f t="shared" si="2"/>
        <v>0</v>
      </c>
    </row>
    <row r="98" spans="2:13" ht="12.75" outlineLevel="1" x14ac:dyDescent="0.2">
      <c r="B98" s="47" t="str">
        <f>IF(ISERROR(Err_Chk_173_Hdg),Lang_Miscellaneous_Check,Err_Chk_173_Hdg)</f>
        <v>Small Group Vaccination Activity (30 people vaccinated) - Detailed Supply and Material Cost Assumptions</v>
      </c>
      <c r="C98" s="9"/>
      <c r="D98" s="9"/>
      <c r="E98" s="9"/>
      <c r="F98" s="9"/>
      <c r="G98" s="9"/>
      <c r="H98" s="9"/>
      <c r="I98" s="9"/>
      <c r="J98" s="9"/>
      <c r="K98" s="67">
        <f>IF(ISERROR(HL_Err_Chk_173),1,(HL_Err_Chk_173&lt;&gt;0)*1)</f>
        <v>0</v>
      </c>
      <c r="L98" s="21" t="s">
        <v>82</v>
      </c>
      <c r="M98" s="26">
        <f t="shared" si="2"/>
        <v>0</v>
      </c>
    </row>
    <row r="99" spans="2:13" ht="12.75" outlineLevel="1" x14ac:dyDescent="0.2">
      <c r="B99" s="47" t="str">
        <f>IF(ISERROR(Err_Chk_174_Hdg),Lang_Miscellaneous_Check,Err_Chk_174_Hdg)</f>
        <v>Small Group Vaccination Activity (30 people vaccinated) - Detailed Other Direct Cost Assumptions</v>
      </c>
      <c r="C99" s="9"/>
      <c r="D99" s="9"/>
      <c r="E99" s="9"/>
      <c r="F99" s="9"/>
      <c r="G99" s="9"/>
      <c r="H99" s="9"/>
      <c r="I99" s="9"/>
      <c r="J99" s="9"/>
      <c r="K99" s="67">
        <f>IF(ISERROR(HL_Err_Chk_174),1,(HL_Err_Chk_174&lt;&gt;0)*1)</f>
        <v>0</v>
      </c>
      <c r="L99" s="21" t="s">
        <v>82</v>
      </c>
      <c r="M99" s="26">
        <f t="shared" si="2"/>
        <v>0</v>
      </c>
    </row>
    <row r="100" spans="2:13" ht="12.75" outlineLevel="1" x14ac:dyDescent="0.2">
      <c r="B100" s="47" t="str">
        <f>IF(ISERROR(Err_Chk_11_Hdg),Lang_Miscellaneous_Check,Err_Chk_11_Hdg)</f>
        <v>Large Group Vaccination Activity (100 people vaccinated) - Detailed Personnel Cost Assumptions</v>
      </c>
      <c r="C100" s="9"/>
      <c r="D100" s="9"/>
      <c r="E100" s="9"/>
      <c r="F100" s="9"/>
      <c r="G100" s="9"/>
      <c r="H100" s="9"/>
      <c r="I100" s="9"/>
      <c r="J100" s="9"/>
      <c r="K100" s="67">
        <f>IF(ISERROR(HL_Err_Chk_11),1,(HL_Err_Chk_11&lt;&gt;0)*1)</f>
        <v>0</v>
      </c>
      <c r="L100" s="21" t="s">
        <v>82</v>
      </c>
      <c r="M100" s="26">
        <f t="shared" si="2"/>
        <v>0</v>
      </c>
    </row>
    <row r="101" spans="2:13" ht="12.75" outlineLevel="1" x14ac:dyDescent="0.2">
      <c r="B101" s="47" t="str">
        <f>IF(ISERROR(Err_Chk_12_Hdg),Lang_Miscellaneous_Check,Err_Chk_12_Hdg)</f>
        <v>Large Group Vaccination Activity (100 people vaccinated) - Detailed Allowance Cost Assumptions</v>
      </c>
      <c r="C101" s="9"/>
      <c r="D101" s="9"/>
      <c r="E101" s="9"/>
      <c r="F101" s="9"/>
      <c r="G101" s="9"/>
      <c r="H101" s="9"/>
      <c r="I101" s="9"/>
      <c r="J101" s="9"/>
      <c r="K101" s="67">
        <f>IF(ISERROR(HL_Err_Chk_12),1,(HL_Err_Chk_12&lt;&gt;0)*1)</f>
        <v>0</v>
      </c>
      <c r="L101" s="21" t="s">
        <v>82</v>
      </c>
      <c r="M101" s="26">
        <f t="shared" si="2"/>
        <v>0</v>
      </c>
    </row>
    <row r="102" spans="2:13" ht="12.75" outlineLevel="1" x14ac:dyDescent="0.2">
      <c r="B102" s="47" t="str">
        <f>IF(ISERROR(Err_Chk_13_Hdg),Lang_Miscellaneous_Check,Err_Chk_13_Hdg)</f>
        <v>Large Group Vaccination Activity (100 people vaccinated) - Detailed Supply and Material Cost Assumptions</v>
      </c>
      <c r="C102" s="9"/>
      <c r="D102" s="9"/>
      <c r="E102" s="9"/>
      <c r="F102" s="9"/>
      <c r="G102" s="9"/>
      <c r="H102" s="9"/>
      <c r="I102" s="9"/>
      <c r="J102" s="9"/>
      <c r="K102" s="67">
        <f>IF(ISERROR(HL_Err_Chk_13),1,(HL_Err_Chk_13&lt;&gt;0)*1)</f>
        <v>0</v>
      </c>
      <c r="L102" s="21" t="s">
        <v>82</v>
      </c>
      <c r="M102" s="26">
        <f t="shared" si="2"/>
        <v>0</v>
      </c>
    </row>
    <row r="103" spans="2:13" ht="12.75" outlineLevel="1" x14ac:dyDescent="0.2">
      <c r="B103" s="47" t="str">
        <f>IF(ISERROR(Err_Chk_14_Hdg),Lang_Miscellaneous_Check,Err_Chk_14_Hdg)</f>
        <v>Large Group Vaccination Activity (100 people vaccinated) - Detailed Other Direct Cost Assumptions</v>
      </c>
      <c r="C103" s="9"/>
      <c r="D103" s="9"/>
      <c r="E103" s="9"/>
      <c r="F103" s="9"/>
      <c r="G103" s="9"/>
      <c r="H103" s="9"/>
      <c r="I103" s="9"/>
      <c r="J103" s="9"/>
      <c r="K103" s="67">
        <f>IF(ISERROR(HL_Err_Chk_14),1,(HL_Err_Chk_14&lt;&gt;0)*1)</f>
        <v>0</v>
      </c>
      <c r="L103" s="21" t="s">
        <v>82</v>
      </c>
      <c r="M103" s="26">
        <f t="shared" si="2"/>
        <v>0</v>
      </c>
    </row>
    <row r="104" spans="2:13" ht="12.75" outlineLevel="1" x14ac:dyDescent="0.2">
      <c r="B104" s="47" t="str">
        <f>IF(ISERROR(Err_Chk_21_Hdg),Lang_Miscellaneous_Check,Err_Chk_21_Hdg)</f>
        <v xml:space="preserve"> Sensitisation Activity # 1 (Not in Use) - Detailed Personnel Cost Assumptions</v>
      </c>
      <c r="C104" s="9"/>
      <c r="D104" s="9"/>
      <c r="E104" s="9"/>
      <c r="F104" s="9"/>
      <c r="G104" s="9"/>
      <c r="H104" s="9"/>
      <c r="I104" s="9"/>
      <c r="J104" s="9"/>
      <c r="K104" s="67">
        <f>IF(ISERROR(HL_Err_Chk_21),1,(HL_Err_Chk_21&lt;&gt;0)*1)</f>
        <v>0</v>
      </c>
      <c r="L104" s="21" t="s">
        <v>82</v>
      </c>
      <c r="M104" s="26">
        <f t="shared" si="2"/>
        <v>0</v>
      </c>
    </row>
    <row r="105" spans="2:13" ht="12.75" outlineLevel="1" x14ac:dyDescent="0.2">
      <c r="B105" s="47" t="str">
        <f>IF(ISERROR(Err_Chk_22_Hdg),Lang_Miscellaneous_Check,Err_Chk_22_Hdg)</f>
        <v xml:space="preserve"> Sensitisation Activity # 1 (Not in Use) - Detailed Allowance Cost Assumptions</v>
      </c>
      <c r="C105" s="9"/>
      <c r="D105" s="9"/>
      <c r="E105" s="9"/>
      <c r="F105" s="9"/>
      <c r="G105" s="9"/>
      <c r="H105" s="9"/>
      <c r="I105" s="9"/>
      <c r="J105" s="9"/>
      <c r="K105" s="67">
        <f>IF(ISERROR(HL_Err_Chk_22),1,(HL_Err_Chk_22&lt;&gt;0)*1)</f>
        <v>0</v>
      </c>
      <c r="L105" s="21" t="s">
        <v>82</v>
      </c>
      <c r="M105" s="26">
        <f t="shared" si="2"/>
        <v>0</v>
      </c>
    </row>
    <row r="106" spans="2:13" ht="12.75" outlineLevel="1" x14ac:dyDescent="0.2">
      <c r="B106" s="47" t="str">
        <f>IF(ISERROR(Err_Chk_23_Hdg),Lang_Miscellaneous_Check,Err_Chk_23_Hdg)</f>
        <v xml:space="preserve"> Sensitisation Activity # 1 (Not in Use) - Detailed Supply and Material Cost Assumptions</v>
      </c>
      <c r="C106" s="9"/>
      <c r="D106" s="9"/>
      <c r="E106" s="9"/>
      <c r="F106" s="9"/>
      <c r="G106" s="9"/>
      <c r="H106" s="9"/>
      <c r="I106" s="9"/>
      <c r="J106" s="9"/>
      <c r="K106" s="67">
        <f>IF(ISERROR(HL_Err_Chk_23),1,(HL_Err_Chk_23&lt;&gt;0)*1)</f>
        <v>0</v>
      </c>
      <c r="L106" s="21" t="s">
        <v>82</v>
      </c>
      <c r="M106" s="26">
        <f t="shared" ref="M106:M137" si="3">K106*(L106="Yes")</f>
        <v>0</v>
      </c>
    </row>
    <row r="107" spans="2:13" ht="12.75" outlineLevel="1" x14ac:dyDescent="0.2">
      <c r="B107" s="47" t="str">
        <f>IF(ISERROR(Err_Chk_24_Hdg),Lang_Miscellaneous_Check,Err_Chk_24_Hdg)</f>
        <v xml:space="preserve"> Sensitisation Activity # 1 (Not in Use) - Detailed Other Direct Cost Assumptions</v>
      </c>
      <c r="C107" s="9"/>
      <c r="D107" s="9"/>
      <c r="E107" s="9"/>
      <c r="F107" s="9"/>
      <c r="G107" s="9"/>
      <c r="H107" s="9"/>
      <c r="I107" s="9"/>
      <c r="J107" s="9"/>
      <c r="K107" s="67">
        <f>IF(ISERROR(HL_Err_Chk_24),1,(HL_Err_Chk_24&lt;&gt;0)*1)</f>
        <v>0</v>
      </c>
      <c r="L107" s="21" t="s">
        <v>82</v>
      </c>
      <c r="M107" s="26">
        <f t="shared" si="3"/>
        <v>0</v>
      </c>
    </row>
    <row r="108" spans="2:13" ht="12.75" outlineLevel="1" x14ac:dyDescent="0.2">
      <c r="B108" s="47" t="str">
        <f>IF(ISERROR(Err_Chk_111_Hdg),Lang_Miscellaneous_Check,Err_Chk_111_Hdg)</f>
        <v xml:space="preserve"> Sensitisation Activity # 2 (Not in Use) - Detailed Personnel Cost Assumptions</v>
      </c>
      <c r="C108" s="9"/>
      <c r="D108" s="9"/>
      <c r="E108" s="9"/>
      <c r="F108" s="9"/>
      <c r="G108" s="9"/>
      <c r="H108" s="9"/>
      <c r="I108" s="9"/>
      <c r="J108" s="9"/>
      <c r="K108" s="67">
        <f>IF(ISERROR(HL_Err_Chk_111),1,(HL_Err_Chk_111&lt;&gt;0)*1)</f>
        <v>0</v>
      </c>
      <c r="L108" s="21" t="s">
        <v>82</v>
      </c>
      <c r="M108" s="26">
        <f t="shared" si="3"/>
        <v>0</v>
      </c>
    </row>
    <row r="109" spans="2:13" ht="12.75" outlineLevel="1" x14ac:dyDescent="0.2">
      <c r="B109" s="47" t="str">
        <f>IF(ISERROR(Err_Chk_112_Hdg),Lang_Miscellaneous_Check,Err_Chk_112_Hdg)</f>
        <v xml:space="preserve"> Sensitisation Activity # 2 (Not in Use) - Detailed Allowance Cost Assumptions</v>
      </c>
      <c r="C109" s="9"/>
      <c r="D109" s="9"/>
      <c r="E109" s="9"/>
      <c r="F109" s="9"/>
      <c r="G109" s="9"/>
      <c r="H109" s="9"/>
      <c r="I109" s="9"/>
      <c r="J109" s="9"/>
      <c r="K109" s="67">
        <f>IF(ISERROR(HL_Err_Chk_112),1,(HL_Err_Chk_112&lt;&gt;0)*1)</f>
        <v>0</v>
      </c>
      <c r="L109" s="21" t="s">
        <v>82</v>
      </c>
      <c r="M109" s="26">
        <f t="shared" si="3"/>
        <v>0</v>
      </c>
    </row>
    <row r="110" spans="2:13" ht="12.75" outlineLevel="1" x14ac:dyDescent="0.2">
      <c r="B110" s="47" t="str">
        <f>IF(ISERROR(Err_Chk_113_Hdg),Lang_Miscellaneous_Check,Err_Chk_113_Hdg)</f>
        <v xml:space="preserve"> Sensitisation Activity # 2 (Not in Use) - Detailed Supply and Material Cost Assumptions</v>
      </c>
      <c r="C110" s="9"/>
      <c r="D110" s="9"/>
      <c r="E110" s="9"/>
      <c r="F110" s="9"/>
      <c r="G110" s="9"/>
      <c r="H110" s="9"/>
      <c r="I110" s="9"/>
      <c r="J110" s="9"/>
      <c r="K110" s="67">
        <f>IF(ISERROR(HL_Err_Chk_113),1,(HL_Err_Chk_113&lt;&gt;0)*1)</f>
        <v>0</v>
      </c>
      <c r="L110" s="21" t="s">
        <v>82</v>
      </c>
      <c r="M110" s="26">
        <f t="shared" si="3"/>
        <v>0</v>
      </c>
    </row>
    <row r="111" spans="2:13" ht="12.75" outlineLevel="1" x14ac:dyDescent="0.2">
      <c r="B111" s="47" t="str">
        <f>IF(ISERROR(Err_Chk_114_Hdg),Lang_Miscellaneous_Check,Err_Chk_114_Hdg)</f>
        <v xml:space="preserve"> Sensitisation Activity # 2 (Not in Use) - Detailed Other Direct Cost Assumptions</v>
      </c>
      <c r="C111" s="9"/>
      <c r="D111" s="9"/>
      <c r="E111" s="9"/>
      <c r="F111" s="9"/>
      <c r="G111" s="9"/>
      <c r="H111" s="9"/>
      <c r="I111" s="9"/>
      <c r="J111" s="9"/>
      <c r="K111" s="67">
        <f>IF(ISERROR(HL_Err_Chk_114),1,(HL_Err_Chk_114&lt;&gt;0)*1)</f>
        <v>0</v>
      </c>
      <c r="L111" s="21" t="s">
        <v>82</v>
      </c>
      <c r="M111" s="26">
        <f t="shared" si="3"/>
        <v>0</v>
      </c>
    </row>
    <row r="112" spans="2:13" ht="12.75" outlineLevel="1" x14ac:dyDescent="0.2">
      <c r="B112" s="47" t="str">
        <f>IF(ISERROR(Err_Chk_116_Hdg),Lang_Miscellaneous_Check,Err_Chk_116_Hdg)</f>
        <v xml:space="preserve"> Sensitisation Activity # 3 (Not in Use) - Detailed Personnel Cost Assumptions</v>
      </c>
      <c r="C112" s="9"/>
      <c r="D112" s="9"/>
      <c r="E112" s="9"/>
      <c r="F112" s="9"/>
      <c r="G112" s="9"/>
      <c r="H112" s="9"/>
      <c r="I112" s="9"/>
      <c r="J112" s="9"/>
      <c r="K112" s="67">
        <f>IF(ISERROR(HL_Err_Chk_116),1,(HL_Err_Chk_116&lt;&gt;0)*1)</f>
        <v>0</v>
      </c>
      <c r="L112" s="21" t="s">
        <v>82</v>
      </c>
      <c r="M112" s="26">
        <f t="shared" si="3"/>
        <v>0</v>
      </c>
    </row>
    <row r="113" spans="2:13" ht="12.75" outlineLevel="1" x14ac:dyDescent="0.2">
      <c r="B113" s="47" t="str">
        <f>IF(ISERROR(Err_Chk_117_Hdg),Lang_Miscellaneous_Check,Err_Chk_117_Hdg)</f>
        <v xml:space="preserve"> Sensitisation Activity # 3 (Not in Use) - Detailed Allowance Cost Assumptions</v>
      </c>
      <c r="C113" s="9"/>
      <c r="D113" s="9"/>
      <c r="E113" s="9"/>
      <c r="F113" s="9"/>
      <c r="G113" s="9"/>
      <c r="H113" s="9"/>
      <c r="I113" s="9"/>
      <c r="J113" s="9"/>
      <c r="K113" s="67">
        <f>IF(ISERROR(HL_Err_Chk_117),1,(HL_Err_Chk_117&lt;&gt;0)*1)</f>
        <v>0</v>
      </c>
      <c r="L113" s="21" t="s">
        <v>82</v>
      </c>
      <c r="M113" s="26">
        <f t="shared" si="3"/>
        <v>0</v>
      </c>
    </row>
    <row r="114" spans="2:13" ht="12.75" outlineLevel="1" x14ac:dyDescent="0.2">
      <c r="B114" s="47" t="str">
        <f>IF(ISERROR(Err_Chk_118_Hdg),Lang_Miscellaneous_Check,Err_Chk_118_Hdg)</f>
        <v xml:space="preserve"> Sensitisation Activity # 3 (Not in Use) - Detailed Supply and Material Cost Assumptions</v>
      </c>
      <c r="C114" s="9"/>
      <c r="D114" s="9"/>
      <c r="E114" s="9"/>
      <c r="F114" s="9"/>
      <c r="G114" s="9"/>
      <c r="H114" s="9"/>
      <c r="I114" s="9"/>
      <c r="J114" s="9"/>
      <c r="K114" s="67">
        <f>IF(ISERROR(HL_Err_Chk_118),1,(HL_Err_Chk_118&lt;&gt;0)*1)</f>
        <v>0</v>
      </c>
      <c r="L114" s="21" t="s">
        <v>82</v>
      </c>
      <c r="M114" s="26">
        <f t="shared" si="3"/>
        <v>0</v>
      </c>
    </row>
    <row r="115" spans="2:13" ht="12.75" outlineLevel="1" x14ac:dyDescent="0.2">
      <c r="B115" s="47" t="str">
        <f>IF(ISERROR(Err_Chk_119_Hdg),Lang_Miscellaneous_Check,Err_Chk_119_Hdg)</f>
        <v xml:space="preserve"> Sensitisation Activity # 3 (Not in Use) - Detailed Other Direct Cost Assumptions</v>
      </c>
      <c r="C115" s="9"/>
      <c r="D115" s="9"/>
      <c r="E115" s="9"/>
      <c r="F115" s="9"/>
      <c r="G115" s="9"/>
      <c r="H115" s="9"/>
      <c r="I115" s="9"/>
      <c r="J115" s="9"/>
      <c r="K115" s="67">
        <f>IF(ISERROR(HL_Err_Chk_119),1,(HL_Err_Chk_119&lt;&gt;0)*1)</f>
        <v>0</v>
      </c>
      <c r="L115" s="21" t="s">
        <v>82</v>
      </c>
      <c r="M115" s="26">
        <f t="shared" si="3"/>
        <v>0</v>
      </c>
    </row>
    <row r="116" spans="2:13" ht="12.75" outlineLevel="1" x14ac:dyDescent="0.2">
      <c r="B116" s="47" t="str">
        <f>IF(ISERROR(Err_Chk_46_Hdg),Lang_Miscellaneous_Check,Err_Chk_46_Hdg)</f>
        <v xml:space="preserve"> Sensitisation Activity # 4 (Not in Use) - Detailed Personnel Cost Assumptions</v>
      </c>
      <c r="C116" s="9"/>
      <c r="D116" s="9"/>
      <c r="E116" s="9"/>
      <c r="F116" s="9"/>
      <c r="G116" s="9"/>
      <c r="H116" s="9"/>
      <c r="I116" s="9"/>
      <c r="J116" s="9"/>
      <c r="K116" s="67">
        <f>IF(ISERROR(HL_Err_Chk_46),1,(HL_Err_Chk_46&lt;&gt;0)*1)</f>
        <v>0</v>
      </c>
      <c r="L116" s="21" t="s">
        <v>82</v>
      </c>
      <c r="M116" s="26">
        <f t="shared" si="3"/>
        <v>0</v>
      </c>
    </row>
    <row r="117" spans="2:13" ht="12.75" outlineLevel="1" x14ac:dyDescent="0.2">
      <c r="B117" s="47" t="str">
        <f>IF(ISERROR(Err_Chk_47_Hdg),Lang_Miscellaneous_Check,Err_Chk_47_Hdg)</f>
        <v xml:space="preserve"> Sensitisation Activity # 4 (Not in Use) - Detailed Allowance Cost Assumptions</v>
      </c>
      <c r="C117" s="9"/>
      <c r="D117" s="9"/>
      <c r="E117" s="9"/>
      <c r="F117" s="9"/>
      <c r="G117" s="9"/>
      <c r="H117" s="9"/>
      <c r="I117" s="9"/>
      <c r="J117" s="9"/>
      <c r="K117" s="67">
        <f>IF(ISERROR(HL_Err_Chk_47),1,(HL_Err_Chk_47&lt;&gt;0)*1)</f>
        <v>0</v>
      </c>
      <c r="L117" s="21" t="s">
        <v>82</v>
      </c>
      <c r="M117" s="26">
        <f t="shared" si="3"/>
        <v>0</v>
      </c>
    </row>
    <row r="118" spans="2:13" ht="12.75" outlineLevel="1" x14ac:dyDescent="0.2">
      <c r="B118" s="47" t="str">
        <f>IF(ISERROR(Err_Chk_48_Hdg),Lang_Miscellaneous_Check,Err_Chk_48_Hdg)</f>
        <v xml:space="preserve"> Sensitisation Activity # 4 (Not in Use) - Detailed Supply and Material Cost Assumptions</v>
      </c>
      <c r="C118" s="9"/>
      <c r="D118" s="9"/>
      <c r="E118" s="9"/>
      <c r="F118" s="9"/>
      <c r="G118" s="9"/>
      <c r="H118" s="9"/>
      <c r="I118" s="9"/>
      <c r="J118" s="9"/>
      <c r="K118" s="67">
        <f>IF(ISERROR(HL_Err_Chk_48),1,(HL_Err_Chk_48&lt;&gt;0)*1)</f>
        <v>0</v>
      </c>
      <c r="L118" s="21" t="s">
        <v>82</v>
      </c>
      <c r="M118" s="26">
        <f t="shared" si="3"/>
        <v>0</v>
      </c>
    </row>
    <row r="119" spans="2:13" ht="12.75" outlineLevel="1" x14ac:dyDescent="0.2">
      <c r="B119" s="47" t="str">
        <f>IF(ISERROR(Err_Chk_49_Hdg),Lang_Miscellaneous_Check,Err_Chk_49_Hdg)</f>
        <v xml:space="preserve"> Sensitisation Activity # 4 (Not in Use) - Detailed Other Direct Cost Assumptions</v>
      </c>
      <c r="C119" s="9"/>
      <c r="D119" s="9"/>
      <c r="E119" s="9"/>
      <c r="F119" s="9"/>
      <c r="G119" s="9"/>
      <c r="H119" s="9"/>
      <c r="I119" s="9"/>
      <c r="J119" s="9"/>
      <c r="K119" s="67">
        <f>IF(ISERROR(HL_Err_Chk_49),1,(HL_Err_Chk_49&lt;&gt;0)*1)</f>
        <v>0</v>
      </c>
      <c r="L119" s="21" t="s">
        <v>82</v>
      </c>
      <c r="M119" s="26">
        <f t="shared" si="3"/>
        <v>0</v>
      </c>
    </row>
    <row r="120" spans="2:13" ht="12.75" outlineLevel="1" x14ac:dyDescent="0.2">
      <c r="B120" s="47" t="str">
        <f>IF(ISERROR(Err_Chk_221_Hdg),Lang_Miscellaneous_Check,Err_Chk_221_Hdg)</f>
        <v xml:space="preserve"> Sensitisation Activity # 5 (Not in Use) - Detailed Personnel Cost Assumptions</v>
      </c>
      <c r="C120" s="9"/>
      <c r="D120" s="9"/>
      <c r="E120" s="9"/>
      <c r="F120" s="9"/>
      <c r="G120" s="9"/>
      <c r="H120" s="9"/>
      <c r="I120" s="9"/>
      <c r="J120" s="9"/>
      <c r="K120" s="67">
        <f>IF(ISERROR(HL_Err_Chk_221),1,(HL_Err_Chk_221&lt;&gt;0)*1)</f>
        <v>0</v>
      </c>
      <c r="L120" s="21" t="s">
        <v>82</v>
      </c>
      <c r="M120" s="26">
        <f t="shared" si="3"/>
        <v>0</v>
      </c>
    </row>
    <row r="121" spans="2:13" ht="12.75" outlineLevel="1" x14ac:dyDescent="0.2">
      <c r="B121" s="47" t="str">
        <f>IF(ISERROR(Err_Chk_222_Hdg),Lang_Miscellaneous_Check,Err_Chk_222_Hdg)</f>
        <v xml:space="preserve"> Sensitisation Activity # 5 (Not in Use) - Detailed Allowance Cost Assumptions</v>
      </c>
      <c r="C121" s="9"/>
      <c r="D121" s="9"/>
      <c r="E121" s="9"/>
      <c r="F121" s="9"/>
      <c r="G121" s="9"/>
      <c r="H121" s="9"/>
      <c r="I121" s="9"/>
      <c r="J121" s="9"/>
      <c r="K121" s="67">
        <f>IF(ISERROR(HL_Err_Chk_222),1,(HL_Err_Chk_222&lt;&gt;0)*1)</f>
        <v>0</v>
      </c>
      <c r="L121" s="21" t="s">
        <v>82</v>
      </c>
      <c r="M121" s="26">
        <f t="shared" si="3"/>
        <v>0</v>
      </c>
    </row>
    <row r="122" spans="2:13" ht="12.75" outlineLevel="1" x14ac:dyDescent="0.2">
      <c r="B122" s="47" t="str">
        <f>IF(ISERROR(Err_Chk_223_Hdg),Lang_Miscellaneous_Check,Err_Chk_223_Hdg)</f>
        <v xml:space="preserve"> Sensitisation Activity # 5 (Not in Use) - Detailed Supply and Material Cost Assumptions</v>
      </c>
      <c r="C122" s="9"/>
      <c r="D122" s="9"/>
      <c r="E122" s="9"/>
      <c r="F122" s="9"/>
      <c r="G122" s="9"/>
      <c r="H122" s="9"/>
      <c r="I122" s="9"/>
      <c r="J122" s="9"/>
      <c r="K122" s="67">
        <f>IF(ISERROR(HL_Err_Chk_223),1,(HL_Err_Chk_223&lt;&gt;0)*1)</f>
        <v>0</v>
      </c>
      <c r="L122" s="21" t="s">
        <v>82</v>
      </c>
      <c r="M122" s="26">
        <f t="shared" si="3"/>
        <v>0</v>
      </c>
    </row>
    <row r="123" spans="2:13" ht="12.75" outlineLevel="1" x14ac:dyDescent="0.2">
      <c r="B123" s="47" t="str">
        <f>IF(ISERROR(Err_Chk_224_Hdg),Lang_Miscellaneous_Check,Err_Chk_224_Hdg)</f>
        <v xml:space="preserve"> Sensitisation Activity # 5 (Not in Use) - Detailed Other Direct Cost Assumptions</v>
      </c>
      <c r="C123" s="9"/>
      <c r="D123" s="9"/>
      <c r="E123" s="9"/>
      <c r="F123" s="9"/>
      <c r="G123" s="9"/>
      <c r="H123" s="9"/>
      <c r="I123" s="9"/>
      <c r="J123" s="9"/>
      <c r="K123" s="67">
        <f>IF(ISERROR(HL_Err_Chk_224),1,(HL_Err_Chk_224&lt;&gt;0)*1)</f>
        <v>0</v>
      </c>
      <c r="L123" s="21" t="s">
        <v>82</v>
      </c>
      <c r="M123" s="26">
        <f t="shared" si="3"/>
        <v>0</v>
      </c>
    </row>
    <row r="124" spans="2:13" ht="12.75" outlineLevel="1" x14ac:dyDescent="0.2">
      <c r="B124" s="47" t="str">
        <f>IF(ISERROR(Err_Chk_226_Hdg),Lang_Miscellaneous_Check,Err_Chk_226_Hdg)</f>
        <v xml:space="preserve"> Sensitisation Activity # 6 (Not in Use) - Detailed Personnel Cost Assumptions</v>
      </c>
      <c r="C124" s="9"/>
      <c r="D124" s="9"/>
      <c r="E124" s="9"/>
      <c r="F124" s="9"/>
      <c r="G124" s="9"/>
      <c r="H124" s="9"/>
      <c r="I124" s="9"/>
      <c r="J124" s="9"/>
      <c r="K124" s="67">
        <f>IF(ISERROR(HL_Err_Chk_226),1,(HL_Err_Chk_226&lt;&gt;0)*1)</f>
        <v>0</v>
      </c>
      <c r="L124" s="21" t="s">
        <v>82</v>
      </c>
      <c r="M124" s="26">
        <f t="shared" si="3"/>
        <v>0</v>
      </c>
    </row>
    <row r="125" spans="2:13" ht="12.75" outlineLevel="1" x14ac:dyDescent="0.2">
      <c r="B125" s="47" t="str">
        <f>IF(ISERROR(Err_Chk_227_Hdg),Lang_Miscellaneous_Check,Err_Chk_227_Hdg)</f>
        <v xml:space="preserve"> Sensitisation Activity # 6 (Not in Use) - Detailed Allowance Cost Assumptions</v>
      </c>
      <c r="C125" s="9"/>
      <c r="D125" s="9"/>
      <c r="E125" s="9"/>
      <c r="F125" s="9"/>
      <c r="G125" s="9"/>
      <c r="H125" s="9"/>
      <c r="I125" s="9"/>
      <c r="J125" s="9"/>
      <c r="K125" s="67">
        <f>IF(ISERROR(HL_Err_Chk_227),1,(HL_Err_Chk_227&lt;&gt;0)*1)</f>
        <v>0</v>
      </c>
      <c r="L125" s="21" t="s">
        <v>82</v>
      </c>
      <c r="M125" s="26">
        <f t="shared" si="3"/>
        <v>0</v>
      </c>
    </row>
    <row r="126" spans="2:13" ht="12.75" outlineLevel="1" x14ac:dyDescent="0.2">
      <c r="B126" s="47" t="str">
        <f>IF(ISERROR(Err_Chk_228_Hdg),Lang_Miscellaneous_Check,Err_Chk_228_Hdg)</f>
        <v xml:space="preserve"> Sensitisation Activity # 6 (Not in Use) - Detailed Supply and Material Cost Assumptions</v>
      </c>
      <c r="C126" s="9"/>
      <c r="D126" s="9"/>
      <c r="E126" s="9"/>
      <c r="F126" s="9"/>
      <c r="G126" s="9"/>
      <c r="H126" s="9"/>
      <c r="I126" s="9"/>
      <c r="J126" s="9"/>
      <c r="K126" s="67">
        <f>IF(ISERROR(HL_Err_Chk_228),1,(HL_Err_Chk_228&lt;&gt;0)*1)</f>
        <v>0</v>
      </c>
      <c r="L126" s="21" t="s">
        <v>82</v>
      </c>
      <c r="M126" s="26">
        <f t="shared" si="3"/>
        <v>0</v>
      </c>
    </row>
    <row r="127" spans="2:13" ht="12.75" outlineLevel="1" x14ac:dyDescent="0.2">
      <c r="B127" s="47" t="str">
        <f>IF(ISERROR(Err_Chk_229_Hdg),Lang_Miscellaneous_Check,Err_Chk_229_Hdg)</f>
        <v xml:space="preserve"> Sensitisation Activity # 6 (Not in Use) - Detailed Other Direct Cost Assumptions</v>
      </c>
      <c r="C127" s="9"/>
      <c r="D127" s="9"/>
      <c r="E127" s="9"/>
      <c r="F127" s="9"/>
      <c r="G127" s="9"/>
      <c r="H127" s="9"/>
      <c r="I127" s="9"/>
      <c r="J127" s="9"/>
      <c r="K127" s="67">
        <f>IF(ISERROR(HL_Err_Chk_229),1,(HL_Err_Chk_229&lt;&gt;0)*1)</f>
        <v>0</v>
      </c>
      <c r="L127" s="21" t="s">
        <v>82</v>
      </c>
      <c r="M127" s="26">
        <f t="shared" si="3"/>
        <v>0</v>
      </c>
    </row>
    <row r="128" spans="2:13" ht="12.75" outlineLevel="1" x14ac:dyDescent="0.2">
      <c r="B128" s="47" t="str">
        <f>IF(ISERROR(Err_Chk_26_Hdg),Lang_Miscellaneous_Check,Err_Chk_26_Hdg)</f>
        <v>IEC Soc Mob  Activity # 1 (Not in Use) - Detailed Personnel Cost Assumptions</v>
      </c>
      <c r="C128" s="9"/>
      <c r="D128" s="9"/>
      <c r="E128" s="9"/>
      <c r="F128" s="9"/>
      <c r="G128" s="9"/>
      <c r="H128" s="9"/>
      <c r="I128" s="9"/>
      <c r="J128" s="9"/>
      <c r="K128" s="67">
        <f>IF(ISERROR(HL_Err_Chk_26),1,(HL_Err_Chk_26&lt;&gt;0)*1)</f>
        <v>0</v>
      </c>
      <c r="L128" s="21" t="s">
        <v>82</v>
      </c>
      <c r="M128" s="26">
        <f t="shared" si="3"/>
        <v>0</v>
      </c>
    </row>
    <row r="129" spans="2:13" ht="12.75" outlineLevel="1" x14ac:dyDescent="0.2">
      <c r="B129" s="47" t="str">
        <f>IF(ISERROR(Err_Chk_27_Hdg),Lang_Miscellaneous_Check,Err_Chk_27_Hdg)</f>
        <v>IEC Soc Mob  Activity # 1 (Not in Use) - Detailed Allowance Cost Assumptions</v>
      </c>
      <c r="C129" s="9"/>
      <c r="D129" s="9"/>
      <c r="E129" s="9"/>
      <c r="F129" s="9"/>
      <c r="G129" s="9"/>
      <c r="H129" s="9"/>
      <c r="I129" s="9"/>
      <c r="J129" s="9"/>
      <c r="K129" s="67">
        <f>IF(ISERROR(HL_Err_Chk_27),1,(HL_Err_Chk_27&lt;&gt;0)*1)</f>
        <v>0</v>
      </c>
      <c r="L129" s="21" t="s">
        <v>82</v>
      </c>
      <c r="M129" s="26">
        <f t="shared" si="3"/>
        <v>0</v>
      </c>
    </row>
    <row r="130" spans="2:13" ht="12.75" outlineLevel="1" x14ac:dyDescent="0.2">
      <c r="B130" s="47" t="str">
        <f>IF(ISERROR(Err_Chk_28_Hdg),Lang_Miscellaneous_Check,Err_Chk_28_Hdg)</f>
        <v>IEC Soc Mob  Activity # 1 (Not in Use) - Detailed Supply and Material Cost Assumptions</v>
      </c>
      <c r="C130" s="9"/>
      <c r="D130" s="9"/>
      <c r="E130" s="9"/>
      <c r="F130" s="9"/>
      <c r="G130" s="9"/>
      <c r="H130" s="9"/>
      <c r="I130" s="9"/>
      <c r="J130" s="9"/>
      <c r="K130" s="67">
        <f>IF(ISERROR(HL_Err_Chk_28),1,(HL_Err_Chk_28&lt;&gt;0)*1)</f>
        <v>0</v>
      </c>
      <c r="L130" s="21" t="s">
        <v>82</v>
      </c>
      <c r="M130" s="26">
        <f t="shared" si="3"/>
        <v>0</v>
      </c>
    </row>
    <row r="131" spans="2:13" ht="12.75" outlineLevel="1" x14ac:dyDescent="0.2">
      <c r="B131" s="47" t="str">
        <f>IF(ISERROR(Err_Chk_29_Hdg),Lang_Miscellaneous_Check,Err_Chk_29_Hdg)</f>
        <v>IEC Soc Mob  Activity # 1 (Not in Use) - Detailed Other Direct Cost Assumptions</v>
      </c>
      <c r="C131" s="9"/>
      <c r="D131" s="9"/>
      <c r="E131" s="9"/>
      <c r="F131" s="9"/>
      <c r="G131" s="9"/>
      <c r="H131" s="9"/>
      <c r="I131" s="9"/>
      <c r="J131" s="9"/>
      <c r="K131" s="67">
        <f>IF(ISERROR(HL_Err_Chk_29),1,(HL_Err_Chk_29&lt;&gt;0)*1)</f>
        <v>0</v>
      </c>
      <c r="L131" s="21" t="s">
        <v>82</v>
      </c>
      <c r="M131" s="26">
        <f t="shared" si="3"/>
        <v>0</v>
      </c>
    </row>
    <row r="132" spans="2:13" ht="12.75" outlineLevel="1" x14ac:dyDescent="0.2">
      <c r="B132" s="47" t="str">
        <f>IF(ISERROR(Err_Chk_146_Hdg),Lang_Miscellaneous_Check,Err_Chk_146_Hdg)</f>
        <v>IEC Soc Mob  Activity # 2 (Not in Use) - Detailed Personnel Cost Assumptions</v>
      </c>
      <c r="C132" s="9"/>
      <c r="D132" s="9"/>
      <c r="E132" s="9"/>
      <c r="F132" s="9"/>
      <c r="G132" s="9"/>
      <c r="H132" s="9"/>
      <c r="I132" s="9"/>
      <c r="J132" s="9"/>
      <c r="K132" s="67">
        <f>IF(ISERROR(HL_Err_Chk_146),1,(HL_Err_Chk_146&lt;&gt;0)*1)</f>
        <v>0</v>
      </c>
      <c r="L132" s="21" t="s">
        <v>82</v>
      </c>
      <c r="M132" s="26">
        <f t="shared" si="3"/>
        <v>0</v>
      </c>
    </row>
    <row r="133" spans="2:13" ht="12.75" outlineLevel="1" x14ac:dyDescent="0.2">
      <c r="B133" s="47" t="str">
        <f>IF(ISERROR(Err_Chk_147_Hdg),Lang_Miscellaneous_Check,Err_Chk_147_Hdg)</f>
        <v>IEC Soc Mob  Activity # 2 (Not in Use) - Detailed Allowance Cost Assumptions</v>
      </c>
      <c r="C133" s="9"/>
      <c r="D133" s="9"/>
      <c r="E133" s="9"/>
      <c r="F133" s="9"/>
      <c r="G133" s="9"/>
      <c r="H133" s="9"/>
      <c r="I133" s="9"/>
      <c r="J133" s="9"/>
      <c r="K133" s="67">
        <f>IF(ISERROR(HL_Err_Chk_147),1,(HL_Err_Chk_147&lt;&gt;0)*1)</f>
        <v>0</v>
      </c>
      <c r="L133" s="21" t="s">
        <v>82</v>
      </c>
      <c r="M133" s="26">
        <f t="shared" si="3"/>
        <v>0</v>
      </c>
    </row>
    <row r="134" spans="2:13" ht="12.75" outlineLevel="1" x14ac:dyDescent="0.2">
      <c r="B134" s="47" t="str">
        <f>IF(ISERROR(Err_Chk_148_Hdg),Lang_Miscellaneous_Check,Err_Chk_148_Hdg)</f>
        <v>IEC Soc Mob  Activity # 2 (Not in Use) - Detailed Supply and Material Cost Assumptions</v>
      </c>
      <c r="C134" s="9"/>
      <c r="D134" s="9"/>
      <c r="E134" s="9"/>
      <c r="F134" s="9"/>
      <c r="G134" s="9"/>
      <c r="H134" s="9"/>
      <c r="I134" s="9"/>
      <c r="J134" s="9"/>
      <c r="K134" s="67">
        <f>IF(ISERROR(HL_Err_Chk_148),1,(HL_Err_Chk_148&lt;&gt;0)*1)</f>
        <v>0</v>
      </c>
      <c r="L134" s="21" t="s">
        <v>82</v>
      </c>
      <c r="M134" s="26">
        <f t="shared" si="3"/>
        <v>0</v>
      </c>
    </row>
    <row r="135" spans="2:13" ht="12.75" outlineLevel="1" x14ac:dyDescent="0.2">
      <c r="B135" s="47" t="str">
        <f>IF(ISERROR(Err_Chk_149_Hdg),Lang_Miscellaneous_Check,Err_Chk_149_Hdg)</f>
        <v>IEC Soc Mob  Activity # 2 (Not in Use) - Detailed Other Direct Cost Assumptions</v>
      </c>
      <c r="C135" s="9"/>
      <c r="D135" s="9"/>
      <c r="E135" s="9"/>
      <c r="F135" s="9"/>
      <c r="G135" s="9"/>
      <c r="H135" s="9"/>
      <c r="I135" s="9"/>
      <c r="J135" s="9"/>
      <c r="K135" s="67">
        <f>IF(ISERROR(HL_Err_Chk_149),1,(HL_Err_Chk_149&lt;&gt;0)*1)</f>
        <v>0</v>
      </c>
      <c r="L135" s="21" t="s">
        <v>82</v>
      </c>
      <c r="M135" s="26">
        <f t="shared" si="3"/>
        <v>0</v>
      </c>
    </row>
    <row r="136" spans="2:13" ht="12.75" outlineLevel="1" x14ac:dyDescent="0.2">
      <c r="B136" s="47" t="str">
        <f>IF(ISERROR(Err_Chk_151_Hdg),Lang_Miscellaneous_Check,Err_Chk_151_Hdg)</f>
        <v>IEC Soc Mob  Activity # 3 (Not in Use) - Detailed Personnel Cost Assumptions</v>
      </c>
      <c r="C136" s="9"/>
      <c r="D136" s="9"/>
      <c r="E136" s="9"/>
      <c r="F136" s="9"/>
      <c r="G136" s="9"/>
      <c r="H136" s="9"/>
      <c r="I136" s="9"/>
      <c r="J136" s="9"/>
      <c r="K136" s="67">
        <f>IF(ISERROR(HL_Err_Chk_151),1,(HL_Err_Chk_151&lt;&gt;0)*1)</f>
        <v>0</v>
      </c>
      <c r="L136" s="21" t="s">
        <v>82</v>
      </c>
      <c r="M136" s="26">
        <f t="shared" si="3"/>
        <v>0</v>
      </c>
    </row>
    <row r="137" spans="2:13" ht="12.75" outlineLevel="1" x14ac:dyDescent="0.2">
      <c r="B137" s="47" t="str">
        <f>IF(ISERROR(Err_Chk_152_Hdg),Lang_Miscellaneous_Check,Err_Chk_152_Hdg)</f>
        <v>IEC Soc Mob  Activity # 3 (Not in Use) - Detailed Allowance Cost Assumptions</v>
      </c>
      <c r="C137" s="9"/>
      <c r="D137" s="9"/>
      <c r="E137" s="9"/>
      <c r="F137" s="9"/>
      <c r="G137" s="9"/>
      <c r="H137" s="9"/>
      <c r="I137" s="9"/>
      <c r="J137" s="9"/>
      <c r="K137" s="67">
        <f>IF(ISERROR(HL_Err_Chk_152),1,(HL_Err_Chk_152&lt;&gt;0)*1)</f>
        <v>0</v>
      </c>
      <c r="L137" s="21" t="s">
        <v>82</v>
      </c>
      <c r="M137" s="26">
        <f t="shared" si="3"/>
        <v>0</v>
      </c>
    </row>
    <row r="138" spans="2:13" ht="12.75" outlineLevel="1" x14ac:dyDescent="0.2">
      <c r="B138" s="47" t="str">
        <f>IF(ISERROR(Err_Chk_153_Hdg),Lang_Miscellaneous_Check,Err_Chk_153_Hdg)</f>
        <v>IEC Soc Mob  Activity # 3 (Not in Use) - Detailed Supply and Material Cost Assumptions</v>
      </c>
      <c r="C138" s="9"/>
      <c r="D138" s="9"/>
      <c r="E138" s="9"/>
      <c r="F138" s="9"/>
      <c r="G138" s="9"/>
      <c r="H138" s="9"/>
      <c r="I138" s="9"/>
      <c r="J138" s="9"/>
      <c r="K138" s="67">
        <f>IF(ISERROR(HL_Err_Chk_153),1,(HL_Err_Chk_153&lt;&gt;0)*1)</f>
        <v>0</v>
      </c>
      <c r="L138" s="21" t="s">
        <v>82</v>
      </c>
      <c r="M138" s="26">
        <f t="shared" ref="M138:M169" si="4">K138*(L138="Yes")</f>
        <v>0</v>
      </c>
    </row>
    <row r="139" spans="2:13" ht="12.75" outlineLevel="1" x14ac:dyDescent="0.2">
      <c r="B139" s="47" t="str">
        <f>IF(ISERROR(Err_Chk_154_Hdg),Lang_Miscellaneous_Check,Err_Chk_154_Hdg)</f>
        <v>IEC Soc Mob  Activity # 3 (Not in Use) - Detailed Other Direct Cost Assumptions</v>
      </c>
      <c r="C139" s="9"/>
      <c r="D139" s="9"/>
      <c r="E139" s="9"/>
      <c r="F139" s="9"/>
      <c r="G139" s="9"/>
      <c r="H139" s="9"/>
      <c r="I139" s="9"/>
      <c r="J139" s="9"/>
      <c r="K139" s="67">
        <f>IF(ISERROR(HL_Err_Chk_154),1,(HL_Err_Chk_154&lt;&gt;0)*1)</f>
        <v>0</v>
      </c>
      <c r="L139" s="21" t="s">
        <v>82</v>
      </c>
      <c r="M139" s="26">
        <f t="shared" si="4"/>
        <v>0</v>
      </c>
    </row>
    <row r="140" spans="2:13" ht="12.75" outlineLevel="1" x14ac:dyDescent="0.2">
      <c r="B140" s="47" t="str">
        <f>IF(ISERROR(Err_Chk_51_Hdg),Lang_Miscellaneous_Check,Err_Chk_51_Hdg)</f>
        <v>IEC Soc Mob  Activity # 4  (Not in Use) - Detailed Personnel Cost Assumptions</v>
      </c>
      <c r="C140" s="9"/>
      <c r="D140" s="9"/>
      <c r="E140" s="9"/>
      <c r="F140" s="9"/>
      <c r="G140" s="9"/>
      <c r="H140" s="9"/>
      <c r="I140" s="9"/>
      <c r="J140" s="9"/>
      <c r="K140" s="67">
        <f>IF(ISERROR(HL_Err_Chk_51),1,(HL_Err_Chk_51&lt;&gt;0)*1)</f>
        <v>0</v>
      </c>
      <c r="L140" s="21" t="s">
        <v>82</v>
      </c>
      <c r="M140" s="26">
        <f t="shared" si="4"/>
        <v>0</v>
      </c>
    </row>
    <row r="141" spans="2:13" ht="12.75" outlineLevel="1" x14ac:dyDescent="0.2">
      <c r="B141" s="47" t="str">
        <f>IF(ISERROR(Err_Chk_52_Hdg),Lang_Miscellaneous_Check,Err_Chk_52_Hdg)</f>
        <v>IEC Soc Mob  Activity # 4  (Not in Use) - Detailed Allowance Cost Assumptions</v>
      </c>
      <c r="C141" s="9"/>
      <c r="D141" s="9"/>
      <c r="E141" s="9"/>
      <c r="F141" s="9"/>
      <c r="G141" s="9"/>
      <c r="H141" s="9"/>
      <c r="I141" s="9"/>
      <c r="J141" s="9"/>
      <c r="K141" s="67">
        <f>IF(ISERROR(HL_Err_Chk_52),1,(HL_Err_Chk_52&lt;&gt;0)*1)</f>
        <v>0</v>
      </c>
      <c r="L141" s="21" t="s">
        <v>82</v>
      </c>
      <c r="M141" s="26">
        <f t="shared" si="4"/>
        <v>0</v>
      </c>
    </row>
    <row r="142" spans="2:13" ht="12.75" outlineLevel="1" x14ac:dyDescent="0.2">
      <c r="B142" s="47" t="str">
        <f>IF(ISERROR(Err_Chk_53_Hdg),Lang_Miscellaneous_Check,Err_Chk_53_Hdg)</f>
        <v>IEC Soc Mob  Activity # 4  (Not in Use) - Detailed Supply and Material Cost Assumptions</v>
      </c>
      <c r="C142" s="9"/>
      <c r="D142" s="9"/>
      <c r="E142" s="9"/>
      <c r="F142" s="9"/>
      <c r="G142" s="9"/>
      <c r="H142" s="9"/>
      <c r="I142" s="9"/>
      <c r="J142" s="9"/>
      <c r="K142" s="67">
        <f>IF(ISERROR(HL_Err_Chk_53),1,(HL_Err_Chk_53&lt;&gt;0)*1)</f>
        <v>0</v>
      </c>
      <c r="L142" s="21" t="s">
        <v>82</v>
      </c>
      <c r="M142" s="26">
        <f t="shared" si="4"/>
        <v>0</v>
      </c>
    </row>
    <row r="143" spans="2:13" ht="12.75" outlineLevel="1" x14ac:dyDescent="0.2">
      <c r="B143" s="47" t="str">
        <f>IF(ISERROR(Err_Chk_54_Hdg),Lang_Miscellaneous_Check,Err_Chk_54_Hdg)</f>
        <v>IEC Soc Mob  Activity # 4  (Not in Use) - Detailed Other Direct Cost Assumptions</v>
      </c>
      <c r="C143" s="9"/>
      <c r="D143" s="9"/>
      <c r="E143" s="9"/>
      <c r="F143" s="9"/>
      <c r="G143" s="9"/>
      <c r="H143" s="9"/>
      <c r="I143" s="9"/>
      <c r="J143" s="9"/>
      <c r="K143" s="67">
        <f>IF(ISERROR(HL_Err_Chk_54),1,(HL_Err_Chk_54&lt;&gt;0)*1)</f>
        <v>0</v>
      </c>
      <c r="L143" s="21" t="s">
        <v>82</v>
      </c>
      <c r="M143" s="26">
        <f t="shared" si="4"/>
        <v>0</v>
      </c>
    </row>
    <row r="144" spans="2:13" ht="12.75" outlineLevel="1" x14ac:dyDescent="0.2">
      <c r="B144" s="47" t="str">
        <f>IF(ISERROR(Err_Chk_156_Hdg),Lang_Miscellaneous_Check,Err_Chk_156_Hdg)</f>
        <v>IEC Soc Mob  Activity # 5  (Not in Use) - Detailed Personnel Cost Assumptions</v>
      </c>
      <c r="C144" s="9"/>
      <c r="D144" s="9"/>
      <c r="E144" s="9"/>
      <c r="F144" s="9"/>
      <c r="G144" s="9"/>
      <c r="H144" s="9"/>
      <c r="I144" s="9"/>
      <c r="J144" s="9"/>
      <c r="K144" s="67">
        <f>IF(ISERROR(HL_Err_Chk_156),1,(HL_Err_Chk_156&lt;&gt;0)*1)</f>
        <v>0</v>
      </c>
      <c r="L144" s="21" t="s">
        <v>82</v>
      </c>
      <c r="M144" s="26">
        <f t="shared" si="4"/>
        <v>0</v>
      </c>
    </row>
    <row r="145" spans="2:13" ht="12.75" outlineLevel="1" x14ac:dyDescent="0.2">
      <c r="B145" s="47" t="str">
        <f>IF(ISERROR(Err_Chk_157_Hdg),Lang_Miscellaneous_Check,Err_Chk_157_Hdg)</f>
        <v>IEC Soc Mob  Activity # 5  (Not in Use) - Detailed Allowance Cost Assumptions</v>
      </c>
      <c r="C145" s="9"/>
      <c r="D145" s="9"/>
      <c r="E145" s="9"/>
      <c r="F145" s="9"/>
      <c r="G145" s="9"/>
      <c r="H145" s="9"/>
      <c r="I145" s="9"/>
      <c r="J145" s="9"/>
      <c r="K145" s="67">
        <f>IF(ISERROR(HL_Err_Chk_157),1,(HL_Err_Chk_157&lt;&gt;0)*1)</f>
        <v>0</v>
      </c>
      <c r="L145" s="21" t="s">
        <v>82</v>
      </c>
      <c r="M145" s="26">
        <f t="shared" si="4"/>
        <v>0</v>
      </c>
    </row>
    <row r="146" spans="2:13" ht="12.75" outlineLevel="1" x14ac:dyDescent="0.2">
      <c r="B146" s="47" t="str">
        <f>IF(ISERROR(Err_Chk_158_Hdg),Lang_Miscellaneous_Check,Err_Chk_158_Hdg)</f>
        <v>IEC Soc Mob  Activity # 5  (Not in Use) - Detailed Supply and Material Cost Assumptions</v>
      </c>
      <c r="C146" s="9"/>
      <c r="D146" s="9"/>
      <c r="E146" s="9"/>
      <c r="F146" s="9"/>
      <c r="G146" s="9"/>
      <c r="H146" s="9"/>
      <c r="I146" s="9"/>
      <c r="J146" s="9"/>
      <c r="K146" s="67">
        <f>IF(ISERROR(HL_Err_Chk_158),1,(HL_Err_Chk_158&lt;&gt;0)*1)</f>
        <v>0</v>
      </c>
      <c r="L146" s="21" t="s">
        <v>82</v>
      </c>
      <c r="M146" s="26">
        <f t="shared" si="4"/>
        <v>0</v>
      </c>
    </row>
    <row r="147" spans="2:13" ht="12.75" outlineLevel="1" x14ac:dyDescent="0.2">
      <c r="B147" s="47" t="str">
        <f>IF(ISERROR(Err_Chk_159_Hdg),Lang_Miscellaneous_Check,Err_Chk_159_Hdg)</f>
        <v>IEC Soc Mob  Activity # 5  (Not in Use) - Detailed Other Direct Cost Assumptions</v>
      </c>
      <c r="C147" s="9"/>
      <c r="D147" s="9"/>
      <c r="E147" s="9"/>
      <c r="F147" s="9"/>
      <c r="G147" s="9"/>
      <c r="H147" s="9"/>
      <c r="I147" s="9"/>
      <c r="J147" s="9"/>
      <c r="K147" s="67">
        <f>IF(ISERROR(HL_Err_Chk_159),1,(HL_Err_Chk_159&lt;&gt;0)*1)</f>
        <v>0</v>
      </c>
      <c r="L147" s="21" t="s">
        <v>82</v>
      </c>
      <c r="M147" s="26">
        <f t="shared" si="4"/>
        <v>0</v>
      </c>
    </row>
    <row r="148" spans="2:13" ht="12.75" outlineLevel="1" x14ac:dyDescent="0.2">
      <c r="B148" s="47" t="str">
        <f>IF(ISERROR(Err_Chk_161_Hdg),Lang_Miscellaneous_Check,Err_Chk_161_Hdg)</f>
        <v>IEC Soc Mob  Activity # 6 (Not in Use) - Detailed Personnel Cost Assumptions</v>
      </c>
      <c r="C148" s="9"/>
      <c r="D148" s="9"/>
      <c r="E148" s="9"/>
      <c r="F148" s="9"/>
      <c r="G148" s="9"/>
      <c r="H148" s="9"/>
      <c r="I148" s="9"/>
      <c r="J148" s="9"/>
      <c r="K148" s="67">
        <f>IF(ISERROR(HL_Err_Chk_161),1,(HL_Err_Chk_161&lt;&gt;0)*1)</f>
        <v>0</v>
      </c>
      <c r="L148" s="21" t="s">
        <v>82</v>
      </c>
      <c r="M148" s="26">
        <f t="shared" si="4"/>
        <v>0</v>
      </c>
    </row>
    <row r="149" spans="2:13" ht="12.75" outlineLevel="1" x14ac:dyDescent="0.2">
      <c r="B149" s="47" t="str">
        <f>IF(ISERROR(Err_Chk_162_Hdg),Lang_Miscellaneous_Check,Err_Chk_162_Hdg)</f>
        <v>IEC Soc Mob  Activity # 6 (Not in Use) - Detailed Allowance Cost Assumptions</v>
      </c>
      <c r="C149" s="9"/>
      <c r="D149" s="9"/>
      <c r="E149" s="9"/>
      <c r="F149" s="9"/>
      <c r="G149" s="9"/>
      <c r="H149" s="9"/>
      <c r="I149" s="9"/>
      <c r="J149" s="9"/>
      <c r="K149" s="67">
        <f>IF(ISERROR(HL_Err_Chk_162),1,(HL_Err_Chk_162&lt;&gt;0)*1)</f>
        <v>0</v>
      </c>
      <c r="L149" s="21" t="s">
        <v>82</v>
      </c>
      <c r="M149" s="26">
        <f t="shared" si="4"/>
        <v>0</v>
      </c>
    </row>
    <row r="150" spans="2:13" ht="12.75" outlineLevel="1" x14ac:dyDescent="0.2">
      <c r="B150" s="47" t="str">
        <f>IF(ISERROR(Err_Chk_163_Hdg),Lang_Miscellaneous_Check,Err_Chk_163_Hdg)</f>
        <v>IEC Soc Mob  Activity # 6 (Not in Use) - Detailed Supply and Material Cost Assumptions</v>
      </c>
      <c r="C150" s="9"/>
      <c r="D150" s="9"/>
      <c r="E150" s="9"/>
      <c r="F150" s="9"/>
      <c r="G150" s="9"/>
      <c r="H150" s="9"/>
      <c r="I150" s="9"/>
      <c r="J150" s="9"/>
      <c r="K150" s="67">
        <f>IF(ISERROR(HL_Err_Chk_163),1,(HL_Err_Chk_163&lt;&gt;0)*1)</f>
        <v>0</v>
      </c>
      <c r="L150" s="21" t="s">
        <v>82</v>
      </c>
      <c r="M150" s="26">
        <f t="shared" si="4"/>
        <v>0</v>
      </c>
    </row>
    <row r="151" spans="2:13" ht="12.75" outlineLevel="1" x14ac:dyDescent="0.2">
      <c r="B151" s="47" t="str">
        <f>IF(ISERROR(Err_Chk_164_Hdg),Lang_Miscellaneous_Check,Err_Chk_164_Hdg)</f>
        <v>IEC Soc Mob  Activity # 6 (Not in Use) - Detailed Other Direct Cost Assumptions</v>
      </c>
      <c r="C151" s="9"/>
      <c r="D151" s="9"/>
      <c r="E151" s="9"/>
      <c r="F151" s="9"/>
      <c r="G151" s="9"/>
      <c r="H151" s="9"/>
      <c r="I151" s="9"/>
      <c r="J151" s="9"/>
      <c r="K151" s="67">
        <f>IF(ISERROR(HL_Err_Chk_164),1,(HL_Err_Chk_164&lt;&gt;0)*1)</f>
        <v>0</v>
      </c>
      <c r="L151" s="21" t="s">
        <v>82</v>
      </c>
      <c r="M151" s="26">
        <f t="shared" si="4"/>
        <v>0</v>
      </c>
    </row>
    <row r="152" spans="2:13" ht="12.75" outlineLevel="1" x14ac:dyDescent="0.2">
      <c r="B152" s="47" t="str">
        <f>IF(ISERROR(Err_Chk_106_Hdg),Lang_Miscellaneous_Check,Err_Chk_106_Hdg)</f>
        <v>IEC Soc Mob  Activity # 7 (Not in Use) - Detailed Personnel Cost Assumptions</v>
      </c>
      <c r="C152" s="9"/>
      <c r="D152" s="9"/>
      <c r="E152" s="9"/>
      <c r="F152" s="9"/>
      <c r="G152" s="9"/>
      <c r="H152" s="9"/>
      <c r="I152" s="9"/>
      <c r="J152" s="9"/>
      <c r="K152" s="67">
        <f>IF(ISERROR(HL_Err_Chk_106),1,(HL_Err_Chk_106&lt;&gt;0)*1)</f>
        <v>0</v>
      </c>
      <c r="L152" s="21" t="s">
        <v>82</v>
      </c>
      <c r="M152" s="26">
        <f t="shared" si="4"/>
        <v>0</v>
      </c>
    </row>
    <row r="153" spans="2:13" ht="12.75" outlineLevel="1" x14ac:dyDescent="0.2">
      <c r="B153" s="47" t="str">
        <f>IF(ISERROR(Err_Chk_107_Hdg),Lang_Miscellaneous_Check,Err_Chk_107_Hdg)</f>
        <v>IEC Soc Mob  Activity # 7 (Not in Use) - Detailed Allowance Cost Assumptions</v>
      </c>
      <c r="C153" s="9"/>
      <c r="D153" s="9"/>
      <c r="E153" s="9"/>
      <c r="F153" s="9"/>
      <c r="G153" s="9"/>
      <c r="H153" s="9"/>
      <c r="I153" s="9"/>
      <c r="J153" s="9"/>
      <c r="K153" s="67">
        <f>IF(ISERROR(HL_Err_Chk_107),1,(HL_Err_Chk_107&lt;&gt;0)*1)</f>
        <v>0</v>
      </c>
      <c r="L153" s="21" t="s">
        <v>82</v>
      </c>
      <c r="M153" s="26">
        <f t="shared" si="4"/>
        <v>0</v>
      </c>
    </row>
    <row r="154" spans="2:13" ht="12.75" outlineLevel="1" x14ac:dyDescent="0.2">
      <c r="B154" s="47" t="str">
        <f>IF(ISERROR(Err_Chk_108_Hdg),Lang_Miscellaneous_Check,Err_Chk_108_Hdg)</f>
        <v>IEC Soc Mob  Activity # 7 (Not in Use) - Detailed Supply and Material Cost Assumptions</v>
      </c>
      <c r="C154" s="9"/>
      <c r="D154" s="9"/>
      <c r="E154" s="9"/>
      <c r="F154" s="9"/>
      <c r="G154" s="9"/>
      <c r="H154" s="9"/>
      <c r="I154" s="9"/>
      <c r="J154" s="9"/>
      <c r="K154" s="67">
        <f>IF(ISERROR(HL_Err_Chk_108),1,(HL_Err_Chk_108&lt;&gt;0)*1)</f>
        <v>0</v>
      </c>
      <c r="L154" s="21" t="s">
        <v>82</v>
      </c>
      <c r="M154" s="26">
        <f t="shared" si="4"/>
        <v>0</v>
      </c>
    </row>
    <row r="155" spans="2:13" ht="12.75" outlineLevel="1" x14ac:dyDescent="0.2">
      <c r="B155" s="47" t="str">
        <f>IF(ISERROR(Err_Chk_109_Hdg),Lang_Miscellaneous_Check,Err_Chk_109_Hdg)</f>
        <v>IEC Soc Mob  Activity # 7 (Not in Use) - Detailed Other Direct Cost Assumptions</v>
      </c>
      <c r="C155" s="9"/>
      <c r="D155" s="9"/>
      <c r="E155" s="9"/>
      <c r="F155" s="9"/>
      <c r="G155" s="9"/>
      <c r="H155" s="9"/>
      <c r="I155" s="9"/>
      <c r="J155" s="9"/>
      <c r="K155" s="67">
        <f>IF(ISERROR(HL_Err_Chk_109),1,(HL_Err_Chk_109&lt;&gt;0)*1)</f>
        <v>0</v>
      </c>
      <c r="L155" s="21" t="s">
        <v>82</v>
      </c>
      <c r="M155" s="26">
        <f t="shared" si="4"/>
        <v>0</v>
      </c>
    </row>
    <row r="156" spans="2:13" ht="12.75" outlineLevel="1" x14ac:dyDescent="0.2">
      <c r="B156" s="47" t="str">
        <f>IF(ISERROR(Err_Chk_121_Hdg),Lang_Miscellaneous_Check,Err_Chk_121_Hdg)</f>
        <v>IEC Soc Mob  Activity # 8 (Not in Use) - Detailed Personnel Cost Assumptions</v>
      </c>
      <c r="C156" s="9"/>
      <c r="D156" s="9"/>
      <c r="E156" s="9"/>
      <c r="F156" s="9"/>
      <c r="G156" s="9"/>
      <c r="H156" s="9"/>
      <c r="I156" s="9"/>
      <c r="J156" s="9"/>
      <c r="K156" s="67">
        <f>IF(ISERROR(HL_Err_Chk_121),1,(HL_Err_Chk_121&lt;&gt;0)*1)</f>
        <v>0</v>
      </c>
      <c r="L156" s="21" t="s">
        <v>82</v>
      </c>
      <c r="M156" s="26">
        <f t="shared" si="4"/>
        <v>0</v>
      </c>
    </row>
    <row r="157" spans="2:13" ht="12.75" outlineLevel="1" x14ac:dyDescent="0.2">
      <c r="B157" s="47" t="str">
        <f>IF(ISERROR(Err_Chk_122_Hdg),Lang_Miscellaneous_Check,Err_Chk_122_Hdg)</f>
        <v>IEC Soc Mob  Activity # 8 (Not in Use) - Detailed Allowance Cost Assumptions</v>
      </c>
      <c r="C157" s="9"/>
      <c r="D157" s="9"/>
      <c r="E157" s="9"/>
      <c r="F157" s="9"/>
      <c r="G157" s="9"/>
      <c r="H157" s="9"/>
      <c r="I157" s="9"/>
      <c r="J157" s="9"/>
      <c r="K157" s="67">
        <f>IF(ISERROR(HL_Err_Chk_122),1,(HL_Err_Chk_122&lt;&gt;0)*1)</f>
        <v>0</v>
      </c>
      <c r="L157" s="21" t="s">
        <v>82</v>
      </c>
      <c r="M157" s="26">
        <f t="shared" si="4"/>
        <v>0</v>
      </c>
    </row>
    <row r="158" spans="2:13" ht="12.75" outlineLevel="1" x14ac:dyDescent="0.2">
      <c r="B158" s="47" t="str">
        <f>IF(ISERROR(Err_Chk_123_Hdg),Lang_Miscellaneous_Check,Err_Chk_123_Hdg)</f>
        <v>IEC Soc Mob  Activity # 8 (Not in Use) - Detailed Supply and Material Cost Assumptions</v>
      </c>
      <c r="C158" s="9"/>
      <c r="D158" s="9"/>
      <c r="E158" s="9"/>
      <c r="F158" s="9"/>
      <c r="G158" s="9"/>
      <c r="H158" s="9"/>
      <c r="I158" s="9"/>
      <c r="J158" s="9"/>
      <c r="K158" s="67">
        <f>IF(ISERROR(HL_Err_Chk_123),1,(HL_Err_Chk_123&lt;&gt;0)*1)</f>
        <v>0</v>
      </c>
      <c r="L158" s="21" t="s">
        <v>82</v>
      </c>
      <c r="M158" s="26">
        <f t="shared" si="4"/>
        <v>0</v>
      </c>
    </row>
    <row r="159" spans="2:13" ht="12.75" outlineLevel="1" x14ac:dyDescent="0.2">
      <c r="B159" s="47" t="str">
        <f>IF(ISERROR(Err_Chk_124_Hdg),Lang_Miscellaneous_Check,Err_Chk_124_Hdg)</f>
        <v>IEC Soc Mob  Activity # 8 (Not in Use) - Detailed Other Direct Cost Assumptions</v>
      </c>
      <c r="C159" s="9"/>
      <c r="D159" s="9"/>
      <c r="E159" s="9"/>
      <c r="F159" s="9"/>
      <c r="G159" s="9"/>
      <c r="H159" s="9"/>
      <c r="I159" s="9"/>
      <c r="J159" s="9"/>
      <c r="K159" s="67">
        <f>IF(ISERROR(HL_Err_Chk_124),1,(HL_Err_Chk_124&lt;&gt;0)*1)</f>
        <v>0</v>
      </c>
      <c r="L159" s="21" t="s">
        <v>82</v>
      </c>
      <c r="M159" s="26">
        <f t="shared" si="4"/>
        <v>0</v>
      </c>
    </row>
    <row r="160" spans="2:13" ht="12.75" outlineLevel="1" x14ac:dyDescent="0.2">
      <c r="B160" s="47" t="str">
        <f>IF(ISERROR(Err_Chk_31_Hdg),Lang_Miscellaneous_Check,Err_Chk_31_Hdg)</f>
        <v>SME Activity #1 (Not in Use) - Detailed Personnel Cost Assumptions</v>
      </c>
      <c r="C160" s="9"/>
      <c r="D160" s="9"/>
      <c r="E160" s="9"/>
      <c r="F160" s="9"/>
      <c r="G160" s="9"/>
      <c r="H160" s="9"/>
      <c r="I160" s="9"/>
      <c r="J160" s="9"/>
      <c r="K160" s="67">
        <f>IF(ISERROR(HL_Err_Chk_31),1,(HL_Err_Chk_31&lt;&gt;0)*1)</f>
        <v>0</v>
      </c>
      <c r="L160" s="21" t="s">
        <v>82</v>
      </c>
      <c r="M160" s="26">
        <f t="shared" si="4"/>
        <v>0</v>
      </c>
    </row>
    <row r="161" spans="2:13" ht="12.75" outlineLevel="1" x14ac:dyDescent="0.2">
      <c r="B161" s="47" t="str">
        <f>IF(ISERROR(Err_Chk_32_Hdg),Lang_Miscellaneous_Check,Err_Chk_32_Hdg)</f>
        <v>SME Activity #1 (Not in Use) - Detailed Allowance Cost Assumptions</v>
      </c>
      <c r="C161" s="9"/>
      <c r="D161" s="9"/>
      <c r="E161" s="9"/>
      <c r="F161" s="9"/>
      <c r="G161" s="9"/>
      <c r="H161" s="9"/>
      <c r="I161" s="9"/>
      <c r="J161" s="9"/>
      <c r="K161" s="67">
        <f>IF(ISERROR(HL_Err_Chk_32),1,(HL_Err_Chk_32&lt;&gt;0)*1)</f>
        <v>0</v>
      </c>
      <c r="L161" s="21" t="s">
        <v>82</v>
      </c>
      <c r="M161" s="26">
        <f t="shared" si="4"/>
        <v>0</v>
      </c>
    </row>
    <row r="162" spans="2:13" ht="12.75" outlineLevel="1" x14ac:dyDescent="0.2">
      <c r="B162" s="47" t="str">
        <f>IF(ISERROR(Err_Chk_33_Hdg),Lang_Miscellaneous_Check,Err_Chk_33_Hdg)</f>
        <v>SME Activity #1 (Not in Use) - Detailed Supply and Material Cost Assumptions</v>
      </c>
      <c r="C162" s="9"/>
      <c r="D162" s="9"/>
      <c r="E162" s="9"/>
      <c r="F162" s="9"/>
      <c r="G162" s="9"/>
      <c r="H162" s="9"/>
      <c r="I162" s="9"/>
      <c r="J162" s="9"/>
      <c r="K162" s="67">
        <f>IF(ISERROR(HL_Err_Chk_33),1,(HL_Err_Chk_33&lt;&gt;0)*1)</f>
        <v>0</v>
      </c>
      <c r="L162" s="21" t="s">
        <v>82</v>
      </c>
      <c r="M162" s="26">
        <f t="shared" si="4"/>
        <v>0</v>
      </c>
    </row>
    <row r="163" spans="2:13" ht="12.75" outlineLevel="1" x14ac:dyDescent="0.2">
      <c r="B163" s="47" t="str">
        <f>IF(ISERROR(Err_Chk_34_Hdg),Lang_Miscellaneous_Check,Err_Chk_34_Hdg)</f>
        <v>SME Activity #1 (Not in Use) - Detailed Other Direct Cost Assumptions</v>
      </c>
      <c r="C163" s="9"/>
      <c r="D163" s="9"/>
      <c r="E163" s="9"/>
      <c r="F163" s="9"/>
      <c r="G163" s="9"/>
      <c r="H163" s="9"/>
      <c r="I163" s="9"/>
      <c r="J163" s="9"/>
      <c r="K163" s="67">
        <f>IF(ISERROR(HL_Err_Chk_34),1,(HL_Err_Chk_34&lt;&gt;0)*1)</f>
        <v>0</v>
      </c>
      <c r="L163" s="21" t="s">
        <v>82</v>
      </c>
      <c r="M163" s="26">
        <f t="shared" si="4"/>
        <v>0</v>
      </c>
    </row>
    <row r="164" spans="2:13" ht="12.75" outlineLevel="1" x14ac:dyDescent="0.2">
      <c r="B164" s="47" t="str">
        <f>IF(ISERROR(Err_Chk_176_Hdg),Lang_Miscellaneous_Check,Err_Chk_176_Hdg)</f>
        <v>SME Activity #2 (Not in Use) - Detailed Personnel Cost Assumptions</v>
      </c>
      <c r="C164" s="9"/>
      <c r="D164" s="9"/>
      <c r="E164" s="9"/>
      <c r="F164" s="9"/>
      <c r="G164" s="9"/>
      <c r="H164" s="9"/>
      <c r="I164" s="9"/>
      <c r="J164" s="9"/>
      <c r="K164" s="67">
        <f>IF(ISERROR(HL_Err_Chk_176),1,(HL_Err_Chk_176&lt;&gt;0)*1)</f>
        <v>0</v>
      </c>
      <c r="L164" s="21" t="s">
        <v>82</v>
      </c>
      <c r="M164" s="26">
        <f t="shared" si="4"/>
        <v>0</v>
      </c>
    </row>
    <row r="165" spans="2:13" ht="12.75" outlineLevel="1" x14ac:dyDescent="0.2">
      <c r="B165" s="47" t="str">
        <f>IF(ISERROR(Err_Chk_177_Hdg),Lang_Miscellaneous_Check,Err_Chk_177_Hdg)</f>
        <v>SME Activity #2 (Not in Use) - Detailed Allowance Cost Assumptions</v>
      </c>
      <c r="C165" s="9"/>
      <c r="D165" s="9"/>
      <c r="E165" s="9"/>
      <c r="F165" s="9"/>
      <c r="G165" s="9"/>
      <c r="H165" s="9"/>
      <c r="I165" s="9"/>
      <c r="J165" s="9"/>
      <c r="K165" s="67">
        <f>IF(ISERROR(HL_Err_Chk_177),1,(HL_Err_Chk_177&lt;&gt;0)*1)</f>
        <v>0</v>
      </c>
      <c r="L165" s="21" t="s">
        <v>82</v>
      </c>
      <c r="M165" s="26">
        <f t="shared" si="4"/>
        <v>0</v>
      </c>
    </row>
    <row r="166" spans="2:13" ht="12.75" outlineLevel="1" x14ac:dyDescent="0.2">
      <c r="B166" s="47" t="str">
        <f>IF(ISERROR(Err_Chk_178_Hdg),Lang_Miscellaneous_Check,Err_Chk_178_Hdg)</f>
        <v>SME Activity #2 (Not in Use) - Detailed Supply and Material Cost Assumptions</v>
      </c>
      <c r="C166" s="9"/>
      <c r="D166" s="9"/>
      <c r="E166" s="9"/>
      <c r="F166" s="9"/>
      <c r="G166" s="9"/>
      <c r="H166" s="9"/>
      <c r="I166" s="9"/>
      <c r="J166" s="9"/>
      <c r="K166" s="67">
        <f>IF(ISERROR(HL_Err_Chk_178),1,(HL_Err_Chk_178&lt;&gt;0)*1)</f>
        <v>0</v>
      </c>
      <c r="L166" s="21" t="s">
        <v>82</v>
      </c>
      <c r="M166" s="26">
        <f t="shared" si="4"/>
        <v>0</v>
      </c>
    </row>
    <row r="167" spans="2:13" ht="12.75" outlineLevel="1" x14ac:dyDescent="0.2">
      <c r="B167" s="47" t="str">
        <f>IF(ISERROR(Err_Chk_179_Hdg),Lang_Miscellaneous_Check,Err_Chk_179_Hdg)</f>
        <v>SME Activity #2 (Not in Use) - Detailed Other Direct Cost Assumptions</v>
      </c>
      <c r="C167" s="9"/>
      <c r="D167" s="9"/>
      <c r="E167" s="9"/>
      <c r="F167" s="9"/>
      <c r="G167" s="9"/>
      <c r="H167" s="9"/>
      <c r="I167" s="9"/>
      <c r="J167" s="9"/>
      <c r="K167" s="67">
        <f>IF(ISERROR(HL_Err_Chk_179),1,(HL_Err_Chk_179&lt;&gt;0)*1)</f>
        <v>0</v>
      </c>
      <c r="L167" s="21" t="s">
        <v>82</v>
      </c>
      <c r="M167" s="26">
        <f t="shared" si="4"/>
        <v>0</v>
      </c>
    </row>
    <row r="168" spans="2:13" ht="12.75" outlineLevel="1" x14ac:dyDescent="0.2">
      <c r="B168" s="47" t="str">
        <f>IF(ISERROR(Err_Chk_181_Hdg),Lang_Miscellaneous_Check,Err_Chk_181_Hdg)</f>
        <v>SME Activity #3 (Not in Use) - Detailed Personnel Cost Assumptions</v>
      </c>
      <c r="C168" s="9"/>
      <c r="D168" s="9"/>
      <c r="E168" s="9"/>
      <c r="F168" s="9"/>
      <c r="G168" s="9"/>
      <c r="H168" s="9"/>
      <c r="I168" s="9"/>
      <c r="J168" s="9"/>
      <c r="K168" s="67">
        <f>IF(ISERROR(HL_Err_Chk_181),1,(HL_Err_Chk_181&lt;&gt;0)*1)</f>
        <v>0</v>
      </c>
      <c r="L168" s="21" t="s">
        <v>82</v>
      </c>
      <c r="M168" s="26">
        <f t="shared" si="4"/>
        <v>0</v>
      </c>
    </row>
    <row r="169" spans="2:13" ht="12.75" outlineLevel="1" x14ac:dyDescent="0.2">
      <c r="B169" s="47" t="str">
        <f>IF(ISERROR(Err_Chk_182_Hdg),Lang_Miscellaneous_Check,Err_Chk_182_Hdg)</f>
        <v>SME Activity #3 (Not in Use) - Detailed Allowance Cost Assumptions</v>
      </c>
      <c r="C169" s="9"/>
      <c r="D169" s="9"/>
      <c r="E169" s="9"/>
      <c r="F169" s="9"/>
      <c r="G169" s="9"/>
      <c r="H169" s="9"/>
      <c r="I169" s="9"/>
      <c r="J169" s="9"/>
      <c r="K169" s="67">
        <f>IF(ISERROR(HL_Err_Chk_182),1,(HL_Err_Chk_182&lt;&gt;0)*1)</f>
        <v>0</v>
      </c>
      <c r="L169" s="21" t="s">
        <v>82</v>
      </c>
      <c r="M169" s="26">
        <f t="shared" si="4"/>
        <v>0</v>
      </c>
    </row>
    <row r="170" spans="2:13" ht="12.75" outlineLevel="1" x14ac:dyDescent="0.2">
      <c r="B170" s="47" t="str">
        <f>IF(ISERROR(Err_Chk_183_Hdg),Lang_Miscellaneous_Check,Err_Chk_183_Hdg)</f>
        <v>SME Activity #3 (Not in Use) - Detailed Supply and Material Cost Assumptions</v>
      </c>
      <c r="C170" s="9"/>
      <c r="D170" s="9"/>
      <c r="E170" s="9"/>
      <c r="F170" s="9"/>
      <c r="G170" s="9"/>
      <c r="H170" s="9"/>
      <c r="I170" s="9"/>
      <c r="J170" s="9"/>
      <c r="K170" s="67">
        <f>IF(ISERROR(HL_Err_Chk_183),1,(HL_Err_Chk_183&lt;&gt;0)*1)</f>
        <v>0</v>
      </c>
      <c r="L170" s="21" t="s">
        <v>82</v>
      </c>
      <c r="M170" s="26">
        <f t="shared" ref="M170:M201" si="5">K170*(L170="Yes")</f>
        <v>0</v>
      </c>
    </row>
    <row r="171" spans="2:13" ht="12.75" outlineLevel="1" x14ac:dyDescent="0.2">
      <c r="B171" s="47" t="str">
        <f>IF(ISERROR(Err_Chk_184_Hdg),Lang_Miscellaneous_Check,Err_Chk_184_Hdg)</f>
        <v>SME Activity #3 (Not in Use) - Detailed Other Direct Cost Assumptions</v>
      </c>
      <c r="C171" s="9"/>
      <c r="D171" s="9"/>
      <c r="E171" s="9"/>
      <c r="F171" s="9"/>
      <c r="G171" s="9"/>
      <c r="H171" s="9"/>
      <c r="I171" s="9"/>
      <c r="J171" s="9"/>
      <c r="K171" s="67">
        <f>IF(ISERROR(HL_Err_Chk_184),1,(HL_Err_Chk_184&lt;&gt;0)*1)</f>
        <v>0</v>
      </c>
      <c r="L171" s="21" t="s">
        <v>82</v>
      </c>
      <c r="M171" s="26">
        <f t="shared" si="5"/>
        <v>0</v>
      </c>
    </row>
    <row r="172" spans="2:13" ht="12.75" outlineLevel="1" x14ac:dyDescent="0.2">
      <c r="B172" s="47" t="str">
        <f>IF(ISERROR(Err_Chk_216_Hdg),Lang_Miscellaneous_Check,Err_Chk_216_Hdg)</f>
        <v>SME Activity #4 (Not in Use) - Detailed Personnel Cost Assumptions</v>
      </c>
      <c r="C172" s="9"/>
      <c r="D172" s="9"/>
      <c r="E172" s="9"/>
      <c r="F172" s="9"/>
      <c r="G172" s="9"/>
      <c r="H172" s="9"/>
      <c r="I172" s="9"/>
      <c r="J172" s="9"/>
      <c r="K172" s="67">
        <f>IF(ISERROR(HL_Err_Chk_216),1,(HL_Err_Chk_216&lt;&gt;0)*1)</f>
        <v>0</v>
      </c>
      <c r="L172" s="21" t="s">
        <v>82</v>
      </c>
      <c r="M172" s="26">
        <f t="shared" si="5"/>
        <v>0</v>
      </c>
    </row>
    <row r="173" spans="2:13" ht="12.75" outlineLevel="1" x14ac:dyDescent="0.2">
      <c r="B173" s="47" t="str">
        <f>IF(ISERROR(Err_Chk_217_Hdg),Lang_Miscellaneous_Check,Err_Chk_217_Hdg)</f>
        <v>SME Activity #4 (Not in Use) - Detailed Allowance Cost Assumptions</v>
      </c>
      <c r="C173" s="9"/>
      <c r="D173" s="9"/>
      <c r="E173" s="9"/>
      <c r="F173" s="9"/>
      <c r="G173" s="9"/>
      <c r="H173" s="9"/>
      <c r="I173" s="9"/>
      <c r="J173" s="9"/>
      <c r="K173" s="67">
        <f>IF(ISERROR(HL_Err_Chk_217),1,(HL_Err_Chk_217&lt;&gt;0)*1)</f>
        <v>0</v>
      </c>
      <c r="L173" s="21" t="s">
        <v>82</v>
      </c>
      <c r="M173" s="26">
        <f t="shared" si="5"/>
        <v>0</v>
      </c>
    </row>
    <row r="174" spans="2:13" ht="12.75" outlineLevel="1" x14ac:dyDescent="0.2">
      <c r="B174" s="47" t="str">
        <f>IF(ISERROR(Err_Chk_218_Hdg),Lang_Miscellaneous_Check,Err_Chk_218_Hdg)</f>
        <v>SME Activity #4 (Not in Use) - Detailed Supply and Material Cost Assumptions</v>
      </c>
      <c r="C174" s="9"/>
      <c r="D174" s="9"/>
      <c r="E174" s="9"/>
      <c r="F174" s="9"/>
      <c r="G174" s="9"/>
      <c r="H174" s="9"/>
      <c r="I174" s="9"/>
      <c r="J174" s="9"/>
      <c r="K174" s="67">
        <f>IF(ISERROR(HL_Err_Chk_218),1,(HL_Err_Chk_218&lt;&gt;0)*1)</f>
        <v>0</v>
      </c>
      <c r="L174" s="21" t="s">
        <v>82</v>
      </c>
      <c r="M174" s="26">
        <f t="shared" si="5"/>
        <v>0</v>
      </c>
    </row>
    <row r="175" spans="2:13" ht="12.75" outlineLevel="1" x14ac:dyDescent="0.2">
      <c r="B175" s="47" t="str">
        <f>IF(ISERROR(Err_Chk_219_Hdg),Lang_Miscellaneous_Check,Err_Chk_219_Hdg)</f>
        <v>SME Activity #4 (Not in Use) - Detailed Other Direct Cost Assumptions</v>
      </c>
      <c r="C175" s="9"/>
      <c r="D175" s="9"/>
      <c r="E175" s="9"/>
      <c r="F175" s="9"/>
      <c r="G175" s="9"/>
      <c r="H175" s="9"/>
      <c r="I175" s="9"/>
      <c r="J175" s="9"/>
      <c r="K175" s="67">
        <f>IF(ISERROR(HL_Err_Chk_219),1,(HL_Err_Chk_219&lt;&gt;0)*1)</f>
        <v>0</v>
      </c>
      <c r="L175" s="21" t="s">
        <v>82</v>
      </c>
      <c r="M175" s="26">
        <f t="shared" si="5"/>
        <v>0</v>
      </c>
    </row>
    <row r="176" spans="2:13" ht="12.75" outlineLevel="1" x14ac:dyDescent="0.2">
      <c r="B176" s="47" t="str">
        <f>IF(ISERROR(Err_Chk_56_Hdg),Lang_Miscellaneous_Check,Err_Chk_56_Hdg)</f>
        <v>SME Activity #5 (Not in Use) - Detailed Personnel Cost Assumptions</v>
      </c>
      <c r="C176" s="9"/>
      <c r="D176" s="9"/>
      <c r="E176" s="9"/>
      <c r="F176" s="9"/>
      <c r="G176" s="9"/>
      <c r="H176" s="9"/>
      <c r="I176" s="9"/>
      <c r="J176" s="9"/>
      <c r="K176" s="67">
        <f>IF(ISERROR(HL_Err_Chk_56),1,(HL_Err_Chk_56&lt;&gt;0)*1)</f>
        <v>0</v>
      </c>
      <c r="L176" s="21" t="s">
        <v>82</v>
      </c>
      <c r="M176" s="26">
        <f t="shared" si="5"/>
        <v>0</v>
      </c>
    </row>
    <row r="177" spans="2:13" ht="12.75" outlineLevel="1" x14ac:dyDescent="0.2">
      <c r="B177" s="47" t="str">
        <f>IF(ISERROR(Err_Chk_57_Hdg),Lang_Miscellaneous_Check,Err_Chk_57_Hdg)</f>
        <v>SME Activity #5 (Not in Use) - Detailed Allowance Cost Assumptions</v>
      </c>
      <c r="C177" s="9"/>
      <c r="D177" s="9"/>
      <c r="E177" s="9"/>
      <c r="F177" s="9"/>
      <c r="G177" s="9"/>
      <c r="H177" s="9"/>
      <c r="I177" s="9"/>
      <c r="J177" s="9"/>
      <c r="K177" s="67">
        <f>IF(ISERROR(HL_Err_Chk_57),1,(HL_Err_Chk_57&lt;&gt;0)*1)</f>
        <v>0</v>
      </c>
      <c r="L177" s="21" t="s">
        <v>82</v>
      </c>
      <c r="M177" s="26">
        <f t="shared" si="5"/>
        <v>0</v>
      </c>
    </row>
    <row r="178" spans="2:13" ht="12.75" outlineLevel="1" x14ac:dyDescent="0.2">
      <c r="B178" s="47" t="str">
        <f>IF(ISERROR(Err_Chk_58_Hdg),Lang_Miscellaneous_Check,Err_Chk_58_Hdg)</f>
        <v>SME Activity #5 (Not in Use) - Detailed Supply and Material Cost Assumptions</v>
      </c>
      <c r="C178" s="9"/>
      <c r="D178" s="9"/>
      <c r="E178" s="9"/>
      <c r="F178" s="9"/>
      <c r="G178" s="9"/>
      <c r="H178" s="9"/>
      <c r="I178" s="9"/>
      <c r="J178" s="9"/>
      <c r="K178" s="67">
        <f>IF(ISERROR(HL_Err_Chk_58),1,(HL_Err_Chk_58&lt;&gt;0)*1)</f>
        <v>0</v>
      </c>
      <c r="L178" s="21" t="s">
        <v>82</v>
      </c>
      <c r="M178" s="26">
        <f t="shared" si="5"/>
        <v>0</v>
      </c>
    </row>
    <row r="179" spans="2:13" ht="12.75" outlineLevel="1" x14ac:dyDescent="0.2">
      <c r="B179" s="47" t="str">
        <f>IF(ISERROR(Err_Chk_59_Hdg),Lang_Miscellaneous_Check,Err_Chk_59_Hdg)</f>
        <v>SME Activity #5 (Not in Use) - Detailed Other Direct Cost Assumptions</v>
      </c>
      <c r="C179" s="9"/>
      <c r="D179" s="9"/>
      <c r="E179" s="9"/>
      <c r="F179" s="9"/>
      <c r="G179" s="9"/>
      <c r="H179" s="9"/>
      <c r="I179" s="9"/>
      <c r="J179" s="9"/>
      <c r="K179" s="67">
        <f>IF(ISERROR(HL_Err_Chk_59),1,(HL_Err_Chk_59&lt;&gt;0)*1)</f>
        <v>0</v>
      </c>
      <c r="L179" s="21" t="s">
        <v>82</v>
      </c>
      <c r="M179" s="26">
        <f t="shared" si="5"/>
        <v>0</v>
      </c>
    </row>
    <row r="180" spans="2:13" ht="12.75" outlineLevel="1" x14ac:dyDescent="0.2">
      <c r="B180" s="47" t="str">
        <f>IF(ISERROR(Err_Chk_186_Hdg),Lang_Miscellaneous_Check,Err_Chk_186_Hdg)</f>
        <v>SME Activity #6 (Not in Use) - Detailed Personnel Cost Assumptions</v>
      </c>
      <c r="C180" s="9"/>
      <c r="D180" s="9"/>
      <c r="E180" s="9"/>
      <c r="F180" s="9"/>
      <c r="G180" s="9"/>
      <c r="H180" s="9"/>
      <c r="I180" s="9"/>
      <c r="J180" s="9"/>
      <c r="K180" s="67">
        <f>IF(ISERROR(HL_Err_Chk_186),1,(HL_Err_Chk_186&lt;&gt;0)*1)</f>
        <v>0</v>
      </c>
      <c r="L180" s="21" t="s">
        <v>82</v>
      </c>
      <c r="M180" s="26">
        <f t="shared" si="5"/>
        <v>0</v>
      </c>
    </row>
    <row r="181" spans="2:13" ht="12.75" outlineLevel="1" x14ac:dyDescent="0.2">
      <c r="B181" s="47" t="str">
        <f>IF(ISERROR(Err_Chk_187_Hdg),Lang_Miscellaneous_Check,Err_Chk_187_Hdg)</f>
        <v>SME Activity #6 (Not in Use) - Detailed Allowance Cost Assumptions</v>
      </c>
      <c r="C181" s="9"/>
      <c r="D181" s="9"/>
      <c r="E181" s="9"/>
      <c r="F181" s="9"/>
      <c r="G181" s="9"/>
      <c r="H181" s="9"/>
      <c r="I181" s="9"/>
      <c r="J181" s="9"/>
      <c r="K181" s="67">
        <f>IF(ISERROR(HL_Err_Chk_187),1,(HL_Err_Chk_187&lt;&gt;0)*1)</f>
        <v>0</v>
      </c>
      <c r="L181" s="21" t="s">
        <v>82</v>
      </c>
      <c r="M181" s="26">
        <f t="shared" si="5"/>
        <v>0</v>
      </c>
    </row>
    <row r="182" spans="2:13" ht="12.75" outlineLevel="1" x14ac:dyDescent="0.2">
      <c r="B182" s="47" t="str">
        <f>IF(ISERROR(Err_Chk_188_Hdg),Lang_Miscellaneous_Check,Err_Chk_188_Hdg)</f>
        <v>SME Activity #6 (Not in Use) - Detailed Supply and Material Cost Assumptions</v>
      </c>
      <c r="C182" s="9"/>
      <c r="D182" s="9"/>
      <c r="E182" s="9"/>
      <c r="F182" s="9"/>
      <c r="G182" s="9"/>
      <c r="H182" s="9"/>
      <c r="I182" s="9"/>
      <c r="J182" s="9"/>
      <c r="K182" s="67">
        <f>IF(ISERROR(HL_Err_Chk_188),1,(HL_Err_Chk_188&lt;&gt;0)*1)</f>
        <v>0</v>
      </c>
      <c r="L182" s="21" t="s">
        <v>82</v>
      </c>
      <c r="M182" s="26">
        <f t="shared" si="5"/>
        <v>0</v>
      </c>
    </row>
    <row r="183" spans="2:13" ht="12.75" outlineLevel="1" x14ac:dyDescent="0.2">
      <c r="B183" s="47" t="str">
        <f>IF(ISERROR(Err_Chk_189_Hdg),Lang_Miscellaneous_Check,Err_Chk_189_Hdg)</f>
        <v>SME Activity #6 (Not in Use) - Detailed Other Direct Cost Assumptions</v>
      </c>
      <c r="C183" s="9"/>
      <c r="D183" s="9"/>
      <c r="E183" s="9"/>
      <c r="F183" s="9"/>
      <c r="G183" s="9"/>
      <c r="H183" s="9"/>
      <c r="I183" s="9"/>
      <c r="J183" s="9"/>
      <c r="K183" s="67">
        <f>IF(ISERROR(HL_Err_Chk_189),1,(HL_Err_Chk_189&lt;&gt;0)*1)</f>
        <v>0</v>
      </c>
      <c r="L183" s="21" t="s">
        <v>82</v>
      </c>
      <c r="M183" s="26">
        <f t="shared" si="5"/>
        <v>0</v>
      </c>
    </row>
    <row r="184" spans="2:13" ht="12.75" outlineLevel="1" x14ac:dyDescent="0.2">
      <c r="B184" s="47" t="str">
        <f>IF(ISERROR(Err_Chk_191_Hdg),Lang_Miscellaneous_Check,Err_Chk_191_Hdg)</f>
        <v>SME Activity #7 (Not in Use) - Detailed Personnel Cost Assumptions</v>
      </c>
      <c r="C184" s="9"/>
      <c r="D184" s="9"/>
      <c r="E184" s="9"/>
      <c r="F184" s="9"/>
      <c r="G184" s="9"/>
      <c r="H184" s="9"/>
      <c r="I184" s="9"/>
      <c r="J184" s="9"/>
      <c r="K184" s="67">
        <f>IF(ISERROR(HL_Err_Chk_191),1,(HL_Err_Chk_191&lt;&gt;0)*1)</f>
        <v>0</v>
      </c>
      <c r="L184" s="21" t="s">
        <v>82</v>
      </c>
      <c r="M184" s="26">
        <f t="shared" si="5"/>
        <v>0</v>
      </c>
    </row>
    <row r="185" spans="2:13" ht="12.75" outlineLevel="1" x14ac:dyDescent="0.2">
      <c r="B185" s="47" t="str">
        <f>IF(ISERROR(Err_Chk_192_Hdg),Lang_Miscellaneous_Check,Err_Chk_192_Hdg)</f>
        <v>SME Activity #7 (Not in Use) - Detailed Allowance Cost Assumptions</v>
      </c>
      <c r="C185" s="9"/>
      <c r="D185" s="9"/>
      <c r="E185" s="9"/>
      <c r="F185" s="9"/>
      <c r="G185" s="9"/>
      <c r="H185" s="9"/>
      <c r="I185" s="9"/>
      <c r="J185" s="9"/>
      <c r="K185" s="67">
        <f>IF(ISERROR(HL_Err_Chk_192),1,(HL_Err_Chk_192&lt;&gt;0)*1)</f>
        <v>0</v>
      </c>
      <c r="L185" s="21" t="s">
        <v>82</v>
      </c>
      <c r="M185" s="26">
        <f t="shared" si="5"/>
        <v>0</v>
      </c>
    </row>
    <row r="186" spans="2:13" ht="12.75" outlineLevel="1" x14ac:dyDescent="0.2">
      <c r="B186" s="47" t="str">
        <f>IF(ISERROR(Err_Chk_193_Hdg),Lang_Miscellaneous_Check,Err_Chk_193_Hdg)</f>
        <v>SME Activity #7 (Not in Use) - Detailed Supply and Material Cost Assumptions</v>
      </c>
      <c r="C186" s="9"/>
      <c r="D186" s="9"/>
      <c r="E186" s="9"/>
      <c r="F186" s="9"/>
      <c r="G186" s="9"/>
      <c r="H186" s="9"/>
      <c r="I186" s="9"/>
      <c r="J186" s="9"/>
      <c r="K186" s="67">
        <f>IF(ISERROR(HL_Err_Chk_193),1,(HL_Err_Chk_193&lt;&gt;0)*1)</f>
        <v>0</v>
      </c>
      <c r="L186" s="21" t="s">
        <v>82</v>
      </c>
      <c r="M186" s="26">
        <f t="shared" si="5"/>
        <v>0</v>
      </c>
    </row>
    <row r="187" spans="2:13" ht="12.75" outlineLevel="1" x14ac:dyDescent="0.2">
      <c r="B187" s="47" t="str">
        <f>IF(ISERROR(Err_Chk_194_Hdg),Lang_Miscellaneous_Check,Err_Chk_194_Hdg)</f>
        <v>SME Activity #7 (Not in Use) - Detailed Other Direct Cost Assumptions</v>
      </c>
      <c r="C187" s="9"/>
      <c r="D187" s="9"/>
      <c r="E187" s="9"/>
      <c r="F187" s="9"/>
      <c r="G187" s="9"/>
      <c r="H187" s="9"/>
      <c r="I187" s="9"/>
      <c r="J187" s="9"/>
      <c r="K187" s="67">
        <f>IF(ISERROR(HL_Err_Chk_194),1,(HL_Err_Chk_194&lt;&gt;0)*1)</f>
        <v>0</v>
      </c>
      <c r="L187" s="21" t="s">
        <v>82</v>
      </c>
      <c r="M187" s="26">
        <f t="shared" si="5"/>
        <v>0</v>
      </c>
    </row>
    <row r="188" spans="2:13" ht="12.75" outlineLevel="1" x14ac:dyDescent="0.2">
      <c r="B188" s="47" t="str">
        <f>IF(ISERROR(Err_Chk_86_Hdg),Lang_Miscellaneous_Check,Err_Chk_86_Hdg)</f>
        <v>Other Activity #1 - (Recurrent Costs Only) (Not in Use) - Detailed Personnel Cost Assumptions</v>
      </c>
      <c r="C188" s="9"/>
      <c r="D188" s="9"/>
      <c r="E188" s="9"/>
      <c r="F188" s="9"/>
      <c r="G188" s="9"/>
      <c r="H188" s="9"/>
      <c r="I188" s="9"/>
      <c r="J188" s="9"/>
      <c r="K188" s="67">
        <f>IF(ISERROR(HL_Err_Chk_86),1,(HL_Err_Chk_86&lt;&gt;0)*1)</f>
        <v>0</v>
      </c>
      <c r="L188" s="21" t="s">
        <v>82</v>
      </c>
      <c r="M188" s="26">
        <f t="shared" si="5"/>
        <v>0</v>
      </c>
    </row>
    <row r="189" spans="2:13" ht="12.75" outlineLevel="1" x14ac:dyDescent="0.2">
      <c r="B189" s="47" t="str">
        <f>IF(ISERROR(Err_Chk_87_Hdg),Lang_Miscellaneous_Check,Err_Chk_87_Hdg)</f>
        <v>Other Activity #1 - (Recurrent Costs Only) (Not in Use) - Detailed Allowance Cost Assumptions</v>
      </c>
      <c r="C189" s="9"/>
      <c r="D189" s="9"/>
      <c r="E189" s="9"/>
      <c r="F189" s="9"/>
      <c r="G189" s="9"/>
      <c r="H189" s="9"/>
      <c r="I189" s="9"/>
      <c r="J189" s="9"/>
      <c r="K189" s="67">
        <f>IF(ISERROR(HL_Err_Chk_87),1,(HL_Err_Chk_87&lt;&gt;0)*1)</f>
        <v>0</v>
      </c>
      <c r="L189" s="21" t="s">
        <v>82</v>
      </c>
      <c r="M189" s="26">
        <f t="shared" si="5"/>
        <v>0</v>
      </c>
    </row>
    <row r="190" spans="2:13" ht="12.75" outlineLevel="1" x14ac:dyDescent="0.2">
      <c r="B190" s="47" t="str">
        <f>IF(ISERROR(Err_Chk_88_Hdg),Lang_Miscellaneous_Check,Err_Chk_88_Hdg)</f>
        <v>Other Activity #1 - (Recurrent Costs Only) (Not in Use) - Detailed Supply and Material Cost Assumptions</v>
      </c>
      <c r="C190" s="9"/>
      <c r="D190" s="9"/>
      <c r="E190" s="9"/>
      <c r="F190" s="9"/>
      <c r="G190" s="9"/>
      <c r="H190" s="9"/>
      <c r="I190" s="9"/>
      <c r="J190" s="9"/>
      <c r="K190" s="67">
        <f>IF(ISERROR(HL_Err_Chk_88),1,(HL_Err_Chk_88&lt;&gt;0)*1)</f>
        <v>0</v>
      </c>
      <c r="L190" s="21" t="s">
        <v>82</v>
      </c>
      <c r="M190" s="26">
        <f t="shared" si="5"/>
        <v>0</v>
      </c>
    </row>
    <row r="191" spans="2:13" ht="12.75" outlineLevel="1" x14ac:dyDescent="0.2">
      <c r="B191" s="47" t="str">
        <f>IF(ISERROR(Err_Chk_89_Hdg),Lang_Miscellaneous_Check,Err_Chk_89_Hdg)</f>
        <v>Other Activity #1 - (Recurrent Costs Only) (Not in Use) - Detailed Other Direct Cost Assumptions</v>
      </c>
      <c r="C191" s="9"/>
      <c r="D191" s="9"/>
      <c r="E191" s="9"/>
      <c r="F191" s="9"/>
      <c r="G191" s="9"/>
      <c r="H191" s="9"/>
      <c r="I191" s="9"/>
      <c r="J191" s="9"/>
      <c r="K191" s="67">
        <f>IF(ISERROR(HL_Err_Chk_89),1,(HL_Err_Chk_89&lt;&gt;0)*1)</f>
        <v>0</v>
      </c>
      <c r="L191" s="21" t="s">
        <v>82</v>
      </c>
      <c r="M191" s="26">
        <f t="shared" si="5"/>
        <v>0</v>
      </c>
    </row>
    <row r="192" spans="2:13" ht="12.75" outlineLevel="1" x14ac:dyDescent="0.2">
      <c r="B192" s="47" t="str">
        <f>IF(ISERROR(Err_Chk_201_Hdg),Lang_Miscellaneous_Check,Err_Chk_201_Hdg)</f>
        <v>Other Activity #2 - (Recurrent Costs Only) (Not in Use) - Detailed Personnel Cost Assumptions</v>
      </c>
      <c r="C192" s="9"/>
      <c r="D192" s="9"/>
      <c r="E192" s="9"/>
      <c r="F192" s="9"/>
      <c r="G192" s="9"/>
      <c r="H192" s="9"/>
      <c r="I192" s="9"/>
      <c r="J192" s="9"/>
      <c r="K192" s="67">
        <f>IF(ISERROR(HL_Err_Chk_201),1,(HL_Err_Chk_201&lt;&gt;0)*1)</f>
        <v>0</v>
      </c>
      <c r="L192" s="21" t="s">
        <v>82</v>
      </c>
      <c r="M192" s="26">
        <f t="shared" si="5"/>
        <v>0</v>
      </c>
    </row>
    <row r="193" spans="2:13" ht="12.75" outlineLevel="1" x14ac:dyDescent="0.2">
      <c r="B193" s="47" t="str">
        <f>IF(ISERROR(Err_Chk_202_Hdg),Lang_Miscellaneous_Check,Err_Chk_202_Hdg)</f>
        <v>Other Activity #2 - (Recurrent Costs Only) (Not in Use) - Detailed Allowance Cost Assumptions</v>
      </c>
      <c r="C193" s="9"/>
      <c r="D193" s="9"/>
      <c r="E193" s="9"/>
      <c r="F193" s="9"/>
      <c r="G193" s="9"/>
      <c r="H193" s="9"/>
      <c r="I193" s="9"/>
      <c r="J193" s="9"/>
      <c r="K193" s="67">
        <f>IF(ISERROR(HL_Err_Chk_202),1,(HL_Err_Chk_202&lt;&gt;0)*1)</f>
        <v>0</v>
      </c>
      <c r="L193" s="21" t="s">
        <v>82</v>
      </c>
      <c r="M193" s="26">
        <f t="shared" si="5"/>
        <v>0</v>
      </c>
    </row>
    <row r="194" spans="2:13" ht="12.75" outlineLevel="1" x14ac:dyDescent="0.2">
      <c r="B194" s="47" t="str">
        <f>IF(ISERROR(Err_Chk_203_Hdg),Lang_Miscellaneous_Check,Err_Chk_203_Hdg)</f>
        <v>Other Activity #2 - (Recurrent Costs Only) (Not in Use) - Detailed Supply and Material Cost Assumptions</v>
      </c>
      <c r="C194" s="9"/>
      <c r="D194" s="9"/>
      <c r="E194" s="9"/>
      <c r="F194" s="9"/>
      <c r="G194" s="9"/>
      <c r="H194" s="9"/>
      <c r="I194" s="9"/>
      <c r="J194" s="9"/>
      <c r="K194" s="67">
        <f>IF(ISERROR(HL_Err_Chk_203),1,(HL_Err_Chk_203&lt;&gt;0)*1)</f>
        <v>0</v>
      </c>
      <c r="L194" s="21" t="s">
        <v>82</v>
      </c>
      <c r="M194" s="26">
        <f t="shared" si="5"/>
        <v>0</v>
      </c>
    </row>
    <row r="195" spans="2:13" ht="12.75" outlineLevel="1" x14ac:dyDescent="0.2">
      <c r="B195" s="47" t="str">
        <f>IF(ISERROR(Err_Chk_199_Hdg),Lang_Miscellaneous_Check,Err_Chk_199_Hdg)</f>
        <v>Other Activity #2 - (Recurrent Costs Only) (Not in Use) - Detailed Other Direct Cost Assumptions</v>
      </c>
      <c r="C195" s="9"/>
      <c r="D195" s="9"/>
      <c r="E195" s="9"/>
      <c r="F195" s="9"/>
      <c r="G195" s="9"/>
      <c r="H195" s="9"/>
      <c r="I195" s="9"/>
      <c r="J195" s="9"/>
      <c r="K195" s="67">
        <f>IF(ISERROR(HL_Err_Chk_199),1,(HL_Err_Chk_199&lt;&gt;0)*1)</f>
        <v>0</v>
      </c>
      <c r="L195" s="21" t="s">
        <v>82</v>
      </c>
      <c r="M195" s="26">
        <f t="shared" si="5"/>
        <v>0</v>
      </c>
    </row>
    <row r="196" spans="2:13" ht="12.75" outlineLevel="1" x14ac:dyDescent="0.2">
      <c r="B196" s="47" t="str">
        <f>IF(ISERROR(Err_Chk_196_Hdg),Lang_Miscellaneous_Check,Err_Chk_196_Hdg)</f>
        <v>Other Activity #3 - (Recurrent Costs Only) (Not in Use) - Detailed Personnel Cost Assumptions</v>
      </c>
      <c r="C196" s="9"/>
      <c r="D196" s="9"/>
      <c r="E196" s="9"/>
      <c r="F196" s="9"/>
      <c r="G196" s="9"/>
      <c r="H196" s="9"/>
      <c r="I196" s="9"/>
      <c r="J196" s="9"/>
      <c r="K196" s="67">
        <f>IF(ISERROR(HL_Err_Chk_196),1,(HL_Err_Chk_196&lt;&gt;0)*1)</f>
        <v>0</v>
      </c>
      <c r="L196" s="21" t="s">
        <v>82</v>
      </c>
      <c r="M196" s="26">
        <f t="shared" si="5"/>
        <v>0</v>
      </c>
    </row>
    <row r="197" spans="2:13" ht="12.75" outlineLevel="1" x14ac:dyDescent="0.2">
      <c r="B197" s="47" t="str">
        <f>IF(ISERROR(Err_Chk_197_Hdg),Lang_Miscellaneous_Check,Err_Chk_197_Hdg)</f>
        <v>Other Activity #3 - (Recurrent Costs Only) (Not in Use) - Detailed Allowance Cost Assumptions</v>
      </c>
      <c r="C197" s="9"/>
      <c r="D197" s="9"/>
      <c r="E197" s="9"/>
      <c r="F197" s="9"/>
      <c r="G197" s="9"/>
      <c r="H197" s="9"/>
      <c r="I197" s="9"/>
      <c r="J197" s="9"/>
      <c r="K197" s="67">
        <f>IF(ISERROR(HL_Err_Chk_197),1,(HL_Err_Chk_197&lt;&gt;0)*1)</f>
        <v>0</v>
      </c>
      <c r="L197" s="21" t="s">
        <v>82</v>
      </c>
      <c r="M197" s="26">
        <f t="shared" si="5"/>
        <v>0</v>
      </c>
    </row>
    <row r="198" spans="2:13" ht="12.75" outlineLevel="1" x14ac:dyDescent="0.2">
      <c r="B198" s="47" t="str">
        <f>IF(ISERROR(Err_Chk_198_Hdg),Lang_Miscellaneous_Check,Err_Chk_198_Hdg)</f>
        <v>Other Activity #3 - (Recurrent Costs Only) (Not in Use) - Detailed Supply and Material Cost Assumptions</v>
      </c>
      <c r="C198" s="9"/>
      <c r="D198" s="9"/>
      <c r="E198" s="9"/>
      <c r="F198" s="9"/>
      <c r="G198" s="9"/>
      <c r="H198" s="9"/>
      <c r="I198" s="9"/>
      <c r="J198" s="9"/>
      <c r="K198" s="67">
        <f>IF(ISERROR(HL_Err_Chk_198),1,(HL_Err_Chk_198&lt;&gt;0)*1)</f>
        <v>0</v>
      </c>
      <c r="L198" s="21" t="s">
        <v>82</v>
      </c>
      <c r="M198" s="26">
        <f t="shared" si="5"/>
        <v>0</v>
      </c>
    </row>
    <row r="199" spans="2:13" ht="12.75" outlineLevel="1" x14ac:dyDescent="0.2">
      <c r="B199" s="47" t="str">
        <f>IF(ISERROR(Err_Chk_204_Hdg),Lang_Miscellaneous_Check,Err_Chk_204_Hdg)</f>
        <v>Other Activity #3 - (Recurrent Costs Only) (Not in Use) - Detailed Other Direct Cost Assumptions</v>
      </c>
      <c r="C199" s="9"/>
      <c r="D199" s="9"/>
      <c r="E199" s="9"/>
      <c r="F199" s="9"/>
      <c r="G199" s="9"/>
      <c r="H199" s="9"/>
      <c r="I199" s="9"/>
      <c r="J199" s="9"/>
      <c r="K199" s="67">
        <f>IF(ISERROR(HL_Err_Chk_204),1,(HL_Err_Chk_204&lt;&gt;0)*1)</f>
        <v>0</v>
      </c>
      <c r="L199" s="21" t="s">
        <v>82</v>
      </c>
      <c r="M199" s="26">
        <f t="shared" si="5"/>
        <v>0</v>
      </c>
    </row>
    <row r="200" spans="2:13" ht="12.75" outlineLevel="1" x14ac:dyDescent="0.2">
      <c r="B200" s="47" t="str">
        <f>IF(ISERROR(Err_Chk_91_Hdg),Lang_Miscellaneous_Check,Err_Chk_91_Hdg)</f>
        <v>Other Activity #4 - (Recurrent Costs Only) (Not in Use) - Detailed Personnel Cost Assumptions</v>
      </c>
      <c r="C200" s="9"/>
      <c r="D200" s="9"/>
      <c r="E200" s="9"/>
      <c r="F200" s="9"/>
      <c r="G200" s="9"/>
      <c r="H200" s="9"/>
      <c r="I200" s="9"/>
      <c r="J200" s="9"/>
      <c r="K200" s="67">
        <f>IF(ISERROR(HL_Err_Chk_91),1,(HL_Err_Chk_91&lt;&gt;0)*1)</f>
        <v>0</v>
      </c>
      <c r="L200" s="21" t="s">
        <v>82</v>
      </c>
      <c r="M200" s="26">
        <f t="shared" si="5"/>
        <v>0</v>
      </c>
    </row>
    <row r="201" spans="2:13" ht="12.75" outlineLevel="1" x14ac:dyDescent="0.2">
      <c r="B201" s="47" t="str">
        <f>IF(ISERROR(Err_Chk_92_Hdg),Lang_Miscellaneous_Check,Err_Chk_92_Hdg)</f>
        <v>Other Activity #4 - (Recurrent Costs Only) (Not in Use) - Detailed Allowance Cost Assumptions</v>
      </c>
      <c r="C201" s="9"/>
      <c r="D201" s="9"/>
      <c r="E201" s="9"/>
      <c r="F201" s="9"/>
      <c r="G201" s="9"/>
      <c r="H201" s="9"/>
      <c r="I201" s="9"/>
      <c r="J201" s="9"/>
      <c r="K201" s="67">
        <f>IF(ISERROR(HL_Err_Chk_92),1,(HL_Err_Chk_92&lt;&gt;0)*1)</f>
        <v>0</v>
      </c>
      <c r="L201" s="21" t="s">
        <v>82</v>
      </c>
      <c r="M201" s="26">
        <f t="shared" si="5"/>
        <v>0</v>
      </c>
    </row>
    <row r="202" spans="2:13" ht="12.75" outlineLevel="1" x14ac:dyDescent="0.2">
      <c r="B202" s="47" t="str">
        <f>IF(ISERROR(Err_Chk_93_Hdg),Lang_Miscellaneous_Check,Err_Chk_93_Hdg)</f>
        <v>Other Activity #4 - (Recurrent Costs Only) (Not in Use) - Detailed Supply and Material Cost Assumptions</v>
      </c>
      <c r="C202" s="9"/>
      <c r="D202" s="9"/>
      <c r="E202" s="9"/>
      <c r="F202" s="9"/>
      <c r="G202" s="9"/>
      <c r="H202" s="9"/>
      <c r="I202" s="9"/>
      <c r="J202" s="9"/>
      <c r="K202" s="67">
        <f>IF(ISERROR(HL_Err_Chk_93),1,(HL_Err_Chk_93&lt;&gt;0)*1)</f>
        <v>0</v>
      </c>
      <c r="L202" s="21" t="s">
        <v>82</v>
      </c>
      <c r="M202" s="26">
        <f t="shared" ref="M202:M207" si="6">K202*(L202="Yes")</f>
        <v>0</v>
      </c>
    </row>
    <row r="203" spans="2:13" ht="12.75" outlineLevel="1" x14ac:dyDescent="0.2">
      <c r="B203" s="47" t="str">
        <f>IF(ISERROR(Err_Chk_94_Hdg),Lang_Miscellaneous_Check,Err_Chk_94_Hdg)</f>
        <v>Other Activity #4 - (Recurrent Costs Only) (Not in Use) - Detailed Other Direct Cost Assumptions</v>
      </c>
      <c r="C203" s="9"/>
      <c r="D203" s="9"/>
      <c r="E203" s="9"/>
      <c r="F203" s="9"/>
      <c r="G203" s="9"/>
      <c r="H203" s="9"/>
      <c r="I203" s="9"/>
      <c r="J203" s="9"/>
      <c r="K203" s="67">
        <f>IF(ISERROR(HL_Err_Chk_94),1,(HL_Err_Chk_94&lt;&gt;0)*1)</f>
        <v>0</v>
      </c>
      <c r="L203" s="21" t="s">
        <v>82</v>
      </c>
      <c r="M203" s="26">
        <f t="shared" si="6"/>
        <v>0</v>
      </c>
    </row>
    <row r="204" spans="2:13" ht="12.75" outlineLevel="1" x14ac:dyDescent="0.2">
      <c r="B204" s="47" t="str">
        <f>IF(ISERROR(Err_Chk_206_Hdg),Lang_Miscellaneous_Check,Err_Chk_206_Hdg)</f>
        <v>Other Activity #5 - (Recurrent Costs Only) (Not in Use) - Detailed Personnel Cost Assumptions</v>
      </c>
      <c r="C204" s="9"/>
      <c r="D204" s="9"/>
      <c r="E204" s="9"/>
      <c r="F204" s="9"/>
      <c r="G204" s="9"/>
      <c r="H204" s="9"/>
      <c r="I204" s="9"/>
      <c r="J204" s="9"/>
      <c r="K204" s="67">
        <f>IF(ISERROR(HL_Err_Chk_206),1,(HL_Err_Chk_206&lt;&gt;0)*1)</f>
        <v>0</v>
      </c>
      <c r="L204" s="21" t="s">
        <v>82</v>
      </c>
      <c r="M204" s="26">
        <f t="shared" si="6"/>
        <v>0</v>
      </c>
    </row>
    <row r="205" spans="2:13" ht="12.75" outlineLevel="1" x14ac:dyDescent="0.2">
      <c r="B205" s="47" t="str">
        <f>IF(ISERROR(Err_Chk_207_Hdg),Lang_Miscellaneous_Check,Err_Chk_207_Hdg)</f>
        <v>Other Activity #5 - (Recurrent Costs Only) (Not in Use) - Detailed Allowance Cost Assumptions</v>
      </c>
      <c r="C205" s="9"/>
      <c r="D205" s="9"/>
      <c r="E205" s="9"/>
      <c r="F205" s="9"/>
      <c r="G205" s="9"/>
      <c r="H205" s="9"/>
      <c r="I205" s="9"/>
      <c r="J205" s="9"/>
      <c r="K205" s="67">
        <f>IF(ISERROR(HL_Err_Chk_207),1,(HL_Err_Chk_207&lt;&gt;0)*1)</f>
        <v>0</v>
      </c>
      <c r="L205" s="21" t="s">
        <v>82</v>
      </c>
      <c r="M205" s="26">
        <f t="shared" si="6"/>
        <v>0</v>
      </c>
    </row>
    <row r="206" spans="2:13" ht="12.75" outlineLevel="1" x14ac:dyDescent="0.2">
      <c r="B206" s="47" t="str">
        <f>IF(ISERROR(Err_Chk_208_Hdg),Lang_Miscellaneous_Check,Err_Chk_208_Hdg)</f>
        <v>Other Activity #5 - (Recurrent Costs Only) (Not in Use) - Detailed Supply and Material Cost Assumptions</v>
      </c>
      <c r="C206" s="9"/>
      <c r="D206" s="9"/>
      <c r="E206" s="9"/>
      <c r="F206" s="9"/>
      <c r="G206" s="9"/>
      <c r="H206" s="9"/>
      <c r="I206" s="9"/>
      <c r="J206" s="9"/>
      <c r="K206" s="67">
        <f>IF(ISERROR(HL_Err_Chk_208),1,(HL_Err_Chk_208&lt;&gt;0)*1)</f>
        <v>0</v>
      </c>
      <c r="L206" s="21" t="s">
        <v>82</v>
      </c>
      <c r="M206" s="26">
        <f t="shared" si="6"/>
        <v>0</v>
      </c>
    </row>
    <row r="207" spans="2:13" ht="12.75" outlineLevel="1" x14ac:dyDescent="0.2">
      <c r="B207" s="47" t="str">
        <f>IF(ISERROR(Err_Chk_209_Hdg),Lang_Miscellaneous_Check,Err_Chk_209_Hdg)</f>
        <v>Other Activity #5 - (Recurrent Costs Only) (Not in Use) - Detailed Other Direct Cost Assumptions</v>
      </c>
      <c r="C207" s="9"/>
      <c r="D207" s="9"/>
      <c r="E207" s="9"/>
      <c r="F207" s="9"/>
      <c r="G207" s="9"/>
      <c r="H207" s="9"/>
      <c r="I207" s="9"/>
      <c r="J207" s="9"/>
      <c r="K207" s="67">
        <f>IF(ISERROR(HL_Err_Chk_209),1,(HL_Err_Chk_209&lt;&gt;0)*1)</f>
        <v>0</v>
      </c>
      <c r="L207" s="21" t="s">
        <v>82</v>
      </c>
      <c r="M207" s="26">
        <f t="shared" si="6"/>
        <v>0</v>
      </c>
    </row>
    <row r="208" spans="2:13" ht="6" customHeight="1" outlineLevel="1" x14ac:dyDescent="0.2"/>
    <row r="209" spans="1:13" outlineLevel="1" x14ac:dyDescent="0.2">
      <c r="B209" s="23" t="str">
        <f>Lang_Total_Errors</f>
        <v>Total Errors:</v>
      </c>
      <c r="M209" s="27">
        <f>SUMIF(CA_Err_Chks_Inc,"Yes",CA_Err_Chks_Flags)</f>
        <v>0</v>
      </c>
    </row>
    <row r="210" spans="1:13" x14ac:dyDescent="0.2"/>
    <row r="211" spans="1:13" s="13" customFormat="1" x14ac:dyDescent="0.2">
      <c r="A211"/>
      <c r="B211" s="20" t="str">
        <f>Lang_Alert_Checks</f>
        <v>Alert Checks</v>
      </c>
    </row>
    <row r="212" spans="1:13" hidden="1" outlineLevel="1" x14ac:dyDescent="0.2"/>
    <row r="213" spans="1:13" hidden="1" outlineLevel="1" x14ac:dyDescent="0.2">
      <c r="B213" s="22" t="b">
        <v>0</v>
      </c>
      <c r="H213" s="28" t="str">
        <f>Lang_Summary_Colon</f>
        <v>Summary:</v>
      </c>
      <c r="I213" s="44">
        <f>Alt_Chks_Ttl_Areas</f>
        <v>0</v>
      </c>
      <c r="J213" s="29" t="str">
        <f>IF(OR(NOT(CB_Alt_Chks_Show_Msg),Alt_Chks_Ttl_Areas=0),"",IF(Alt_Chks_Ttl_Areas=1," ("&amp;Lang_Alert_In&amp;" "&amp;INDEX(CA_Alt_Chks_Area_Names,MATCH(1,CA_Alt_Chks_Flags,0))&amp;")"," ("&amp;TEXT(Alt_Chks_Ttl_Areas,"#,##0")&amp;" "&amp;Lang_Alerts_Detected&amp;")"))</f>
        <v/>
      </c>
    </row>
    <row r="214" spans="1:13" hidden="1" outlineLevel="1" x14ac:dyDescent="0.2"/>
    <row r="215" spans="1:13" outlineLevel="1" x14ac:dyDescent="0.2">
      <c r="B215" s="24" t="str">
        <f>Lang_Alert_Checks</f>
        <v>Alert Checks</v>
      </c>
      <c r="C215" s="14"/>
      <c r="D215" s="14"/>
      <c r="E215" s="14"/>
      <c r="F215" s="14"/>
      <c r="G215" s="14"/>
      <c r="H215" s="14"/>
      <c r="I215" s="14"/>
      <c r="J215" s="14"/>
      <c r="K215" s="25" t="str">
        <f>Lang_Check</f>
        <v>Check</v>
      </c>
      <c r="L215" s="25" t="str">
        <f>Lang_Include</f>
        <v>Include?</v>
      </c>
      <c r="M215" s="25" t="str">
        <f>Lang_Flag</f>
        <v>Flag</v>
      </c>
    </row>
    <row r="216" spans="1:13" ht="6" customHeight="1" outlineLevel="1" x14ac:dyDescent="0.2"/>
    <row r="217" spans="1:13" ht="12.75" outlineLevel="1" x14ac:dyDescent="0.2">
      <c r="B217" s="47" t="str">
        <f>IF(ISERROR(Alt_Chk_1_Hdg),Lang_Miscellaneous_Check,Alt_Chk_1_Hdg)</f>
        <v>Number of Vaccinations Delivered and Activities Completed, by Year and Service Delivery Type (Retrospective)</v>
      </c>
      <c r="C217" s="9"/>
      <c r="D217" s="9"/>
      <c r="E217" s="9"/>
      <c r="F217" s="9"/>
      <c r="G217" s="9"/>
      <c r="H217" s="9"/>
      <c r="I217" s="9"/>
      <c r="J217" s="9"/>
      <c r="K217" s="67">
        <f>IF(ISERROR(HL_Alt_Chk_1),1,(HL_Alt_Chk_1&lt;&gt;0)*1)</f>
        <v>0</v>
      </c>
      <c r="L217" s="21" t="s">
        <v>82</v>
      </c>
      <c r="M217" s="26">
        <f>K217*(L217="Yes")</f>
        <v>0</v>
      </c>
    </row>
    <row r="218" spans="1:13" ht="6" customHeight="1" outlineLevel="1" x14ac:dyDescent="0.2"/>
    <row r="219" spans="1:13" outlineLevel="1" x14ac:dyDescent="0.2">
      <c r="B219" s="23" t="str">
        <f>Lang_Total_Alerts</f>
        <v>Total Alerts:</v>
      </c>
      <c r="M219" s="27">
        <f>SUMIF(CA_Alt_Chks_Inc,"Yes",CA_Alt_Chks_Flags)</f>
        <v>0</v>
      </c>
    </row>
    <row r="220" spans="1:13" x14ac:dyDescent="0.2"/>
    <row r="221" spans="1:13" x14ac:dyDescent="0.2"/>
    <row r="222" spans="1:13" x14ac:dyDescent="0.2"/>
  </sheetData>
  <conditionalFormatting sqref="B10:B207">
    <cfRule type="expression" dxfId="11" priority="217" stopIfTrue="1">
      <formula>K10&lt;&gt;0</formula>
    </cfRule>
  </conditionalFormatting>
  <conditionalFormatting sqref="B217">
    <cfRule type="expression" dxfId="10" priority="1017" stopIfTrue="1">
      <formula>K217&lt;&gt;0</formula>
    </cfRule>
  </conditionalFormatting>
  <conditionalFormatting sqref="I6">
    <cfRule type="cellIs" dxfId="9" priority="214" stopIfTrue="1" operator="notEqual">
      <formula>0</formula>
    </cfRule>
  </conditionalFormatting>
  <conditionalFormatting sqref="I213">
    <cfRule type="cellIs" dxfId="8" priority="216" stopIfTrue="1" operator="notEqual">
      <formula>0</formula>
    </cfRule>
  </conditionalFormatting>
  <conditionalFormatting sqref="K10:K207">
    <cfRule type="cellIs" dxfId="7" priority="218" stopIfTrue="1" operator="notEqual">
      <formula>0</formula>
    </cfRule>
  </conditionalFormatting>
  <conditionalFormatting sqref="K217">
    <cfRule type="cellIs" dxfId="6" priority="1018" stopIfTrue="1" operator="notEqual">
      <formula>0</formula>
    </cfRule>
  </conditionalFormatting>
  <conditionalFormatting sqref="L10:L207">
    <cfRule type="expression" dxfId="5" priority="219" stopIfTrue="1">
      <formula>K10&lt;&gt;0</formula>
    </cfRule>
  </conditionalFormatting>
  <conditionalFormatting sqref="L217">
    <cfRule type="expression" dxfId="4" priority="1019" stopIfTrue="1">
      <formula>K217&lt;&gt;0</formula>
    </cfRule>
  </conditionalFormatting>
  <conditionalFormatting sqref="M10:M207">
    <cfRule type="expression" dxfId="3" priority="220" stopIfTrue="1">
      <formula>K10&lt;&gt;0</formula>
    </cfRule>
  </conditionalFormatting>
  <conditionalFormatting sqref="M209">
    <cfRule type="cellIs" dxfId="2" priority="213" stopIfTrue="1" operator="notEqual">
      <formula>0</formula>
    </cfRule>
  </conditionalFormatting>
  <conditionalFormatting sqref="M217">
    <cfRule type="expression" dxfId="1" priority="1020" stopIfTrue="1">
      <formula>K217&lt;&gt;0</formula>
    </cfRule>
  </conditionalFormatting>
  <conditionalFormatting sqref="M219">
    <cfRule type="cellIs" dxfId="0" priority="215" stopIfTrue="1" operator="notEqual">
      <formula>0</formula>
    </cfRule>
  </conditionalFormatting>
  <dataValidations count="3">
    <dataValidation type="custom" showDropDown="1" showErrorMessage="1" errorTitle="Check Box Cell Link" error="The value in an option button cell link must be either &quot;TRUE&quot; or &quot;FALSE&quot;" sqref="B6 B213" xr:uid="{00000000-0002-0000-2700-000000000000}">
      <formula1>ISLOGICAL(B6)</formula1>
    </dataValidation>
    <dataValidation type="list" showErrorMessage="1" errorTitle="Include Error Check" error="The include error check trigger must correspond with one of the options provided in the drop down list." sqref="L10:L207" xr:uid="{00000000-0002-0000-2700-000001000000}">
      <formula1>"Yes,No"</formula1>
    </dataValidation>
    <dataValidation type="list" showErrorMessage="1" errorTitle="Include Alert Check" error="The include alert check trigger must correspond with one of the options provided in the drop down list." sqref="L217" xr:uid="{00000000-0002-0000-2700-000002000000}">
      <formula1>"Yes,No"</formula1>
    </dataValidation>
  </dataValidations>
  <hyperlinks>
    <hyperlink ref="B10:J10" location="HL_Err_Chk_45" tooltip="Go to Coverage (#) Retrospective Data - HPV 1 Children 9 - 14 years old" display="HL_Err_Chk_45" xr:uid="{00000000-0004-0000-2700-000000000000}"/>
    <hyperlink ref="B11:J11" location="HL_Err_Chk_44" tooltip="Go to Coverage (#) Retrospective Data - HPV 1 Children 9 - 14 years old" display="HL_Err_Chk_44" xr:uid="{00000000-0004-0000-2700-000001000000}"/>
    <hyperlink ref="B12:J12" location="HL_Err_Chk_61" tooltip="Go to Coverage (#) Retrospective Data - HPV 1 Children 9 - 14 years old" display="HL_Err_Chk_61" xr:uid="{00000000-0004-0000-2700-000002000000}"/>
    <hyperlink ref="B13:J13" location="HL_Err_Chk_62" tooltip="Go to Coverage (#) Retrospective Data - HPV 1 Children 9 years old" display="HL_Err_Chk_62" xr:uid="{00000000-0004-0000-2700-000003000000}"/>
    <hyperlink ref="B14:J14" location="HL_Err_Chk_63" tooltip="Go to Coverage (#) Retrospective Data - HPV 1 Children 9 years old" display="HL_Err_Chk_63" xr:uid="{00000000-0004-0000-2700-000004000000}"/>
    <hyperlink ref="B15:J15" location="HL_Err_Chk_64" tooltip="Go to Coverage (#) Retrospective Data - HPV 2 Children 9 - 14 years old" display="HL_Err_Chk_64" xr:uid="{00000000-0004-0000-2700-000005000000}"/>
    <hyperlink ref="B16:J16" location="HL_Err_Chk_42" tooltip="Go to Coverage (#) Retrospective Data - HPV 2 Children 9 years old" display="HL_Err_Chk_42" xr:uid="{00000000-0004-0000-2700-000006000000}"/>
    <hyperlink ref="B17:J17" location="HL_Err_Chk_41" tooltip="Go to Proportion and Number of Vaccinations Delivered, by Year and Service Delivery Type (Prospective)" display="HL_Err_Chk_41" xr:uid="{00000000-0004-0000-2700-000007000000}"/>
    <hyperlink ref="B18:J18" location="HL_Err_Chk_80" tooltip="Go to Service Delivery Single Vacc1 Single Activity Cost - Annual Assumptions" display="HL_Err_Chk_80" xr:uid="{00000000-0004-0000-2700-000008000000}"/>
    <hyperlink ref="B19:J19" location="HL_Err_Chk_170" tooltip="Go to [Level 2 Service Delivery Activity Name Here.] Single Activity Cost - Annual Assumptions" display="HL_Err_Chk_170" xr:uid="{00000000-0004-0000-2700-000009000000}"/>
    <hyperlink ref="B20:J20" location="HL_Err_Chk_175" tooltip="Go to [Level 2 Service Delivery Activity Name Here.] Single Activity Cost - Annual Assumptions" display="HL_Err_Chk_175" xr:uid="{00000000-0004-0000-2700-00000A000000}"/>
    <hyperlink ref="B21:J21" location="HL_Err_Chk_15" tooltip="Go to [Level 2 Service Delivery Activity Name Here.] Single Activity Cost - Annual Assumptions" display="HL_Err_Chk_15" xr:uid="{00000000-0004-0000-2700-00000B000000}"/>
    <hyperlink ref="B22:J22" location="HL_Err_Chk_5" tooltip="Go to Microplanning Activity #1 Single Activity Cost - Annual Assumptions (Projected or Retrospective)" display="HL_Err_Chk_5" xr:uid="{00000000-0004-0000-2700-00000C000000}"/>
    <hyperlink ref="B23:J23" location="HL_Err_Chk_100" tooltip="Go to Microplanning Activity #2 Single Activity Cost - Annual Assumptions  (Projected or Retrospective)" display="HL_Err_Chk_100" xr:uid="{00000000-0004-0000-2700-00000D000000}"/>
    <hyperlink ref="B24:J24" location="HL_Err_Chk_10" tooltip="Go to Microplanning Activity #3 Single Activity Cost - Annual Assumptions  (Projected or Retrospective)" display="HL_Err_Chk_10" xr:uid="{00000000-0004-0000-2700-00000E000000}"/>
    <hyperlink ref="B25:J25" location="HL_Err_Chk_105" tooltip="Go to Microplanning Activity #4 Single Activity Cost - Annual Assumptions  (Projected or Retrospective)" display="HL_Err_Chk_105" xr:uid="{00000000-0004-0000-2700-00000F000000}"/>
    <hyperlink ref="B26:J26" location="HL_Err_Chk_20" tooltip="Go to Training Activity #1 Single Activity Cost - Annual Assumptions (Projected or Retrospective)" display="HL_Err_Chk_20" xr:uid="{00000000-0004-0000-2700-000010000000}"/>
    <hyperlink ref="B27:J27" location="HL_Err_Chk_130" tooltip="Go to Training Activity #2 Single Activity Cost - Annual Assumptions (Projected or Retrospective)" display="HL_Err_Chk_130" xr:uid="{00000000-0004-0000-2700-000011000000}"/>
    <hyperlink ref="B28:J28" location="HL_Err_Chk_135" tooltip="Go to Training Activity #3 Single Activity Cost - Annual Assumptions (Projected or Retrospective)" display="HL_Err_Chk_135" xr:uid="{00000000-0004-0000-2700-000012000000}"/>
    <hyperlink ref="B29:J29" location="HL_Err_Chk_40" tooltip="Go to Training Activity #4 Single Activity Cost - Annual Assumptions (Projected or Retrospective)" display="HL_Err_Chk_40" xr:uid="{00000000-0004-0000-2700-000013000000}"/>
    <hyperlink ref="B30:J30" location="HL_Err_Chk_25" tooltip="Go to Sensitisation Activity # 1 Single Activity Cost - Annual Assumptions (Projected or Retrospective)" display="HL_Err_Chk_25" xr:uid="{00000000-0004-0000-2700-000014000000}"/>
    <hyperlink ref="B31:J31" location="HL_Err_Chk_115" tooltip="Go to Sensitisation Activity # 2 Single Activity Cost - Annual Assumptions (Projected or Retrospective)" display="HL_Err_Chk_115" xr:uid="{00000000-0004-0000-2700-000015000000}"/>
    <hyperlink ref="B32:J32" location="HL_Err_Chk_120" tooltip="Go to Sensitisation Activity # 3 Single Activity Cost - Annual Assumptions (Projected or Retrospective)" display="HL_Err_Chk_120" xr:uid="{00000000-0004-0000-2700-000016000000}"/>
    <hyperlink ref="B33:J33" location="HL_Err_Chk_50" tooltip="Go to Sensitisation Activity # 4 Single Activity Cost - Annual Assumptions (Projected or Retrospective)" display="HL_Err_Chk_50" xr:uid="{00000000-0004-0000-2700-000017000000}"/>
    <hyperlink ref="B34:J34" location="HL_Err_Chk_225" tooltip="Go to Sensitisation Activity # 5 Single Activity Cost - Annual Assumptions (Projected or Retrospective)" display="HL_Err_Chk_225" xr:uid="{00000000-0004-0000-2700-000018000000}"/>
    <hyperlink ref="B35:J35" location="HL_Err_Chk_230" tooltip="Go to Sensitisation Activity # 6 Single Activity Cost - Annual Assumptions (Projected or Retrospective)" display="HL_Err_Chk_230" xr:uid="{00000000-0004-0000-2700-000019000000}"/>
    <hyperlink ref="B36:J36" location="HL_Err_Chk_30" tooltip="Go to IEC Soc Mob  Activity # 1 Single Activity Cost - Annual Assumptions (Projected or Retrospective)" display="HL_Err_Chk_30" xr:uid="{00000000-0004-0000-2700-00001A000000}"/>
    <hyperlink ref="B37:J37" location="HL_Err_Chk_150" tooltip="Go to IEC Soc Mob  Activity # 2 Single Activity Cost - Annual Assumptions (Projected or Retrospective)" display="HL_Err_Chk_150" xr:uid="{00000000-0004-0000-2700-00001B000000}"/>
    <hyperlink ref="B38:J38" location="HL_Err_Chk_155" tooltip="Go to IEC Soc Mob  Activity # 3 Single Activity Cost - Annual Assumptions (Projected or Retrospective)" display="HL_Err_Chk_155" xr:uid="{00000000-0004-0000-2700-00001C000000}"/>
    <hyperlink ref="B39:J39" location="HL_Err_Chk_55" tooltip="Go to IEC Soc Mob  Activity # 4 Single Activity Cost - Annual Assumptions (Projected or Retrospective)" display="HL_Err_Chk_55" xr:uid="{00000000-0004-0000-2700-00001D000000}"/>
    <hyperlink ref="B40:J40" location="HL_Err_Chk_160" tooltip="Go to IEC Soc Mob  Activity # 5 Single Activity Cost - Annual Assumptions (Projected or Retrospective)" display="HL_Err_Chk_160" xr:uid="{00000000-0004-0000-2700-00001E000000}"/>
    <hyperlink ref="B41:J41" location="HL_Err_Chk_165" tooltip="Go to IEC Soc Mob  Activity # 6 Single Activity Cost - Annual Assumptions (Projected or Retrospective)" display="HL_Err_Chk_165" xr:uid="{00000000-0004-0000-2700-00001F000000}"/>
    <hyperlink ref="B42:J42" location="HL_Err_Chk_110" tooltip="Go to IEC Soc Mob  Activity # 7 Single Activity Cost - Annual Assumptions (Projected or Retrospective)" display="HL_Err_Chk_110" xr:uid="{00000000-0004-0000-2700-000020000000}"/>
    <hyperlink ref="B43:J43" location="HL_Err_Chk_125" tooltip="Go to IEC Soc Mob  Activity # 8 Single Activity Cost - Annual Assumptions (Projected or Retrospective)" display="HL_Err_Chk_125" xr:uid="{00000000-0004-0000-2700-000021000000}"/>
    <hyperlink ref="B44:J44" location="HL_Err_Chk_35" tooltip="Go to SME Activity #1 Single Activity Cost - Annual Assumptions (Projected or Retrospective)" display="HL_Err_Chk_35" xr:uid="{00000000-0004-0000-2700-000022000000}"/>
    <hyperlink ref="B45:J45" location="HL_Err_Chk_180" tooltip="Go to SME Activity #2 Single Activity Cost - Annual Assumptions (Projected or Retrospective)" display="HL_Err_Chk_180" xr:uid="{00000000-0004-0000-2700-000023000000}"/>
    <hyperlink ref="B46:J46" location="HL_Err_Chk_185" tooltip="Go to SME Activity #3 Single Activity Cost - Annual Assumptions (Projected or Retrospective)" display="HL_Err_Chk_185" xr:uid="{00000000-0004-0000-2700-000024000000}"/>
    <hyperlink ref="B47:J47" location="HL_Err_Chk_220" tooltip="Go to SME Activity #4 Single Activity Cost - Annual Assumptions (Projected or Retrospective)" display="HL_Err_Chk_220" xr:uid="{00000000-0004-0000-2700-000025000000}"/>
    <hyperlink ref="B48:J48" location="HL_Err_Chk_60" tooltip="Go to SME Activity #5 Single Activity Cost - Annual Assumptions (Projected or Retrospective)" display="HL_Err_Chk_60" xr:uid="{00000000-0004-0000-2700-000026000000}"/>
    <hyperlink ref="B49:J49" location="HL_Err_Chk_190" tooltip="Go to SME Activity #6 Single Activity Cost - Annual Assumptions (Projected or Retrospective)" display="HL_Err_Chk_190" xr:uid="{00000000-0004-0000-2700-000027000000}"/>
    <hyperlink ref="B50:J50" location="HL_Err_Chk_195" tooltip="Go to SME Activity #7 Single Activity Cost - Annual Assumptions (Projected or Retrospective)" display="HL_Err_Chk_195" xr:uid="{00000000-0004-0000-2700-000028000000}"/>
    <hyperlink ref="B51:J51" location="HL_Err_Chk_90" tooltip="Go to Other Activity Name #1 Single Activity Cost - Annual Assumptions (Projected or Retrospective)" display="HL_Err_Chk_90" xr:uid="{00000000-0004-0000-2700-000029000000}"/>
    <hyperlink ref="B52:J52" location="HL_Err_Chk_205" tooltip="Go to Other Activity Name #2 Single Activity Cost - Annual Assumptions (Projected or Retrospective)" display="HL_Err_Chk_205" xr:uid="{00000000-0004-0000-2700-00002A000000}"/>
    <hyperlink ref="B53:J53" location="HL_Err_Chk_200" tooltip="Go to Other Activity Name #3 Single Activity Cost - Annual Assumptions (Projected or Retrospective)" display="HL_Err_Chk_200" xr:uid="{00000000-0004-0000-2700-00002B000000}"/>
    <hyperlink ref="B54:J54" location="HL_Err_Chk_95" tooltip="Go to Other Activity Name #4 Single Activity Cost - Annual Assumptions (Projected or Retrospective)" display="HL_Err_Chk_95" xr:uid="{00000000-0004-0000-2700-00002C000000}"/>
    <hyperlink ref="B55:J55" location="HL_Err_Chk_210" tooltip="Go to Other Activity Name #5 Single Activity Cost - Annual Assumptions" display="HL_Err_Chk_210" xr:uid="{00000000-0004-0000-2700-00002D000000}"/>
    <hyperlink ref="B56:J56" location="HL_Err_Chk_1" tooltip="Go to Microplanning Activity #1 - Detailed Personnel Cost Assumptions" display="HL_Err_Chk_1" xr:uid="{00000000-0004-0000-2700-00002E000000}"/>
    <hyperlink ref="B57:J57" location="HL_Err_Chk_2" tooltip="Go to Microplanning Activity #1 - Detailed Allowance Cost Assumptions" display="HL_Err_Chk_2" xr:uid="{00000000-0004-0000-2700-00002F000000}"/>
    <hyperlink ref="B58:J58" location="HL_Err_Chk_3" tooltip="Go to Microplanning Activity #1 - Detailed Supply and Material Cost Assumptions" display="HL_Err_Chk_3" xr:uid="{00000000-0004-0000-2700-000030000000}"/>
    <hyperlink ref="B59:J59" location="HL_Err_Chk_4" tooltip="Go to Microplanning Activity #1 - Detailed Other Direct Cost Assumptions" display="HL_Err_Chk_4" xr:uid="{00000000-0004-0000-2700-000031000000}"/>
    <hyperlink ref="B60:J60" location="HL_Err_Chk_96" tooltip="Go to Microplanning Activity #2 - Detailed Personnel Cost Assumptions" display="HL_Err_Chk_96" xr:uid="{00000000-0004-0000-2700-000032000000}"/>
    <hyperlink ref="B61:J61" location="HL_Err_Chk_97" tooltip="Go to Microplanning Activity #2 - Detailed Allowance Cost Assumptions" display="HL_Err_Chk_97" xr:uid="{00000000-0004-0000-2700-000033000000}"/>
    <hyperlink ref="B62:J62" location="HL_Err_Chk_98" tooltip="Go to Microplanning Activity #2 - Detailed Supply and Material Cost Assumptions" display="HL_Err_Chk_98" xr:uid="{00000000-0004-0000-2700-000034000000}"/>
    <hyperlink ref="B63:J63" location="HL_Err_Chk_99" tooltip="Go to Microplanning Activity #2 - Detailed Other Direct Cost Assumptions" display="HL_Err_Chk_99" xr:uid="{00000000-0004-0000-2700-000035000000}"/>
    <hyperlink ref="B64:J64" location="HL_Err_Chk_6" tooltip="Go to Microplanning Activity #3 - Detailed Personnel Cost Assumptions" display="HL_Err_Chk_6" xr:uid="{00000000-0004-0000-2700-000036000000}"/>
    <hyperlink ref="B65:J65" location="HL_Err_Chk_7" tooltip="Go to Microplanning Activity #3 - Detailed Allowance Cost Assumptions" display="HL_Err_Chk_7" xr:uid="{00000000-0004-0000-2700-000037000000}"/>
    <hyperlink ref="B66:J66" location="HL_Err_Chk_8" tooltip="Go to Microplanning Activity #3 - Detailed Supply and Material Cost Assumptions" display="HL_Err_Chk_8" xr:uid="{00000000-0004-0000-2700-000038000000}"/>
    <hyperlink ref="B67:J67" location="HL_Err_Chk_9" tooltip="Go to Microplanning Activity #3 - Detailed Other Direct Cost Assumptions" display="HL_Err_Chk_9" xr:uid="{00000000-0004-0000-2700-000039000000}"/>
    <hyperlink ref="B68:J68" location="HL_Err_Chk_101" tooltip="Go to Microplanning Activity #4 - Detailed Personnel Cost Assumptions" display="HL_Err_Chk_101" xr:uid="{00000000-0004-0000-2700-00003A000000}"/>
    <hyperlink ref="B69:J69" location="HL_Err_Chk_102" tooltip="Go to Microplanning Activity #4 - Detailed Allowance Cost Assumptions" display="HL_Err_Chk_102" xr:uid="{00000000-0004-0000-2700-00003B000000}"/>
    <hyperlink ref="B70:J70" location="HL_Err_Chk_103" tooltip="Go to Microplanning Activity #4 - Detailed Supply and Material Cost Assumptions" display="HL_Err_Chk_103" xr:uid="{00000000-0004-0000-2700-00003C000000}"/>
    <hyperlink ref="B71:J71" location="HL_Err_Chk_104" tooltip="Go to Microplanning Activity #4 - Detailed Other Direct Cost Assumptions" display="HL_Err_Chk_104" xr:uid="{00000000-0004-0000-2700-00003D000000}"/>
    <hyperlink ref="B72:J72" location="HL_Err_Chk_16" tooltip="Go to Training Activity #1 - Detailed Personnel Cost Assumptions" display="HL_Err_Chk_16" xr:uid="{00000000-0004-0000-2700-00003E000000}"/>
    <hyperlink ref="B73:J73" location="HL_Err_Chk_17" tooltip="Go to Training Activity #1 - Detailed Allowance Cost Assumptions" display="HL_Err_Chk_17" xr:uid="{00000000-0004-0000-2700-00003F000000}"/>
    <hyperlink ref="B74:J74" location="HL_Err_Chk_18" tooltip="Go to Training Activity #1 - Detailed Supply and Material Cost Assumptions" display="HL_Err_Chk_18" xr:uid="{00000000-0004-0000-2700-000040000000}"/>
    <hyperlink ref="B75:J75" location="HL_Err_Chk_19" tooltip="Go to Training Activity #1 - Detailed Other Direct Cost Assumptions" display="HL_Err_Chk_19" xr:uid="{00000000-0004-0000-2700-000041000000}"/>
    <hyperlink ref="B76:J76" location="HL_Err_Chk_126" tooltip="Go to Training Activity #2 - Detailed Personnel Cost Assumptions" display="HL_Err_Chk_126" xr:uid="{00000000-0004-0000-2700-000042000000}"/>
    <hyperlink ref="B77:J77" location="HL_Err_Chk_127" tooltip="Go to Training Activity #2 - Detailed Allowance Cost Assumptions" display="HL_Err_Chk_127" xr:uid="{00000000-0004-0000-2700-000043000000}"/>
    <hyperlink ref="B78:J78" location="HL_Err_Chk_128" tooltip="Go to Training Activity #2 - Detailed Supply and Material Cost Assumptions" display="HL_Err_Chk_128" xr:uid="{00000000-0004-0000-2700-000044000000}"/>
    <hyperlink ref="B79:J79" location="HL_Err_Chk_129" tooltip="Go to Training Activity #2 - Detailed Other Direct Cost Assumptions" display="HL_Err_Chk_129" xr:uid="{00000000-0004-0000-2700-000045000000}"/>
    <hyperlink ref="B80:J80" location="HL_Err_Chk_131" tooltip="Go to Training Activity #3 - Detailed Personnel Cost Assumptions" display="HL_Err_Chk_131" xr:uid="{00000000-0004-0000-2700-000046000000}"/>
    <hyperlink ref="B81:J81" location="HL_Err_Chk_132" tooltip="Go to Training Activity #3 - Detailed Allowance Cost Assumptions" display="HL_Err_Chk_132" xr:uid="{00000000-0004-0000-2700-000047000000}"/>
    <hyperlink ref="B82:J82" location="HL_Err_Chk_133" tooltip="Go to Training Activity #3 - Detailed Supply and Material Cost Assumptions" display="HL_Err_Chk_133" xr:uid="{00000000-0004-0000-2700-000048000000}"/>
    <hyperlink ref="B83:J83" location="HL_Err_Chk_134" tooltip="Go to Training Activity #3 - Detailed Other Direct Cost Assumptions" display="HL_Err_Chk_134" xr:uid="{00000000-0004-0000-2700-000049000000}"/>
    <hyperlink ref="B84:J84" location="HL_Err_Chk_36" tooltip="Go to Training Activity #4 - Detailed Personnel Cost Assumptions" display="HL_Err_Chk_36" xr:uid="{00000000-0004-0000-2700-00004A000000}"/>
    <hyperlink ref="B85:J85" location="HL_Err_Chk_37" tooltip="Go to Training Activity #4 - Detailed Allowance Cost Assumptions" display="HL_Err_Chk_37" xr:uid="{00000000-0004-0000-2700-00004B000000}"/>
    <hyperlink ref="B86:J86" location="HL_Err_Chk_38" tooltip="Go to Training Activity #4 - Detailed Supply and Material Cost Assumptions" display="HL_Err_Chk_38" xr:uid="{00000000-0004-0000-2700-00004C000000}"/>
    <hyperlink ref="B87:J87" location="HL_Err_Chk_39" tooltip="Go to Training Activity #4 - Detailed Other Direct Cost Assumptions" display="HL_Err_Chk_39" xr:uid="{00000000-0004-0000-2700-00004D000000}"/>
    <hyperlink ref="B88:J88" location="HL_Err_Chk_76" tooltip="Go to Service Delivery Single Vacc1 - Detailed Personnel Cost Assumptions" display="HL_Err_Chk_76" xr:uid="{00000000-0004-0000-2700-00004E000000}"/>
    <hyperlink ref="B89:J89" location="HL_Err_Chk_77" tooltip="Go to Service Delivery Single Vacc1 - Detailed Allowance Cost Assumptions" display="HL_Err_Chk_77" xr:uid="{00000000-0004-0000-2700-00004F000000}"/>
    <hyperlink ref="B90:J90" location="HL_Err_Chk_78" tooltip="Go to Service Delivery Single Vacc1 - Detailed Supply and Material Cost Assumptions" display="HL_Err_Chk_78" xr:uid="{00000000-0004-0000-2700-000050000000}"/>
    <hyperlink ref="B91:J91" location="HL_Err_Chk_79" tooltip="Go to Service Delivery Single Vacc1 - Detailed Other Direct Cost Assumptions" display="HL_Err_Chk_79" xr:uid="{00000000-0004-0000-2700-000051000000}"/>
    <hyperlink ref="B92:J92" location="HL_Err_Chk_166" tooltip="Go to [Level 2 Service Delivery Activity Name Here.] - Detailed Personnel Cost Assumptions" display="HL_Err_Chk_166" xr:uid="{00000000-0004-0000-2700-000052000000}"/>
    <hyperlink ref="B93:J93" location="HL_Err_Chk_167" tooltip="Go to [Level 2 Service Delivery Activity Name Here.] - Detailed Allowance Cost Assumptions" display="HL_Err_Chk_167" xr:uid="{00000000-0004-0000-2700-000053000000}"/>
    <hyperlink ref="B94:J94" location="HL_Err_Chk_168" tooltip="Go to [Level 2 Service Delivery Activity Name Here.] - Detailed Supply and Material Cost Assumptions" display="HL_Err_Chk_168" xr:uid="{00000000-0004-0000-2700-000054000000}"/>
    <hyperlink ref="B95:J95" location="HL_Err_Chk_169" tooltip="Go to [Level 2 Service Delivery Activity Name Here.] - Detailed Other Direct Cost Assumptions" display="HL_Err_Chk_169" xr:uid="{00000000-0004-0000-2700-000055000000}"/>
    <hyperlink ref="B96:J96" location="HL_Err_Chk_171" tooltip="Go to [Level 2 Service Delivery Activity Name Here.] - Detailed Personnel Cost Assumptions" display="HL_Err_Chk_171" xr:uid="{00000000-0004-0000-2700-000056000000}"/>
    <hyperlink ref="B97:J97" location="HL_Err_Chk_172" tooltip="Go to [Level 2 Service Delivery Activity Name Here.] - Detailed Allowance Cost Assumptions" display="HL_Err_Chk_172" xr:uid="{00000000-0004-0000-2700-000057000000}"/>
    <hyperlink ref="B98:J98" location="HL_Err_Chk_173" tooltip="Go to [Level 2 Service Delivery Activity Name Here.] - Detailed Supply and Material Cost Assumptions" display="HL_Err_Chk_173" xr:uid="{00000000-0004-0000-2700-000058000000}"/>
    <hyperlink ref="B99:J99" location="HL_Err_Chk_174" tooltip="Go to [Level 2 Service Delivery Activity Name Here.] - Detailed Other Direct Cost Assumptions" display="HL_Err_Chk_174" xr:uid="{00000000-0004-0000-2700-000059000000}"/>
    <hyperlink ref="B100:J100" location="HL_Err_Chk_11" tooltip="Go to [Level 2 Service Delivery Activity Name Here.] - Detailed Personnel Cost Assumptions" display="HL_Err_Chk_11" xr:uid="{00000000-0004-0000-2700-00005A000000}"/>
    <hyperlink ref="B101:J101" location="HL_Err_Chk_12" tooltip="Go to [Level 2 Service Delivery Activity Name Here.] - Detailed Allowance Cost Assumptions" display="HL_Err_Chk_12" xr:uid="{00000000-0004-0000-2700-00005B000000}"/>
    <hyperlink ref="B102:J102" location="HL_Err_Chk_13" tooltip="Go to [Level 2 Service Delivery Activity Name Here.] - Detailed Supply and Material Cost Assumptions" display="HL_Err_Chk_13" xr:uid="{00000000-0004-0000-2700-00005C000000}"/>
    <hyperlink ref="B103:J103" location="HL_Err_Chk_14" tooltip="Go to [Level 2 Service Delivery Activity Name Here.] - Detailed Other Direct Cost Assumptions" display="HL_Err_Chk_14" xr:uid="{00000000-0004-0000-2700-00005D000000}"/>
    <hyperlink ref="B104:J104" location="HL_Err_Chk_21" tooltip="Go to Sensitisation Activity # 1 - Detailed Personnel Cost Assumptions" display="HL_Err_Chk_21" xr:uid="{00000000-0004-0000-2700-00005E000000}"/>
    <hyperlink ref="B105:J105" location="HL_Err_Chk_22" tooltip="Go to Sensitisation Activity # 1 - Detailed Allowance Cost Assumptions" display="HL_Err_Chk_22" xr:uid="{00000000-0004-0000-2700-00005F000000}"/>
    <hyperlink ref="B106:J106" location="HL_Err_Chk_23" tooltip="Go to Sensitisation Activity # 1 - Detailed Supply and Material Cost Assumptions" display="HL_Err_Chk_23" xr:uid="{00000000-0004-0000-2700-000060000000}"/>
    <hyperlink ref="B107:J107" location="HL_Err_Chk_24" tooltip="Go to Sensitisation Activity # 1 - Detailed Other Direct Cost Assumptions" display="HL_Err_Chk_24" xr:uid="{00000000-0004-0000-2700-000061000000}"/>
    <hyperlink ref="B108:J108" location="HL_Err_Chk_111" tooltip="Go to Sensitisation Activity # 2 - Detailed Personnel Cost Assumptions" display="HL_Err_Chk_111" xr:uid="{00000000-0004-0000-2700-000062000000}"/>
    <hyperlink ref="B109:J109" location="HL_Err_Chk_112" tooltip="Go to Sensitisation Activity # 2 - Detailed Allowance Cost Assumptions" display="HL_Err_Chk_112" xr:uid="{00000000-0004-0000-2700-000063000000}"/>
    <hyperlink ref="B110:J110" location="HL_Err_Chk_113" tooltip="Go to Sensitisation Activity # 2 - Detailed Supply and Material Cost Assumptions" display="HL_Err_Chk_113" xr:uid="{00000000-0004-0000-2700-000064000000}"/>
    <hyperlink ref="B111:J111" location="HL_Err_Chk_114" tooltip="Go to Sensitisation Activity # 2 - Detailed Other Direct Cost Assumptions" display="HL_Err_Chk_114" xr:uid="{00000000-0004-0000-2700-000065000000}"/>
    <hyperlink ref="B112:J112" location="HL_Err_Chk_116" tooltip="Go to Sensitisation Activity # 3 - Detailed Personnel Cost Assumptions" display="HL_Err_Chk_116" xr:uid="{00000000-0004-0000-2700-000066000000}"/>
    <hyperlink ref="B113:J113" location="HL_Err_Chk_117" tooltip="Go to Sensitisation Activity # 3 - Detailed Allowance Cost Assumptions" display="HL_Err_Chk_117" xr:uid="{00000000-0004-0000-2700-000067000000}"/>
    <hyperlink ref="B114:J114" location="HL_Err_Chk_118" tooltip="Go to Sensitisation Activity # 3 - Detailed Supply and Material Cost Assumptions" display="HL_Err_Chk_118" xr:uid="{00000000-0004-0000-2700-000068000000}"/>
    <hyperlink ref="B115:J115" location="HL_Err_Chk_119" tooltip="Go to Sensitisation Activity # 3 - Detailed Other Direct Cost Assumptions" display="HL_Err_Chk_119" xr:uid="{00000000-0004-0000-2700-000069000000}"/>
    <hyperlink ref="B116:J116" location="HL_Err_Chk_46" tooltip="Go to Sensitisation Activity # 4 - Detailed Personnel Cost Assumptions" display="HL_Err_Chk_46" xr:uid="{00000000-0004-0000-2700-00006A000000}"/>
    <hyperlink ref="B117:J117" location="HL_Err_Chk_47" tooltip="Go to Sensitisation Activity # 4 - Detailed Allowance Cost Assumptions" display="HL_Err_Chk_47" xr:uid="{00000000-0004-0000-2700-00006B000000}"/>
    <hyperlink ref="B118:J118" location="HL_Err_Chk_48" tooltip="Go to Sensitisation Activity # 4 - Detailed Supply and Material Cost Assumptions" display="HL_Err_Chk_48" xr:uid="{00000000-0004-0000-2700-00006C000000}"/>
    <hyperlink ref="B119:J119" location="HL_Err_Chk_49" tooltip="Go to Sensitisation Activity # 4 - Detailed Other Direct Cost Assumptions" display="HL_Err_Chk_49" xr:uid="{00000000-0004-0000-2700-00006D000000}"/>
    <hyperlink ref="B120:J120" location="HL_Err_Chk_221" tooltip="Go to Sensitisation Activity # 5 - Detailed Personnel Cost Assumptions" display="HL_Err_Chk_221" xr:uid="{00000000-0004-0000-2700-00006E000000}"/>
    <hyperlink ref="B121:J121" location="HL_Err_Chk_222" tooltip="Go to Sensitisation Activity # 5 - Detailed Allowance Cost Assumptions" display="HL_Err_Chk_222" xr:uid="{00000000-0004-0000-2700-00006F000000}"/>
    <hyperlink ref="B122:J122" location="HL_Err_Chk_223" tooltip="Go to Sensitisation Activity # 5 - Detailed Supply and Material Cost Assumptions" display="HL_Err_Chk_223" xr:uid="{00000000-0004-0000-2700-000070000000}"/>
    <hyperlink ref="B123:J123" location="HL_Err_Chk_224" tooltip="Go to Sensitisation Activity # 5 - Detailed Other Direct Cost Assumptions" display="HL_Err_Chk_224" xr:uid="{00000000-0004-0000-2700-000071000000}"/>
    <hyperlink ref="B124:J124" location="HL_Err_Chk_226" tooltip="Go to Sensitisation Activity # 6 - Detailed Personnel Cost Assumptions" display="HL_Err_Chk_226" xr:uid="{00000000-0004-0000-2700-000072000000}"/>
    <hyperlink ref="B125:J125" location="HL_Err_Chk_227" tooltip="Go to Sensitisation Activity # 6 - Detailed Allowance Cost Assumptions" display="HL_Err_Chk_227" xr:uid="{00000000-0004-0000-2700-000073000000}"/>
    <hyperlink ref="B126:J126" location="HL_Err_Chk_228" tooltip="Go to Sensitisation Activity # 6 - Detailed Supply and Material Cost Assumptions" display="HL_Err_Chk_228" xr:uid="{00000000-0004-0000-2700-000074000000}"/>
    <hyperlink ref="B127:J127" location="HL_Err_Chk_229" tooltip="Go to Sensitisation Activity # 6 - Detailed Other Direct Cost Assumptions" display="HL_Err_Chk_229" xr:uid="{00000000-0004-0000-2700-000075000000}"/>
    <hyperlink ref="B128:J128" location="HL_Err_Chk_26" tooltip="Go to IEC Soc Mob  Activity # 1 - Detailed Personnel Cost Assumptions" display="HL_Err_Chk_26" xr:uid="{00000000-0004-0000-2700-000076000000}"/>
    <hyperlink ref="B129:J129" location="HL_Err_Chk_27" tooltip="Go to IEC Soc Mob  Activity # 1 - Detailed Allowance Cost Assumptions" display="HL_Err_Chk_27" xr:uid="{00000000-0004-0000-2700-000077000000}"/>
    <hyperlink ref="B130:J130" location="HL_Err_Chk_28" tooltip="Go to IEC Soc Mob  Activity # 1 - Detailed Supply and Material Cost Assumptions" display="HL_Err_Chk_28" xr:uid="{00000000-0004-0000-2700-000078000000}"/>
    <hyperlink ref="B131:J131" location="HL_Err_Chk_29" tooltip="Go to IEC Soc Mob  Activity # 1 - Detailed Other Direct Cost Assumptions" display="HL_Err_Chk_29" xr:uid="{00000000-0004-0000-2700-000079000000}"/>
    <hyperlink ref="B132:J132" location="HL_Err_Chk_146" tooltip="Go to IEC Soc Mob  Activity # 2 - Detailed Personnel Cost Assumptions" display="HL_Err_Chk_146" xr:uid="{00000000-0004-0000-2700-00007A000000}"/>
    <hyperlink ref="B133:J133" location="HL_Err_Chk_147" tooltip="Go to IEC Soc Mob  Activity # 2 - Detailed Allowance Cost Assumptions" display="HL_Err_Chk_147" xr:uid="{00000000-0004-0000-2700-00007B000000}"/>
    <hyperlink ref="B134:J134" location="HL_Err_Chk_148" tooltip="Go to IEC Soc Mob  Activity # 2 - Detailed Supply and Material Cost Assumptions" display="HL_Err_Chk_148" xr:uid="{00000000-0004-0000-2700-00007C000000}"/>
    <hyperlink ref="B135:J135" location="HL_Err_Chk_149" tooltip="Go to IEC Soc Mob  Activity # 2 - Detailed Other Direct Cost Assumptions" display="HL_Err_Chk_149" xr:uid="{00000000-0004-0000-2700-00007D000000}"/>
    <hyperlink ref="B136:J136" location="HL_Err_Chk_151" tooltip="Go to IEC Soc Mob  Activity # 3 - Detailed Personnel Cost Assumptions" display="HL_Err_Chk_151" xr:uid="{00000000-0004-0000-2700-00007E000000}"/>
    <hyperlink ref="B137:J137" location="HL_Err_Chk_152" tooltip="Go to IEC Soc Mob  Activity # 3 - Detailed Allowance Cost Assumptions" display="HL_Err_Chk_152" xr:uid="{00000000-0004-0000-2700-00007F000000}"/>
    <hyperlink ref="B138:J138" location="HL_Err_Chk_153" tooltip="Go to IEC Soc Mob  Activity # 3 - Detailed Supply and Material Cost Assumptions" display="HL_Err_Chk_153" xr:uid="{00000000-0004-0000-2700-000080000000}"/>
    <hyperlink ref="B139:J139" location="HL_Err_Chk_154" tooltip="Go to IEC Soc Mob  Activity # 3 - Detailed Other Direct Cost Assumptions" display="HL_Err_Chk_154" xr:uid="{00000000-0004-0000-2700-000081000000}"/>
    <hyperlink ref="B140:J140" location="HL_Err_Chk_51" tooltip="Go to IEC Soc Mob  Activity # 4 - Detailed Personnel Cost Assumptions" display="HL_Err_Chk_51" xr:uid="{00000000-0004-0000-2700-000082000000}"/>
    <hyperlink ref="B141:J141" location="HL_Err_Chk_52" tooltip="Go to IEC Soc Mob  Activity # 4 - Detailed Allowance Cost Assumptions" display="HL_Err_Chk_52" xr:uid="{00000000-0004-0000-2700-000083000000}"/>
    <hyperlink ref="B142:J142" location="HL_Err_Chk_53" tooltip="Go to IEC Soc Mob  Activity # 4 - Detailed Supply and Material Cost Assumptions" display="HL_Err_Chk_53" xr:uid="{00000000-0004-0000-2700-000084000000}"/>
    <hyperlink ref="B143:J143" location="HL_Err_Chk_54" tooltip="Go to IEC Soc Mob  Activity # 4 - Detailed Other Direct Cost Assumptions" display="HL_Err_Chk_54" xr:uid="{00000000-0004-0000-2700-000085000000}"/>
    <hyperlink ref="B144:J144" location="HL_Err_Chk_156" tooltip="Go to IEC Soc Mob  Activity # 5 - Detailed Personnel Cost Assumptions" display="HL_Err_Chk_156" xr:uid="{00000000-0004-0000-2700-000086000000}"/>
    <hyperlink ref="B145:J145" location="HL_Err_Chk_157" tooltip="Go to IEC Soc Mob  Activity # 5 - Detailed Allowance Cost Assumptions" display="HL_Err_Chk_157" xr:uid="{00000000-0004-0000-2700-000087000000}"/>
    <hyperlink ref="B146:J146" location="HL_Err_Chk_158" tooltip="Go to IEC Soc Mob  Activity # 5 - Detailed Supply and Material Cost Assumptions" display="HL_Err_Chk_158" xr:uid="{00000000-0004-0000-2700-000088000000}"/>
    <hyperlink ref="B147:J147" location="HL_Err_Chk_159" tooltip="Go to IEC Soc Mob  Activity # 5 - Detailed Other Direct Cost Assumptions" display="HL_Err_Chk_159" xr:uid="{00000000-0004-0000-2700-000089000000}"/>
    <hyperlink ref="B148:J148" location="HL_Err_Chk_161" tooltip="Go to IEC Soc Mob  Activity # 6 - Detailed Personnel Cost Assumptions" display="HL_Err_Chk_161" xr:uid="{00000000-0004-0000-2700-00008A000000}"/>
    <hyperlink ref="B149:J149" location="HL_Err_Chk_162" tooltip="Go to IEC Soc Mob  Activity # 6 - Detailed Allowance Cost Assumptions" display="HL_Err_Chk_162" xr:uid="{00000000-0004-0000-2700-00008B000000}"/>
    <hyperlink ref="B150:J150" location="HL_Err_Chk_163" tooltip="Go to IEC Soc Mob  Activity # 6 - Detailed Supply and Material Cost Assumptions" display="HL_Err_Chk_163" xr:uid="{00000000-0004-0000-2700-00008C000000}"/>
    <hyperlink ref="B151:J151" location="HL_Err_Chk_164" tooltip="Go to IEC Soc Mob  Activity # 6 - Detailed Other Direct Cost Assumptions" display="HL_Err_Chk_164" xr:uid="{00000000-0004-0000-2700-00008D000000}"/>
    <hyperlink ref="B152:J152" location="HL_Err_Chk_106" tooltip="Go to IEC Soc Mob  Activity # 7 - Detailed Personnel Cost Assumptions" display="HL_Err_Chk_106" xr:uid="{00000000-0004-0000-2700-00008E000000}"/>
    <hyperlink ref="B153:J153" location="HL_Err_Chk_107" tooltip="Go to IEC Soc Mob  Activity # 7 - Detailed Allowance Cost Assumptions" display="HL_Err_Chk_107" xr:uid="{00000000-0004-0000-2700-00008F000000}"/>
    <hyperlink ref="B154:J154" location="HL_Err_Chk_108" tooltip="Go to IEC Soc Mob  Activity # 7 - Detailed Supply and Material Cost Assumptions" display="HL_Err_Chk_108" xr:uid="{00000000-0004-0000-2700-000090000000}"/>
    <hyperlink ref="B155:J155" location="HL_Err_Chk_109" tooltip="Go to IEC Soc Mob  Activity # 7 - Detailed Other Direct Cost Assumptions" display="HL_Err_Chk_109" xr:uid="{00000000-0004-0000-2700-000091000000}"/>
    <hyperlink ref="B156:J156" location="HL_Err_Chk_121" tooltip="Go to IEC Soc Mob  Activity # 8 - Detailed Personnel Cost Assumptions" display="HL_Err_Chk_121" xr:uid="{00000000-0004-0000-2700-000092000000}"/>
    <hyperlink ref="B157:J157" location="HL_Err_Chk_122" tooltip="Go to IEC Soc Mob  Activity # 8 - Detailed Allowance Cost Assumptions" display="HL_Err_Chk_122" xr:uid="{00000000-0004-0000-2700-000093000000}"/>
    <hyperlink ref="B158:J158" location="HL_Err_Chk_123" tooltip="Go to IEC Soc Mob  Activity # 8 - Detailed Supply and Material Cost Assumptions" display="HL_Err_Chk_123" xr:uid="{00000000-0004-0000-2700-000094000000}"/>
    <hyperlink ref="B159:J159" location="HL_Err_Chk_124" tooltip="Go to IEC Soc Mob  Activity # 8 - Detailed Other Direct Cost Assumptions" display="HL_Err_Chk_124" xr:uid="{00000000-0004-0000-2700-000095000000}"/>
    <hyperlink ref="B160:J160" location="HL_Err_Chk_31" tooltip="Go to SME Activity #1 - Detailed Personnel Cost Assumptions" display="HL_Err_Chk_31" xr:uid="{00000000-0004-0000-2700-000096000000}"/>
    <hyperlink ref="B161:J161" location="HL_Err_Chk_32" tooltip="Go to SME Activity #1 - Detailed Allowance Cost Assumptions" display="HL_Err_Chk_32" xr:uid="{00000000-0004-0000-2700-000097000000}"/>
    <hyperlink ref="B162:J162" location="HL_Err_Chk_33" tooltip="Go to SME Activity #1 - Detailed Supply and Material Cost Assumptions" display="HL_Err_Chk_33" xr:uid="{00000000-0004-0000-2700-000098000000}"/>
    <hyperlink ref="B163:J163" location="HL_Err_Chk_34" tooltip="Go to SME Activity #1 - Detailed Other Direct Cost Assumptions" display="HL_Err_Chk_34" xr:uid="{00000000-0004-0000-2700-000099000000}"/>
    <hyperlink ref="B164:J164" location="HL_Err_Chk_176" tooltip="Go to SME Activity #2 - Detailed Personnel Cost Assumptions" display="HL_Err_Chk_176" xr:uid="{00000000-0004-0000-2700-00009A000000}"/>
    <hyperlink ref="B165:J165" location="HL_Err_Chk_177" tooltip="Go to SME Activity #2 - Detailed Allowance Cost Assumptions" display="HL_Err_Chk_177" xr:uid="{00000000-0004-0000-2700-00009B000000}"/>
    <hyperlink ref="B166:J166" location="HL_Err_Chk_178" tooltip="Go to SME Activity #2 - Detailed Supply and Material Cost Assumptions" display="HL_Err_Chk_178" xr:uid="{00000000-0004-0000-2700-00009C000000}"/>
    <hyperlink ref="B167:J167" location="HL_Err_Chk_179" tooltip="Go to SME Activity #2 - Detailed Other Direct Cost Assumptions" display="HL_Err_Chk_179" xr:uid="{00000000-0004-0000-2700-00009D000000}"/>
    <hyperlink ref="B168:J168" location="HL_Err_Chk_181" tooltip="Go to SME Activity #3 - Detailed Personnel Cost Assumptions" display="HL_Err_Chk_181" xr:uid="{00000000-0004-0000-2700-00009E000000}"/>
    <hyperlink ref="B169:J169" location="HL_Err_Chk_182" tooltip="Go to SME Activity #3 - Detailed Allowance Cost Assumptions" display="HL_Err_Chk_182" xr:uid="{00000000-0004-0000-2700-00009F000000}"/>
    <hyperlink ref="B170:J170" location="HL_Err_Chk_183" tooltip="Go to SME Activity #3 - Detailed Supply and Material Cost Assumptions" display="HL_Err_Chk_183" xr:uid="{00000000-0004-0000-2700-0000A0000000}"/>
    <hyperlink ref="B171:J171" location="HL_Err_Chk_184" tooltip="Go to SME Activity #3 - Detailed Other Direct Cost Assumptions" display="HL_Err_Chk_184" xr:uid="{00000000-0004-0000-2700-0000A1000000}"/>
    <hyperlink ref="B172:J172" location="HL_Err_Chk_216" tooltip="Go to SME Activity #4 - Detailed Personnel Cost Assumptions" display="HL_Err_Chk_216" xr:uid="{00000000-0004-0000-2700-0000A2000000}"/>
    <hyperlink ref="B173:J173" location="HL_Err_Chk_217" tooltip="Go to SME Activity #4 - Detailed Allowance Cost Assumptions" display="HL_Err_Chk_217" xr:uid="{00000000-0004-0000-2700-0000A3000000}"/>
    <hyperlink ref="B174:J174" location="HL_Err_Chk_218" tooltip="Go to SME Activity #4 - Detailed Supply and Material Cost Assumptions" display="HL_Err_Chk_218" xr:uid="{00000000-0004-0000-2700-0000A4000000}"/>
    <hyperlink ref="B175:J175" location="HL_Err_Chk_219" tooltip="Go to SME Activity #4 - Detailed Other Direct Cost Assumptions" display="HL_Err_Chk_219" xr:uid="{00000000-0004-0000-2700-0000A5000000}"/>
    <hyperlink ref="B176:J176" location="HL_Err_Chk_56" tooltip="Go to SME Activity #5 - Detailed Personnel Cost Assumptions" display="HL_Err_Chk_56" xr:uid="{00000000-0004-0000-2700-0000A6000000}"/>
    <hyperlink ref="B177:J177" location="HL_Err_Chk_57" tooltip="Go to SME Activity #5 - Detailed Allowance Cost Assumptions" display="HL_Err_Chk_57" xr:uid="{00000000-0004-0000-2700-0000A7000000}"/>
    <hyperlink ref="B178:J178" location="HL_Err_Chk_58" tooltip="Go to SME Activity #5 - Detailed Supply and Material Cost Assumptions" display="HL_Err_Chk_58" xr:uid="{00000000-0004-0000-2700-0000A8000000}"/>
    <hyperlink ref="B179:J179" location="HL_Err_Chk_59" tooltip="Go to SME Activity #5 - Detailed Other Direct Cost Assumptions" display="HL_Err_Chk_59" xr:uid="{00000000-0004-0000-2700-0000A9000000}"/>
    <hyperlink ref="B180:J180" location="HL_Err_Chk_186" tooltip="Go to SME Activity #6 - Detailed Personnel Cost Assumptions" display="HL_Err_Chk_186" xr:uid="{00000000-0004-0000-2700-0000AA000000}"/>
    <hyperlink ref="B181:J181" location="HL_Err_Chk_187" tooltip="Go to SME Activity #6 - Detailed Allowance Cost Assumptions" display="HL_Err_Chk_187" xr:uid="{00000000-0004-0000-2700-0000AB000000}"/>
    <hyperlink ref="B182:J182" location="HL_Err_Chk_188" tooltip="Go to SME Activity #6 - Detailed Supply and Material Cost Assumptions" display="HL_Err_Chk_188" xr:uid="{00000000-0004-0000-2700-0000AC000000}"/>
    <hyperlink ref="B183:J183" location="HL_Err_Chk_189" tooltip="Go to SME Activity #6 - Detailed Other Direct Cost Assumptions" display="HL_Err_Chk_189" xr:uid="{00000000-0004-0000-2700-0000AD000000}"/>
    <hyperlink ref="B184:J184" location="HL_Err_Chk_191" tooltip="Go to SME Activity #7 - Detailed Personnel Cost Assumptions" display="HL_Err_Chk_191" xr:uid="{00000000-0004-0000-2700-0000AE000000}"/>
    <hyperlink ref="B185:J185" location="HL_Err_Chk_192" tooltip="Go to SME Activity #7 - Detailed Allowance Cost Assumptions" display="HL_Err_Chk_192" xr:uid="{00000000-0004-0000-2700-0000AF000000}"/>
    <hyperlink ref="B186:J186" location="HL_Err_Chk_193" tooltip="Go to SME Activity #7 - Detailed Supply and Material Cost Assumptions" display="HL_Err_Chk_193" xr:uid="{00000000-0004-0000-2700-0000B0000000}"/>
    <hyperlink ref="B187:J187" location="HL_Err_Chk_194" tooltip="Go to SME Activity #7 - Detailed Other Direct Cost Assumptions" display="HL_Err_Chk_194" xr:uid="{00000000-0004-0000-2700-0000B1000000}"/>
    <hyperlink ref="B188:J188" location="HL_Err_Chk_86" tooltip="Go to Other Activity Name #1 - Detailed Personnel Cost Assumptions" display="HL_Err_Chk_86" xr:uid="{00000000-0004-0000-2700-0000B2000000}"/>
    <hyperlink ref="B189:J189" location="HL_Err_Chk_87" tooltip="Go to Other Activity Name #1 - Detailed Allowance Cost Assumptions" display="HL_Err_Chk_87" xr:uid="{00000000-0004-0000-2700-0000B3000000}"/>
    <hyperlink ref="B190:J190" location="HL_Err_Chk_88" tooltip="Go to Other Activity Name #1 - Detailed Supply and Material Cost Assumptions" display="HL_Err_Chk_88" xr:uid="{00000000-0004-0000-2700-0000B4000000}"/>
    <hyperlink ref="B191:J191" location="HL_Err_Chk_89" tooltip="Go to Other Activity Name #1 - Detailed Other Direct Cost Assumptions" display="HL_Err_Chk_89" xr:uid="{00000000-0004-0000-2700-0000B5000000}"/>
    <hyperlink ref="B192:J192" location="HL_Err_Chk_201" tooltip="Go to Other Activity Name #2 - Detailed Personnel Cost Assumptions" display="HL_Err_Chk_201" xr:uid="{00000000-0004-0000-2700-0000B6000000}"/>
    <hyperlink ref="B193:J193" location="HL_Err_Chk_202" tooltip="Go to Other Activity Name #2 - Detailed Allowance Cost Assumptions" display="HL_Err_Chk_202" xr:uid="{00000000-0004-0000-2700-0000B7000000}"/>
    <hyperlink ref="B194:J194" location="HL_Err_Chk_203" tooltip="Go to Other Activity Name #2 - Detailed Supply and Material Cost Assumptions" display="HL_Err_Chk_203" xr:uid="{00000000-0004-0000-2700-0000B8000000}"/>
    <hyperlink ref="B195:J195" location="HL_Err_Chk_199" tooltip="Go to Other Activity Name #3 - Detailed Other Direct Cost Assumptions" display="HL_Err_Chk_199" xr:uid="{00000000-0004-0000-2700-0000B9000000}"/>
    <hyperlink ref="B196:J196" location="HL_Err_Chk_196" tooltip="Go to Other Activity Name #3 - Detailed Personnel Cost Assumptions" display="HL_Err_Chk_196" xr:uid="{00000000-0004-0000-2700-0000BA000000}"/>
    <hyperlink ref="B197:J197" location="HL_Err_Chk_197" tooltip="Go to Other Activity Name #3 - Detailed Allowance Cost Assumptions" display="HL_Err_Chk_197" xr:uid="{00000000-0004-0000-2700-0000BB000000}"/>
    <hyperlink ref="B198:J198" location="HL_Err_Chk_198" tooltip="Go to Other Activity Name #3 - Detailed Supply and Material Cost Assumptions" display="HL_Err_Chk_198" xr:uid="{00000000-0004-0000-2700-0000BC000000}"/>
    <hyperlink ref="B199:J199" location="HL_Err_Chk_204" tooltip="Go to Other Activity Name #2 - Detailed Other Direct Cost Assumptions" display="HL_Err_Chk_204" xr:uid="{00000000-0004-0000-2700-0000BD000000}"/>
    <hyperlink ref="B200:J200" location="HL_Err_Chk_91" tooltip="Go to Other Activity Name #4 - Detailed Personnel Cost Assumptions" display="HL_Err_Chk_91" xr:uid="{00000000-0004-0000-2700-0000BE000000}"/>
    <hyperlink ref="B201:J201" location="HL_Err_Chk_92" tooltip="Go to Other Activity Name #4 - Detailed Allowance Cost Assumptions" display="HL_Err_Chk_92" xr:uid="{00000000-0004-0000-2700-0000BF000000}"/>
    <hyperlink ref="B202:J202" location="HL_Err_Chk_93" tooltip="Go to Other Activity Name #4 - Detailed Supply and Material Cost Assumptions" display="HL_Err_Chk_93" xr:uid="{00000000-0004-0000-2700-0000C0000000}"/>
    <hyperlink ref="B203:J203" location="HL_Err_Chk_94" tooltip="Go to Other Activity Name #4 - Detailed Other Direct Cost Assumptions" display="HL_Err_Chk_94" xr:uid="{00000000-0004-0000-2700-0000C1000000}"/>
    <hyperlink ref="B204:J204" location="HL_Err_Chk_206" tooltip="Go to Other Activity Name #5 - Detailed Personnel Cost Assumptions" display="HL_Err_Chk_206" xr:uid="{00000000-0004-0000-2700-0000C2000000}"/>
    <hyperlink ref="B205:J205" location="HL_Err_Chk_207" tooltip="Go to Other Activity Name #5 - Detailed Allowance Cost Assumptions" display="HL_Err_Chk_207" xr:uid="{00000000-0004-0000-2700-0000C3000000}"/>
    <hyperlink ref="B206:J206" location="HL_Err_Chk_208" tooltip="Go to Other Activity Name #5 - Detailed Supply and Material Cost Assumptions" display="HL_Err_Chk_208" xr:uid="{00000000-0004-0000-2700-0000C4000000}"/>
    <hyperlink ref="B207:J207" location="HL_Err_Chk_209" tooltip="Go to Other Activity Name #5 - Detailed Other Direct Cost Assumptions" display="HL_Err_Chk_209" xr:uid="{00000000-0004-0000-2700-0000C5000000}"/>
    <hyperlink ref="B217:J217" location="HL_Alt_Chk_1" tooltip="Go to Proportion and Number of Vaccinations Delivered, by Year and Service Delivery Type (Retrospective)" display="HL_Alt_Chk_1" xr:uid="{00000000-0004-0000-2700-0000C6000000}"/>
    <hyperlink ref="A2" location="HL_Err_Chk" tooltip="Go to Error Checks" display="HL_Err_Chk" xr:uid="{00000000-0004-0000-2700-0000C7000000}"/>
    <hyperlink ref="A1" location="Contents!A1" tooltip="Go to Table of Contents" display="±" xr:uid="{00000000-0004-0000-2700-0000C8000000}"/>
  </hyperlinks>
  <pageMargins left="0.7" right="0.7" top="0.75" bottom="0.75" header="0.3" footer="0.3"/>
  <pageSetup scale="95" fitToHeight="0" orientation="landscape" horizontalDpi="4294967292" r:id="rId1"/>
  <headerFooter>
    <oddFooter>&amp;L&amp;B Confidential&amp;B&amp;C&amp;D&amp;RPage &amp;P</oddFooter>
  </headerFooter>
  <rowBreaks count="1" manualBreakCount="1">
    <brk id="20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3" r:id="rId4" name="CheckBox">
              <controlPr defaultSize="0" autoFill="0" autoLine="0" autoPict="0">
                <anchor moveWithCells="1" sizeWithCells="1">
                  <from>
                    <xdr:col>1</xdr:col>
                    <xdr:colOff>0</xdr:colOff>
                    <xdr:row>5</xdr:row>
                    <xdr:rowOff>0</xdr:rowOff>
                  </from>
                  <to>
                    <xdr:col>7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5" name="Check Box 21">
              <controlPr defaultSize="0" autoFill="0" autoLine="0" autoPict="0">
                <anchor moveWithCells="1" sizeWithCells="1">
                  <from>
                    <xdr:col>1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7">
    <tabColor rgb="FF7030A0"/>
    <pageSetUpPr autoPageBreaks="0" fitToPage="1"/>
  </sheetPr>
  <dimension ref="C9:G20"/>
  <sheetViews>
    <sheetView showGridLines="0" zoomScaleNormal="100" workbookViewId="0">
      <selection activeCell="I511" sqref="I511"/>
    </sheetView>
  </sheetViews>
  <sheetFormatPr defaultColWidth="11.7109375" defaultRowHeight="12" x14ac:dyDescent="0.2"/>
  <cols>
    <col min="3" max="6" width="3.7109375" customWidth="1"/>
  </cols>
  <sheetData>
    <row r="9" spans="3:7" ht="15" x14ac:dyDescent="0.2">
      <c r="C9" s="31" t="str">
        <f>Lang_Model_Development_And_Maintenance_Developer_Only</f>
        <v>Model Development and Maintenance (Developer Only)</v>
      </c>
    </row>
    <row r="10" spans="3:7" ht="12.75" x14ac:dyDescent="0.2">
      <c r="C10" s="32" t="str">
        <f>Lang_Section_5</f>
        <v>Section 5.</v>
      </c>
    </row>
    <row r="11" spans="3:7" ht="12.75" x14ac:dyDescent="0.2">
      <c r="C11" s="45" t="str">
        <f ca="1">Model_Name</f>
        <v>Cervical Cancer Prevention and Control Costing (C4P) Tool (Cost Projection)</v>
      </c>
    </row>
    <row r="12" spans="3:7" ht="12.75" x14ac:dyDescent="0.2">
      <c r="C12" s="426" t="str">
        <f>Lang_Goto_TOC</f>
        <v>Go to Table of Contents</v>
      </c>
      <c r="D12" s="426"/>
      <c r="E12" s="426"/>
      <c r="F12" s="426"/>
      <c r="G12" s="426"/>
    </row>
    <row r="13" spans="3:7" x14ac:dyDescent="0.2">
      <c r="C13" s="38" t="s">
        <v>7</v>
      </c>
      <c r="D13" s="39" t="s">
        <v>8</v>
      </c>
    </row>
    <row r="17" spans="3:3" x14ac:dyDescent="0.2">
      <c r="C17" s="23" t="str">
        <f>Lang_Section_Cover_Notes</f>
        <v>Section Cover Notes:</v>
      </c>
    </row>
    <row r="18" spans="3:3" x14ac:dyDescent="0.2">
      <c r="C18" s="37" t="s">
        <v>121</v>
      </c>
    </row>
    <row r="19" spans="3:3" x14ac:dyDescent="0.2">
      <c r="C19" s="37" t="s">
        <v>122</v>
      </c>
    </row>
    <row r="20" spans="3:3" x14ac:dyDescent="0.2">
      <c r="C20" s="37" t="s">
        <v>123</v>
      </c>
    </row>
  </sheetData>
  <mergeCells count="1">
    <mergeCell ref="C12:G12"/>
  </mergeCells>
  <hyperlinks>
    <hyperlink ref="C13" location="HL_Sheet_Main_6" tooltip="Go to Previous Sheet" display="HL_Sheet_Main_6" xr:uid="{00000000-0004-0000-2800-000000000000}"/>
    <hyperlink ref="D13" location="HL_Sheet_Main_36" tooltip="Go to Next Sheet" display="HL_Sheet_Main_36" xr:uid="{00000000-0004-0000-2800-000001000000}"/>
    <hyperlink ref="C12" location="HL_Home" tooltip="Go to Table of Contents" display="HL_Home" xr:uid="{00000000-0004-0000-2800-000002000000}"/>
    <hyperlink ref="C12:G12" location="Contents!A1" tooltip="Go to Table of Contents" display="Contents!A1" xr:uid="{00000000-0004-0000-2800-000003000000}"/>
  </hyperlinks>
  <pageMargins left="0.4" right="0.4" top="0.6" bottom="1" header="0" footer="0.3"/>
  <pageSetup orientation="landscape" r:id="rId1"/>
  <headerFooter>
    <oddFooter>&amp;L&amp;F
&amp;A
Printed: &amp;T on &amp;D&amp;CPage &amp;P of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8">
    <tabColor rgb="FF0070C0"/>
    <pageSetUpPr autoPageBreaks="0"/>
  </sheetPr>
  <dimension ref="A1:N178"/>
  <sheetViews>
    <sheetView showGridLines="0" zoomScaleNormal="100" workbookViewId="0">
      <pane xSplit="1" ySplit="9" topLeftCell="B10" activePane="bottomRight" state="frozen"/>
      <selection activeCell="I511" sqref="I511"/>
      <selection pane="topRight" activeCell="I511" sqref="I511"/>
      <selection pane="bottomLeft" activeCell="I511" sqref="I511"/>
      <selection pane="bottomRight" activeCell="I511" sqref="I511"/>
    </sheetView>
  </sheetViews>
  <sheetFormatPr defaultColWidth="11.7109375" defaultRowHeight="12" outlineLevelRow="2" outlineLevelCol="1" x14ac:dyDescent="0.2"/>
  <cols>
    <col min="1" max="2" width="3.7109375" customWidth="1"/>
    <col min="3" max="3" width="5.7109375" customWidth="1"/>
    <col min="4" max="4" width="35.7109375" customWidth="1"/>
    <col min="5" max="5" width="30.7109375" customWidth="1"/>
    <col min="6" max="6" width="15.7109375" customWidth="1"/>
    <col min="7" max="7" width="10.7109375" customWidth="1"/>
    <col min="9" max="9" width="15.7109375" customWidth="1"/>
    <col min="10" max="14" width="20.7109375" customWidth="1" outlineLevel="1"/>
  </cols>
  <sheetData>
    <row r="1" spans="1:14" ht="15" x14ac:dyDescent="0.2">
      <c r="A1" s="2" t="s">
        <v>128</v>
      </c>
      <c r="B1" s="31" t="str">
        <f>Lang_Calculations_Coverage</f>
        <v>Calculations - Coverage</v>
      </c>
    </row>
    <row r="2" spans="1:14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3" spans="1:14" ht="12.75" x14ac:dyDescent="0.2">
      <c r="B3" s="426" t="str">
        <f>Lang_Goto_TOC</f>
        <v>Go to Table of Contents</v>
      </c>
      <c r="C3" s="426"/>
      <c r="D3" s="426"/>
      <c r="E3" s="47"/>
      <c r="F3" s="47"/>
    </row>
    <row r="4" spans="1:14" x14ac:dyDescent="0.2">
      <c r="A4" s="2" t="s">
        <v>5</v>
      </c>
      <c r="B4" s="38" t="s">
        <v>7</v>
      </c>
      <c r="C4" s="39" t="s">
        <v>8</v>
      </c>
      <c r="D4" s="57" t="s">
        <v>18</v>
      </c>
      <c r="F4" s="58" t="s">
        <v>19</v>
      </c>
    </row>
    <row r="5" spans="1:14" s="10" customFormat="1" x14ac:dyDescent="0.2">
      <c r="B5" s="90" t="str">
        <f>Lang_Year_Ending&amp;" "&amp;INDEX(LU_TS_Mth_Names,DD_TS_Fin_Yr_End_Mth)</f>
        <v>Year Ending December</v>
      </c>
      <c r="C5" s="90"/>
      <c r="D5" s="90"/>
      <c r="E5" s="90"/>
      <c r="F5" s="90"/>
      <c r="G5" s="90"/>
      <c r="H5" s="90"/>
      <c r="I5" s="90"/>
      <c r="J5" s="106">
        <f t="shared" ref="J5:N5" si="0">J9</f>
        <v>2019</v>
      </c>
      <c r="K5" s="106">
        <f t="shared" si="0"/>
        <v>2020</v>
      </c>
      <c r="L5" s="106">
        <f t="shared" si="0"/>
        <v>2021</v>
      </c>
      <c r="M5" s="106">
        <f t="shared" si="0"/>
        <v>2022</v>
      </c>
      <c r="N5" s="106">
        <f t="shared" si="0"/>
        <v>2023</v>
      </c>
    </row>
    <row r="6" spans="1:14" s="10" customFormat="1" outlineLevel="2" x14ac:dyDescent="0.2">
      <c r="B6" s="50" t="str">
        <f>Lang_Period_Start_Date</f>
        <v>Period Start Date</v>
      </c>
      <c r="J6" s="340">
        <f>EDATE(TS_Start_Date,(J8-1)*TS_Mths_In_Yr)</f>
        <v>43466</v>
      </c>
      <c r="K6" s="340">
        <f>EDATE(TS_Start_Date,(K8-1)*TS_Mths_In_Yr)</f>
        <v>43831</v>
      </c>
      <c r="L6" s="340">
        <f>EDATE(TS_Start_Date,(L8-1)*TS_Mths_In_Yr)</f>
        <v>44197</v>
      </c>
      <c r="M6" s="340">
        <f>EDATE(TS_Start_Date,(M8-1)*TS_Mths_In_Yr)</f>
        <v>44562</v>
      </c>
      <c r="N6" s="340">
        <f>EDATE(TS_Start_Date,(N8-1)*TS_Mths_In_Yr)</f>
        <v>44927</v>
      </c>
    </row>
    <row r="7" spans="1:14" s="10" customFormat="1" outlineLevel="2" x14ac:dyDescent="0.2">
      <c r="B7" s="50" t="str">
        <f>Lang_Period_End_Date</f>
        <v>Period End Date</v>
      </c>
      <c r="J7" s="340">
        <f>EDATE(J6,TS_Mths_In_Yr)-1</f>
        <v>43830</v>
      </c>
      <c r="K7" s="340">
        <f>EDATE(K6,TS_Mths_In_Yr)-1</f>
        <v>44196</v>
      </c>
      <c r="L7" s="340">
        <f>EDATE(L6,TS_Mths_In_Yr)-1</f>
        <v>44561</v>
      </c>
      <c r="M7" s="340">
        <f>EDATE(M6,TS_Mths_In_Yr)-1</f>
        <v>44926</v>
      </c>
      <c r="N7" s="340">
        <f>EDATE(N6,TS_Mths_In_Yr)-1</f>
        <v>45291</v>
      </c>
    </row>
    <row r="8" spans="1:14" s="10" customFormat="1" outlineLevel="2" x14ac:dyDescent="0.2">
      <c r="B8" s="50" t="str">
        <f>Lang_Counter</f>
        <v>Counter</v>
      </c>
      <c r="J8" s="42">
        <f>COLUMNS($J8:J8)</f>
        <v>1</v>
      </c>
      <c r="K8" s="42">
        <f>COLUMNS($J8:K8)</f>
        <v>2</v>
      </c>
      <c r="L8" s="42">
        <f>COLUMNS($J8:L8)</f>
        <v>3</v>
      </c>
      <c r="M8" s="42">
        <f>COLUMNS($J8:M8)</f>
        <v>4</v>
      </c>
      <c r="N8" s="42">
        <f>COLUMNS($J8:N8)</f>
        <v>5</v>
      </c>
    </row>
    <row r="9" spans="1:14" s="10" customFormat="1" outlineLevel="2" x14ac:dyDescent="0.2">
      <c r="B9" s="91" t="str">
        <f>Lang_Financial_Year</f>
        <v>Financial Year</v>
      </c>
      <c r="C9" s="69"/>
      <c r="D9" s="69"/>
      <c r="E9" s="69"/>
      <c r="F9" s="69"/>
      <c r="G9" s="69"/>
      <c r="H9" s="69"/>
      <c r="I9" s="69"/>
      <c r="J9" s="341">
        <f t="shared" ref="J9:N9" si="1">YEAR(J7)</f>
        <v>2019</v>
      </c>
      <c r="K9" s="341">
        <f t="shared" si="1"/>
        <v>2020</v>
      </c>
      <c r="L9" s="341">
        <f t="shared" si="1"/>
        <v>2021</v>
      </c>
      <c r="M9" s="341">
        <f t="shared" si="1"/>
        <v>2022</v>
      </c>
      <c r="N9" s="341">
        <f t="shared" si="1"/>
        <v>2023</v>
      </c>
    </row>
    <row r="10" spans="1:14" s="10" customFormat="1" x14ac:dyDescent="0.2"/>
    <row r="11" spans="1:14" s="10" customFormat="1" x14ac:dyDescent="0.2">
      <c r="A11" s="12" t="s">
        <v>125</v>
      </c>
      <c r="B11" s="13" t="str">
        <f>Lang_Coverage_Outputs_Projected_Target_Group_A</f>
        <v>Coverage - Outputs - Projected Target Group A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</row>
    <row r="12" spans="1:14" s="10" customFormat="1" outlineLevel="1" x14ac:dyDescent="0.2"/>
    <row r="13" spans="1:14" s="10" customFormat="1" outlineLevel="1" x14ac:dyDescent="0.2">
      <c r="C13" s="74" t="str">
        <f>Lang_Coverage_Projection</f>
        <v>Coverage Projection</v>
      </c>
    </row>
    <row r="14" spans="1:14" s="10" customFormat="1" outlineLevel="1" x14ac:dyDescent="0.2"/>
    <row r="15" spans="1:14" s="10" customFormat="1" outlineLevel="1" x14ac:dyDescent="0.2">
      <c r="C15" s="358" t="str">
        <f>CVG_Lu!$D$31</f>
        <v>HPV 1</v>
      </c>
    </row>
    <row r="16" spans="1:14" s="10" customFormat="1" outlineLevel="1" x14ac:dyDescent="0.2"/>
    <row r="17" spans="1:14" s="10" customFormat="1" outlineLevel="1" x14ac:dyDescent="0.2">
      <c r="D17" s="114" t="str">
        <f>COVERAGE!D27</f>
        <v>Target Group Name1</v>
      </c>
    </row>
    <row r="18" spans="1:14" s="10" customFormat="1" outlineLevel="1" x14ac:dyDescent="0.2"/>
    <row r="19" spans="1:14" s="10" customFormat="1" outlineLevel="1" x14ac:dyDescent="0.2"/>
    <row r="20" spans="1:14" s="10" customFormat="1" outlineLevel="1" x14ac:dyDescent="0.2"/>
    <row r="21" spans="1:14" s="10" customFormat="1" outlineLevel="1" x14ac:dyDescent="0.2">
      <c r="D21" s="53" t="str">
        <f>C$15&amp;" "&amp;D$17&amp;" "&amp;Lang_Vacc_Administered_Projected</f>
        <v>HPV 1 Target Group Name1 Vaccinations Administered (Projected)</v>
      </c>
      <c r="J21" s="42">
        <f>COUNTS!J45*COVERAGE!J34</f>
        <v>49999.5</v>
      </c>
      <c r="K21" s="42">
        <f>COUNTS!K45*COVERAGE!K34</f>
        <v>51499.999999999993</v>
      </c>
      <c r="L21" s="42">
        <f>COUNTS!L45*COVERAGE!L34</f>
        <v>53044.5</v>
      </c>
      <c r="M21" s="42">
        <f>COUNTS!M45*COVERAGE!M34</f>
        <v>54636</v>
      </c>
      <c r="N21" s="42">
        <f>COUNTS!N45*COVERAGE!N34</f>
        <v>56275</v>
      </c>
    </row>
    <row r="22" spans="1:14" s="10" customFormat="1" outlineLevel="1" x14ac:dyDescent="0.2">
      <c r="D22" s="71" t="str">
        <f>Lang_Total_SmallLetter&amp;" "&amp;C15&amp;" "&amp;D17&amp;" "&amp;Lang_Vacc_Administered_Projected</f>
        <v>Total HPV 1 Target Group Name1 Vaccinations Administered (Projected)</v>
      </c>
      <c r="J22" s="113">
        <f t="shared" ref="J22:N22" si="2">SUM(J21:J21)</f>
        <v>49999.5</v>
      </c>
      <c r="K22" s="113">
        <f t="shared" si="2"/>
        <v>51499.999999999993</v>
      </c>
      <c r="L22" s="113">
        <f t="shared" si="2"/>
        <v>53044.5</v>
      </c>
      <c r="M22" s="113">
        <f t="shared" si="2"/>
        <v>54636</v>
      </c>
      <c r="N22" s="113">
        <f t="shared" si="2"/>
        <v>56275</v>
      </c>
    </row>
    <row r="23" spans="1:14" s="10" customFormat="1" hidden="1" x14ac:dyDescent="0.2"/>
    <row r="24" spans="1:14" s="10" customFormat="1" hidden="1" x14ac:dyDescent="0.2">
      <c r="A24" s="12" t="s">
        <v>125</v>
      </c>
      <c r="B24" s="13" t="s">
        <v>297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</row>
    <row r="25" spans="1:14" s="10" customFormat="1" outlineLevel="1" x14ac:dyDescent="0.2"/>
    <row r="26" spans="1:14" s="10" customFormat="1" outlineLevel="1" x14ac:dyDescent="0.2"/>
    <row r="27" spans="1:14" s="10" customFormat="1" outlineLevel="1" x14ac:dyDescent="0.2"/>
    <row r="28" spans="1:14" s="10" customFormat="1" outlineLevel="1" x14ac:dyDescent="0.2">
      <c r="C28" s="74" t="str">
        <f>Lang_Coverage_Projection</f>
        <v>Coverage Projection</v>
      </c>
    </row>
    <row r="29" spans="1:14" s="10" customFormat="1" outlineLevel="1" x14ac:dyDescent="0.2"/>
    <row r="30" spans="1:14" s="10" customFormat="1" outlineLevel="1" x14ac:dyDescent="0.2">
      <c r="C30" s="114" t="str">
        <f>CVG_Lu!$D$31</f>
        <v>HPV 1</v>
      </c>
    </row>
    <row r="31" spans="1:14" s="10" customFormat="1" outlineLevel="1" x14ac:dyDescent="0.2"/>
    <row r="32" spans="1:14" s="10" customFormat="1" outlineLevel="1" x14ac:dyDescent="0.2">
      <c r="D32" s="114" t="str">
        <f>COVERAGE!D50</f>
        <v>Target Group Name2</v>
      </c>
    </row>
    <row r="33" spans="1:14" s="10" customFormat="1" outlineLevel="1" x14ac:dyDescent="0.2"/>
    <row r="34" spans="1:14" s="10" customFormat="1" outlineLevel="1" x14ac:dyDescent="0.2">
      <c r="D34" s="53" t="str">
        <f>C$30&amp;" "&amp;D$32&amp;" "&amp;Lang_Vacc_Administered_Projected</f>
        <v>HPV 1 Target Group Name2 Vaccinations Administered (Projected)</v>
      </c>
      <c r="J34" s="42">
        <f>COUNTS!J63*COVERAGE!J57</f>
        <v>49999.5</v>
      </c>
      <c r="K34" s="42">
        <f>COUNTS!K63*COVERAGE!K57</f>
        <v>50000</v>
      </c>
      <c r="L34" s="42">
        <f>COUNTS!L63*COVERAGE!L57</f>
        <v>49999.5</v>
      </c>
      <c r="M34" s="42">
        <f>COUNTS!M63*COVERAGE!M57</f>
        <v>49999.5</v>
      </c>
      <c r="N34" s="42">
        <f>COUNTS!N63*COVERAGE!N57</f>
        <v>49999.5</v>
      </c>
    </row>
    <row r="35" spans="1:14" s="10" customFormat="1" outlineLevel="1" x14ac:dyDescent="0.2">
      <c r="D35" s="71" t="str">
        <f>Lang_Total_SmallLetter&amp;" "&amp;C30&amp;" "&amp;D32&amp;" "&amp;Lang_Vacc_Administered_Projected</f>
        <v>Total HPV 1 Target Group Name2 Vaccinations Administered (Projected)</v>
      </c>
      <c r="J35" s="113">
        <f t="shared" ref="J35:N35" si="3">SUM(J34:J34)</f>
        <v>49999.5</v>
      </c>
      <c r="K35" s="113">
        <f t="shared" si="3"/>
        <v>50000</v>
      </c>
      <c r="L35" s="113">
        <f t="shared" si="3"/>
        <v>49999.5</v>
      </c>
      <c r="M35" s="113">
        <f t="shared" si="3"/>
        <v>49999.5</v>
      </c>
      <c r="N35" s="113">
        <f t="shared" si="3"/>
        <v>49999.5</v>
      </c>
    </row>
    <row r="36" spans="1:14" s="10" customFormat="1" hidden="1" x14ac:dyDescent="0.2"/>
    <row r="37" spans="1:14" s="10" customFormat="1" hidden="1" x14ac:dyDescent="0.2">
      <c r="A37" s="12" t="s">
        <v>125</v>
      </c>
      <c r="B37" s="13" t="s">
        <v>298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</row>
    <row r="38" spans="1:14" s="10" customFormat="1" outlineLevel="1" x14ac:dyDescent="0.2"/>
    <row r="39" spans="1:14" s="10" customFormat="1" outlineLevel="1" x14ac:dyDescent="0.2"/>
    <row r="40" spans="1:14" s="10" customFormat="1" outlineLevel="1" x14ac:dyDescent="0.2">
      <c r="C40" s="74" t="str">
        <f>Lang_Coverage_Projection</f>
        <v>Coverage Projection</v>
      </c>
    </row>
    <row r="41" spans="1:14" s="10" customFormat="1" outlineLevel="1" x14ac:dyDescent="0.2"/>
    <row r="42" spans="1:14" s="10" customFormat="1" outlineLevel="1" x14ac:dyDescent="0.2">
      <c r="C42" s="114" t="str">
        <f>CVG_Lu!$D$32</f>
        <v>HPV 2</v>
      </c>
    </row>
    <row r="43" spans="1:14" s="10" customFormat="1" outlineLevel="1" x14ac:dyDescent="0.2"/>
    <row r="44" spans="1:14" s="10" customFormat="1" outlineLevel="1" x14ac:dyDescent="0.2">
      <c r="D44" s="114" t="str">
        <f>COVERAGE!D73</f>
        <v>Target Group Name1</v>
      </c>
    </row>
    <row r="45" spans="1:14" s="10" customFormat="1" outlineLevel="1" x14ac:dyDescent="0.2"/>
    <row r="46" spans="1:14" s="10" customFormat="1" outlineLevel="1" x14ac:dyDescent="0.2">
      <c r="D46" s="53" t="str">
        <f>C$42&amp;" "&amp;D$44&amp;" "&amp;Lang_Vacc_Administered_Projected</f>
        <v>HPV 2 Target Group Name1 Vaccinations Administered (Projected)</v>
      </c>
      <c r="J46" s="42">
        <f>COUNTS!J45*COVERAGE!J82</f>
        <v>44999.55</v>
      </c>
      <c r="K46" s="42">
        <f>COUNTS!K45*COVERAGE!K82</f>
        <v>46350</v>
      </c>
      <c r="L46" s="42">
        <f>COUNTS!L45*COVERAGE!L82</f>
        <v>47740.05</v>
      </c>
      <c r="M46" s="42">
        <f>COUNTS!M45*COVERAGE!M82</f>
        <v>49172.4</v>
      </c>
      <c r="N46" s="42">
        <f>COUNTS!N45*COVERAGE!N82</f>
        <v>50647.5</v>
      </c>
    </row>
    <row r="47" spans="1:14" s="10" customFormat="1" outlineLevel="1" x14ac:dyDescent="0.2">
      <c r="D47" s="71" t="str">
        <f>Lang_Total_SmallLetter&amp;" "&amp;C42&amp;" "&amp;D44&amp;" "&amp;Lang_Vacc_Administered_Projected</f>
        <v>Total HPV 2 Target Group Name1 Vaccinations Administered (Projected)</v>
      </c>
      <c r="J47" s="113">
        <f t="shared" ref="J47:N47" si="4">SUM(J46:J46)</f>
        <v>44999.55</v>
      </c>
      <c r="K47" s="113">
        <f t="shared" si="4"/>
        <v>46350</v>
      </c>
      <c r="L47" s="113">
        <f t="shared" si="4"/>
        <v>47740.05</v>
      </c>
      <c r="M47" s="113">
        <f t="shared" si="4"/>
        <v>49172.4</v>
      </c>
      <c r="N47" s="113">
        <f t="shared" si="4"/>
        <v>50647.5</v>
      </c>
    </row>
    <row r="48" spans="1:14" s="10" customFormat="1" hidden="1" x14ac:dyDescent="0.2"/>
    <row r="49" spans="1:14" s="10" customFormat="1" hidden="1" x14ac:dyDescent="0.2">
      <c r="A49" s="12" t="s">
        <v>125</v>
      </c>
      <c r="B49" s="13" t="s">
        <v>299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</row>
    <row r="50" spans="1:14" s="10" customFormat="1" outlineLevel="1" x14ac:dyDescent="0.2"/>
    <row r="51" spans="1:14" s="10" customFormat="1" outlineLevel="1" x14ac:dyDescent="0.2">
      <c r="C51" s="74" t="str">
        <f>Lang_Coverage_Projection</f>
        <v>Coverage Projection</v>
      </c>
    </row>
    <row r="52" spans="1:14" s="10" customFormat="1" outlineLevel="1" x14ac:dyDescent="0.2"/>
    <row r="53" spans="1:14" s="10" customFormat="1" outlineLevel="1" x14ac:dyDescent="0.2">
      <c r="C53" s="114" t="str">
        <f>CVG_Lu!$D$32</f>
        <v>HPV 2</v>
      </c>
    </row>
    <row r="54" spans="1:14" s="10" customFormat="1" outlineLevel="1" x14ac:dyDescent="0.2"/>
    <row r="55" spans="1:14" s="10" customFormat="1" outlineLevel="1" x14ac:dyDescent="0.2">
      <c r="D55" s="114" t="str">
        <f>COVERAGE!D99</f>
        <v>Target Group Name2 Subgroups</v>
      </c>
    </row>
    <row r="56" spans="1:14" s="10" customFormat="1" outlineLevel="1" x14ac:dyDescent="0.2"/>
    <row r="57" spans="1:14" s="10" customFormat="1" outlineLevel="1" x14ac:dyDescent="0.2">
      <c r="D57" s="53" t="str">
        <f>C$53&amp;" "&amp;D$55&amp;" "&amp;Lang_Vacc_Administered_Projected</f>
        <v>HPV 2 Target Group Name2 Subgroups Vaccinations Administered (Projected)</v>
      </c>
      <c r="J57" s="42">
        <f>COUNTS!J63*COVERAGE!J108</f>
        <v>44999.55</v>
      </c>
      <c r="K57" s="42">
        <f>COUNTS!K63*COVERAGE!K108</f>
        <v>45000</v>
      </c>
      <c r="L57" s="42">
        <f>COUNTS!L63*COVERAGE!L108</f>
        <v>44999.55</v>
      </c>
      <c r="M57" s="42">
        <f>COUNTS!M63*COVERAGE!M108</f>
        <v>44999.55</v>
      </c>
      <c r="N57" s="42">
        <f>COUNTS!N63*COVERAGE!N108</f>
        <v>44999.55</v>
      </c>
    </row>
    <row r="58" spans="1:14" s="10" customFormat="1" outlineLevel="1" x14ac:dyDescent="0.2">
      <c r="D58" s="71" t="str">
        <f>Lang_Total_SmallLetter&amp;" "&amp;C53&amp;" "&amp;D55&amp;" "&amp;Lang_Vacc_Administered_Projected</f>
        <v>Total HPV 2 Target Group Name2 Subgroups Vaccinations Administered (Projected)</v>
      </c>
      <c r="J58" s="113">
        <f t="shared" ref="J58:N58" si="5">SUM(J57:J57)</f>
        <v>44999.55</v>
      </c>
      <c r="K58" s="113">
        <f t="shared" si="5"/>
        <v>45000</v>
      </c>
      <c r="L58" s="113">
        <f t="shared" si="5"/>
        <v>44999.55</v>
      </c>
      <c r="M58" s="113">
        <f t="shared" si="5"/>
        <v>44999.55</v>
      </c>
      <c r="N58" s="113">
        <f t="shared" si="5"/>
        <v>44999.55</v>
      </c>
    </row>
    <row r="59" spans="1:14" s="10" customFormat="1" hidden="1" x14ac:dyDescent="0.2"/>
    <row r="60" spans="1:14" s="10" customFormat="1" hidden="1" x14ac:dyDescent="0.2">
      <c r="A60" s="12" t="s">
        <v>125</v>
      </c>
      <c r="B60" s="13" t="s">
        <v>306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</row>
    <row r="61" spans="1:14" s="10" customFormat="1" outlineLevel="1" x14ac:dyDescent="0.2"/>
    <row r="62" spans="1:14" s="10" customFormat="1" outlineLevel="1" x14ac:dyDescent="0.2">
      <c r="C62" s="74" t="str">
        <f>Lang_Coverage_Projection</f>
        <v>Coverage Projection</v>
      </c>
    </row>
    <row r="63" spans="1:14" s="10" customFormat="1" outlineLevel="1" x14ac:dyDescent="0.2"/>
    <row r="64" spans="1:14" s="10" customFormat="1" outlineLevel="1" x14ac:dyDescent="0.2">
      <c r="C64" s="71" t="str">
        <f>CVG_Lu!$D$31&amp;" &amp; "&amp;CVG_Lu!$D$32</f>
        <v>HPV 1 &amp; HPV 2</v>
      </c>
    </row>
    <row r="65" spans="1:14" s="10" customFormat="1" outlineLevel="1" x14ac:dyDescent="0.2"/>
    <row r="66" spans="1:14" s="10" customFormat="1" outlineLevel="1" x14ac:dyDescent="0.2">
      <c r="D66" s="114" t="str">
        <f>COVERAGE!D27</f>
        <v>Target Group Name1</v>
      </c>
    </row>
    <row r="67" spans="1:14" s="10" customFormat="1" outlineLevel="1" x14ac:dyDescent="0.2"/>
    <row r="68" spans="1:14" s="10" customFormat="1" outlineLevel="1" x14ac:dyDescent="0.2">
      <c r="D68" s="53" t="str">
        <f>C$64&amp;" "&amp;D$66&amp;" "&amp;Lang_Vacc_Administered_Projected</f>
        <v>HPV 1 &amp; HPV 2 Target Group Name1 Vaccinations Administered (Projected)</v>
      </c>
      <c r="J68" s="42">
        <f t="shared" ref="J68:N68" si="6">SUM(J21,J46)</f>
        <v>94999.05</v>
      </c>
      <c r="K68" s="42">
        <f t="shared" si="6"/>
        <v>97850</v>
      </c>
      <c r="L68" s="42">
        <f t="shared" si="6"/>
        <v>100784.55</v>
      </c>
      <c r="M68" s="42">
        <f t="shared" si="6"/>
        <v>103808.4</v>
      </c>
      <c r="N68" s="42">
        <f t="shared" si="6"/>
        <v>106922.5</v>
      </c>
    </row>
    <row r="69" spans="1:14" s="10" customFormat="1" outlineLevel="1" x14ac:dyDescent="0.2">
      <c r="D69" s="71" t="str">
        <f>Lang_Total_SmallLetter&amp;" "&amp;C64&amp;" "&amp;D66&amp;" "&amp;Lang_Vacc_Administered_Projected</f>
        <v>Total HPV 1 &amp; HPV 2 Target Group Name1 Vaccinations Administered (Projected)</v>
      </c>
      <c r="J69" s="113">
        <f t="shared" ref="J69:N69" si="7">SUM(J68:J68)</f>
        <v>94999.05</v>
      </c>
      <c r="K69" s="113">
        <f t="shared" si="7"/>
        <v>97850</v>
      </c>
      <c r="L69" s="113">
        <f t="shared" si="7"/>
        <v>100784.55</v>
      </c>
      <c r="M69" s="113">
        <f t="shared" si="7"/>
        <v>103808.4</v>
      </c>
      <c r="N69" s="113">
        <f t="shared" si="7"/>
        <v>106922.5</v>
      </c>
    </row>
    <row r="70" spans="1:14" s="10" customFormat="1" outlineLevel="1" x14ac:dyDescent="0.2"/>
    <row r="71" spans="1:14" s="10" customFormat="1" outlineLevel="1" x14ac:dyDescent="0.2"/>
    <row r="72" spans="1:14" s="10" customFormat="1" hidden="1" x14ac:dyDescent="0.2"/>
    <row r="73" spans="1:14" s="10" customFormat="1" hidden="1" x14ac:dyDescent="0.2">
      <c r="A73" s="12" t="s">
        <v>125</v>
      </c>
      <c r="B73" s="13" t="s">
        <v>307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</row>
    <row r="74" spans="1:14" s="10" customFormat="1" outlineLevel="1" x14ac:dyDescent="0.2"/>
    <row r="75" spans="1:14" s="10" customFormat="1" outlineLevel="1" x14ac:dyDescent="0.2">
      <c r="C75" s="74" t="str">
        <f>Lang_Coverage_Projection</f>
        <v>Coverage Projection</v>
      </c>
    </row>
    <row r="76" spans="1:14" s="10" customFormat="1" outlineLevel="1" x14ac:dyDescent="0.2"/>
    <row r="77" spans="1:14" s="10" customFormat="1" outlineLevel="1" x14ac:dyDescent="0.2">
      <c r="C77" s="71" t="str">
        <f>CVG_Lu!$D$31&amp;" &amp; "&amp;CVG_Lu!$D$32</f>
        <v>HPV 1 &amp; HPV 2</v>
      </c>
    </row>
    <row r="78" spans="1:14" s="10" customFormat="1" outlineLevel="1" x14ac:dyDescent="0.2"/>
    <row r="79" spans="1:14" s="10" customFormat="1" outlineLevel="1" x14ac:dyDescent="0.2">
      <c r="D79" s="114" t="str">
        <f>COVERAGE!D50</f>
        <v>Target Group Name2</v>
      </c>
    </row>
    <row r="80" spans="1:14" s="10" customFormat="1" outlineLevel="1" x14ac:dyDescent="0.2"/>
    <row r="81" spans="1:14" s="10" customFormat="1" outlineLevel="1" x14ac:dyDescent="0.2">
      <c r="D81" s="53" t="str">
        <f>C$77&amp;" "&amp;D$79&amp;" "&amp;Lang_Vacc_Administered_Projected</f>
        <v>HPV 1 &amp; HPV 2 Target Group Name2 Vaccinations Administered (Projected)</v>
      </c>
      <c r="J81" s="42">
        <f t="shared" ref="J81:N81" si="8">SUM(J34,J57)</f>
        <v>94999.05</v>
      </c>
      <c r="K81" s="42">
        <f t="shared" si="8"/>
        <v>95000</v>
      </c>
      <c r="L81" s="42">
        <f t="shared" si="8"/>
        <v>94999.05</v>
      </c>
      <c r="M81" s="42">
        <f t="shared" si="8"/>
        <v>94999.05</v>
      </c>
      <c r="N81" s="42">
        <f t="shared" si="8"/>
        <v>94999.05</v>
      </c>
    </row>
    <row r="82" spans="1:14" s="10" customFormat="1" outlineLevel="1" x14ac:dyDescent="0.2">
      <c r="D82" s="71" t="str">
        <f>Lang_Total_SmallLetter&amp;" "&amp;C77&amp;" "&amp;D79&amp;" "&amp;Lang_Vacc_Administered_Projected</f>
        <v>Total HPV 1 &amp; HPV 2 Target Group Name2 Vaccinations Administered (Projected)</v>
      </c>
      <c r="J82" s="113">
        <f t="shared" ref="J82:N82" si="9">SUM(J81:J81)</f>
        <v>94999.05</v>
      </c>
      <c r="K82" s="113">
        <f t="shared" si="9"/>
        <v>95000</v>
      </c>
      <c r="L82" s="113">
        <f t="shared" si="9"/>
        <v>94999.05</v>
      </c>
      <c r="M82" s="113">
        <f t="shared" si="9"/>
        <v>94999.05</v>
      </c>
      <c r="N82" s="113">
        <f t="shared" si="9"/>
        <v>94999.05</v>
      </c>
    </row>
    <row r="83" spans="1:14" s="10" customFormat="1" outlineLevel="1" x14ac:dyDescent="0.2"/>
    <row r="84" spans="1:14" s="10" customFormat="1" outlineLevel="1" x14ac:dyDescent="0.2"/>
    <row r="85" spans="1:14" s="10" customFormat="1" outlineLevel="1" x14ac:dyDescent="0.2"/>
    <row r="86" spans="1:14" s="10" customFormat="1" outlineLevel="1" x14ac:dyDescent="0.2"/>
    <row r="87" spans="1:14" s="10" customFormat="1" outlineLevel="1" x14ac:dyDescent="0.2"/>
    <row r="88" spans="1:14" s="10" customFormat="1" outlineLevel="1" x14ac:dyDescent="0.2"/>
    <row r="89" spans="1:14" s="10" customFormat="1" outlineLevel="1" x14ac:dyDescent="0.2"/>
    <row r="90" spans="1:14" s="10" customFormat="1" hidden="1" x14ac:dyDescent="0.2"/>
    <row r="91" spans="1:14" s="10" customFormat="1" hidden="1" x14ac:dyDescent="0.2">
      <c r="A91" s="12" t="s">
        <v>125</v>
      </c>
      <c r="B91" s="13" t="s">
        <v>308</v>
      </c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</row>
    <row r="92" spans="1:14" s="10" customFormat="1" outlineLevel="1" x14ac:dyDescent="0.2"/>
    <row r="93" spans="1:14" s="10" customFormat="1" outlineLevel="1" x14ac:dyDescent="0.2">
      <c r="C93" s="74" t="str">
        <f>Lang_Coverage_Projection</f>
        <v>Coverage Projection</v>
      </c>
    </row>
    <row r="94" spans="1:14" s="10" customFormat="1" outlineLevel="1" x14ac:dyDescent="0.2"/>
    <row r="95" spans="1:14" s="10" customFormat="1" outlineLevel="1" x14ac:dyDescent="0.2">
      <c r="C95" s="71" t="str">
        <f>CVG_Lu!$D$31&amp;" &amp; "&amp;CVG_Lu!$D$32</f>
        <v>HPV 1 &amp; HPV 2</v>
      </c>
    </row>
    <row r="96" spans="1:14" s="10" customFormat="1" outlineLevel="1" x14ac:dyDescent="0.2"/>
    <row r="97" spans="1:14" s="10" customFormat="1" outlineLevel="1" x14ac:dyDescent="0.2">
      <c r="D97" s="55" t="str">
        <f>Lang_All_Target_Pop</f>
        <v>ALL TARGET POPULATIONS</v>
      </c>
    </row>
    <row r="98" spans="1:14" s="10" customFormat="1" outlineLevel="1" x14ac:dyDescent="0.2"/>
    <row r="99" spans="1:14" s="10" customFormat="1" outlineLevel="1" x14ac:dyDescent="0.2">
      <c r="D99" s="53" t="str">
        <f>C$95&amp;" "&amp;D$97&amp;" "&amp;Lang_Vacc_Administered_Projected</f>
        <v>HPV 1 &amp; HPV 2 ALL TARGET POPULATIONS Vaccinations Administered (Projected)</v>
      </c>
      <c r="J99" s="42">
        <f t="shared" ref="J99:N99" si="10">SUM(J68,J81)</f>
        <v>189998.1</v>
      </c>
      <c r="K99" s="42">
        <f t="shared" si="10"/>
        <v>192850</v>
      </c>
      <c r="L99" s="42">
        <f t="shared" si="10"/>
        <v>195783.6</v>
      </c>
      <c r="M99" s="42">
        <f t="shared" si="10"/>
        <v>198807.45</v>
      </c>
      <c r="N99" s="42">
        <f t="shared" si="10"/>
        <v>201921.55</v>
      </c>
    </row>
    <row r="100" spans="1:14" s="10" customFormat="1" outlineLevel="1" x14ac:dyDescent="0.2">
      <c r="D100" s="71" t="str">
        <f>Lang_Total_SmallLetter&amp;" "&amp;C95&amp;" "&amp;D97&amp;" "&amp;Lang_Vacc_Administered_Projected</f>
        <v>Total HPV 1 &amp; HPV 2 ALL TARGET POPULATIONS Vaccinations Administered (Projected)</v>
      </c>
      <c r="J100" s="113">
        <f t="shared" ref="J100:N100" si="11">SUM(J99:J99)</f>
        <v>189998.1</v>
      </c>
      <c r="K100" s="113">
        <f t="shared" si="11"/>
        <v>192850</v>
      </c>
      <c r="L100" s="113">
        <f t="shared" si="11"/>
        <v>195783.6</v>
      </c>
      <c r="M100" s="113">
        <f t="shared" si="11"/>
        <v>198807.45</v>
      </c>
      <c r="N100" s="113">
        <f t="shared" si="11"/>
        <v>201921.55</v>
      </c>
    </row>
    <row r="101" spans="1:14" s="10" customFormat="1" outlineLevel="1" x14ac:dyDescent="0.2"/>
    <row r="102" spans="1:14" s="10" customFormat="1" hidden="1" x14ac:dyDescent="0.2"/>
    <row r="103" spans="1:14" s="10" customFormat="1" x14ac:dyDescent="0.2">
      <c r="A103" s="12" t="s">
        <v>125</v>
      </c>
      <c r="B103" s="13" t="str">
        <f>Lang_Coverage_Outputs_Retrospective_Target_Group_A</f>
        <v>Coverage - Outputs - Retrospective Target Group A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</row>
    <row r="104" spans="1:14" s="10" customFormat="1" outlineLevel="1" x14ac:dyDescent="0.2"/>
    <row r="105" spans="1:14" s="10" customFormat="1" outlineLevel="1" x14ac:dyDescent="0.2">
      <c r="C105" s="74" t="str">
        <f>Lang_Retrospective_Coverage</f>
        <v>Retrospective Coverage</v>
      </c>
    </row>
    <row r="106" spans="1:14" s="10" customFormat="1" outlineLevel="1" x14ac:dyDescent="0.2"/>
    <row r="107" spans="1:14" s="10" customFormat="1" outlineLevel="1" x14ac:dyDescent="0.2">
      <c r="C107" s="114" t="str">
        <f>CVG_Lu!$D$31</f>
        <v>HPV 1</v>
      </c>
    </row>
    <row r="108" spans="1:14" s="10" customFormat="1" outlineLevel="1" x14ac:dyDescent="0.2"/>
    <row r="109" spans="1:14" s="10" customFormat="1" outlineLevel="1" x14ac:dyDescent="0.2">
      <c r="D109" s="114" t="str">
        <f>COVERAGE!D148</f>
        <v>Target Group Name1</v>
      </c>
    </row>
    <row r="110" spans="1:14" s="10" customFormat="1" outlineLevel="1" x14ac:dyDescent="0.2"/>
    <row r="111" spans="1:14" s="10" customFormat="1" outlineLevel="1" x14ac:dyDescent="0.2">
      <c r="D111" s="53" t="str">
        <f>C$107&amp;" "&amp;D$109&amp;" "&amp;Lang_Vacc_Administered_Retrospective</f>
        <v>HPV 1 Target Group Name1 Vaccinations Administered (Retrospective)</v>
      </c>
      <c r="J111" s="42">
        <f>COVERAGE!J$157</f>
        <v>24690</v>
      </c>
      <c r="K111" s="42">
        <f>COVERAGE!K$157</f>
        <v>24690</v>
      </c>
      <c r="L111" s="42">
        <f>COVERAGE!L$157</f>
        <v>24690</v>
      </c>
      <c r="M111" s="42">
        <f>COVERAGE!M$157</f>
        <v>24690</v>
      </c>
      <c r="N111" s="42">
        <f>COVERAGE!N$157</f>
        <v>24690</v>
      </c>
    </row>
    <row r="112" spans="1:14" s="10" customFormat="1" outlineLevel="1" x14ac:dyDescent="0.2">
      <c r="D112" s="71" t="str">
        <f>Lang_Total_SmallLetter&amp;" "&amp;C107&amp;" "&amp;D109&amp;" "&amp;Lang_Vacc_Administered_Retrospective</f>
        <v>Total HPV 1 Target Group Name1 Vaccinations Administered (Retrospective)</v>
      </c>
      <c r="J112" s="113">
        <f t="shared" ref="J112:N112" si="12">SUM(J111:J111)</f>
        <v>24690</v>
      </c>
      <c r="K112" s="113">
        <f t="shared" si="12"/>
        <v>24690</v>
      </c>
      <c r="L112" s="113">
        <f t="shared" si="12"/>
        <v>24690</v>
      </c>
      <c r="M112" s="113">
        <f t="shared" si="12"/>
        <v>24690</v>
      </c>
      <c r="N112" s="113">
        <f t="shared" si="12"/>
        <v>24690</v>
      </c>
    </row>
    <row r="113" spans="1:14" s="10" customFormat="1" x14ac:dyDescent="0.2"/>
    <row r="114" spans="1:14" s="10" customFormat="1" hidden="1" x14ac:dyDescent="0.2">
      <c r="A114" s="12" t="s">
        <v>125</v>
      </c>
      <c r="B114" s="13" t="s">
        <v>301</v>
      </c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</row>
    <row r="115" spans="1:14" s="10" customFormat="1" outlineLevel="1" x14ac:dyDescent="0.2"/>
    <row r="116" spans="1:14" s="10" customFormat="1" outlineLevel="1" x14ac:dyDescent="0.2">
      <c r="C116" s="74" t="str">
        <f>Lang_Retrospective_Coverage</f>
        <v>Retrospective Coverage</v>
      </c>
    </row>
    <row r="117" spans="1:14" s="10" customFormat="1" outlineLevel="1" x14ac:dyDescent="0.2"/>
    <row r="118" spans="1:14" s="10" customFormat="1" outlineLevel="1" x14ac:dyDescent="0.2">
      <c r="C118" s="114" t="str">
        <f>CVG_Lu!$D$31</f>
        <v>HPV 1</v>
      </c>
    </row>
    <row r="119" spans="1:14" s="10" customFormat="1" outlineLevel="1" x14ac:dyDescent="0.2"/>
    <row r="120" spans="1:14" s="10" customFormat="1" outlineLevel="1" x14ac:dyDescent="0.2">
      <c r="D120" s="114" t="str">
        <f>COVERAGE!D173</f>
        <v>Target Group Name2</v>
      </c>
    </row>
    <row r="121" spans="1:14" s="10" customFormat="1" outlineLevel="1" x14ac:dyDescent="0.2"/>
    <row r="122" spans="1:14" s="10" customFormat="1" outlineLevel="1" x14ac:dyDescent="0.2">
      <c r="D122" s="53" t="str">
        <f>C$118&amp;" "&amp;D$120&amp;" "&amp;Lang_Vacc_Administered_Retrospective</f>
        <v>HPV 1 Target Group Name2 Vaccinations Administered (Retrospective)</v>
      </c>
      <c r="J122" s="42">
        <f>COVERAGE!J$183</f>
        <v>24690</v>
      </c>
      <c r="K122" s="42">
        <f>COVERAGE!K$183</f>
        <v>24690</v>
      </c>
      <c r="L122" s="42">
        <f>COVERAGE!L$183</f>
        <v>24690</v>
      </c>
      <c r="M122" s="42">
        <f>COVERAGE!M$183</f>
        <v>24690</v>
      </c>
      <c r="N122" s="42">
        <f>COVERAGE!N$183</f>
        <v>24690</v>
      </c>
    </row>
    <row r="123" spans="1:14" s="10" customFormat="1" outlineLevel="1" x14ac:dyDescent="0.2">
      <c r="D123" s="71" t="str">
        <f>Lang_Total_SmallLetter&amp;" "&amp;C118&amp;" "&amp;D120&amp;" "&amp;Lang_Vacc_Administered_Retrospective</f>
        <v>Total HPV 1 Target Group Name2 Vaccinations Administered (Retrospective)</v>
      </c>
      <c r="J123" s="113">
        <f t="shared" ref="J123:N123" si="13">SUM(J122:J122)</f>
        <v>24690</v>
      </c>
      <c r="K123" s="113">
        <f t="shared" si="13"/>
        <v>24690</v>
      </c>
      <c r="L123" s="113">
        <f t="shared" si="13"/>
        <v>24690</v>
      </c>
      <c r="M123" s="113">
        <f t="shared" si="13"/>
        <v>24690</v>
      </c>
      <c r="N123" s="113">
        <f t="shared" si="13"/>
        <v>24690</v>
      </c>
    </row>
    <row r="124" spans="1:14" s="10" customFormat="1" hidden="1" x14ac:dyDescent="0.2"/>
    <row r="125" spans="1:14" s="10" customFormat="1" hidden="1" x14ac:dyDescent="0.2">
      <c r="A125" s="12" t="s">
        <v>125</v>
      </c>
      <c r="B125" s="13" t="s">
        <v>302</v>
      </c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</row>
    <row r="126" spans="1:14" s="10" customFormat="1" outlineLevel="1" x14ac:dyDescent="0.2"/>
    <row r="127" spans="1:14" s="10" customFormat="1" outlineLevel="1" x14ac:dyDescent="0.2">
      <c r="C127" s="74" t="str">
        <f>Lang_Retrospective_Coverage</f>
        <v>Retrospective Coverage</v>
      </c>
    </row>
    <row r="128" spans="1:14" s="10" customFormat="1" outlineLevel="1" x14ac:dyDescent="0.2"/>
    <row r="129" spans="1:14" s="10" customFormat="1" outlineLevel="1" x14ac:dyDescent="0.2">
      <c r="C129" s="114" t="str">
        <f>CVG_Lu!$D$32</f>
        <v>HPV 2</v>
      </c>
    </row>
    <row r="130" spans="1:14" s="10" customFormat="1" outlineLevel="1" x14ac:dyDescent="0.2"/>
    <row r="131" spans="1:14" s="10" customFormat="1" outlineLevel="1" x14ac:dyDescent="0.2">
      <c r="D131" s="114" t="str">
        <f>COVERAGE!D197</f>
        <v>Target Group Name1</v>
      </c>
    </row>
    <row r="132" spans="1:14" s="10" customFormat="1" outlineLevel="1" x14ac:dyDescent="0.2"/>
    <row r="133" spans="1:14" s="10" customFormat="1" outlineLevel="1" x14ac:dyDescent="0.2">
      <c r="D133" s="53" t="str">
        <f>C$129&amp;" "&amp;D$131&amp;" "&amp;Lang_Vacc_Administered_Retrospective</f>
        <v>HPV 2 Target Group Name1 Vaccinations Administered (Retrospective)</v>
      </c>
      <c r="J133" s="42">
        <f>COVERAGE!J$209</f>
        <v>22222</v>
      </c>
      <c r="K133" s="42">
        <f>COVERAGE!K$209</f>
        <v>22222</v>
      </c>
      <c r="L133" s="42">
        <f>COVERAGE!L$209</f>
        <v>22222</v>
      </c>
      <c r="M133" s="42">
        <f>COVERAGE!M$209</f>
        <v>22222</v>
      </c>
      <c r="N133" s="42">
        <f>COVERAGE!N$209</f>
        <v>22222</v>
      </c>
    </row>
    <row r="134" spans="1:14" s="10" customFormat="1" outlineLevel="1" x14ac:dyDescent="0.2">
      <c r="D134" s="71" t="str">
        <f>Lang_Total_SmallLetter&amp;" "&amp;C129&amp;" "&amp;D131&amp;" "&amp;Lang_Vacc_Administered_Retrospective</f>
        <v>Total HPV 2 Target Group Name1 Vaccinations Administered (Retrospective)</v>
      </c>
      <c r="J134" s="113">
        <f t="shared" ref="J134:N134" si="14">SUM(J133:J133)</f>
        <v>22222</v>
      </c>
      <c r="K134" s="113">
        <f t="shared" si="14"/>
        <v>22222</v>
      </c>
      <c r="L134" s="113">
        <f t="shared" si="14"/>
        <v>22222</v>
      </c>
      <c r="M134" s="113">
        <f t="shared" si="14"/>
        <v>22222</v>
      </c>
      <c r="N134" s="113">
        <f t="shared" si="14"/>
        <v>22222</v>
      </c>
    </row>
    <row r="135" spans="1:14" s="10" customFormat="1" hidden="1" x14ac:dyDescent="0.2"/>
    <row r="136" spans="1:14" s="10" customFormat="1" hidden="1" x14ac:dyDescent="0.2">
      <c r="A136" s="12" t="s">
        <v>125</v>
      </c>
      <c r="B136" s="13" t="s">
        <v>301</v>
      </c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</row>
    <row r="137" spans="1:14" s="10" customFormat="1" outlineLevel="1" x14ac:dyDescent="0.2"/>
    <row r="138" spans="1:14" s="10" customFormat="1" outlineLevel="1" x14ac:dyDescent="0.2">
      <c r="C138" s="74" t="str">
        <f>Lang_Retrospective_Coverage</f>
        <v>Retrospective Coverage</v>
      </c>
    </row>
    <row r="139" spans="1:14" s="10" customFormat="1" outlineLevel="1" x14ac:dyDescent="0.2"/>
    <row r="140" spans="1:14" s="10" customFormat="1" outlineLevel="1" x14ac:dyDescent="0.2">
      <c r="C140" s="114" t="str">
        <f>CVG_Lu!$D$32</f>
        <v>HPV 2</v>
      </c>
    </row>
    <row r="141" spans="1:14" s="10" customFormat="1" outlineLevel="1" x14ac:dyDescent="0.2"/>
    <row r="142" spans="1:14" s="10" customFormat="1" outlineLevel="1" x14ac:dyDescent="0.2">
      <c r="D142" s="114" t="str">
        <f>COVERAGE!D225</f>
        <v>Target Group Name2</v>
      </c>
    </row>
    <row r="143" spans="1:14" s="10" customFormat="1" outlineLevel="1" x14ac:dyDescent="0.2"/>
    <row r="144" spans="1:14" s="10" customFormat="1" outlineLevel="1" x14ac:dyDescent="0.2">
      <c r="D144" s="53" t="str">
        <f>C$140&amp;" "&amp;D$142&amp;" "&amp;Lang_Vacc_Administered_Retrospective</f>
        <v>HPV 2 Target Group Name2 Vaccinations Administered (Retrospective)</v>
      </c>
      <c r="J144" s="42">
        <f>COVERAGE!J$237</f>
        <v>22222</v>
      </c>
      <c r="K144" s="42">
        <f>COVERAGE!K$237</f>
        <v>22222</v>
      </c>
      <c r="L144" s="42">
        <f>COVERAGE!L$237</f>
        <v>22222</v>
      </c>
      <c r="M144" s="42">
        <f>COVERAGE!M$237</f>
        <v>22222</v>
      </c>
      <c r="N144" s="42">
        <f>COVERAGE!N$237</f>
        <v>22222</v>
      </c>
    </row>
    <row r="145" spans="1:14" s="10" customFormat="1" outlineLevel="1" x14ac:dyDescent="0.2">
      <c r="D145" s="71" t="str">
        <f>Lang_Total_SmallLetter&amp;" "&amp;C140&amp;" "&amp;D142&amp;" "&amp;Lang_Vacc_Administered_Retrospective</f>
        <v>Total HPV 2 Target Group Name2 Vaccinations Administered (Retrospective)</v>
      </c>
      <c r="J145" s="113">
        <f t="shared" ref="J145:N145" si="15">SUM(J144:J144)</f>
        <v>22222</v>
      </c>
      <c r="K145" s="113">
        <f t="shared" si="15"/>
        <v>22222</v>
      </c>
      <c r="L145" s="113">
        <f t="shared" si="15"/>
        <v>22222</v>
      </c>
      <c r="M145" s="113">
        <f t="shared" si="15"/>
        <v>22222</v>
      </c>
      <c r="N145" s="113">
        <f t="shared" si="15"/>
        <v>22222</v>
      </c>
    </row>
    <row r="146" spans="1:14" s="10" customFormat="1" hidden="1" x14ac:dyDescent="0.2"/>
    <row r="147" spans="1:14" s="10" customFormat="1" x14ac:dyDescent="0.2">
      <c r="A147" s="12" t="s">
        <v>125</v>
      </c>
      <c r="B147" s="13" t="str">
        <f>Lang_Dose_1_And_2_Coverage_Outputs_Retrospective_Target_Group_A</f>
        <v>Dose 1 and 2 Coverage - Outputs - Retrospective Target Group A</v>
      </c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</row>
    <row r="148" spans="1:14" s="10" customFormat="1" outlineLevel="1" x14ac:dyDescent="0.2"/>
    <row r="149" spans="1:14" s="10" customFormat="1" outlineLevel="1" x14ac:dyDescent="0.2">
      <c r="C149" s="74" t="str">
        <f>Lang_Retrospective_Coverage</f>
        <v>Retrospective Coverage</v>
      </c>
    </row>
    <row r="150" spans="1:14" s="10" customFormat="1" outlineLevel="1" x14ac:dyDescent="0.2"/>
    <row r="151" spans="1:14" s="10" customFormat="1" outlineLevel="1" x14ac:dyDescent="0.2">
      <c r="C151" s="71" t="str">
        <f>CVG_Lu!$D$31&amp;" &amp; "&amp;CVG_Lu!$D$32</f>
        <v>HPV 1 &amp; HPV 2</v>
      </c>
    </row>
    <row r="152" spans="1:14" s="10" customFormat="1" outlineLevel="1" x14ac:dyDescent="0.2"/>
    <row r="153" spans="1:14" s="10" customFormat="1" outlineLevel="1" x14ac:dyDescent="0.2">
      <c r="D153" s="114" t="str">
        <f>COVERAGE!D148</f>
        <v>Target Group Name1</v>
      </c>
    </row>
    <row r="154" spans="1:14" s="10" customFormat="1" outlineLevel="1" x14ac:dyDescent="0.2"/>
    <row r="155" spans="1:14" s="10" customFormat="1" outlineLevel="1" x14ac:dyDescent="0.2">
      <c r="D155" s="53" t="str">
        <f>C$151&amp;" "&amp;D$153&amp;" "&amp;Lang_Vacc_Administered_Retrospective</f>
        <v>HPV 1 &amp; HPV 2 Target Group Name1 Vaccinations Administered (Retrospective)</v>
      </c>
      <c r="J155" s="42">
        <f t="shared" ref="J155:N155" si="16">SUM(J111,J133)</f>
        <v>46912</v>
      </c>
      <c r="K155" s="42">
        <f t="shared" si="16"/>
        <v>46912</v>
      </c>
      <c r="L155" s="42">
        <f t="shared" si="16"/>
        <v>46912</v>
      </c>
      <c r="M155" s="42">
        <f t="shared" si="16"/>
        <v>46912</v>
      </c>
      <c r="N155" s="42">
        <f t="shared" si="16"/>
        <v>46912</v>
      </c>
    </row>
    <row r="156" spans="1:14" s="10" customFormat="1" outlineLevel="1" x14ac:dyDescent="0.2">
      <c r="D156" s="71" t="str">
        <f>Lang_Total_SmallLetter&amp;" "&amp;C151&amp;" "&amp;D153&amp;" "&amp;Lang_Vacc_Administered_Retrospective</f>
        <v>Total HPV 1 &amp; HPV 2 Target Group Name1 Vaccinations Administered (Retrospective)</v>
      </c>
      <c r="J156" s="113">
        <f t="shared" ref="J156:N156" si="17">SUM(J155:J155)</f>
        <v>46912</v>
      </c>
      <c r="K156" s="113">
        <f t="shared" si="17"/>
        <v>46912</v>
      </c>
      <c r="L156" s="113">
        <f t="shared" si="17"/>
        <v>46912</v>
      </c>
      <c r="M156" s="113">
        <f t="shared" si="17"/>
        <v>46912</v>
      </c>
      <c r="N156" s="113">
        <f t="shared" si="17"/>
        <v>46912</v>
      </c>
    </row>
    <row r="157" spans="1:14" s="10" customFormat="1" x14ac:dyDescent="0.2"/>
    <row r="158" spans="1:14" s="10" customFormat="1" hidden="1" x14ac:dyDescent="0.2">
      <c r="A158" s="12" t="s">
        <v>125</v>
      </c>
      <c r="B158" s="13" t="s">
        <v>310</v>
      </c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</row>
    <row r="159" spans="1:14" s="10" customFormat="1" outlineLevel="1" x14ac:dyDescent="0.2"/>
    <row r="160" spans="1:14" s="10" customFormat="1" outlineLevel="1" x14ac:dyDescent="0.2">
      <c r="C160" s="74" t="str">
        <f>Lang_Retrospective_Coverage</f>
        <v>Retrospective Coverage</v>
      </c>
    </row>
    <row r="161" spans="1:14" s="10" customFormat="1" outlineLevel="1" x14ac:dyDescent="0.2"/>
    <row r="162" spans="1:14" s="10" customFormat="1" outlineLevel="1" x14ac:dyDescent="0.2">
      <c r="C162" s="71" t="str">
        <f>CVG_Lu!$D$31&amp;" &amp; "&amp;CVG_Lu!$D$32</f>
        <v>HPV 1 &amp; HPV 2</v>
      </c>
    </row>
    <row r="163" spans="1:14" s="10" customFormat="1" outlineLevel="1" x14ac:dyDescent="0.2"/>
    <row r="164" spans="1:14" s="10" customFormat="1" outlineLevel="1" x14ac:dyDescent="0.2">
      <c r="D164" s="114" t="str">
        <f>COVERAGE!D173</f>
        <v>Target Group Name2</v>
      </c>
    </row>
    <row r="165" spans="1:14" s="10" customFormat="1" outlineLevel="1" x14ac:dyDescent="0.2"/>
    <row r="166" spans="1:14" s="10" customFormat="1" outlineLevel="1" x14ac:dyDescent="0.2">
      <c r="D166" s="53" t="str">
        <f>C$162&amp;" "&amp;D$164&amp;" "&amp;Lang_Vacc_Administered_Retrospective</f>
        <v>HPV 1 &amp; HPV 2 Target Group Name2 Vaccinations Administered (Retrospective)</v>
      </c>
      <c r="J166" s="42">
        <f t="shared" ref="J166:N166" si="18">SUM(J122,J144)</f>
        <v>46912</v>
      </c>
      <c r="K166" s="42">
        <f t="shared" si="18"/>
        <v>46912</v>
      </c>
      <c r="L166" s="42">
        <f t="shared" si="18"/>
        <v>46912</v>
      </c>
      <c r="M166" s="42">
        <f t="shared" si="18"/>
        <v>46912</v>
      </c>
      <c r="N166" s="42">
        <f t="shared" si="18"/>
        <v>46912</v>
      </c>
    </row>
    <row r="167" spans="1:14" s="10" customFormat="1" outlineLevel="1" x14ac:dyDescent="0.2">
      <c r="D167" s="71" t="str">
        <f>Lang_Total_SmallLetter&amp;" "&amp;C162&amp;" "&amp;D164&amp;" "&amp;Lang_Vacc_Administered_Retrospective</f>
        <v>Total HPV 1 &amp; HPV 2 Target Group Name2 Vaccinations Administered (Retrospective)</v>
      </c>
      <c r="J167" s="113">
        <f t="shared" ref="J167:N167" si="19">SUM(J166:J166)</f>
        <v>46912</v>
      </c>
      <c r="K167" s="113">
        <f t="shared" si="19"/>
        <v>46912</v>
      </c>
      <c r="L167" s="113">
        <f t="shared" si="19"/>
        <v>46912</v>
      </c>
      <c r="M167" s="113">
        <f t="shared" si="19"/>
        <v>46912</v>
      </c>
      <c r="N167" s="113">
        <f t="shared" si="19"/>
        <v>46912</v>
      </c>
    </row>
    <row r="168" spans="1:14" s="10" customFormat="1" hidden="1" x14ac:dyDescent="0.2"/>
    <row r="169" spans="1:14" s="10" customFormat="1" x14ac:dyDescent="0.2">
      <c r="A169" s="12" t="s">
        <v>125</v>
      </c>
      <c r="B169" s="13" t="str">
        <f>Lang_Dose_1_And_2_Coverage_Outputs_Retrospective_All_Target_Pop</f>
        <v>Dose 1 and 2 Coverage - Outputs - Retrospective ALL TARGET POPULATIONS</v>
      </c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s="10" customFormat="1" outlineLevel="1" x14ac:dyDescent="0.2"/>
    <row r="171" spans="1:14" s="10" customFormat="1" outlineLevel="1" x14ac:dyDescent="0.2">
      <c r="C171" s="74" t="str">
        <f>Lang_Retrospective_Coverage</f>
        <v>Retrospective Coverage</v>
      </c>
    </row>
    <row r="172" spans="1:14" s="10" customFormat="1" outlineLevel="1" x14ac:dyDescent="0.2"/>
    <row r="173" spans="1:14" s="10" customFormat="1" outlineLevel="1" x14ac:dyDescent="0.2">
      <c r="C173" s="71" t="str">
        <f>CVG_Lu!$D$31&amp;" &amp; "&amp;CVG_Lu!$D$32</f>
        <v>HPV 1 &amp; HPV 2</v>
      </c>
    </row>
    <row r="174" spans="1:14" s="10" customFormat="1" outlineLevel="1" x14ac:dyDescent="0.2"/>
    <row r="175" spans="1:14" s="10" customFormat="1" outlineLevel="1" x14ac:dyDescent="0.2">
      <c r="D175" s="55" t="str">
        <f>Lang_All_Target_Pop</f>
        <v>ALL TARGET POPULATIONS</v>
      </c>
    </row>
    <row r="176" spans="1:14" s="10" customFormat="1" outlineLevel="1" x14ac:dyDescent="0.2"/>
    <row r="177" spans="4:14" s="10" customFormat="1" outlineLevel="1" x14ac:dyDescent="0.2">
      <c r="D177" s="53" t="str">
        <f>C$173&amp;" "&amp;D$175&amp;" "&amp;Lang_Vacc_Administered_Retrospective</f>
        <v>HPV 1 &amp; HPV 2 ALL TARGET POPULATIONS Vaccinations Administered (Retrospective)</v>
      </c>
      <c r="J177" s="42">
        <f t="shared" ref="J177:N177" si="20">SUM(J155,J166)</f>
        <v>93824</v>
      </c>
      <c r="K177" s="42">
        <f t="shared" si="20"/>
        <v>93824</v>
      </c>
      <c r="L177" s="42">
        <f t="shared" si="20"/>
        <v>93824</v>
      </c>
      <c r="M177" s="42">
        <f t="shared" si="20"/>
        <v>93824</v>
      </c>
      <c r="N177" s="42">
        <f t="shared" si="20"/>
        <v>93824</v>
      </c>
    </row>
    <row r="178" spans="4:14" s="10" customFormat="1" outlineLevel="1" x14ac:dyDescent="0.2">
      <c r="D178" s="71" t="str">
        <f>Lang_Total_SmallLetter&amp;" "&amp;C173&amp;" "&amp;D175&amp;" "&amp;Lang_Vacc_Administered_Retrospective</f>
        <v>Total HPV 1 &amp; HPV 2 ALL TARGET POPULATIONS Vaccinations Administered (Retrospective)</v>
      </c>
      <c r="J178" s="113">
        <f t="shared" ref="J178:N178" si="21">SUM(J177:J177)</f>
        <v>93824</v>
      </c>
      <c r="K178" s="113">
        <f t="shared" si="21"/>
        <v>93824</v>
      </c>
      <c r="L178" s="113">
        <f t="shared" si="21"/>
        <v>93824</v>
      </c>
      <c r="M178" s="113">
        <f t="shared" si="21"/>
        <v>93824</v>
      </c>
      <c r="N178" s="113">
        <f t="shared" si="21"/>
        <v>93824</v>
      </c>
    </row>
  </sheetData>
  <mergeCells count="1">
    <mergeCell ref="B3:D3"/>
  </mergeCells>
  <dataValidations count="1">
    <dataValidation type="custom" showErrorMessage="1" errorTitle="Invalid Assumption" error="Assumption must be a number." sqref="J57:N57 J46:N46 J34:N34" xr:uid="{00000000-0002-0000-2900-000000000000}">
      <formula1>NOT(ISERROR(J34/1))</formula1>
    </dataValidation>
  </dataValidations>
  <hyperlinks>
    <hyperlink ref="A11" location="HL_CVG_Out_Sum" tooltip="Click to follow hyperlink." display="HL_CVG_Out_Sum" xr:uid="{00000000-0004-0000-2900-000000000000}"/>
    <hyperlink ref="A24" location="HL_CVG_Out_Sum" tooltip="Click to follow hyperlink." display="HL_CVG_Out_Sum" xr:uid="{00000000-0004-0000-2900-000001000000}"/>
    <hyperlink ref="A37" location="HL_CVG_Out_Sum" tooltip="Click to follow hyperlink." display="HL_CVG_Out_Sum" xr:uid="{00000000-0004-0000-2900-000002000000}"/>
    <hyperlink ref="A49" location="HL_CVG_Out_Sum" tooltip="Click to follow hyperlink." display="HL_CVG_Out_Sum" xr:uid="{00000000-0004-0000-2900-000003000000}"/>
    <hyperlink ref="A103" location="HL_CVG_Out_Sum" tooltip="Click to follow hyperlink." display="HL_CVG_Out_Sum" xr:uid="{00000000-0004-0000-2900-000004000000}"/>
    <hyperlink ref="A114" location="HL_CVG_Out_Sum" tooltip="Click to follow hyperlink." display="HL_CVG_Out_Sum" xr:uid="{00000000-0004-0000-2900-000005000000}"/>
    <hyperlink ref="A125" location="HL_CVG_Out_Sum" tooltip="Click to follow hyperlink." display="HL_CVG_Out_Sum" xr:uid="{00000000-0004-0000-2900-000006000000}"/>
    <hyperlink ref="A136" location="HL_CVG_Out_Sum" tooltip="Click to follow hyperlink." display="HL_CVG_Out_Sum" xr:uid="{00000000-0004-0000-2900-000007000000}"/>
    <hyperlink ref="A60" location="HL_CVG_Out_A" tooltip="Click to follow hyperlink." display="HL_CVG_Out_A" xr:uid="{00000000-0004-0000-2900-000008000000}"/>
    <hyperlink ref="A73" location="HL_CVG_Out_A" tooltip="Click to follow hyperlink." display="HL_CVG_Out_A" xr:uid="{00000000-0004-0000-2900-000009000000}"/>
    <hyperlink ref="A147" location="HL_CVG_Out_Sum" tooltip="Click to follow hyperlink." display="HL_CVG_Out_Sum" xr:uid="{00000000-0004-0000-2900-00000A000000}"/>
    <hyperlink ref="A158" location="HL_CVG_Out_Sum" tooltip="Click to follow hyperlink." display="HL_CVG_Out_Sum" xr:uid="{00000000-0004-0000-2900-00000B000000}"/>
    <hyperlink ref="A91" location="HL_CVG_Out_A" tooltip="Click to follow hyperlink." display="HL_CVG_Out_A" xr:uid="{00000000-0004-0000-2900-00000C000000}"/>
    <hyperlink ref="A169" location="HL_CVG_Out_Sum" tooltip="Click to follow hyperlink." display="HL_CVG_Out_Sum" xr:uid="{00000000-0004-0000-2900-00000D000000}"/>
    <hyperlink ref="A1" location="HL_Home" tooltip="Go to Table of Contents" display="HL_Home" xr:uid="{00000000-0004-0000-2900-00000E000000}"/>
    <hyperlink ref="C4" location="HL_Sheet_Main_54" tooltip="Go to Next Sheet" display="HL_Sheet_Main_54" xr:uid="{00000000-0004-0000-2900-00000F000000}"/>
    <hyperlink ref="A4" location="$B$10" tooltip="Go to Top of Sheet" display="$B$10" xr:uid="{00000000-0004-0000-2900-000010000000}"/>
    <hyperlink ref="B4" location="HL_Sheet_Main_52" tooltip="Go to Previous Sheet" display="HL_Sheet_Main_52" xr:uid="{00000000-0004-0000-2900-000011000000}"/>
    <hyperlink ref="B3" location="HL_Home" tooltip="Go to Table of Contents" display="HL_Home" xr:uid="{00000000-0004-0000-2900-000012000000}"/>
    <hyperlink ref="D4" location="HL_Err_Chk" tooltip="Go to Error Checks" display="HL_Err_Chk" xr:uid="{00000000-0004-0000-2900-000013000000}"/>
    <hyperlink ref="F4" location="HL_Alt_Chk" tooltip="Go to Alert Checks" display="HL_Alt_Chk" xr:uid="{00000000-0004-0000-2900-000014000000}"/>
    <hyperlink ref="A2" location="HL_Err_Chk" tooltip="Go to Error Checks" display="HL_Err_Chk" xr:uid="{00000000-0004-0000-2900-000015000000}"/>
    <hyperlink ref="B3:D3" location="Contents!A1" tooltip="Go to Table of Contents" display="Contents!A1" xr:uid="{00000000-0004-0000-2900-000016000000}"/>
  </hyperlinks>
  <pageMargins left="0.4" right="0.4" top="0.6" bottom="1" header="0" footer="0.3"/>
  <pageSetup orientation="landscape" r:id="rId1"/>
  <headerFooter>
    <oddFooter>&amp;L&amp;F
&amp;A
Printed: &amp;T on &amp;D&amp;CPage &amp;P of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9">
    <tabColor rgb="FF0070C0"/>
    <pageSetUpPr autoPageBreaks="0"/>
  </sheetPr>
  <dimension ref="A1:N137"/>
  <sheetViews>
    <sheetView showGridLines="0" zoomScaleNormal="100" workbookViewId="0">
      <pane xSplit="1" ySplit="9" topLeftCell="B10" activePane="bottomRight" state="frozen"/>
      <selection activeCell="I511" sqref="I511"/>
      <selection pane="topRight" activeCell="I511" sqref="I511"/>
      <selection pane="bottomLeft" activeCell="I511" sqref="I511"/>
      <selection pane="bottomRight" activeCell="I511" sqref="I511"/>
    </sheetView>
  </sheetViews>
  <sheetFormatPr defaultColWidth="11.7109375" defaultRowHeight="12" outlineLevelRow="2" outlineLevelCol="1" x14ac:dyDescent="0.2"/>
  <cols>
    <col min="1" max="2" width="3.7109375" customWidth="1"/>
    <col min="3" max="3" width="5.7109375" customWidth="1"/>
    <col min="4" max="4" width="35.7109375" customWidth="1"/>
    <col min="5" max="5" width="30.7109375" customWidth="1"/>
    <col min="6" max="6" width="15.7109375" customWidth="1"/>
    <col min="7" max="7" width="10.7109375" customWidth="1"/>
    <col min="9" max="9" width="15.7109375" customWidth="1"/>
    <col min="10" max="14" width="20.7109375" customWidth="1" outlineLevel="1"/>
  </cols>
  <sheetData>
    <row r="1" spans="1:14" ht="15" x14ac:dyDescent="0.2">
      <c r="A1" s="2" t="s">
        <v>128</v>
      </c>
      <c r="B1" s="31" t="str">
        <f>Lang_Calculations_Vaccine_Procurement_Costs</f>
        <v>Calculations - Vaccine Procurement Costs</v>
      </c>
    </row>
    <row r="2" spans="1:14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3" spans="1:14" ht="12.75" x14ac:dyDescent="0.2">
      <c r="B3" s="426" t="str">
        <f>Lang_Goto_TOC</f>
        <v>Go to Table of Contents</v>
      </c>
      <c r="C3" s="426"/>
      <c r="D3" s="426"/>
      <c r="E3" s="47"/>
      <c r="F3" s="47"/>
    </row>
    <row r="4" spans="1:14" x14ac:dyDescent="0.2">
      <c r="A4" s="2" t="s">
        <v>5</v>
      </c>
      <c r="B4" s="38" t="s">
        <v>7</v>
      </c>
      <c r="C4" s="39" t="s">
        <v>8</v>
      </c>
      <c r="D4" s="57" t="s">
        <v>18</v>
      </c>
      <c r="F4" s="58" t="s">
        <v>19</v>
      </c>
    </row>
    <row r="5" spans="1:14" s="10" customFormat="1" x14ac:dyDescent="0.2">
      <c r="B5" s="90" t="str">
        <f>Lang_Year_Ending&amp;" "&amp;INDEX(LU_TS_Mth_Names,DD_TS_Fin_Yr_End_Mth)</f>
        <v>Year Ending December</v>
      </c>
      <c r="C5" s="90"/>
      <c r="D5" s="90"/>
      <c r="E5" s="90"/>
      <c r="F5" s="90"/>
      <c r="G5" s="90"/>
      <c r="H5" s="90"/>
      <c r="I5" s="90"/>
      <c r="J5" s="106">
        <f t="shared" ref="J5:N5" si="0">J9</f>
        <v>2019</v>
      </c>
      <c r="K5" s="106">
        <f t="shared" si="0"/>
        <v>2020</v>
      </c>
      <c r="L5" s="106">
        <f t="shared" si="0"/>
        <v>2021</v>
      </c>
      <c r="M5" s="106">
        <f t="shared" si="0"/>
        <v>2022</v>
      </c>
      <c r="N5" s="106">
        <f t="shared" si="0"/>
        <v>2023</v>
      </c>
    </row>
    <row r="6" spans="1:14" s="10" customFormat="1" outlineLevel="2" x14ac:dyDescent="0.2">
      <c r="B6" s="50" t="str">
        <f>Lang_Period_Start_Date</f>
        <v>Period Start Date</v>
      </c>
      <c r="J6" s="340">
        <f>EDATE(TS_Start_Date,(J8-1)*TS_Mths_In_Yr)</f>
        <v>43466</v>
      </c>
      <c r="K6" s="340">
        <f>EDATE(TS_Start_Date,(K8-1)*TS_Mths_In_Yr)</f>
        <v>43831</v>
      </c>
      <c r="L6" s="340">
        <f>EDATE(TS_Start_Date,(L8-1)*TS_Mths_In_Yr)</f>
        <v>44197</v>
      </c>
      <c r="M6" s="340">
        <f>EDATE(TS_Start_Date,(M8-1)*TS_Mths_In_Yr)</f>
        <v>44562</v>
      </c>
      <c r="N6" s="340">
        <f>EDATE(TS_Start_Date,(N8-1)*TS_Mths_In_Yr)</f>
        <v>44927</v>
      </c>
    </row>
    <row r="7" spans="1:14" s="10" customFormat="1" outlineLevel="2" x14ac:dyDescent="0.2">
      <c r="B7" s="50" t="str">
        <f>Lang_Period_End_Date</f>
        <v>Period End Date</v>
      </c>
      <c r="J7" s="340">
        <f>EDATE(J6,TS_Mths_In_Yr)-1</f>
        <v>43830</v>
      </c>
      <c r="K7" s="340">
        <f>EDATE(K6,TS_Mths_In_Yr)-1</f>
        <v>44196</v>
      </c>
      <c r="L7" s="340">
        <f>EDATE(L6,TS_Mths_In_Yr)-1</f>
        <v>44561</v>
      </c>
      <c r="M7" s="340">
        <f>EDATE(M6,TS_Mths_In_Yr)-1</f>
        <v>44926</v>
      </c>
      <c r="N7" s="340">
        <f>EDATE(N6,TS_Mths_In_Yr)-1</f>
        <v>45291</v>
      </c>
    </row>
    <row r="8" spans="1:14" s="10" customFormat="1" outlineLevel="2" x14ac:dyDescent="0.2">
      <c r="B8" s="50" t="str">
        <f>Lang_Counter</f>
        <v>Counter</v>
      </c>
      <c r="J8" s="42">
        <f>COLUMNS($J8:J8)</f>
        <v>1</v>
      </c>
      <c r="K8" s="42">
        <f>COLUMNS($J8:K8)</f>
        <v>2</v>
      </c>
      <c r="L8" s="42">
        <f>COLUMNS($J8:L8)</f>
        <v>3</v>
      </c>
      <c r="M8" s="42">
        <f>COLUMNS($J8:M8)</f>
        <v>4</v>
      </c>
      <c r="N8" s="42">
        <f>COLUMNS($J8:N8)</f>
        <v>5</v>
      </c>
    </row>
    <row r="9" spans="1:14" s="10" customFormat="1" outlineLevel="2" x14ac:dyDescent="0.2">
      <c r="B9" s="91" t="str">
        <f>Lang_Financial_Year</f>
        <v>Financial Year</v>
      </c>
      <c r="C9" s="69"/>
      <c r="D9" s="69"/>
      <c r="E9" s="69"/>
      <c r="F9" s="69"/>
      <c r="G9" s="69"/>
      <c r="H9" s="69"/>
      <c r="I9" s="69"/>
      <c r="J9" s="341">
        <f t="shared" ref="J9:N9" si="1">YEAR(J7)</f>
        <v>2019</v>
      </c>
      <c r="K9" s="341">
        <f t="shared" si="1"/>
        <v>2020</v>
      </c>
      <c r="L9" s="341">
        <f t="shared" si="1"/>
        <v>2021</v>
      </c>
      <c r="M9" s="341">
        <f t="shared" si="1"/>
        <v>2022</v>
      </c>
      <c r="N9" s="341">
        <f t="shared" si="1"/>
        <v>2023</v>
      </c>
    </row>
    <row r="10" spans="1:14" s="10" customFormat="1" x14ac:dyDescent="0.2"/>
    <row r="11" spans="1:14" s="10" customFormat="1" x14ac:dyDescent="0.2">
      <c r="A11" s="12" t="s">
        <v>127</v>
      </c>
      <c r="B11" s="13" t="str">
        <f>IF(TIME_SERIES!$H$6=1,Lang_Vaccine_Doses_Procured&amp;" ("&amp;Lang_Projected&amp;")",Lang_Vaccine_Doses_Procured&amp;" ("&amp;Lang_Retrospective_Data&amp;")")</f>
        <v>Vaccine Doses Procured (Projected)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</row>
    <row r="12" spans="1:14" s="10" customFormat="1" outlineLevel="1" x14ac:dyDescent="0.2"/>
    <row r="13" spans="1:14" s="10" customFormat="1" outlineLevel="1" x14ac:dyDescent="0.2">
      <c r="C13" s="105" t="str">
        <f>IF(TIME_SERIES!$H$6=1,Lang_Vaccine_Doses_Procured&amp;" ("&amp;Lang_Projected&amp;")",Lang_Vaccine_Doses_Procured&amp;" ("&amp;Lang_Retrospective_Data&amp;")")</f>
        <v>Vaccine Doses Procured (Projected)</v>
      </c>
    </row>
    <row r="14" spans="1:14" s="10" customFormat="1" outlineLevel="1" x14ac:dyDescent="0.2"/>
    <row r="15" spans="1:14" s="10" customFormat="1" outlineLevel="1" x14ac:dyDescent="0.2">
      <c r="D15" s="49" t="str">
        <f>IF(TIME_SERIES!$H$6=1,'VACCS_&amp;_SUPPLIES'!D107,'VACCS_&amp;_SUPPLIES'!D131)</f>
        <v>Total # Vaccine doses to procure (projected based on population, coverage projections, and wastage rates).</v>
      </c>
      <c r="J15" s="42">
        <f>IF(TIME_SERIES!$H$6=1,'VACCS_&amp;_SUPPLIES'!J107,'VACCS_&amp;_SUPPLIES'!J131)</f>
        <v>208997.91000000003</v>
      </c>
      <c r="K15" s="42">
        <f>IF(TIME_SERIES!$H$6=1,'VACCS_&amp;_SUPPLIES'!K107,'VACCS_&amp;_SUPPLIES'!K131)</f>
        <v>212135.00000000003</v>
      </c>
      <c r="L15" s="42">
        <f>IF(TIME_SERIES!$H$6=1,'VACCS_&amp;_SUPPLIES'!L107,'VACCS_&amp;_SUPPLIES'!L131)</f>
        <v>215361.96000000002</v>
      </c>
      <c r="M15" s="42">
        <f>IF(TIME_SERIES!$H$6=1,'VACCS_&amp;_SUPPLIES'!M107,'VACCS_&amp;_SUPPLIES'!M131)</f>
        <v>218688.19500000004</v>
      </c>
      <c r="N15" s="42">
        <f>IF(TIME_SERIES!$H$6=1,'VACCS_&amp;_SUPPLIES'!N107,'VACCS_&amp;_SUPPLIES'!N131)</f>
        <v>222113.70500000002</v>
      </c>
    </row>
    <row r="16" spans="1:14" s="10" customFormat="1" outlineLevel="1" x14ac:dyDescent="0.2">
      <c r="D16" s="326" t="str">
        <f>Lang_Total_SmallLetter&amp;" "&amp;C13</f>
        <v>Total Vaccine Doses Procured (Projected)</v>
      </c>
      <c r="J16" s="113">
        <f t="shared" ref="J16:N16" si="2">SUM(J15:J15)</f>
        <v>208997.91000000003</v>
      </c>
      <c r="K16" s="113">
        <f t="shared" si="2"/>
        <v>212135.00000000003</v>
      </c>
      <c r="L16" s="113">
        <f t="shared" si="2"/>
        <v>215361.96000000002</v>
      </c>
      <c r="M16" s="113">
        <f t="shared" si="2"/>
        <v>218688.19500000004</v>
      </c>
      <c r="N16" s="113">
        <f t="shared" si="2"/>
        <v>222113.70500000002</v>
      </c>
    </row>
    <row r="17" spans="1:14" s="10" customFormat="1" x14ac:dyDescent="0.2"/>
    <row r="18" spans="1:14" s="10" customFormat="1" x14ac:dyDescent="0.2">
      <c r="A18" s="12" t="s">
        <v>125</v>
      </c>
      <c r="B18" s="13" t="str">
        <f>IF(TIME_SERIES!$H$6=1,Lang_Syringes_Procured&amp;" ("&amp;Lang_Projected&amp;")",Lang_Syringes_Procured&amp;" ("&amp;Lang_Retrospective_Data&amp;")")</f>
        <v>Syringes Procured (Projected)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</row>
    <row r="19" spans="1:14" s="10" customFormat="1" outlineLevel="1" x14ac:dyDescent="0.2"/>
    <row r="20" spans="1:14" s="10" customFormat="1" outlineLevel="1" x14ac:dyDescent="0.2">
      <c r="C20" s="105" t="str">
        <f>IF(TIME_SERIES!$H$6=1,Lang_Syringes_Procured&amp;" ("&amp;Lang_Projected&amp;")",Lang_Syringes_Procured&amp;" ("&amp;Lang_Retrospective_Data&amp;")")</f>
        <v>Syringes Procured (Projected)</v>
      </c>
    </row>
    <row r="21" spans="1:14" s="10" customFormat="1" outlineLevel="1" x14ac:dyDescent="0.2"/>
    <row r="22" spans="1:14" s="10" customFormat="1" outlineLevel="1" x14ac:dyDescent="0.2">
      <c r="D22" s="49" t="str">
        <f>IF(TIME_SERIES!$H$6=1,'VACCS_&amp;_SUPPLIES'!D113,'VACCS_&amp;_SUPPLIES'!D$135)</f>
        <v>Total # Injection syringes to procure (projected based on population, coverage projections, and wastage rates).</v>
      </c>
      <c r="J22" s="42">
        <f>IF(TIME_SERIES!$H$6=1,'VACCS_&amp;_SUPPLIES'!J113,'VACCS_&amp;_SUPPLIES'!J$135)</f>
        <v>208997.91000000003</v>
      </c>
      <c r="K22" s="42">
        <f>IF(TIME_SERIES!$H$6=1,'VACCS_&amp;_SUPPLIES'!K113,'VACCS_&amp;_SUPPLIES'!K$135)</f>
        <v>212135.00000000003</v>
      </c>
      <c r="L22" s="42">
        <f>IF(TIME_SERIES!$H$6=1,'VACCS_&amp;_SUPPLIES'!L113,'VACCS_&amp;_SUPPLIES'!L$135)</f>
        <v>215361.96000000002</v>
      </c>
      <c r="M22" s="42">
        <f>IF(TIME_SERIES!$H$6=1,'VACCS_&amp;_SUPPLIES'!M113,'VACCS_&amp;_SUPPLIES'!M$135)</f>
        <v>218688.19500000004</v>
      </c>
      <c r="N22" s="42">
        <f>IF(TIME_SERIES!$H$6=1,'VACCS_&amp;_SUPPLIES'!N113,'VACCS_&amp;_SUPPLIES'!N$135)</f>
        <v>222113.70500000002</v>
      </c>
    </row>
    <row r="23" spans="1:14" s="10" customFormat="1" outlineLevel="1" x14ac:dyDescent="0.2">
      <c r="D23" s="18" t="str">
        <f>Lang_Total_SmallLetter&amp;" "&amp;C20</f>
        <v>Total Syringes Procured (Projected)</v>
      </c>
      <c r="J23" s="113">
        <f t="shared" ref="J23:N23" si="3">SUM(J22:J22)</f>
        <v>208997.91000000003</v>
      </c>
      <c r="K23" s="113">
        <f t="shared" si="3"/>
        <v>212135.00000000003</v>
      </c>
      <c r="L23" s="113">
        <f t="shared" si="3"/>
        <v>215361.96000000002</v>
      </c>
      <c r="M23" s="113">
        <f t="shared" si="3"/>
        <v>218688.19500000004</v>
      </c>
      <c r="N23" s="113">
        <f t="shared" si="3"/>
        <v>222113.70500000002</v>
      </c>
    </row>
    <row r="24" spans="1:14" s="10" customFormat="1" x14ac:dyDescent="0.2"/>
    <row r="25" spans="1:14" s="10" customFormat="1" x14ac:dyDescent="0.2">
      <c r="A25" s="12" t="s">
        <v>125</v>
      </c>
      <c r="B25" s="13" t="str">
        <f>IF(TIME_SERIES!$H$6=1,Lang_Safety_Boxes_Procured&amp;" ("&amp;Lang_Projected&amp;")",Lang_Safety_Boxes_Procured&amp;" ("&amp;Lang_Retrospective_Data&amp;")")</f>
        <v>Safety Boxes Procured (Projected)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</row>
    <row r="26" spans="1:14" s="10" customFormat="1" outlineLevel="1" x14ac:dyDescent="0.2"/>
    <row r="27" spans="1:14" s="10" customFormat="1" outlineLevel="1" x14ac:dyDescent="0.2">
      <c r="C27" s="105" t="str">
        <f>IF(TIME_SERIES!$H$6=1,Lang_Safety_Boxes_Procured&amp;" ("&amp;Lang_Projected&amp;")",Lang_Safety_Boxes_Procured&amp;" ("&amp;Lang_Retrospective_Data&amp;")")</f>
        <v>Safety Boxes Procured (Projected)</v>
      </c>
    </row>
    <row r="28" spans="1:14" s="10" customFormat="1" outlineLevel="1" x14ac:dyDescent="0.2"/>
    <row r="29" spans="1:14" s="10" customFormat="1" outlineLevel="1" x14ac:dyDescent="0.2">
      <c r="D29" s="49" t="str">
        <f>IF(TIME_SERIES!$H$6=1,'VACCS_&amp;_SUPPLIES'!D123,'VACCS_&amp;_SUPPLIES'!D$142)</f>
        <v>Total # Safety Boxes to procure (projected based on population, coverage projections, and wastage rates).</v>
      </c>
      <c r="J29" s="42">
        <f>IF(TIME_SERIES!$H$6=1,'VACCS_&amp;_SUPPLIES'!J123,'VACCS_&amp;_SUPPLIES'!J$142)</f>
        <v>2298.9770100000005</v>
      </c>
      <c r="K29" s="42">
        <f>IF(TIME_SERIES!$H$6=1,'VACCS_&amp;_SUPPLIES'!K123,'VACCS_&amp;_SUPPLIES'!K$142)</f>
        <v>2333.4850000000006</v>
      </c>
      <c r="L29" s="42">
        <f>IF(TIME_SERIES!$H$6=1,'VACCS_&amp;_SUPPLIES'!L123,'VACCS_&amp;_SUPPLIES'!L$142)</f>
        <v>2368.9815600000002</v>
      </c>
      <c r="M29" s="42">
        <f>IF(TIME_SERIES!$H$6=1,'VACCS_&amp;_SUPPLIES'!M123,'VACCS_&amp;_SUPPLIES'!M$142)</f>
        <v>2405.5701450000006</v>
      </c>
      <c r="N29" s="42">
        <f>IF(TIME_SERIES!$H$6=1,'VACCS_&amp;_SUPPLIES'!N123,'VACCS_&amp;_SUPPLIES'!N$142)</f>
        <v>2443.2507550000005</v>
      </c>
    </row>
    <row r="30" spans="1:14" s="10" customFormat="1" outlineLevel="1" x14ac:dyDescent="0.2">
      <c r="D30" s="18" t="str">
        <f>Lang_Total_SmallLetter&amp;" "&amp;C27</f>
        <v>Total Safety Boxes Procured (Projected)</v>
      </c>
      <c r="J30" s="113">
        <f t="shared" ref="J30:N30" si="4">SUM(J29:J29)</f>
        <v>2298.9770100000005</v>
      </c>
      <c r="K30" s="113">
        <f t="shared" si="4"/>
        <v>2333.4850000000006</v>
      </c>
      <c r="L30" s="113">
        <f t="shared" si="4"/>
        <v>2368.9815600000002</v>
      </c>
      <c r="M30" s="113">
        <f t="shared" si="4"/>
        <v>2405.5701450000006</v>
      </c>
      <c r="N30" s="113">
        <f t="shared" si="4"/>
        <v>2443.2507550000005</v>
      </c>
    </row>
    <row r="31" spans="1:14" s="10" customFormat="1" x14ac:dyDescent="0.2"/>
    <row r="32" spans="1:14" s="10" customFormat="1" x14ac:dyDescent="0.2">
      <c r="A32" s="12" t="s">
        <v>127</v>
      </c>
      <c r="B32" s="13" t="str">
        <f>IF(TIME_SERIES!$H$6=1,Lang_Vaccine_Costs&amp;" ("&amp;Lang_Projected&amp;")",Lang_Vaccine_Costs&amp;" ("&amp;Lang_Retrospective&amp;")")&amp;" "&amp;Lang_Local_Currency_Fin</f>
        <v>Vaccine Costs (Projected) Local Currency - Financial</v>
      </c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</row>
    <row r="33" spans="1:14" s="10" customFormat="1" outlineLevel="1" x14ac:dyDescent="0.2"/>
    <row r="34" spans="1:14" s="10" customFormat="1" outlineLevel="1" x14ac:dyDescent="0.2">
      <c r="B34" s="74" t="str">
        <f>Lang_Fin</f>
        <v>Financial</v>
      </c>
    </row>
    <row r="35" spans="1:14" s="10" customFormat="1" outlineLevel="1" x14ac:dyDescent="0.2"/>
    <row r="36" spans="1:14" s="10" customFormat="1" outlineLevel="1" x14ac:dyDescent="0.2">
      <c r="C36" s="358" t="str">
        <f>Vacc_Lu!$D$13</f>
        <v>LCU</v>
      </c>
    </row>
    <row r="37" spans="1:14" s="10" customFormat="1" outlineLevel="1" x14ac:dyDescent="0.2"/>
    <row r="38" spans="1:14" s="10" customFormat="1" outlineLevel="1" x14ac:dyDescent="0.2">
      <c r="D38" s="53" t="str">
        <f>IF(TIME_SERIES!$H$6=1,Lang_Vaccine_Costs&amp;" ("&amp;Lang_Projected&amp;")",Lang_Vaccine_Costs&amp;" ("&amp;Lang_Retrospective&amp;")")&amp;" "&amp;Lang_Local_Currency_Fin</f>
        <v>Vaccine Costs (Projected) Local Currency - Financial</v>
      </c>
      <c r="J38" s="42">
        <f>IF(DD_Vacc_Applied_Input_Currency=1,(('VACCS_&amp;_SUPPLIES'!J$17-('VACCS_&amp;_SUPPLIES'!J$22*'VACCS_&amp;_SUPPLIES'!J$27))+('VACCS_&amp;_SUPPLIES'!J$17*'VACCS_&amp;_SUPPLIES'!J$38))*J$15*Vacc_Baseline_Exchange_Rate,(('VACCS_&amp;_SUPPLIES'!J$17-('VACCS_&amp;_SUPPLIES'!J$22*'VACCS_&amp;_SUPPLIES'!J$27))+('VACCS_&amp;_SUPPLIES'!J$17*'VACCS_&amp;_SUPPLIES'!J$38))*J$15)</f>
        <v>0</v>
      </c>
      <c r="K38" s="42">
        <f>IF(DD_Vacc_Applied_Input_Currency=1,(('VACCS_&amp;_SUPPLIES'!K$17-('VACCS_&amp;_SUPPLIES'!K$22*'VACCS_&amp;_SUPPLIES'!K$27))+('VACCS_&amp;_SUPPLIES'!K$17*'VACCS_&amp;_SUPPLIES'!K$38))*K$15*Vacc_Baseline_Exchange_Rate,(('VACCS_&amp;_SUPPLIES'!K$17-('VACCS_&amp;_SUPPLIES'!K$22*'VACCS_&amp;_SUPPLIES'!K$27))+('VACCS_&amp;_SUPPLIES'!K$17*'VACCS_&amp;_SUPPLIES'!K$38))*K$15)</f>
        <v>0</v>
      </c>
      <c r="L38" s="42">
        <f>IF(DD_Vacc_Applied_Input_Currency=1,(('VACCS_&amp;_SUPPLIES'!L$17-('VACCS_&amp;_SUPPLIES'!L$22*'VACCS_&amp;_SUPPLIES'!L$27))+('VACCS_&amp;_SUPPLIES'!L$17*'VACCS_&amp;_SUPPLIES'!L$38))*L$15*Vacc_Baseline_Exchange_Rate,(('VACCS_&amp;_SUPPLIES'!L$17-('VACCS_&amp;_SUPPLIES'!L$22*'VACCS_&amp;_SUPPLIES'!L$27))+('VACCS_&amp;_SUPPLIES'!L$17*'VACCS_&amp;_SUPPLIES'!L$38))*L$15)</f>
        <v>0</v>
      </c>
      <c r="M38" s="42">
        <f>IF(DD_Vacc_Applied_Input_Currency=1,(('VACCS_&amp;_SUPPLIES'!M$17-('VACCS_&amp;_SUPPLIES'!M$22*'VACCS_&amp;_SUPPLIES'!M$27))+('VACCS_&amp;_SUPPLIES'!M$17*'VACCS_&amp;_SUPPLIES'!M$38))*M$15*Vacc_Baseline_Exchange_Rate,(('VACCS_&amp;_SUPPLIES'!M$17-('VACCS_&amp;_SUPPLIES'!M$22*'VACCS_&amp;_SUPPLIES'!M$27))+('VACCS_&amp;_SUPPLIES'!M$17*'VACCS_&amp;_SUPPLIES'!M$38))*M$15)</f>
        <v>0</v>
      </c>
      <c r="N38" s="42">
        <f>IF(DD_Vacc_Applied_Input_Currency=1,(('VACCS_&amp;_SUPPLIES'!N$17-('VACCS_&amp;_SUPPLIES'!N$22*'VACCS_&amp;_SUPPLIES'!N$27))+('VACCS_&amp;_SUPPLIES'!N$17*'VACCS_&amp;_SUPPLIES'!N$38))*N$15*Vacc_Baseline_Exchange_Rate,(('VACCS_&amp;_SUPPLIES'!N$17-('VACCS_&amp;_SUPPLIES'!N$22*'VACCS_&amp;_SUPPLIES'!N$27))+('VACCS_&amp;_SUPPLIES'!N$17*'VACCS_&amp;_SUPPLIES'!N$38))*N$15)</f>
        <v>0</v>
      </c>
    </row>
    <row r="39" spans="1:14" s="10" customFormat="1" outlineLevel="1" x14ac:dyDescent="0.2">
      <c r="D39" s="71" t="str">
        <f>Lang_Total_SmallLetter&amp;" "&amp;B34&amp;" ("&amp;C36&amp;")"</f>
        <v>Total Financial (LCU)</v>
      </c>
      <c r="J39" s="113">
        <f t="shared" ref="J39:N39" si="5">SUM(J38:J38)</f>
        <v>0</v>
      </c>
      <c r="K39" s="113">
        <f t="shared" si="5"/>
        <v>0</v>
      </c>
      <c r="L39" s="113">
        <f t="shared" si="5"/>
        <v>0</v>
      </c>
      <c r="M39" s="113">
        <f t="shared" si="5"/>
        <v>0</v>
      </c>
      <c r="N39" s="113">
        <f t="shared" si="5"/>
        <v>0</v>
      </c>
    </row>
    <row r="40" spans="1:14" s="10" customFormat="1" x14ac:dyDescent="0.2"/>
    <row r="41" spans="1:14" s="10" customFormat="1" x14ac:dyDescent="0.2">
      <c r="A41" s="12" t="s">
        <v>127</v>
      </c>
      <c r="B41" s="13" t="str">
        <f>IF(TIME_SERIES!$H$6=1,Lang_Vaccine_Costs&amp;" ("&amp;Lang_Projected&amp;")",Lang_Vaccine_Costs&amp;" ("&amp;Lang_Retrospective&amp;")")&amp;" "&amp;Lang_Local_Currency_Econ</f>
        <v>Vaccine Costs (Projected) Local Currency - Economic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</row>
    <row r="42" spans="1:14" s="10" customFormat="1" outlineLevel="1" x14ac:dyDescent="0.2"/>
    <row r="43" spans="1:14" s="10" customFormat="1" outlineLevel="1" x14ac:dyDescent="0.2">
      <c r="B43" s="74" t="str">
        <f>Lang_Econ</f>
        <v>Economic</v>
      </c>
    </row>
    <row r="44" spans="1:14" s="10" customFormat="1" outlineLevel="1" x14ac:dyDescent="0.2"/>
    <row r="45" spans="1:14" s="10" customFormat="1" outlineLevel="1" x14ac:dyDescent="0.2">
      <c r="C45" s="358" t="str">
        <f>Vacc_Lu!$D$13</f>
        <v>LCU</v>
      </c>
    </row>
    <row r="46" spans="1:14" s="10" customFormat="1" outlineLevel="1" x14ac:dyDescent="0.2"/>
    <row r="47" spans="1:14" s="10" customFormat="1" outlineLevel="1" x14ac:dyDescent="0.2">
      <c r="D47" s="53" t="str">
        <f>IF(TIME_SERIES!$H$6=1,Lang_Vaccine_Costs&amp;" ("&amp;Lang_Projected&amp;")",Lang_Vaccine_Costs&amp;" ("&amp;Lang_Retrospective&amp;")")&amp;" "&amp;Lang_Local_Currency_Econ</f>
        <v>Vaccine Costs (Projected) Local Currency - Economic</v>
      </c>
      <c r="J47" s="42">
        <f>IF(DD_Vacc_Applied_Input_Currency=1,(('VACCS_&amp;_SUPPLIES'!J$17+('VACCS_&amp;_SUPPLIES'!J$17*'VACCS_&amp;_SUPPLIES'!J$38))*J$15)*Vacc_Baseline_Exchange_Rate,(('VACCS_&amp;_SUPPLIES'!J$17+('VACCS_&amp;_SUPPLIES'!J$17*'VACCS_&amp;_SUPPLIES'!J$38))*J$15))</f>
        <v>0</v>
      </c>
      <c r="K47" s="42">
        <f>IF(DD_Vacc_Applied_Input_Currency=1,(('VACCS_&amp;_SUPPLIES'!K$17+('VACCS_&amp;_SUPPLIES'!K$17*'VACCS_&amp;_SUPPLIES'!K$38))*K$15)*Vacc_Baseline_Exchange_Rate,(('VACCS_&amp;_SUPPLIES'!K$17+('VACCS_&amp;_SUPPLIES'!K$17*'VACCS_&amp;_SUPPLIES'!K$38))*K$15))</f>
        <v>0</v>
      </c>
      <c r="L47" s="42">
        <f>IF(DD_Vacc_Applied_Input_Currency=1,(('VACCS_&amp;_SUPPLIES'!L$17+('VACCS_&amp;_SUPPLIES'!L$17*'VACCS_&amp;_SUPPLIES'!L$38))*L$15)*Vacc_Baseline_Exchange_Rate,(('VACCS_&amp;_SUPPLIES'!L$17+('VACCS_&amp;_SUPPLIES'!L$17*'VACCS_&amp;_SUPPLIES'!L$38))*L$15))</f>
        <v>0</v>
      </c>
      <c r="M47" s="42">
        <f>IF(DD_Vacc_Applied_Input_Currency=1,(('VACCS_&amp;_SUPPLIES'!M$17+('VACCS_&amp;_SUPPLIES'!M$17*'VACCS_&amp;_SUPPLIES'!M$38))*M$15)*Vacc_Baseline_Exchange_Rate,(('VACCS_&amp;_SUPPLIES'!M$17+('VACCS_&amp;_SUPPLIES'!M$17*'VACCS_&amp;_SUPPLIES'!M$38))*M$15))</f>
        <v>0</v>
      </c>
      <c r="N47" s="42">
        <f>IF(DD_Vacc_Applied_Input_Currency=1,(('VACCS_&amp;_SUPPLIES'!N$17+('VACCS_&amp;_SUPPLIES'!N$17*'VACCS_&amp;_SUPPLIES'!N$38))*N$15)*Vacc_Baseline_Exchange_Rate,(('VACCS_&amp;_SUPPLIES'!N$17+('VACCS_&amp;_SUPPLIES'!N$17*'VACCS_&amp;_SUPPLIES'!N$38))*N$15))</f>
        <v>0</v>
      </c>
    </row>
    <row r="48" spans="1:14" s="10" customFormat="1" outlineLevel="1" x14ac:dyDescent="0.2">
      <c r="D48" s="71" t="str">
        <f>Lang_Total_SmallLetter&amp;" "&amp;B43&amp;" ("&amp;C45&amp;")"</f>
        <v>Total Economic (LCU)</v>
      </c>
      <c r="J48" s="113">
        <f t="shared" ref="J48:N48" si="6">SUM(J47:J47)</f>
        <v>0</v>
      </c>
      <c r="K48" s="113">
        <f t="shared" si="6"/>
        <v>0</v>
      </c>
      <c r="L48" s="113">
        <f t="shared" si="6"/>
        <v>0</v>
      </c>
      <c r="M48" s="113">
        <f t="shared" si="6"/>
        <v>0</v>
      </c>
      <c r="N48" s="113">
        <f t="shared" si="6"/>
        <v>0</v>
      </c>
    </row>
    <row r="49" spans="1:14" s="10" customFormat="1" x14ac:dyDescent="0.2"/>
    <row r="50" spans="1:14" s="10" customFormat="1" x14ac:dyDescent="0.2">
      <c r="A50" s="12" t="s">
        <v>127</v>
      </c>
      <c r="B50" s="13" t="str">
        <f>IF(TIME_SERIES!$H$6=1,Lang_Vaccine_Costs&amp;" ("&amp;Lang_Projected&amp;")",Lang_Vaccine_Costs&amp;" ("&amp;Lang_Retrospective&amp;")")&amp;" "&amp;Lang_International_Currency_Fin</f>
        <v>Vaccine Costs (Projected) International Currency - Financial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</row>
    <row r="51" spans="1:14" s="10" customFormat="1" outlineLevel="1" x14ac:dyDescent="0.2"/>
    <row r="52" spans="1:14" s="10" customFormat="1" outlineLevel="1" x14ac:dyDescent="0.2">
      <c r="B52" s="74" t="str">
        <f>Lang_Fin</f>
        <v>Financial</v>
      </c>
    </row>
    <row r="53" spans="1:14" s="10" customFormat="1" outlineLevel="1" x14ac:dyDescent="0.2"/>
    <row r="54" spans="1:14" s="10" customFormat="1" outlineLevel="1" x14ac:dyDescent="0.2">
      <c r="C54" s="358" t="str">
        <f>Vacc_Lu!$D$12</f>
        <v>USD</v>
      </c>
    </row>
    <row r="55" spans="1:14" s="10" customFormat="1" outlineLevel="1" x14ac:dyDescent="0.2"/>
    <row r="56" spans="1:14" s="10" customFormat="1" outlineLevel="1" x14ac:dyDescent="0.2">
      <c r="D56" s="53" t="str">
        <f>IF(TIME_SERIES!$H$6=1,Lang_Vaccine_Costs&amp;" ("&amp;Lang_Projected&amp;")",Lang_Vaccine_Costs&amp;" ("&amp;Lang_Retrospective&amp;")")&amp;" "&amp;Lang_International_Currency_Fin</f>
        <v>Vaccine Costs (Projected) International Currency - Financial</v>
      </c>
      <c r="J56" s="119">
        <f>J38/Vacc_Baseline_Exchange_Rate</f>
        <v>0</v>
      </c>
      <c r="K56" s="119">
        <f>K38/Vacc_Baseline_Exchange_Rate</f>
        <v>0</v>
      </c>
      <c r="L56" s="119">
        <f>L38/Vacc_Baseline_Exchange_Rate</f>
        <v>0</v>
      </c>
      <c r="M56" s="119">
        <f>M38/Vacc_Baseline_Exchange_Rate</f>
        <v>0</v>
      </c>
      <c r="N56" s="119">
        <f>N38/Vacc_Baseline_Exchange_Rate</f>
        <v>0</v>
      </c>
    </row>
    <row r="57" spans="1:14" s="10" customFormat="1" outlineLevel="1" x14ac:dyDescent="0.2">
      <c r="D57" s="71" t="str">
        <f>Lang_Total_SmallLetter&amp;" "&amp;B52&amp;" ("&amp;C54&amp;")"</f>
        <v>Total Financial (USD)</v>
      </c>
      <c r="J57" s="360">
        <f t="shared" ref="J57:N57" si="7">SUM(J56:J56)</f>
        <v>0</v>
      </c>
      <c r="K57" s="360">
        <f t="shared" si="7"/>
        <v>0</v>
      </c>
      <c r="L57" s="360">
        <f t="shared" si="7"/>
        <v>0</v>
      </c>
      <c r="M57" s="360">
        <f t="shared" si="7"/>
        <v>0</v>
      </c>
      <c r="N57" s="360">
        <f t="shared" si="7"/>
        <v>0</v>
      </c>
    </row>
    <row r="58" spans="1:14" s="10" customFormat="1" x14ac:dyDescent="0.2"/>
    <row r="59" spans="1:14" s="10" customFormat="1" x14ac:dyDescent="0.2">
      <c r="A59" s="12" t="s">
        <v>127</v>
      </c>
      <c r="B59" s="13" t="str">
        <f>IF(TIME_SERIES!$H$6=1,Lang_Vaccine_Costs&amp;" ("&amp;Lang_Projected&amp;")",Lang_Vaccine_Costs&amp;" ("&amp;Lang_Retrospective&amp;")")&amp;" "&amp;Lang_International_Currency_Econ</f>
        <v>Vaccine Costs (Projected) International Currency - Economic</v>
      </c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</row>
    <row r="60" spans="1:14" s="10" customFormat="1" outlineLevel="1" x14ac:dyDescent="0.2"/>
    <row r="61" spans="1:14" s="10" customFormat="1" outlineLevel="1" x14ac:dyDescent="0.2">
      <c r="B61" s="74" t="str">
        <f>Lang_Econ</f>
        <v>Economic</v>
      </c>
    </row>
    <row r="62" spans="1:14" s="10" customFormat="1" outlineLevel="1" x14ac:dyDescent="0.2"/>
    <row r="63" spans="1:14" s="10" customFormat="1" outlineLevel="1" x14ac:dyDescent="0.2">
      <c r="C63" s="358" t="str">
        <f>Vacc_Lu!$D$12</f>
        <v>USD</v>
      </c>
    </row>
    <row r="64" spans="1:14" s="10" customFormat="1" outlineLevel="1" x14ac:dyDescent="0.2"/>
    <row r="65" spans="1:14" s="10" customFormat="1" outlineLevel="1" x14ac:dyDescent="0.2">
      <c r="D65" s="53" t="str">
        <f>IF(TIME_SERIES!$H$6=1,Lang_Vaccine_Costs&amp;" ("&amp;Lang_Projected&amp;")",Lang_Vaccine_Costs&amp;" ("&amp;Lang_Retrospective&amp;")")&amp;" "&amp;Lang_International_Currency_Econ</f>
        <v>Vaccine Costs (Projected) International Currency - Economic</v>
      </c>
      <c r="J65" s="119">
        <f>J47/Vacc_Baseline_Exchange_Rate</f>
        <v>0</v>
      </c>
      <c r="K65" s="119">
        <f>K47/Vacc_Baseline_Exchange_Rate</f>
        <v>0</v>
      </c>
      <c r="L65" s="119">
        <f>L47/Vacc_Baseline_Exchange_Rate</f>
        <v>0</v>
      </c>
      <c r="M65" s="119">
        <f>M47/Vacc_Baseline_Exchange_Rate</f>
        <v>0</v>
      </c>
      <c r="N65" s="119">
        <f>N47/Vacc_Baseline_Exchange_Rate</f>
        <v>0</v>
      </c>
    </row>
    <row r="66" spans="1:14" s="10" customFormat="1" outlineLevel="1" x14ac:dyDescent="0.2">
      <c r="D66" s="71" t="str">
        <f>Lang_Total_SmallLetter&amp;" "&amp;B61&amp;" ("&amp;C63&amp;")"</f>
        <v>Total Economic (USD)</v>
      </c>
      <c r="J66" s="125">
        <f t="shared" ref="J66:N66" si="8">SUM(J65:J65)</f>
        <v>0</v>
      </c>
      <c r="K66" s="125">
        <f t="shared" si="8"/>
        <v>0</v>
      </c>
      <c r="L66" s="125">
        <f t="shared" si="8"/>
        <v>0</v>
      </c>
      <c r="M66" s="125">
        <f t="shared" si="8"/>
        <v>0</v>
      </c>
      <c r="N66" s="125">
        <f t="shared" si="8"/>
        <v>0</v>
      </c>
    </row>
    <row r="67" spans="1:14" s="10" customFormat="1" x14ac:dyDescent="0.2"/>
    <row r="68" spans="1:14" s="10" customFormat="1" x14ac:dyDescent="0.2">
      <c r="A68" s="12" t="s">
        <v>127</v>
      </c>
      <c r="B68" s="13" t="str">
        <f>IF(TIME_SERIES!$H$6=1,Lang_Syringe_Costs&amp;" ("&amp;Lang_Projected&amp;")",Lang_Syringe_Costs&amp;" ("&amp;Lang_Retrospective&amp;")")&amp;" "&amp;Lang_Local_Currency_Fin</f>
        <v>Syringe Costs (Projected) Local Currency - Financial</v>
      </c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</row>
    <row r="69" spans="1:14" s="10" customFormat="1" outlineLevel="1" x14ac:dyDescent="0.2"/>
    <row r="70" spans="1:14" s="10" customFormat="1" outlineLevel="1" x14ac:dyDescent="0.2">
      <c r="B70" s="74" t="str">
        <f>Lang_Fin</f>
        <v>Financial</v>
      </c>
    </row>
    <row r="71" spans="1:14" s="10" customFormat="1" outlineLevel="1" x14ac:dyDescent="0.2"/>
    <row r="72" spans="1:14" s="10" customFormat="1" outlineLevel="1" x14ac:dyDescent="0.2">
      <c r="C72" s="358" t="str">
        <f>Vacc_Lu!$D$13</f>
        <v>LCU</v>
      </c>
    </row>
    <row r="73" spans="1:14" s="10" customFormat="1" outlineLevel="1" x14ac:dyDescent="0.2">
      <c r="D73" s="53" t="str">
        <f>IF(TIME_SERIES!$H$6=1,Lang_Syringe_Costs&amp;" ("&amp;Lang_Projected&amp;")",Lang_Syringe_Costs&amp;" ("&amp;Lang_Retrospective&amp;")")&amp;" "&amp;Lang_Local_Currency_Fin</f>
        <v>Syringe Costs (Projected) Local Currency - Financial</v>
      </c>
      <c r="J73" s="42">
        <f>IF(DD_Vacc_Applied_Input_Currency=1,(('VACCS_&amp;_SUPPLIES'!J$18-('VACCS_&amp;_SUPPLIES'!J$18*'VACCS_&amp;_SUPPLIES'!J$28))+('VACCS_&amp;_SUPPLIES'!J$18*'VACCS_&amp;_SUPPLIES'!J$47))*J$22*Vacc_Baseline_Exchange_Rate,(('VACCS_&amp;_SUPPLIES'!J$18-('VACCS_&amp;_SUPPLIES'!J$18*'VACCS_&amp;_SUPPLIES'!J$28))+('VACCS_&amp;_SUPPLIES'!J$18*'VACCS_&amp;_SUPPLIES'!J$47)*J$22))</f>
        <v>0</v>
      </c>
      <c r="K73" s="42">
        <f>IF(DD_Vacc_Applied_Input_Currency=1,(('VACCS_&amp;_SUPPLIES'!K$18-('VACCS_&amp;_SUPPLIES'!K$18*'VACCS_&amp;_SUPPLIES'!K$28))+('VACCS_&amp;_SUPPLIES'!K$18*'VACCS_&amp;_SUPPLIES'!K$47))*K$22*Vacc_Baseline_Exchange_Rate,(('VACCS_&amp;_SUPPLIES'!K$18-('VACCS_&amp;_SUPPLIES'!K$18*'VACCS_&amp;_SUPPLIES'!K$28))+('VACCS_&amp;_SUPPLIES'!K$18*'VACCS_&amp;_SUPPLIES'!K$47)*K$22))</f>
        <v>0</v>
      </c>
      <c r="L73" s="42">
        <f>IF(DD_Vacc_Applied_Input_Currency=1,(('VACCS_&amp;_SUPPLIES'!L$18-('VACCS_&amp;_SUPPLIES'!L$18*'VACCS_&amp;_SUPPLIES'!L$28))+('VACCS_&amp;_SUPPLIES'!L$18*'VACCS_&amp;_SUPPLIES'!L$47))*L$22*Vacc_Baseline_Exchange_Rate,(('VACCS_&amp;_SUPPLIES'!L$18-('VACCS_&amp;_SUPPLIES'!L$18*'VACCS_&amp;_SUPPLIES'!L$28))+('VACCS_&amp;_SUPPLIES'!L$18*'VACCS_&amp;_SUPPLIES'!L$47)*L$22))</f>
        <v>0</v>
      </c>
      <c r="M73" s="42">
        <f>IF(DD_Vacc_Applied_Input_Currency=1,(('VACCS_&amp;_SUPPLIES'!M$18-('VACCS_&amp;_SUPPLIES'!M$18*'VACCS_&amp;_SUPPLIES'!M$28))+('VACCS_&amp;_SUPPLIES'!M$18*'VACCS_&amp;_SUPPLIES'!M$47))*M$22*Vacc_Baseline_Exchange_Rate,(('VACCS_&amp;_SUPPLIES'!M$18-('VACCS_&amp;_SUPPLIES'!M$18*'VACCS_&amp;_SUPPLIES'!M$28))+('VACCS_&amp;_SUPPLIES'!M$18*'VACCS_&amp;_SUPPLIES'!M$47)*M$22))</f>
        <v>0</v>
      </c>
      <c r="N73" s="42">
        <f>IF(DD_Vacc_Applied_Input_Currency=1,(('VACCS_&amp;_SUPPLIES'!N$18-('VACCS_&amp;_SUPPLIES'!N$18*'VACCS_&amp;_SUPPLIES'!N$28))+('VACCS_&amp;_SUPPLIES'!N$18*'VACCS_&amp;_SUPPLIES'!N$47))*N$22*Vacc_Baseline_Exchange_Rate,(('VACCS_&amp;_SUPPLIES'!N$18-('VACCS_&amp;_SUPPLIES'!N$18*'VACCS_&amp;_SUPPLIES'!N$28))+('VACCS_&amp;_SUPPLIES'!N$18*'VACCS_&amp;_SUPPLIES'!N$47)*N$22))</f>
        <v>0</v>
      </c>
    </row>
    <row r="74" spans="1:14" s="10" customFormat="1" outlineLevel="1" x14ac:dyDescent="0.2">
      <c r="D74" s="71" t="str">
        <f>Lang_Total_SmallLetter&amp;" "&amp;B70&amp;" ("&amp;C72&amp;")"</f>
        <v>Total Financial (LCU)</v>
      </c>
      <c r="J74" s="113">
        <f t="shared" ref="J74:N74" si="9">SUM(J73:J73)</f>
        <v>0</v>
      </c>
      <c r="K74" s="113">
        <f t="shared" si="9"/>
        <v>0</v>
      </c>
      <c r="L74" s="113">
        <f t="shared" si="9"/>
        <v>0</v>
      </c>
      <c r="M74" s="113">
        <f t="shared" si="9"/>
        <v>0</v>
      </c>
      <c r="N74" s="113">
        <f t="shared" si="9"/>
        <v>0</v>
      </c>
    </row>
    <row r="75" spans="1:14" s="10" customFormat="1" x14ac:dyDescent="0.2"/>
    <row r="76" spans="1:14" s="10" customFormat="1" x14ac:dyDescent="0.2">
      <c r="A76" s="12" t="s">
        <v>127</v>
      </c>
      <c r="B76" s="13" t="str">
        <f>IF(TIME_SERIES!$H$6=1,Lang_Syringe_Costs&amp;" ("&amp;Lang_Projected&amp;")",Lang_Syringe_Costs&amp;" ("&amp;Lang_Retrospective&amp;")")&amp;" "&amp;Lang_Local_Currency_Econ</f>
        <v>Syringe Costs (Projected) Local Currency - Economic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</row>
    <row r="77" spans="1:14" s="10" customFormat="1" outlineLevel="1" x14ac:dyDescent="0.2"/>
    <row r="78" spans="1:14" s="10" customFormat="1" outlineLevel="1" x14ac:dyDescent="0.2">
      <c r="B78" s="74" t="str">
        <f>Lang_Econ</f>
        <v>Economic</v>
      </c>
    </row>
    <row r="79" spans="1:14" s="10" customFormat="1" outlineLevel="1" x14ac:dyDescent="0.2"/>
    <row r="80" spans="1:14" s="10" customFormat="1" outlineLevel="1" x14ac:dyDescent="0.2">
      <c r="C80" s="358" t="str">
        <f>Vacc_Lu!$D$13</f>
        <v>LCU</v>
      </c>
    </row>
    <row r="81" spans="1:14" s="10" customFormat="1" outlineLevel="1" x14ac:dyDescent="0.2"/>
    <row r="82" spans="1:14" s="10" customFormat="1" outlineLevel="1" x14ac:dyDescent="0.2">
      <c r="D82" s="53" t="str">
        <f>IF(TIME_SERIES!$H$6=1,Lang_Syringe_Costs&amp;" ("&amp;Lang_Projected&amp;")",Lang_Syringe_Costs&amp;" ("&amp;Lang_Retrospective&amp;")")&amp;" "&amp;Lang_Local_Currency_Econ</f>
        <v>Syringe Costs (Projected) Local Currency - Economic</v>
      </c>
      <c r="J82" s="42">
        <f>(IF(DD_Vacc_Applied_Input_Currency=1,('VACCS_&amp;_SUPPLIES'!J$18+('VACCS_&amp;_SUPPLIES'!J$18*'VACCS_&amp;_SUPPLIES'!J$47))*Vacc_Baseline_Exchange_Rate,('VACCS_&amp;_SUPPLIES'!J$18+('VACCS_&amp;_SUPPLIES'!J$18*'VACCS_&amp;_SUPPLIES'!J$47))))*J$22</f>
        <v>0</v>
      </c>
      <c r="K82" s="42">
        <f>(IF(DD_Vacc_Applied_Input_Currency=1,('VACCS_&amp;_SUPPLIES'!K$18+('VACCS_&amp;_SUPPLIES'!K$18*'VACCS_&amp;_SUPPLIES'!K$47))*Vacc_Baseline_Exchange_Rate,('VACCS_&amp;_SUPPLIES'!K$18+('VACCS_&amp;_SUPPLIES'!K$18*'VACCS_&amp;_SUPPLIES'!K$47))))*K$22</f>
        <v>0</v>
      </c>
      <c r="L82" s="42">
        <f>(IF(DD_Vacc_Applied_Input_Currency=1,('VACCS_&amp;_SUPPLIES'!L$18+('VACCS_&amp;_SUPPLIES'!L$18*'VACCS_&amp;_SUPPLIES'!L$47))*Vacc_Baseline_Exchange_Rate,('VACCS_&amp;_SUPPLIES'!L$18+('VACCS_&amp;_SUPPLIES'!L$18*'VACCS_&amp;_SUPPLIES'!L$47))))*L$22</f>
        <v>0</v>
      </c>
      <c r="M82" s="42">
        <f>(IF(DD_Vacc_Applied_Input_Currency=1,('VACCS_&amp;_SUPPLIES'!M$18+('VACCS_&amp;_SUPPLIES'!M$18*'VACCS_&amp;_SUPPLIES'!M$47))*Vacc_Baseline_Exchange_Rate,('VACCS_&amp;_SUPPLIES'!M$18+('VACCS_&amp;_SUPPLIES'!M$18*'VACCS_&amp;_SUPPLIES'!M$47))))*M$22</f>
        <v>0</v>
      </c>
      <c r="N82" s="42">
        <f>(IF(DD_Vacc_Applied_Input_Currency=1,('VACCS_&amp;_SUPPLIES'!N$18+('VACCS_&amp;_SUPPLIES'!N$18*'VACCS_&amp;_SUPPLIES'!N$47))*Vacc_Baseline_Exchange_Rate,('VACCS_&amp;_SUPPLIES'!N$18+('VACCS_&amp;_SUPPLIES'!N$18*'VACCS_&amp;_SUPPLIES'!N$47))))*N$22</f>
        <v>0</v>
      </c>
    </row>
    <row r="83" spans="1:14" s="10" customFormat="1" outlineLevel="1" x14ac:dyDescent="0.2">
      <c r="D83" s="71" t="str">
        <f>Lang_Total_SmallLetter&amp;" "&amp;B78&amp;" ("&amp;C80&amp;")"</f>
        <v>Total Economic (LCU)</v>
      </c>
      <c r="J83" s="113">
        <f t="shared" ref="J83:N83" si="10">SUM(J82:J82)</f>
        <v>0</v>
      </c>
      <c r="K83" s="113">
        <f t="shared" si="10"/>
        <v>0</v>
      </c>
      <c r="L83" s="113">
        <f t="shared" si="10"/>
        <v>0</v>
      </c>
      <c r="M83" s="113">
        <f t="shared" si="10"/>
        <v>0</v>
      </c>
      <c r="N83" s="113">
        <f t="shared" si="10"/>
        <v>0</v>
      </c>
    </row>
    <row r="84" spans="1:14" s="10" customFormat="1" x14ac:dyDescent="0.2"/>
    <row r="85" spans="1:14" s="10" customFormat="1" x14ac:dyDescent="0.2">
      <c r="A85" s="12" t="s">
        <v>127</v>
      </c>
      <c r="B85" s="13" t="str">
        <f>IF(TIME_SERIES!$H$6=1,Lang_Syringe_Costs&amp;" ("&amp;Lang_Projected&amp;")",Lang_Syringe_Costs&amp;" ("&amp;Lang_Retrospective&amp;")")&amp;" "&amp;Lang_International_Currency_Fin</f>
        <v>Syringe Costs (Projected) International Currency - Financial</v>
      </c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</row>
    <row r="86" spans="1:14" s="10" customFormat="1" outlineLevel="1" x14ac:dyDescent="0.2"/>
    <row r="87" spans="1:14" s="10" customFormat="1" outlineLevel="1" x14ac:dyDescent="0.2">
      <c r="B87" s="74" t="str">
        <f>Lang_Fin</f>
        <v>Financial</v>
      </c>
    </row>
    <row r="88" spans="1:14" s="10" customFormat="1" outlineLevel="1" x14ac:dyDescent="0.2"/>
    <row r="89" spans="1:14" s="10" customFormat="1" outlineLevel="1" x14ac:dyDescent="0.2">
      <c r="C89" s="358" t="str">
        <f>Vacc_Lu!$D$12</f>
        <v>USD</v>
      </c>
    </row>
    <row r="90" spans="1:14" s="10" customFormat="1" outlineLevel="1" x14ac:dyDescent="0.2"/>
    <row r="91" spans="1:14" s="10" customFormat="1" outlineLevel="1" x14ac:dyDescent="0.2">
      <c r="D91" s="53" t="str">
        <f>IF(TIME_SERIES!$H$6=1,Lang_Syringe_Costs&amp;" ("&amp;Lang_Projected&amp;")",Lang_Syringe_Costs&amp;" ("&amp;Lang_Retrospective&amp;")")&amp;" "&amp;Lang_International_Currency_Fin</f>
        <v>Syringe Costs (Projected) International Currency - Financial</v>
      </c>
      <c r="J91" s="119">
        <f>J73/Vacc_Baseline_Exchange_Rate</f>
        <v>0</v>
      </c>
      <c r="K91" s="119">
        <f>K73/Vacc_Baseline_Exchange_Rate</f>
        <v>0</v>
      </c>
      <c r="L91" s="119">
        <f>L73/Vacc_Baseline_Exchange_Rate</f>
        <v>0</v>
      </c>
      <c r="M91" s="119">
        <f>M73/Vacc_Baseline_Exchange_Rate</f>
        <v>0</v>
      </c>
      <c r="N91" s="119">
        <f>N73/Vacc_Baseline_Exchange_Rate</f>
        <v>0</v>
      </c>
    </row>
    <row r="92" spans="1:14" s="10" customFormat="1" outlineLevel="1" x14ac:dyDescent="0.2">
      <c r="D92" s="71" t="str">
        <f>Lang_Total_SmallLetter&amp;" "&amp;B87&amp;" ("&amp;C89&amp;")"</f>
        <v>Total Financial (USD)</v>
      </c>
      <c r="J92" s="125">
        <f t="shared" ref="J92:N92" si="11">SUM(J91:J91)</f>
        <v>0</v>
      </c>
      <c r="K92" s="125">
        <f t="shared" si="11"/>
        <v>0</v>
      </c>
      <c r="L92" s="125">
        <f t="shared" si="11"/>
        <v>0</v>
      </c>
      <c r="M92" s="125">
        <f t="shared" si="11"/>
        <v>0</v>
      </c>
      <c r="N92" s="125">
        <f t="shared" si="11"/>
        <v>0</v>
      </c>
    </row>
    <row r="93" spans="1:14" s="10" customFormat="1" x14ac:dyDescent="0.2"/>
    <row r="94" spans="1:14" s="10" customFormat="1" x14ac:dyDescent="0.2">
      <c r="A94" s="12" t="s">
        <v>127</v>
      </c>
      <c r="B94" s="13" t="str">
        <f>IF(TIME_SERIES!$H$6=1,Lang_Syringe_Costs&amp;" ("&amp;Lang_Projected&amp;")",Lang_Syringe_Costs&amp;" ("&amp;Lang_Retrospective&amp;")")&amp;" "&amp;Lang_International_Currency_Econ</f>
        <v>Syringe Costs (Projected) International Currency - Economic</v>
      </c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</row>
    <row r="95" spans="1:14" s="10" customFormat="1" outlineLevel="1" x14ac:dyDescent="0.2"/>
    <row r="96" spans="1:14" s="10" customFormat="1" outlineLevel="1" x14ac:dyDescent="0.2">
      <c r="B96" s="74" t="str">
        <f>Lang_Econ</f>
        <v>Economic</v>
      </c>
    </row>
    <row r="97" spans="1:14" s="10" customFormat="1" outlineLevel="1" x14ac:dyDescent="0.2"/>
    <row r="98" spans="1:14" s="10" customFormat="1" outlineLevel="1" x14ac:dyDescent="0.2">
      <c r="C98" s="358" t="str">
        <f>Vacc_Lu!$D$12</f>
        <v>USD</v>
      </c>
    </row>
    <row r="99" spans="1:14" s="10" customFormat="1" outlineLevel="1" x14ac:dyDescent="0.2"/>
    <row r="100" spans="1:14" s="10" customFormat="1" outlineLevel="1" x14ac:dyDescent="0.2">
      <c r="D100" s="53" t="str">
        <f>IF(TIME_SERIES!$H$6=1,Lang_Syringe_Costs&amp;" ("&amp;Lang_Projected&amp;")",Lang_Syringe_Costs&amp;" ("&amp;Lang_Retrospective&amp;")")&amp;" "&amp;Lang_International_Currency_Econ</f>
        <v>Syringe Costs (Projected) International Currency - Economic</v>
      </c>
      <c r="J100" s="119">
        <f>J82/Vacc_Baseline_Exchange_Rate</f>
        <v>0</v>
      </c>
      <c r="K100" s="119">
        <f>K82/Vacc_Baseline_Exchange_Rate</f>
        <v>0</v>
      </c>
      <c r="L100" s="119">
        <f>L82/Vacc_Baseline_Exchange_Rate</f>
        <v>0</v>
      </c>
      <c r="M100" s="119">
        <f>M82/Vacc_Baseline_Exchange_Rate</f>
        <v>0</v>
      </c>
      <c r="N100" s="119">
        <f>N82/Vacc_Baseline_Exchange_Rate</f>
        <v>0</v>
      </c>
    </row>
    <row r="101" spans="1:14" s="10" customFormat="1" outlineLevel="1" x14ac:dyDescent="0.2">
      <c r="D101" s="71" t="str">
        <f>Lang_Total_SmallLetter&amp;" "&amp;B96&amp;" ("&amp;C98&amp;")"</f>
        <v>Total Economic (USD)</v>
      </c>
      <c r="J101" s="125">
        <f t="shared" ref="J101:N101" si="12">SUM(J100:J100)</f>
        <v>0</v>
      </c>
      <c r="K101" s="125">
        <f t="shared" si="12"/>
        <v>0</v>
      </c>
      <c r="L101" s="125">
        <f t="shared" si="12"/>
        <v>0</v>
      </c>
      <c r="M101" s="125">
        <f t="shared" si="12"/>
        <v>0</v>
      </c>
      <c r="N101" s="125">
        <f t="shared" si="12"/>
        <v>0</v>
      </c>
    </row>
    <row r="102" spans="1:14" s="10" customFormat="1" x14ac:dyDescent="0.2"/>
    <row r="103" spans="1:14" s="10" customFormat="1" x14ac:dyDescent="0.2">
      <c r="A103" s="12" t="s">
        <v>127</v>
      </c>
      <c r="B103" s="13" t="str">
        <f>IF(TIME_SERIES!$H$6=1,Lang_Safety_Box_Costs&amp;" ("&amp;Lang_Projected&amp;")",Lang_Safety_Box_Costs&amp;" ("&amp;Lang_Retrospective&amp;")")&amp;" "&amp;Lang_Local_Currency_Fin</f>
        <v>Safety Box Costs (Projected) Local Currency - Financial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</row>
    <row r="104" spans="1:14" s="10" customFormat="1" outlineLevel="1" x14ac:dyDescent="0.2"/>
    <row r="105" spans="1:14" s="10" customFormat="1" outlineLevel="1" x14ac:dyDescent="0.2">
      <c r="B105" s="74" t="str">
        <f>Lang_Fin</f>
        <v>Financial</v>
      </c>
    </row>
    <row r="106" spans="1:14" s="10" customFormat="1" outlineLevel="1" x14ac:dyDescent="0.2"/>
    <row r="107" spans="1:14" s="10" customFormat="1" outlineLevel="1" x14ac:dyDescent="0.2">
      <c r="C107" s="358" t="str">
        <f>Vacc_Lu!$D$13</f>
        <v>LCU</v>
      </c>
    </row>
    <row r="108" spans="1:14" s="10" customFormat="1" outlineLevel="1" x14ac:dyDescent="0.2"/>
    <row r="109" spans="1:14" s="10" customFormat="1" outlineLevel="1" x14ac:dyDescent="0.2">
      <c r="D109" s="53" t="str">
        <f>IF(TIME_SERIES!$H$6=1,Lang_Safety_Box_Costs&amp;" ("&amp;Lang_Projected&amp;")",Lang_Safety_Box_Costs&amp;" ("&amp;Lang_Retrospective&amp;")")&amp;" "&amp;Lang_Local_Currency_Fin</f>
        <v>Safety Box Costs (Projected) Local Currency - Financial</v>
      </c>
      <c r="J109" s="42">
        <f>IF(DD_Vacc_Applied_Input_Currency=1,(('VACCS_&amp;_SUPPLIES'!J$19-('VACCS_&amp;_SUPPLIES'!J$19*'VACCS_&amp;_SUPPLIES'!J$29))+('VACCS_&amp;_SUPPLIES'!J$19*'VACCS_&amp;_SUPPLIES'!J$55))*J$29*Vacc_Baseline_Exchange_Rate,(('VACCS_&amp;_SUPPLIES'!J$19-('VACCS_&amp;_SUPPLIES'!J$19*'VACCS_&amp;_SUPPLIES'!J$29))+('VACCS_&amp;_SUPPLIES'!J$19*'VACCS_&amp;_SUPPLIES'!J$55))*J$29)</f>
        <v>0</v>
      </c>
      <c r="K109" s="42">
        <f>IF(DD_Vacc_Applied_Input_Currency=1,(('VACCS_&amp;_SUPPLIES'!K$19-('VACCS_&amp;_SUPPLIES'!K$19*'VACCS_&amp;_SUPPLIES'!K$29))+('VACCS_&amp;_SUPPLIES'!K$19*'VACCS_&amp;_SUPPLIES'!K$55))*K$29*Vacc_Baseline_Exchange_Rate,(('VACCS_&amp;_SUPPLIES'!K$19-('VACCS_&amp;_SUPPLIES'!K$19*'VACCS_&amp;_SUPPLIES'!K$29))+('VACCS_&amp;_SUPPLIES'!K$19*'VACCS_&amp;_SUPPLIES'!K$55))*K$29)</f>
        <v>0</v>
      </c>
      <c r="L109" s="42">
        <f>IF(DD_Vacc_Applied_Input_Currency=1,(('VACCS_&amp;_SUPPLIES'!L$19-('VACCS_&amp;_SUPPLIES'!L$19*'VACCS_&amp;_SUPPLIES'!L$29))+('VACCS_&amp;_SUPPLIES'!L$19*'VACCS_&amp;_SUPPLIES'!L$55))*L$29*Vacc_Baseline_Exchange_Rate,(('VACCS_&amp;_SUPPLIES'!L$19-('VACCS_&amp;_SUPPLIES'!L$19*'VACCS_&amp;_SUPPLIES'!L$29))+('VACCS_&amp;_SUPPLIES'!L$19*'VACCS_&amp;_SUPPLIES'!L$55))*L$29)</f>
        <v>0</v>
      </c>
      <c r="M109" s="42">
        <f>IF(DD_Vacc_Applied_Input_Currency=1,(('VACCS_&amp;_SUPPLIES'!M$19-('VACCS_&amp;_SUPPLIES'!M$19*'VACCS_&amp;_SUPPLIES'!M$29))+('VACCS_&amp;_SUPPLIES'!M$19*'VACCS_&amp;_SUPPLIES'!M$55))*M$29*Vacc_Baseline_Exchange_Rate,(('VACCS_&amp;_SUPPLIES'!M$19-('VACCS_&amp;_SUPPLIES'!M$19*'VACCS_&amp;_SUPPLIES'!M$29))+('VACCS_&amp;_SUPPLIES'!M$19*'VACCS_&amp;_SUPPLIES'!M$55))*M$29)</f>
        <v>0</v>
      </c>
      <c r="N109" s="42">
        <f>IF(DD_Vacc_Applied_Input_Currency=1,(('VACCS_&amp;_SUPPLIES'!N$19-('VACCS_&amp;_SUPPLIES'!N$19*'VACCS_&amp;_SUPPLIES'!N$29))+('VACCS_&amp;_SUPPLIES'!N$19*'VACCS_&amp;_SUPPLIES'!N$55))*N$29*Vacc_Baseline_Exchange_Rate,(('VACCS_&amp;_SUPPLIES'!N$19-('VACCS_&amp;_SUPPLIES'!N$19*'VACCS_&amp;_SUPPLIES'!N$29))+('VACCS_&amp;_SUPPLIES'!N$19*'VACCS_&amp;_SUPPLIES'!N$55))*N$29)</f>
        <v>0</v>
      </c>
    </row>
    <row r="110" spans="1:14" s="10" customFormat="1" outlineLevel="1" x14ac:dyDescent="0.2">
      <c r="D110" s="71" t="str">
        <f>Lang_Total_SmallLetter&amp;" "&amp;B105&amp;" ("&amp;C107&amp;")"</f>
        <v>Total Financial (LCU)</v>
      </c>
      <c r="J110" s="113">
        <f t="shared" ref="J110:N110" si="13">SUM(J109:J109)</f>
        <v>0</v>
      </c>
      <c r="K110" s="113">
        <f t="shared" si="13"/>
        <v>0</v>
      </c>
      <c r="L110" s="113">
        <f t="shared" si="13"/>
        <v>0</v>
      </c>
      <c r="M110" s="113">
        <f t="shared" si="13"/>
        <v>0</v>
      </c>
      <c r="N110" s="113">
        <f t="shared" si="13"/>
        <v>0</v>
      </c>
    </row>
    <row r="111" spans="1:14" s="10" customFormat="1" x14ac:dyDescent="0.2"/>
    <row r="112" spans="1:14" s="10" customFormat="1" x14ac:dyDescent="0.2">
      <c r="A112" s="12" t="s">
        <v>127</v>
      </c>
      <c r="B112" s="13" t="str">
        <f>IF(TIME_SERIES!$H$6=1,Lang_Safety_Box_Costs&amp;" ("&amp;Lang_Projected&amp;")",Lang_Safety_Box_Costs&amp;" ("&amp;Lang_Retrospective&amp;")")&amp;" "&amp;Lang_Local_Currency_Econ</f>
        <v>Safety Box Costs (Projected) Local Currency - Economic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</row>
    <row r="113" spans="1:14" s="10" customFormat="1" outlineLevel="1" x14ac:dyDescent="0.2"/>
    <row r="114" spans="1:14" s="10" customFormat="1" outlineLevel="1" x14ac:dyDescent="0.2">
      <c r="B114" s="74" t="str">
        <f>Lang_Econ</f>
        <v>Economic</v>
      </c>
    </row>
    <row r="115" spans="1:14" s="10" customFormat="1" outlineLevel="1" x14ac:dyDescent="0.2"/>
    <row r="116" spans="1:14" s="10" customFormat="1" outlineLevel="1" x14ac:dyDescent="0.2">
      <c r="C116" s="358" t="str">
        <f>Vacc_Lu!$D$13</f>
        <v>LCU</v>
      </c>
    </row>
    <row r="117" spans="1:14" s="10" customFormat="1" outlineLevel="1" x14ac:dyDescent="0.2"/>
    <row r="118" spans="1:14" s="10" customFormat="1" outlineLevel="1" x14ac:dyDescent="0.2">
      <c r="D118" s="53" t="str">
        <f>IF(TIME_SERIES!$H$6=1,Lang_Safety_Box_Costs&amp;" ("&amp;Lang_Projected&amp;")",Lang_Safety_Box_Costs&amp;" ("&amp;Lang_Retrospective&amp;")")&amp;" "&amp;Lang_Local_Currency_Econ</f>
        <v>Safety Box Costs (Projected) Local Currency - Economic</v>
      </c>
      <c r="J118" s="351">
        <f>(IF(DD_Vacc_Applied_Input_Currency=1,('VACCS_&amp;_SUPPLIES'!J$19+('VACCS_&amp;_SUPPLIES'!J$19*'VACCS_&amp;_SUPPLIES'!J$55))*Vacc_Baseline_Exchange_Rate,('VACCS_&amp;_SUPPLIES'!J$19+('VACCS_&amp;_SUPPLIES'!J$19*'VACCS_&amp;_SUPPLIES'!J$55))))*J$29</f>
        <v>0</v>
      </c>
      <c r="K118" s="351">
        <f>(IF(DD_Vacc_Applied_Input_Currency=1,('VACCS_&amp;_SUPPLIES'!K$19+('VACCS_&amp;_SUPPLIES'!K$19*'VACCS_&amp;_SUPPLIES'!K$55))*Vacc_Baseline_Exchange_Rate,('VACCS_&amp;_SUPPLIES'!K$19+('VACCS_&amp;_SUPPLIES'!K$19*'VACCS_&amp;_SUPPLIES'!K$55))))*K$29</f>
        <v>0</v>
      </c>
      <c r="L118" s="351">
        <f>(IF(DD_Vacc_Applied_Input_Currency=1,('VACCS_&amp;_SUPPLIES'!L$19+('VACCS_&amp;_SUPPLIES'!L$19*'VACCS_&amp;_SUPPLIES'!L$55))*Vacc_Baseline_Exchange_Rate,('VACCS_&amp;_SUPPLIES'!L$19+('VACCS_&amp;_SUPPLIES'!L$19*'VACCS_&amp;_SUPPLIES'!L$55))))*L$29</f>
        <v>0</v>
      </c>
      <c r="M118" s="351">
        <f>(IF(DD_Vacc_Applied_Input_Currency=1,('VACCS_&amp;_SUPPLIES'!M$19+('VACCS_&amp;_SUPPLIES'!M$19*'VACCS_&amp;_SUPPLIES'!M$55))*Vacc_Baseline_Exchange_Rate,('VACCS_&amp;_SUPPLIES'!M$19+('VACCS_&amp;_SUPPLIES'!M$19*'VACCS_&amp;_SUPPLIES'!M$55))))*M$29</f>
        <v>0</v>
      </c>
      <c r="N118" s="351">
        <f>(IF(DD_Vacc_Applied_Input_Currency=1,('VACCS_&amp;_SUPPLIES'!N$19+('VACCS_&amp;_SUPPLIES'!N$19*'VACCS_&amp;_SUPPLIES'!N$55))*Vacc_Baseline_Exchange_Rate,('VACCS_&amp;_SUPPLIES'!N$19+('VACCS_&amp;_SUPPLIES'!N$19*'VACCS_&amp;_SUPPLIES'!N$55))))*N$29</f>
        <v>0</v>
      </c>
    </row>
    <row r="119" spans="1:14" s="10" customFormat="1" outlineLevel="1" x14ac:dyDescent="0.2">
      <c r="D119" s="71" t="str">
        <f>Lang_Total_SmallLetter&amp;" "&amp;B114&amp;" ("&amp;C116&amp;")"</f>
        <v>Total Economic (LCU)</v>
      </c>
      <c r="J119" s="113">
        <f t="shared" ref="J119:N119" si="14">SUM(J118:J118)</f>
        <v>0</v>
      </c>
      <c r="K119" s="113">
        <f t="shared" si="14"/>
        <v>0</v>
      </c>
      <c r="L119" s="113">
        <f t="shared" si="14"/>
        <v>0</v>
      </c>
      <c r="M119" s="113">
        <f t="shared" si="14"/>
        <v>0</v>
      </c>
      <c r="N119" s="113">
        <f t="shared" si="14"/>
        <v>0</v>
      </c>
    </row>
    <row r="120" spans="1:14" s="10" customFormat="1" x14ac:dyDescent="0.2"/>
    <row r="121" spans="1:14" s="10" customFormat="1" x14ac:dyDescent="0.2">
      <c r="A121" s="12" t="s">
        <v>127</v>
      </c>
      <c r="B121" s="13" t="str">
        <f>IF(TIME_SERIES!$H$6=1,Lang_Safety_Box_Costs&amp;" ("&amp;Lang_Projected&amp;")",Lang_Safety_Box_Costs&amp;" ("&amp;Lang_Retrospective&amp;")")&amp;" "&amp;Lang_International_Currency_Fin</f>
        <v>Safety Box Costs (Projected) International Currency - Financial</v>
      </c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</row>
    <row r="122" spans="1:14" s="10" customFormat="1" outlineLevel="1" x14ac:dyDescent="0.2"/>
    <row r="123" spans="1:14" s="10" customFormat="1" outlineLevel="1" x14ac:dyDescent="0.2">
      <c r="B123" s="74" t="str">
        <f>Lang_Fin</f>
        <v>Financial</v>
      </c>
    </row>
    <row r="124" spans="1:14" s="10" customFormat="1" outlineLevel="1" x14ac:dyDescent="0.2"/>
    <row r="125" spans="1:14" s="10" customFormat="1" outlineLevel="1" x14ac:dyDescent="0.2">
      <c r="C125" s="358" t="str">
        <f>Vacc_Lu!$D$12</f>
        <v>USD</v>
      </c>
    </row>
    <row r="126" spans="1:14" s="10" customFormat="1" outlineLevel="1" x14ac:dyDescent="0.2"/>
    <row r="127" spans="1:14" s="10" customFormat="1" outlineLevel="1" x14ac:dyDescent="0.2">
      <c r="D127" s="53" t="str">
        <f>IF(TIME_SERIES!$H$6=1,Lang_Safety_Box_Costs&amp;" ("&amp;Lang_Projected&amp;")",Lang_Safety_Box_Costs&amp;" ("&amp;Lang_Retrospective&amp;")")&amp;" "&amp;Lang_International_Currency_Fin</f>
        <v>Safety Box Costs (Projected) International Currency - Financial</v>
      </c>
      <c r="J127" s="119">
        <f>J109/Vacc_Baseline_Exchange_Rate</f>
        <v>0</v>
      </c>
      <c r="K127" s="119">
        <f>K109/Vacc_Baseline_Exchange_Rate</f>
        <v>0</v>
      </c>
      <c r="L127" s="119">
        <f>L109/Vacc_Baseline_Exchange_Rate</f>
        <v>0</v>
      </c>
      <c r="M127" s="119">
        <f>M109/Vacc_Baseline_Exchange_Rate</f>
        <v>0</v>
      </c>
      <c r="N127" s="119">
        <f>N109/Vacc_Baseline_Exchange_Rate</f>
        <v>0</v>
      </c>
    </row>
    <row r="128" spans="1:14" s="10" customFormat="1" outlineLevel="1" x14ac:dyDescent="0.2">
      <c r="D128" s="71" t="str">
        <f>Lang_Total_SmallLetter&amp;" "&amp;B123&amp;" ("&amp;C125&amp;")"</f>
        <v>Total Financial (USD)</v>
      </c>
      <c r="J128" s="125">
        <f t="shared" ref="J128:N128" si="15">SUM(J127:J127)</f>
        <v>0</v>
      </c>
      <c r="K128" s="125">
        <f t="shared" si="15"/>
        <v>0</v>
      </c>
      <c r="L128" s="125">
        <f t="shared" si="15"/>
        <v>0</v>
      </c>
      <c r="M128" s="125">
        <f t="shared" si="15"/>
        <v>0</v>
      </c>
      <c r="N128" s="125">
        <f t="shared" si="15"/>
        <v>0</v>
      </c>
    </row>
    <row r="129" spans="1:14" s="10" customFormat="1" x14ac:dyDescent="0.2"/>
    <row r="130" spans="1:14" s="10" customFormat="1" x14ac:dyDescent="0.2">
      <c r="A130" s="12" t="s">
        <v>127</v>
      </c>
      <c r="B130" s="13" t="str">
        <f>IF(TIME_SERIES!$H$6=1,Lang_Safety_Box_Costs&amp;" ("&amp;Lang_Projected&amp;")",Lang_Safety_Box_Costs&amp;" ("&amp;Lang_Retrospective&amp;")")&amp;" "&amp;Lang_International_Currency_Econ</f>
        <v>Safety Box Costs (Projected) International Currency - Economic</v>
      </c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</row>
    <row r="131" spans="1:14" s="10" customFormat="1" outlineLevel="1" x14ac:dyDescent="0.2"/>
    <row r="132" spans="1:14" s="10" customFormat="1" outlineLevel="1" x14ac:dyDescent="0.2">
      <c r="B132" s="74" t="str">
        <f>Lang_Econ</f>
        <v>Economic</v>
      </c>
    </row>
    <row r="133" spans="1:14" s="10" customFormat="1" outlineLevel="1" x14ac:dyDescent="0.2"/>
    <row r="134" spans="1:14" s="10" customFormat="1" outlineLevel="1" x14ac:dyDescent="0.2">
      <c r="C134" s="358" t="str">
        <f>Vacc_Lu!$D$12</f>
        <v>USD</v>
      </c>
    </row>
    <row r="135" spans="1:14" s="10" customFormat="1" outlineLevel="1" x14ac:dyDescent="0.2"/>
    <row r="136" spans="1:14" s="10" customFormat="1" outlineLevel="1" x14ac:dyDescent="0.2">
      <c r="D136" s="53" t="str">
        <f>IF(TIME_SERIES!$H$6=1,Lang_Safety_Box_Costs&amp;" ("&amp;Lang_Projected&amp;")",Lang_Safety_Box_Costs&amp;" ("&amp;Lang_Retrospective&amp;")")&amp;" "&amp;Lang_International_Currency_Econ</f>
        <v>Safety Box Costs (Projected) International Currency - Economic</v>
      </c>
      <c r="J136" s="119">
        <f>J118/Vacc_Baseline_Exchange_Rate</f>
        <v>0</v>
      </c>
      <c r="K136" s="119">
        <f>K118/Vacc_Baseline_Exchange_Rate</f>
        <v>0</v>
      </c>
      <c r="L136" s="119">
        <f>L118/Vacc_Baseline_Exchange_Rate</f>
        <v>0</v>
      </c>
      <c r="M136" s="119">
        <f>M118/Vacc_Baseline_Exchange_Rate</f>
        <v>0</v>
      </c>
      <c r="N136" s="119">
        <f>N118/Vacc_Baseline_Exchange_Rate</f>
        <v>0</v>
      </c>
    </row>
    <row r="137" spans="1:14" s="10" customFormat="1" outlineLevel="1" x14ac:dyDescent="0.2">
      <c r="D137" s="71" t="str">
        <f>Lang_Total_SmallLetter&amp;" "&amp;B132&amp;" ("&amp;C134&amp;")"</f>
        <v>Total Economic (USD)</v>
      </c>
      <c r="J137" s="125">
        <f t="shared" ref="J137:N137" si="16">SUM(J136:J136)</f>
        <v>0</v>
      </c>
      <c r="K137" s="125">
        <f t="shared" si="16"/>
        <v>0</v>
      </c>
      <c r="L137" s="125">
        <f t="shared" si="16"/>
        <v>0</v>
      </c>
      <c r="M137" s="125">
        <f t="shared" si="16"/>
        <v>0</v>
      </c>
      <c r="N137" s="125">
        <f t="shared" si="16"/>
        <v>0</v>
      </c>
    </row>
  </sheetData>
  <mergeCells count="1">
    <mergeCell ref="B3:D3"/>
  </mergeCells>
  <hyperlinks>
    <hyperlink ref="A11" location="HL_Vacc_Ass_C" tooltip="Click to follow hyperlink." display="HL_Vacc_Ass_C" xr:uid="{00000000-0004-0000-2A00-000000000000}"/>
    <hyperlink ref="A32" location="HL_Vacc_Ass_C" tooltip="Click to follow hyperlink." display="HL_Vacc_Ass_C" xr:uid="{00000000-0004-0000-2A00-000001000000}"/>
    <hyperlink ref="A41" location="HL_Vacc_Ass_C" tooltip="Click to follow hyperlink." display="HL_Vacc_Ass_C" xr:uid="{00000000-0004-0000-2A00-000002000000}"/>
    <hyperlink ref="A50" location="HL_Vacc_Ass_C" tooltip="Click to follow hyperlink." display="HL_Vacc_Ass_C" xr:uid="{00000000-0004-0000-2A00-000003000000}"/>
    <hyperlink ref="A59" location="HL_Vacc_Ass_C" tooltip="Click to follow hyperlink." display="HL_Vacc_Ass_C" xr:uid="{00000000-0004-0000-2A00-000004000000}"/>
    <hyperlink ref="A68" location="HL_Vacc_Ass_C" tooltip="Click to follow hyperlink." display="HL_Vacc_Ass_C" xr:uid="{00000000-0004-0000-2A00-000005000000}"/>
    <hyperlink ref="A76" location="HL_Vacc_Ass_C" tooltip="Click to follow hyperlink." display="HL_Vacc_Ass_C" xr:uid="{00000000-0004-0000-2A00-000006000000}"/>
    <hyperlink ref="A85" location="HL_Vacc_Ass_C" tooltip="Click to follow hyperlink." display="HL_Vacc_Ass_C" xr:uid="{00000000-0004-0000-2A00-000007000000}"/>
    <hyperlink ref="A94" location="HL_Vacc_Ass_C" tooltip="Click to follow hyperlink." display="HL_Vacc_Ass_C" xr:uid="{00000000-0004-0000-2A00-000008000000}"/>
    <hyperlink ref="A18" location="HL_Vacc_Out_A" tooltip="Click to follow hyperlink." display="HL_Vacc_Out_A" xr:uid="{00000000-0004-0000-2A00-000009000000}"/>
    <hyperlink ref="A25" location="HL_Vacc_Out_A" tooltip="Click to follow hyperlink." display="HL_Vacc_Out_A" xr:uid="{00000000-0004-0000-2A00-00000A000000}"/>
    <hyperlink ref="A103" location="HL_Vacc_Ass_C" tooltip="Click to follow hyperlink." display="HL_Vacc_Ass_C" xr:uid="{00000000-0004-0000-2A00-00000B000000}"/>
    <hyperlink ref="A112" location="HL_Vacc_Ass_C" tooltip="Click to follow hyperlink." display="HL_Vacc_Ass_C" xr:uid="{00000000-0004-0000-2A00-00000C000000}"/>
    <hyperlink ref="A121" location="HL_Vacc_Ass_C" tooltip="Click to follow hyperlink." display="HL_Vacc_Ass_C" xr:uid="{00000000-0004-0000-2A00-00000D000000}"/>
    <hyperlink ref="B4" location="HL_Sheet_Main_36" tooltip="Go to Previous Sheet" display="HL_Sheet_Main_36" xr:uid="{00000000-0004-0000-2A00-00000E000000}"/>
    <hyperlink ref="A130" location="HL_Vacc_Ass_C" tooltip="Click to follow hyperlink." display="HL_Vacc_Ass_C" xr:uid="{00000000-0004-0000-2A00-00000F000000}"/>
    <hyperlink ref="A1" location="HL_Home" tooltip="Go to Table of Contents" display="HL_Home" xr:uid="{00000000-0004-0000-2A00-000010000000}"/>
    <hyperlink ref="A4" location="$B$10" tooltip="Go to Top of Sheet" display="$B$10" xr:uid="{00000000-0004-0000-2A00-000011000000}"/>
    <hyperlink ref="C4" location="HL_Sheet_Main_14" tooltip="Go to Next Sheet" display="HL_Sheet_Main_14" xr:uid="{00000000-0004-0000-2A00-000012000000}"/>
    <hyperlink ref="B3" location="HL_Home" tooltip="Go to Table of Contents" display="HL_Home" xr:uid="{00000000-0004-0000-2A00-000013000000}"/>
    <hyperlink ref="D4" location="HL_Err_Chk" tooltip="Go to Error Checks" display="HL_Err_Chk" xr:uid="{00000000-0004-0000-2A00-000014000000}"/>
    <hyperlink ref="F4" location="HL_Alt_Chk" tooltip="Go to Alert Checks" display="HL_Alt_Chk" xr:uid="{00000000-0004-0000-2A00-000015000000}"/>
    <hyperlink ref="A2" location="HL_Err_Chk" tooltip="Go to Error Checks" display="HL_Err_Chk" xr:uid="{00000000-0004-0000-2A00-000016000000}"/>
    <hyperlink ref="B3:D3" location="Contents!A1" tooltip="Go to Table of Contents" display="Contents!A1" xr:uid="{00000000-0004-0000-2A00-000017000000}"/>
  </hyperlinks>
  <pageMargins left="0.4" right="0.4" top="0.6" bottom="1" header="0" footer="0.3"/>
  <pageSetup orientation="landscape" r:id="rId1"/>
  <headerFooter>
    <oddFooter>&amp;L&amp;F
&amp;A
Printed: &amp;T on &amp;D&amp;CPage &amp;P of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0">
    <tabColor rgb="FF0070C0"/>
    <pageSetUpPr autoPageBreaks="0"/>
  </sheetPr>
  <dimension ref="A1:N1313"/>
  <sheetViews>
    <sheetView showGridLines="0" zoomScale="90" zoomScaleNormal="90" workbookViewId="0">
      <pane xSplit="1" ySplit="7" topLeftCell="B14" activePane="bottomRight" state="frozen"/>
      <selection activeCell="I511" sqref="I511"/>
      <selection pane="topRight" activeCell="I511" sqref="I511"/>
      <selection pane="bottomLeft" activeCell="I511" sqref="I511"/>
      <selection pane="bottomRight" activeCell="J53" sqref="J53:N53"/>
    </sheetView>
  </sheetViews>
  <sheetFormatPr defaultColWidth="11.7109375" defaultRowHeight="12" outlineLevelRow="2" outlineLevelCol="1" x14ac:dyDescent="0.2"/>
  <cols>
    <col min="1" max="2" width="3.7109375" customWidth="1"/>
    <col min="3" max="3" width="5.7109375" customWidth="1"/>
    <col min="4" max="4" width="35.7109375" customWidth="1"/>
    <col min="5" max="5" width="30.7109375" customWidth="1"/>
    <col min="6" max="6" width="15.7109375" customWidth="1"/>
    <col min="7" max="7" width="10.7109375" customWidth="1"/>
    <col min="9" max="9" width="15.7109375" customWidth="1"/>
    <col min="10" max="14" width="20.7109375" customWidth="1" outlineLevel="1"/>
  </cols>
  <sheetData>
    <row r="1" spans="1:14" ht="15" x14ac:dyDescent="0.2">
      <c r="A1" s="2" t="s">
        <v>128</v>
      </c>
      <c r="B1" s="31" t="str">
        <f>Lang_Calculations_Single_Activity_Costs_Annual</f>
        <v>Calculations - Single Activity Costs - Annual</v>
      </c>
    </row>
    <row r="2" spans="1:14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3" spans="1:14" s="10" customFormat="1" x14ac:dyDescent="0.2">
      <c r="B3" s="90" t="str">
        <f>Lang_Year_Ending&amp;" "&amp;INDEX(LU_TS_Mth_Names,DD_TS_Fin_Yr_End_Mth)</f>
        <v>Year Ending December</v>
      </c>
      <c r="C3" s="90"/>
      <c r="D3" s="90"/>
      <c r="E3" s="90"/>
      <c r="F3" s="90"/>
      <c r="G3" s="90"/>
      <c r="H3" s="90"/>
      <c r="I3" s="90"/>
      <c r="J3" s="106">
        <f t="shared" ref="J3:N3" si="0">J7</f>
        <v>2019</v>
      </c>
      <c r="K3" s="106">
        <f t="shared" si="0"/>
        <v>2020</v>
      </c>
      <c r="L3" s="106">
        <f t="shared" si="0"/>
        <v>2021</v>
      </c>
      <c r="M3" s="106">
        <f t="shared" si="0"/>
        <v>2022</v>
      </c>
      <c r="N3" s="106">
        <f t="shared" si="0"/>
        <v>2023</v>
      </c>
    </row>
    <row r="4" spans="1:14" s="10" customFormat="1" outlineLevel="2" x14ac:dyDescent="0.2">
      <c r="B4" s="50" t="str">
        <f>Lang_Period_Start_Date</f>
        <v>Period Start Date</v>
      </c>
      <c r="J4" s="340">
        <f>EDATE(TS_Start_Date,(J6-1)*TS_Mths_In_Yr)</f>
        <v>43466</v>
      </c>
      <c r="K4" s="340">
        <f>EDATE(TS_Start_Date,(K6-1)*TS_Mths_In_Yr)</f>
        <v>43831</v>
      </c>
      <c r="L4" s="340">
        <f>EDATE(TS_Start_Date,(L6-1)*TS_Mths_In_Yr)</f>
        <v>44197</v>
      </c>
      <c r="M4" s="340">
        <f>EDATE(TS_Start_Date,(M6-1)*TS_Mths_In_Yr)</f>
        <v>44562</v>
      </c>
      <c r="N4" s="340">
        <f>EDATE(TS_Start_Date,(N6-1)*TS_Mths_In_Yr)</f>
        <v>44927</v>
      </c>
    </row>
    <row r="5" spans="1:14" s="10" customFormat="1" outlineLevel="2" x14ac:dyDescent="0.2">
      <c r="B5" s="50" t="str">
        <f>Lang_Period_End_Date</f>
        <v>Period End Date</v>
      </c>
      <c r="J5" s="340">
        <f>EDATE(J4,TS_Mths_In_Yr)-1</f>
        <v>43830</v>
      </c>
      <c r="K5" s="340">
        <f>EDATE(K4,TS_Mths_In_Yr)-1</f>
        <v>44196</v>
      </c>
      <c r="L5" s="340">
        <f>EDATE(L4,TS_Mths_In_Yr)-1</f>
        <v>44561</v>
      </c>
      <c r="M5" s="340">
        <f>EDATE(M4,TS_Mths_In_Yr)-1</f>
        <v>44926</v>
      </c>
      <c r="N5" s="340">
        <f>EDATE(N4,TS_Mths_In_Yr)-1</f>
        <v>45291</v>
      </c>
    </row>
    <row r="6" spans="1:14" s="10" customFormat="1" outlineLevel="2" x14ac:dyDescent="0.2">
      <c r="B6" s="50" t="str">
        <f>Lang_Counter</f>
        <v>Counter</v>
      </c>
      <c r="J6" s="42">
        <f>COLUMNS($J6:J6)</f>
        <v>1</v>
      </c>
      <c r="K6" s="42">
        <f>COLUMNS($J6:K6)</f>
        <v>2</v>
      </c>
      <c r="L6" s="42">
        <f>COLUMNS($J6:L6)</f>
        <v>3</v>
      </c>
      <c r="M6" s="42">
        <f>COLUMNS($J6:M6)</f>
        <v>4</v>
      </c>
      <c r="N6" s="42">
        <f>COLUMNS($J6:N6)</f>
        <v>5</v>
      </c>
    </row>
    <row r="7" spans="1:14" s="10" customFormat="1" outlineLevel="2" x14ac:dyDescent="0.2">
      <c r="B7" s="91" t="str">
        <f>Lang_Financial_Year</f>
        <v>Financial Year</v>
      </c>
      <c r="C7" s="69"/>
      <c r="D7" s="69"/>
      <c r="E7" s="69"/>
      <c r="F7" s="69"/>
      <c r="G7" s="69"/>
      <c r="H7" s="69"/>
      <c r="I7" s="69"/>
      <c r="J7" s="341">
        <f t="shared" ref="J7:N7" si="1">YEAR(J5)</f>
        <v>2019</v>
      </c>
      <c r="K7" s="341">
        <f t="shared" si="1"/>
        <v>2020</v>
      </c>
      <c r="L7" s="341">
        <f t="shared" si="1"/>
        <v>2021</v>
      </c>
      <c r="M7" s="341">
        <f t="shared" si="1"/>
        <v>2022</v>
      </c>
      <c r="N7" s="341">
        <f t="shared" si="1"/>
        <v>2023</v>
      </c>
    </row>
    <row r="8" spans="1:14" s="10" customFormat="1" x14ac:dyDescent="0.2"/>
    <row r="9" spans="1:14" s="10" customFormat="1" x14ac:dyDescent="0.2">
      <c r="A9" s="12" t="s">
        <v>127</v>
      </c>
      <c r="B9" s="13" t="str">
        <f>HL_TOP_ACTV_Name&amp;" "&amp;Lang_Single_Activity_Cost_Outputs_Annual&amp;" ("&amp;Lang_Local_Currency_Fin&amp;")"</f>
        <v>Microplanning Activity #1 (Not in Use) Single Activity Cost Outputs - Annual (Local Currency - Financial)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1:14" s="10" customFormat="1" outlineLevel="1" x14ac:dyDescent="0.2">
      <c r="B10" s="49" t="str">
        <f>HL_TOP_ACTV_Name</f>
        <v>Microplanning Activity #1 (Not in Use)</v>
      </c>
    </row>
    <row r="11" spans="1:14" s="10" customFormat="1" outlineLevel="1" x14ac:dyDescent="0.2">
      <c r="B11" s="65" t="str">
        <f>MICRO_Lu!$D$30&amp;" ("&amp;MICRO_Lu!$D$11&amp;")"</f>
        <v>Financial (LCU)</v>
      </c>
    </row>
    <row r="12" spans="1:14" s="10" customFormat="1" outlineLevel="1" x14ac:dyDescent="0.2"/>
    <row r="13" spans="1:14" s="10" customFormat="1" outlineLevel="1" x14ac:dyDescent="0.2">
      <c r="D13" s="49" t="str">
        <f>MICROPLANNING!D12</f>
        <v>Microplanning Activity #1 (Not in Use)</v>
      </c>
      <c r="E13" s="53" t="str">
        <f>"("&amp;IF(DD_TOP_ACTV_Input_Detail_or_Freeform=1,MICROPLANNING!$D$20,MICROPLANNING!$D$26)&amp;")"</f>
        <v>(Direct User Entry Cost Estimate)</v>
      </c>
      <c r="J13" s="108">
        <f>IF(DD_TOP_ACTV_Input_Detail_or_Freeform=1,IF(DD_TOP_ACTV_Annual_Currency_Used=2,MICROPLANNING!J$22,MICROPLANNING!J$22*TOP_ACTV_Exchange_Rate),IF(DD_TOP_ACTV_Annual_Currency_Used=2,MICROPLANNING!J$27,MICROPLANNING!J$27*TOP_ACTV_Exchange_Rate))</f>
        <v>0</v>
      </c>
      <c r="K13" s="108">
        <f>IF(DD_TOP_ACTV_Input_Detail_or_Freeform=1,IF(DD_TOP_ACTV_Annual_Currency_Used=2,MICROPLANNING!K$22,MICROPLANNING!K$22*TOP_ACTV_Exchange_Rate),IF(DD_TOP_ACTV_Annual_Currency_Used=2,MICROPLANNING!K$27,MICROPLANNING!K$27*TOP_ACTV_Exchange_Rate))</f>
        <v>0</v>
      </c>
      <c r="L13" s="108">
        <f>IF(DD_TOP_ACTV_Input_Detail_or_Freeform=1,IF(DD_TOP_ACTV_Annual_Currency_Used=2,MICROPLANNING!L$22,MICROPLANNING!L$22*TOP_ACTV_Exchange_Rate),IF(DD_TOP_ACTV_Annual_Currency_Used=2,MICROPLANNING!L$27,MICROPLANNING!L$27*TOP_ACTV_Exchange_Rate))</f>
        <v>0</v>
      </c>
      <c r="M13" s="108">
        <f>IF(DD_TOP_ACTV_Input_Detail_or_Freeform=1,IF(DD_TOP_ACTV_Annual_Currency_Used=2,MICROPLANNING!M$22,MICROPLANNING!M$22*TOP_ACTV_Exchange_Rate),IF(DD_TOP_ACTV_Annual_Currency_Used=2,MICROPLANNING!M$27,MICROPLANNING!M$27*TOP_ACTV_Exchange_Rate))</f>
        <v>0</v>
      </c>
      <c r="N13" s="108">
        <f>IF(DD_TOP_ACTV_Input_Detail_or_Freeform=1,IF(DD_TOP_ACTV_Annual_Currency_Used=2,MICROPLANNING!N$22,MICROPLANNING!N$22*TOP_ACTV_Exchange_Rate),IF(DD_TOP_ACTV_Annual_Currency_Used=2,MICROPLANNING!N$27,MICROPLANNING!N$27*TOP_ACTV_Exchange_Rate))</f>
        <v>0</v>
      </c>
    </row>
    <row r="14" spans="1:14" s="10" customFormat="1" outlineLevel="1" x14ac:dyDescent="0.2"/>
    <row r="15" spans="1:14" s="10" customFormat="1" outlineLevel="1" x14ac:dyDescent="0.2">
      <c r="D15" s="76" t="str">
        <f>Lang_GoTo&amp;" "&amp;HL_TOP_ACTV_Single_Activity_Cost_Assumptions_Annual</f>
        <v>Go to Microplanning Activity #1 (Not in Use) Single Activity Cost - Annual Assumptions (Projected or Retrospective)</v>
      </c>
    </row>
    <row r="16" spans="1:14" s="10" customFormat="1" x14ac:dyDescent="0.2"/>
    <row r="17" spans="1:14" s="10" customFormat="1" x14ac:dyDescent="0.2">
      <c r="A17" s="12" t="s">
        <v>127</v>
      </c>
      <c r="B17" s="13" t="str">
        <f>HL_TOP_ACTV_Name&amp;" "&amp;Lang_Single_Activity_Cost_Outputs_Annual&amp;" ("&amp;Lang_Local_Currency_Econ&amp;")"</f>
        <v>Microplanning Activity #1 (Not in Use) Single Activity Cost Outputs - Annual (Local Currency - Economic)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</row>
    <row r="18" spans="1:14" s="10" customFormat="1" outlineLevel="1" x14ac:dyDescent="0.2">
      <c r="B18" s="49" t="str">
        <f>HL_TOP_ACTV_Name</f>
        <v>Microplanning Activity #1 (Not in Use)</v>
      </c>
    </row>
    <row r="19" spans="1:14" s="10" customFormat="1" outlineLevel="1" x14ac:dyDescent="0.2">
      <c r="B19" s="65" t="str">
        <f>MICRO_Lu!$D$31&amp;" ("&amp;MICRO_Lu!$D$11&amp;")"</f>
        <v>Economic (LCU)</v>
      </c>
    </row>
    <row r="20" spans="1:14" s="10" customFormat="1" outlineLevel="1" x14ac:dyDescent="0.2"/>
    <row r="21" spans="1:14" s="10" customFormat="1" outlineLevel="1" x14ac:dyDescent="0.2">
      <c r="D21" s="49" t="str">
        <f>MICROPLANNING!D12</f>
        <v>Microplanning Activity #1 (Not in Use)</v>
      </c>
      <c r="E21" s="53" t="str">
        <f>"("&amp;IF(DD_TOP_ACTV_Input_Detail_or_Freeform=1,MICROPLANNING!$D$20,MICROPLANNING!$D$26)&amp;")"</f>
        <v>(Direct User Entry Cost Estimate)</v>
      </c>
      <c r="J21" s="108">
        <f>IF(DD_TOP_ACTV_Input_Detail_or_Freeform=1,IF(DD_TOP_ACTV_Annual_Currency_Used=2,MICROPLANNING!J$23,MICROPLANNING!J$23*TOP_ACTV_Exchange_Rate),IF(DD_TOP_ACTV_Annual_Currency_Used=2,MICROPLANNING!J$28,MICROPLANNING!J$28*TOP_ACTV_Exchange_Rate))</f>
        <v>0</v>
      </c>
      <c r="K21" s="108">
        <f>IF(DD_TOP_ACTV_Input_Detail_or_Freeform=1,IF(DD_TOP_ACTV_Annual_Currency_Used=2,MICROPLANNING!K$23,MICROPLANNING!K$23*TOP_ACTV_Exchange_Rate),IF(DD_TOP_ACTV_Annual_Currency_Used=2,MICROPLANNING!K$28,MICROPLANNING!K$28*TOP_ACTV_Exchange_Rate))</f>
        <v>0</v>
      </c>
      <c r="L21" s="108">
        <f>IF(DD_TOP_ACTV_Input_Detail_or_Freeform=1,IF(DD_TOP_ACTV_Annual_Currency_Used=2,MICROPLANNING!L$23,MICROPLANNING!L$23*TOP_ACTV_Exchange_Rate),IF(DD_TOP_ACTV_Annual_Currency_Used=2,MICROPLANNING!L$28,MICROPLANNING!L$28*TOP_ACTV_Exchange_Rate))</f>
        <v>0</v>
      </c>
      <c r="M21" s="108">
        <f>IF(DD_TOP_ACTV_Input_Detail_or_Freeform=1,IF(DD_TOP_ACTV_Annual_Currency_Used=2,MICROPLANNING!M$23,MICROPLANNING!M$23*TOP_ACTV_Exchange_Rate),IF(DD_TOP_ACTV_Annual_Currency_Used=2,MICROPLANNING!M$28,MICROPLANNING!M$28*TOP_ACTV_Exchange_Rate))</f>
        <v>0</v>
      </c>
      <c r="N21" s="108">
        <f>IF(DD_TOP_ACTV_Input_Detail_or_Freeform=1,IF(DD_TOP_ACTV_Annual_Currency_Used=2,MICROPLANNING!N$23,MICROPLANNING!N$23*TOP_ACTV_Exchange_Rate),IF(DD_TOP_ACTV_Annual_Currency_Used=2,MICROPLANNING!N$28,MICROPLANNING!N$28*TOP_ACTV_Exchange_Rate))</f>
        <v>0</v>
      </c>
    </row>
    <row r="22" spans="1:14" s="10" customFormat="1" outlineLevel="1" x14ac:dyDescent="0.2"/>
    <row r="23" spans="1:14" s="10" customFormat="1" outlineLevel="1" x14ac:dyDescent="0.2">
      <c r="D23" s="76" t="str">
        <f>Lang_GoTo&amp;" "&amp;HL_TOP_ACTV_Single_Activity_Cost_Assumptions_Annual</f>
        <v>Go to Microplanning Activity #1 (Not in Use) Single Activity Cost - Annual Assumptions (Projected or Retrospective)</v>
      </c>
    </row>
    <row r="24" spans="1:14" s="10" customFormat="1" x14ac:dyDescent="0.2"/>
    <row r="25" spans="1:14" s="10" customFormat="1" x14ac:dyDescent="0.2">
      <c r="A25" s="12" t="s">
        <v>127</v>
      </c>
      <c r="B25" s="13" t="str">
        <f>HL_TOP_ACTV_Name&amp;" "&amp;Lang_Single_Activity_Cost_Outputs_Annual&amp;" ("&amp;Lang_International_Currency_Fin&amp;")"</f>
        <v>Microplanning Activity #1 (Not in Use) Single Activity Cost Outputs - Annual (International Currency - Financial)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</row>
    <row r="26" spans="1:14" s="10" customFormat="1" outlineLevel="1" x14ac:dyDescent="0.2">
      <c r="B26" s="49" t="str">
        <f>HL_TOP_ACTV_Name</f>
        <v>Microplanning Activity #1 (Not in Use)</v>
      </c>
    </row>
    <row r="27" spans="1:14" s="10" customFormat="1" outlineLevel="1" x14ac:dyDescent="0.2">
      <c r="B27" s="65" t="str">
        <f>MICRO_Lu!$D$30&amp;" ("&amp;MICRO_Lu!$D$10&amp;")"</f>
        <v>Financial (USD)</v>
      </c>
    </row>
    <row r="28" spans="1:14" s="10" customFormat="1" outlineLevel="1" x14ac:dyDescent="0.2"/>
    <row r="29" spans="1:14" s="10" customFormat="1" outlineLevel="1" x14ac:dyDescent="0.2">
      <c r="D29" s="49" t="str">
        <f>MICROPLANNING!D12</f>
        <v>Microplanning Activity #1 (Not in Use)</v>
      </c>
      <c r="E29" s="53" t="str">
        <f>"("&amp;IF(DD_TOP_ACTV_Input_Detail_or_Freeform=1,MICROPLANNING!$D$20,MICROPLANNING!$D$26)&amp;")"</f>
        <v>(Direct User Entry Cost Estimate)</v>
      </c>
      <c r="J29" s="119">
        <f>J13/TOP_ACTV_Exchange_Rate</f>
        <v>0</v>
      </c>
      <c r="K29" s="119">
        <f>K13/TOP_ACTV_Exchange_Rate</f>
        <v>0</v>
      </c>
      <c r="L29" s="119">
        <f>L13/TOP_ACTV_Exchange_Rate</f>
        <v>0</v>
      </c>
      <c r="M29" s="119">
        <f>M13/TOP_ACTV_Exchange_Rate</f>
        <v>0</v>
      </c>
      <c r="N29" s="119">
        <f>N13/TOP_ACTV_Exchange_Rate</f>
        <v>0</v>
      </c>
    </row>
    <row r="30" spans="1:14" s="10" customFormat="1" outlineLevel="1" x14ac:dyDescent="0.2"/>
    <row r="31" spans="1:14" s="10" customFormat="1" outlineLevel="1" x14ac:dyDescent="0.2">
      <c r="D31" s="76" t="str">
        <f>Lang_GoTo&amp;" "&amp;HL_TOP_ACTV_Single_Activity_Cost_Assumptions_Annual</f>
        <v>Go to Microplanning Activity #1 (Not in Use) Single Activity Cost - Annual Assumptions (Projected or Retrospective)</v>
      </c>
    </row>
    <row r="32" spans="1:14" s="10" customFormat="1" x14ac:dyDescent="0.2"/>
    <row r="33" spans="1:14" s="10" customFormat="1" x14ac:dyDescent="0.2">
      <c r="A33" s="12" t="s">
        <v>127</v>
      </c>
      <c r="B33" s="13" t="str">
        <f>HL_TOP_ACTV_Name&amp;" "&amp;Lang_Single_Activity_Cost_Outputs_Annual&amp;" ("&amp;Lang_International_Currency_Econ&amp;")"</f>
        <v>Microplanning Activity #1 (Not in Use) Single Activity Cost Outputs - Annual (International Currency - Economic)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</row>
    <row r="34" spans="1:14" s="10" customFormat="1" outlineLevel="1" x14ac:dyDescent="0.2">
      <c r="B34" s="49" t="str">
        <f>HL_TOP_ACTV_Name</f>
        <v>Microplanning Activity #1 (Not in Use)</v>
      </c>
    </row>
    <row r="35" spans="1:14" s="10" customFormat="1" outlineLevel="1" x14ac:dyDescent="0.2">
      <c r="B35" s="65" t="str">
        <f>MICRO_Lu!$D$31&amp;" ("&amp;MICRO_Lu!$D$10&amp;")"</f>
        <v>Economic (USD)</v>
      </c>
    </row>
    <row r="36" spans="1:14" s="10" customFormat="1" outlineLevel="1" x14ac:dyDescent="0.2"/>
    <row r="37" spans="1:14" s="10" customFormat="1" outlineLevel="1" x14ac:dyDescent="0.2">
      <c r="D37" s="49" t="str">
        <f>MICROPLANNING!D12</f>
        <v>Microplanning Activity #1 (Not in Use)</v>
      </c>
      <c r="E37" s="53" t="str">
        <f>"("&amp;IF(DD_TOP_ACTV_Input_Detail_or_Freeform=1,MICROPLANNING!$D$20,MICROPLANNING!$D$26)&amp;")"</f>
        <v>(Direct User Entry Cost Estimate)</v>
      </c>
      <c r="J37" s="119">
        <f>J21/TOP_ACTV_Exchange_Rate</f>
        <v>0</v>
      </c>
      <c r="K37" s="119">
        <f>K21/TOP_ACTV_Exchange_Rate</f>
        <v>0</v>
      </c>
      <c r="L37" s="119">
        <f>L21/TOP_ACTV_Exchange_Rate</f>
        <v>0</v>
      </c>
      <c r="M37" s="119">
        <f>M21/TOP_ACTV_Exchange_Rate</f>
        <v>0</v>
      </c>
      <c r="N37" s="119">
        <f>N21/TOP_ACTV_Exchange_Rate</f>
        <v>0</v>
      </c>
    </row>
    <row r="38" spans="1:14" s="10" customFormat="1" outlineLevel="1" x14ac:dyDescent="0.2"/>
    <row r="39" spans="1:14" s="10" customFormat="1" outlineLevel="1" x14ac:dyDescent="0.2">
      <c r="D39" s="76" t="str">
        <f>Lang_GoTo&amp;" "&amp;HL_TOP_ACTV_Single_Activity_Cost_Assumptions_Annual</f>
        <v>Go to Microplanning Activity #1 (Not in Use) Single Activity Cost - Annual Assumptions (Projected or Retrospective)</v>
      </c>
    </row>
    <row r="40" spans="1:14" s="10" customFormat="1" x14ac:dyDescent="0.2"/>
    <row r="41" spans="1:14" s="10" customFormat="1" x14ac:dyDescent="0.2">
      <c r="A41" s="12" t="s">
        <v>127</v>
      </c>
      <c r="B41" s="13" t="str">
        <f>HL_TOP_ACTV_7_Name&amp;" "&amp;Lang_Single_Activity_Cost_Outputs_Annual&amp;" ("&amp;Lang_Local_Currency_Fin&amp;")"</f>
        <v>Microplanning Activity #2 (Not in Use) Single Activity Cost Outputs - Annual (Local Currency - Financial)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</row>
    <row r="42" spans="1:14" s="10" customFormat="1" outlineLevel="1" x14ac:dyDescent="0.2">
      <c r="B42" s="49" t="str">
        <f>HL_TOP_ACTV_7_Name</f>
        <v>Microplanning Activity #2 (Not in Use)</v>
      </c>
    </row>
    <row r="43" spans="1:14" s="10" customFormat="1" outlineLevel="1" x14ac:dyDescent="0.2">
      <c r="B43" s="65" t="str">
        <f>MICRO_Lu!$D$65&amp;" ("&amp;MICRO_Lu!$D$46&amp;")"</f>
        <v>Financial (LCU)</v>
      </c>
    </row>
    <row r="44" spans="1:14" s="10" customFormat="1" outlineLevel="1" x14ac:dyDescent="0.2"/>
    <row r="45" spans="1:14" s="10" customFormat="1" outlineLevel="1" x14ac:dyDescent="0.2">
      <c r="D45" s="49" t="str">
        <f>MICROPLANNING!D49</f>
        <v>Microplanning Activity #2 (Not in Use)</v>
      </c>
      <c r="E45" s="53" t="str">
        <f>"("&amp;IF(DD_TOP_ACTV_7_Input_Detail_or_Freeform=1,MICROPLANNING!$D$57,MICROPLANNING!$D$63)&amp;")"</f>
        <v>(Direct User Entry Cost Estimate)</v>
      </c>
      <c r="J45" s="79">
        <f>IF(DD_TOP_ACTV_7_Input_Detail_or_Freeform=1,IF(DD_TOP_ACTV_7_Annual_Currency_Used=2,MICROPLANNING!J$59,MICROPLANNING!J$59*TOP_ACTV_7_Exchange_Rate),IF(DD_TOP_ACTV_7_Annual_Currency_Used=2,MICROPLANNING!J$64,MICROPLANNING!J$64*TOP_ACTV_7_Exchange_Rate))</f>
        <v>0</v>
      </c>
      <c r="K45" s="79">
        <f>IF(DD_TOP_ACTV_7_Input_Detail_or_Freeform=1,IF(DD_TOP_ACTV_7_Annual_Currency_Used=2,MICROPLANNING!K$59,MICROPLANNING!K$59*TOP_ACTV_7_Exchange_Rate),IF(DD_TOP_ACTV_7_Annual_Currency_Used=2,MICROPLANNING!K$64,MICROPLANNING!K$64*TOP_ACTV_7_Exchange_Rate))</f>
        <v>0</v>
      </c>
      <c r="L45" s="79">
        <f>IF(DD_TOP_ACTV_7_Input_Detail_or_Freeform=1,IF(DD_TOP_ACTV_7_Annual_Currency_Used=2,MICROPLANNING!L$59,MICROPLANNING!L$59*TOP_ACTV_7_Exchange_Rate),IF(DD_TOP_ACTV_7_Annual_Currency_Used=2,MICROPLANNING!L$64,MICROPLANNING!L$64*TOP_ACTV_7_Exchange_Rate))</f>
        <v>0</v>
      </c>
      <c r="M45" s="79">
        <f>IF(DD_TOP_ACTV_7_Input_Detail_or_Freeform=1,IF(DD_TOP_ACTV_7_Annual_Currency_Used=2,MICROPLANNING!M$59,MICROPLANNING!M$59*TOP_ACTV_7_Exchange_Rate),IF(DD_TOP_ACTV_7_Annual_Currency_Used=2,MICROPLANNING!M$64,MICROPLANNING!M$64*TOP_ACTV_7_Exchange_Rate))</f>
        <v>0</v>
      </c>
      <c r="N45" s="79">
        <f>IF(DD_TOP_ACTV_7_Input_Detail_or_Freeform=1,IF(DD_TOP_ACTV_7_Annual_Currency_Used=2,MICROPLANNING!N$59,MICROPLANNING!N$59*TOP_ACTV_7_Exchange_Rate),IF(DD_TOP_ACTV_7_Annual_Currency_Used=2,MICROPLANNING!N$64,MICROPLANNING!N$64*TOP_ACTV_7_Exchange_Rate))</f>
        <v>0</v>
      </c>
    </row>
    <row r="46" spans="1:14" s="10" customFormat="1" outlineLevel="1" x14ac:dyDescent="0.2"/>
    <row r="47" spans="1:14" s="10" customFormat="1" outlineLevel="1" x14ac:dyDescent="0.2">
      <c r="D47" s="76" t="str">
        <f>Lang_GoTo&amp;" "&amp;HL_TOP_ACTV_7_Single_Activity_Cost_Assumptions_Annual</f>
        <v>Go to Microplanning Activity #2 (Not in Use) Single Activity Cost - Annual Assumptions (Projected or Retrospective)</v>
      </c>
    </row>
    <row r="48" spans="1:14" s="10" customFormat="1" x14ac:dyDescent="0.2"/>
    <row r="49" spans="1:14" s="10" customFormat="1" x14ac:dyDescent="0.2">
      <c r="A49" s="12" t="s">
        <v>127</v>
      </c>
      <c r="B49" s="13" t="str">
        <f>HL_TOP_ACTV_7_Name&amp;" "&amp;Lang_Single_Activity_Cost_Outputs_Annual&amp;" ("&amp;Lang_Local_Currency_Econ&amp;")"</f>
        <v>Microplanning Activity #2 (Not in Use) Single Activity Cost Outputs - Annual (Local Currency - Economic)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</row>
    <row r="50" spans="1:14" s="10" customFormat="1" outlineLevel="1" x14ac:dyDescent="0.2">
      <c r="B50" s="49" t="str">
        <f>HL_TOP_ACTV_7_Name</f>
        <v>Microplanning Activity #2 (Not in Use)</v>
      </c>
    </row>
    <row r="51" spans="1:14" s="10" customFormat="1" outlineLevel="1" x14ac:dyDescent="0.2">
      <c r="B51" s="65" t="str">
        <f>MICRO_Lu!$D$66&amp;" ("&amp;MICRO_Lu!$D$46&amp;")"</f>
        <v>Economic (LCU)</v>
      </c>
    </row>
    <row r="52" spans="1:14" s="10" customFormat="1" outlineLevel="1" x14ac:dyDescent="0.2"/>
    <row r="53" spans="1:14" s="10" customFormat="1" outlineLevel="1" x14ac:dyDescent="0.2">
      <c r="D53" s="49" t="str">
        <f>MICROPLANNING!D49</f>
        <v>Microplanning Activity #2 (Not in Use)</v>
      </c>
      <c r="E53" s="53" t="str">
        <f>"("&amp;IF(DD_TOP_ACTV_7_Input_Detail_or_Freeform=1,MICROPLANNING!$D$57,MICROPLANNING!$D$63)&amp;")"</f>
        <v>(Direct User Entry Cost Estimate)</v>
      </c>
      <c r="J53" s="79">
        <f>IF(DD_TOP_ACTV_7_Input_Detail_or_Freeform=1,IF(DD_TOP_ACTV_7_Annual_Currency_Used=2,MICROPLANNING!J$60,MICROPLANNING!J$60*TOP_ACTV_7_Exchange_Rate),IF(DD_TOP_ACTV_7_Annual_Currency_Used=2,MICROPLANNING!J$65,MICROPLANNING!J$65*TOP_ACTV_7_Exchange_Rate))</f>
        <v>0</v>
      </c>
      <c r="K53" s="79">
        <f>IF(DD_TOP_ACTV_7_Input_Detail_or_Freeform=1,IF(DD_TOP_ACTV_7_Annual_Currency_Used=2,MICROPLANNING!K$60,MICROPLANNING!K$60*TOP_ACTV_7_Exchange_Rate),IF(DD_TOP_ACTV_7_Annual_Currency_Used=2,MICROPLANNING!K$65,MICROPLANNING!K$65*TOP_ACTV_7_Exchange_Rate))</f>
        <v>0</v>
      </c>
      <c r="L53" s="79">
        <f>IF(DD_TOP_ACTV_7_Input_Detail_or_Freeform=1,IF(DD_TOP_ACTV_7_Annual_Currency_Used=2,MICROPLANNING!L$60,MICROPLANNING!L$60*TOP_ACTV_7_Exchange_Rate),IF(DD_TOP_ACTV_7_Annual_Currency_Used=2,MICROPLANNING!L$65,MICROPLANNING!L$65*TOP_ACTV_7_Exchange_Rate))</f>
        <v>0</v>
      </c>
      <c r="M53" s="79">
        <f>IF(DD_TOP_ACTV_7_Input_Detail_or_Freeform=1,IF(DD_TOP_ACTV_7_Annual_Currency_Used=2,MICROPLANNING!M$60,MICROPLANNING!M$60*TOP_ACTV_7_Exchange_Rate),IF(DD_TOP_ACTV_7_Annual_Currency_Used=2,MICROPLANNING!M$65,MICROPLANNING!M$65*TOP_ACTV_7_Exchange_Rate))</f>
        <v>0</v>
      </c>
      <c r="N53" s="79">
        <f>IF(DD_TOP_ACTV_7_Input_Detail_or_Freeform=1,IF(DD_TOP_ACTV_7_Annual_Currency_Used=2,MICROPLANNING!N$60,MICROPLANNING!N$60*TOP_ACTV_7_Exchange_Rate),IF(DD_TOP_ACTV_7_Annual_Currency_Used=2,MICROPLANNING!N$65,MICROPLANNING!N$65*TOP_ACTV_7_Exchange_Rate))</f>
        <v>0</v>
      </c>
    </row>
    <row r="54" spans="1:14" s="10" customFormat="1" outlineLevel="1" x14ac:dyDescent="0.2"/>
    <row r="55" spans="1:14" s="10" customFormat="1" outlineLevel="1" x14ac:dyDescent="0.2">
      <c r="D55" s="76" t="str">
        <f>Lang_GoTo&amp;" "&amp;HL_TOP_ACTV_7_Single_Activity_Cost_Assumptions_Annual</f>
        <v>Go to Microplanning Activity #2 (Not in Use) Single Activity Cost - Annual Assumptions (Projected or Retrospective)</v>
      </c>
    </row>
    <row r="56" spans="1:14" s="10" customFormat="1" x14ac:dyDescent="0.2"/>
    <row r="57" spans="1:14" s="10" customFormat="1" x14ac:dyDescent="0.2">
      <c r="A57" s="12" t="s">
        <v>127</v>
      </c>
      <c r="B57" s="13" t="str">
        <f>HL_TOP_ACTV_7_Name&amp;" "&amp;Lang_Single_Activity_Cost_Outputs_Annual&amp;" ("&amp;Lang_International_Currency_Fin&amp;")"</f>
        <v>Microplanning Activity #2 (Not in Use) Single Activity Cost Outputs - Annual (International Currency - Financial)</v>
      </c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</row>
    <row r="58" spans="1:14" s="10" customFormat="1" outlineLevel="1" x14ac:dyDescent="0.2">
      <c r="B58" s="49" t="str">
        <f>HL_TOP_ACTV_7_Name</f>
        <v>Microplanning Activity #2 (Not in Use)</v>
      </c>
    </row>
    <row r="59" spans="1:14" s="10" customFormat="1" outlineLevel="1" x14ac:dyDescent="0.2">
      <c r="B59" s="65" t="str">
        <f>MICRO_Lu!$D$65&amp;" ("&amp;MICRO_Lu!$D$45&amp;")"</f>
        <v>Financial (USD)</v>
      </c>
    </row>
    <row r="60" spans="1:14" s="10" customFormat="1" outlineLevel="1" x14ac:dyDescent="0.2"/>
    <row r="61" spans="1:14" s="10" customFormat="1" outlineLevel="1" x14ac:dyDescent="0.2">
      <c r="D61" s="49" t="str">
        <f>MICROPLANNING!D49</f>
        <v>Microplanning Activity #2 (Not in Use)</v>
      </c>
      <c r="E61" s="53" t="str">
        <f>"("&amp;IF(DD_TOP_ACTV_7_Input_Detail_or_Freeform=1,MICROPLANNING!$D$57,MICROPLANNING!$D$63)&amp;")"</f>
        <v>(Direct User Entry Cost Estimate)</v>
      </c>
      <c r="J61" s="116">
        <f>J45/TOP_ACTV_7_Exchange_Rate</f>
        <v>0</v>
      </c>
      <c r="K61" s="116">
        <f>K45/TOP_ACTV_7_Exchange_Rate</f>
        <v>0</v>
      </c>
      <c r="L61" s="116">
        <f>L45/TOP_ACTV_7_Exchange_Rate</f>
        <v>0</v>
      </c>
      <c r="M61" s="116">
        <f>M45/TOP_ACTV_7_Exchange_Rate</f>
        <v>0</v>
      </c>
      <c r="N61" s="116">
        <f>N45/TOP_ACTV_7_Exchange_Rate</f>
        <v>0</v>
      </c>
    </row>
    <row r="62" spans="1:14" s="10" customFormat="1" outlineLevel="1" x14ac:dyDescent="0.2"/>
    <row r="63" spans="1:14" s="10" customFormat="1" outlineLevel="1" x14ac:dyDescent="0.2">
      <c r="D63" s="76" t="str">
        <f>Lang_GoTo&amp;" "&amp;HL_TOP_ACTV_7_Single_Activity_Cost_Assumptions_Annual</f>
        <v>Go to Microplanning Activity #2 (Not in Use) Single Activity Cost - Annual Assumptions (Projected or Retrospective)</v>
      </c>
    </row>
    <row r="64" spans="1:14" s="10" customFormat="1" x14ac:dyDescent="0.2"/>
    <row r="65" spans="1:14" s="10" customFormat="1" x14ac:dyDescent="0.2">
      <c r="A65" s="12" t="s">
        <v>127</v>
      </c>
      <c r="B65" s="13" t="str">
        <f>HL_TOP_ACTV_7_Name&amp;" "&amp;Lang_Single_Activity_Cost_Outputs_Annual&amp;" ("&amp;Lang_International_Currency_Econ&amp;")"</f>
        <v>Microplanning Activity #2 (Not in Use) Single Activity Cost Outputs - Annual (International Currency - Economic)</v>
      </c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</row>
    <row r="66" spans="1:14" s="10" customFormat="1" outlineLevel="1" x14ac:dyDescent="0.2">
      <c r="B66" s="49" t="str">
        <f>HL_TOP_ACTV_7_Name</f>
        <v>Microplanning Activity #2 (Not in Use)</v>
      </c>
    </row>
    <row r="67" spans="1:14" s="10" customFormat="1" outlineLevel="1" x14ac:dyDescent="0.2">
      <c r="B67" s="65" t="str">
        <f>MICRO_Lu!$D$66&amp;" ("&amp;MICRO_Lu!$D$45&amp;")"</f>
        <v>Economic (USD)</v>
      </c>
    </row>
    <row r="68" spans="1:14" s="10" customFormat="1" outlineLevel="1" x14ac:dyDescent="0.2"/>
    <row r="69" spans="1:14" s="10" customFormat="1" outlineLevel="1" x14ac:dyDescent="0.2">
      <c r="D69" s="49" t="str">
        <f>MICROPLANNING!D49</f>
        <v>Microplanning Activity #2 (Not in Use)</v>
      </c>
      <c r="E69" s="53" t="str">
        <f>"("&amp;IF(DD_TOP_ACTV_7_Input_Detail_or_Freeform=1,MICROPLANNING!$D$57,MICROPLANNING!$D$63)&amp;")"</f>
        <v>(Direct User Entry Cost Estimate)</v>
      </c>
      <c r="J69" s="116">
        <f>J53/TOP_ACTV_7_Exchange_Rate</f>
        <v>0</v>
      </c>
      <c r="K69" s="116">
        <f>K53/TOP_ACTV_7_Exchange_Rate</f>
        <v>0</v>
      </c>
      <c r="L69" s="116">
        <f>L53/TOP_ACTV_7_Exchange_Rate</f>
        <v>0</v>
      </c>
      <c r="M69" s="116">
        <f>M53/TOP_ACTV_7_Exchange_Rate</f>
        <v>0</v>
      </c>
      <c r="N69" s="116">
        <f>N53/TOP_ACTV_7_Exchange_Rate</f>
        <v>0</v>
      </c>
    </row>
    <row r="70" spans="1:14" s="10" customFormat="1" outlineLevel="1" x14ac:dyDescent="0.2"/>
    <row r="71" spans="1:14" s="10" customFormat="1" outlineLevel="1" x14ac:dyDescent="0.2">
      <c r="D71" s="76" t="str">
        <f>Lang_GoTo&amp;" "&amp;HL_TOP_ACTV_7_Single_Activity_Cost_Assumptions_Annual</f>
        <v>Go to Microplanning Activity #2 (Not in Use) Single Activity Cost - Annual Assumptions (Projected or Retrospective)</v>
      </c>
    </row>
    <row r="72" spans="1:14" s="10" customFormat="1" x14ac:dyDescent="0.2"/>
    <row r="73" spans="1:14" s="10" customFormat="1" x14ac:dyDescent="0.2">
      <c r="A73" s="12" t="s">
        <v>127</v>
      </c>
      <c r="B73" s="13" t="str">
        <f>HL_LVL2_ACTV_Name&amp;" "&amp;Lang_Single_Activity_Cost_Outputs_Annual&amp;" ("&amp;Lang_Local_Currency_Fin&amp;")"</f>
        <v>Microplanning Activity #3 (Not in Use) Single Activity Cost Outputs - Annual (Local Currency - Financial)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</row>
    <row r="74" spans="1:14" s="10" customFormat="1" outlineLevel="1" x14ac:dyDescent="0.2">
      <c r="B74" s="49" t="str">
        <f>HL_LVL2_ACTV_Name</f>
        <v>Microplanning Activity #3 (Not in Use)</v>
      </c>
    </row>
    <row r="75" spans="1:14" s="10" customFormat="1" outlineLevel="1" x14ac:dyDescent="0.2">
      <c r="B75" s="65" t="str">
        <f>MICRO_Lu!$D$100&amp;" ("&amp;MICRO_Lu!$D$81&amp;")"</f>
        <v>Financial (LCU)</v>
      </c>
      <c r="E75" s="53" t="str">
        <f>"("&amp;IF(DD_LVL2_ACTV_Input_Detail_or_Freeform=1,MICROPLANNING!$D$96,MICROPLANNING!$D$102)&amp;")"</f>
        <v>(Direct User Entry Cost Estimate)</v>
      </c>
    </row>
    <row r="76" spans="1:14" s="10" customFormat="1" outlineLevel="1" x14ac:dyDescent="0.2"/>
    <row r="77" spans="1:14" s="10" customFormat="1" outlineLevel="1" x14ac:dyDescent="0.2">
      <c r="D77" s="49" t="str">
        <f>HL_LVL2_ACTV_Name</f>
        <v>Microplanning Activity #3 (Not in Use)</v>
      </c>
      <c r="J77" s="362">
        <f>IF(DD_LVL2_ACTV_Input_Detail_or_Freeform=1,IF(DD_LVL2_ACTV_Annual_Currency_Select=2,MICROPLANNING!J$98,MICROPLANNING!J$98*LVL2_ACTV_Exchange_Rate),IF(DD_LVL2_ACTV_Annual_Currency_Select=2,MICROPLANNING!J$103,MICROPLANNING!J$103*LVL2_ACTV_Exchange_Rate))</f>
        <v>0</v>
      </c>
      <c r="K77" s="362">
        <f>IF(DD_LVL2_ACTV_Input_Detail_or_Freeform=1,IF(DD_LVL2_ACTV_Annual_Currency_Select=2,MICROPLANNING!K$98,MICROPLANNING!K$98*LVL2_ACTV_Exchange_Rate),IF(DD_LVL2_ACTV_Annual_Currency_Select=2,MICROPLANNING!K$103,MICROPLANNING!K$103*LVL2_ACTV_Exchange_Rate))</f>
        <v>0</v>
      </c>
      <c r="L77" s="362">
        <f>IF(DD_LVL2_ACTV_Input_Detail_or_Freeform=1,IF(DD_LVL2_ACTV_Annual_Currency_Select=2,MICROPLANNING!L$98,MICROPLANNING!L$98*LVL2_ACTV_Exchange_Rate),IF(DD_LVL2_ACTV_Annual_Currency_Select=2,MICROPLANNING!L$103,MICROPLANNING!L$103*LVL2_ACTV_Exchange_Rate))</f>
        <v>0</v>
      </c>
      <c r="M77" s="362">
        <f>IF(DD_LVL2_ACTV_Input_Detail_or_Freeform=1,IF(DD_LVL2_ACTV_Annual_Currency_Select=2,MICROPLANNING!M$98,MICROPLANNING!M$98*LVL2_ACTV_Exchange_Rate),IF(DD_LVL2_ACTV_Annual_Currency_Select=2,MICROPLANNING!M$103,MICROPLANNING!M$103*LVL2_ACTV_Exchange_Rate))</f>
        <v>0</v>
      </c>
      <c r="N77" s="362">
        <f>IF(DD_LVL2_ACTV_Input_Detail_or_Freeform=1,IF(DD_LVL2_ACTV_Annual_Currency_Select=2,MICROPLANNING!N$98,MICROPLANNING!N$98*LVL2_ACTV_Exchange_Rate),IF(DD_LVL2_ACTV_Annual_Currency_Select=2,MICROPLANNING!N$103,MICROPLANNING!N$103*LVL2_ACTV_Exchange_Rate))</f>
        <v>0</v>
      </c>
    </row>
    <row r="78" spans="1:14" s="10" customFormat="1" outlineLevel="1" x14ac:dyDescent="0.2">
      <c r="D78" s="114" t="str">
        <f>HL_LVL2_ACTV_Name</f>
        <v>Microplanning Activity #3 (Not in Use)</v>
      </c>
      <c r="J78" s="43">
        <f>SUM(J77:J77)</f>
        <v>0</v>
      </c>
      <c r="K78" s="43">
        <f>SUM(K77:K77)</f>
        <v>0</v>
      </c>
      <c r="L78" s="43">
        <f>SUM(L77:L77)</f>
        <v>0</v>
      </c>
      <c r="M78" s="43">
        <f>SUM(M77:M77)</f>
        <v>0</v>
      </c>
      <c r="N78" s="43">
        <f>SUM(N77:N77)</f>
        <v>0</v>
      </c>
    </row>
    <row r="79" spans="1:14" s="10" customFormat="1" outlineLevel="1" x14ac:dyDescent="0.2"/>
    <row r="80" spans="1:14" s="10" customFormat="1" outlineLevel="1" x14ac:dyDescent="0.2"/>
    <row r="81" spans="1:14" s="10" customFormat="1" outlineLevel="1" x14ac:dyDescent="0.2">
      <c r="D81" s="76" t="str">
        <f>Lang_GoTo&amp;" "&amp;HL_LVL2_ACTV_Single_Activity_Cost_Assumptions_Annual</f>
        <v>Go to Microplanning Activity #3 (Not in Use) Single Activity Cost - Annual Assumptions (Projected or Retrospective)</v>
      </c>
    </row>
    <row r="82" spans="1:14" s="10" customFormat="1" x14ac:dyDescent="0.2"/>
    <row r="83" spans="1:14" s="10" customFormat="1" x14ac:dyDescent="0.2">
      <c r="A83" s="12" t="s">
        <v>127</v>
      </c>
      <c r="B83" s="13" t="str">
        <f>B84&amp;" "&amp;Lang_Single_Activity_Cost_Outputs_Annual&amp;" ("&amp;Lang_Local_Currency_Econ&amp;")"</f>
        <v>Microplanning Activity #3 (Not in Use) Single Activity Cost Outputs - Annual (Local Currency - Economic)</v>
      </c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</row>
    <row r="84" spans="1:14" s="10" customFormat="1" outlineLevel="1" x14ac:dyDescent="0.2">
      <c r="B84" s="49" t="str">
        <f>HL_LVL2_ACTV_Name</f>
        <v>Microplanning Activity #3 (Not in Use)</v>
      </c>
    </row>
    <row r="85" spans="1:14" s="10" customFormat="1" outlineLevel="1" x14ac:dyDescent="0.2">
      <c r="B85" s="65" t="str">
        <f>MICRO_Lu!$D$101&amp;" ("&amp;MICRO_Lu!$D$81&amp;")"</f>
        <v>Economic (LCU)</v>
      </c>
      <c r="E85" s="53" t="str">
        <f>"("&amp;IF(DD_LVL2_ACTV_Input_Detail_or_Freeform=1,MICROPLANNING!$D$96,MICROPLANNING!$D$102)&amp;")"</f>
        <v>(Direct User Entry Cost Estimate)</v>
      </c>
    </row>
    <row r="86" spans="1:14" s="10" customFormat="1" outlineLevel="1" x14ac:dyDescent="0.2"/>
    <row r="87" spans="1:14" s="10" customFormat="1" outlineLevel="1" x14ac:dyDescent="0.2">
      <c r="D87" s="49" t="str">
        <f>HL_LVL2_ACTV_Name</f>
        <v>Microplanning Activity #3 (Not in Use)</v>
      </c>
      <c r="J87" s="362">
        <f>IF(DD_LVL2_ACTV_Input_Detail_or_Freeform=1,IF(DD_LVL2_ACTV_Annual_Currency_Select=2,MICROPLANNING!J$99,MICROPLANNING!J$99*LVL2_ACTV_Exchange_Rate),IF(DD_LVL2_ACTV_Annual_Currency_Select=2,MICROPLANNING!J$104,MICROPLANNING!J$104*LVL2_ACTV_Exchange_Rate))</f>
        <v>0</v>
      </c>
      <c r="K87" s="362">
        <f>IF(DD_LVL2_ACTV_Input_Detail_or_Freeform=1,IF(DD_LVL2_ACTV_Annual_Currency_Select=2,MICROPLANNING!K$99,MICROPLANNING!K$99*LVL2_ACTV_Exchange_Rate),IF(DD_LVL2_ACTV_Annual_Currency_Select=2,MICROPLANNING!K$104,MICROPLANNING!K$104*LVL2_ACTV_Exchange_Rate))</f>
        <v>0</v>
      </c>
      <c r="L87" s="362">
        <f>IF(DD_LVL2_ACTV_Input_Detail_or_Freeform=1,IF(DD_LVL2_ACTV_Annual_Currency_Select=2,MICROPLANNING!L$99,MICROPLANNING!L$99*LVL2_ACTV_Exchange_Rate),IF(DD_LVL2_ACTV_Annual_Currency_Select=2,MICROPLANNING!L$104,MICROPLANNING!L$104*LVL2_ACTV_Exchange_Rate))</f>
        <v>0</v>
      </c>
      <c r="M87" s="362">
        <f>IF(DD_LVL2_ACTV_Input_Detail_or_Freeform=1,IF(DD_LVL2_ACTV_Annual_Currency_Select=2,MICROPLANNING!M$99,MICROPLANNING!M$99*LVL2_ACTV_Exchange_Rate),IF(DD_LVL2_ACTV_Annual_Currency_Select=2,MICROPLANNING!M$104,MICROPLANNING!M$104*LVL2_ACTV_Exchange_Rate))</f>
        <v>0</v>
      </c>
      <c r="N87" s="362">
        <f>IF(DD_LVL2_ACTV_Input_Detail_or_Freeform=1,IF(DD_LVL2_ACTV_Annual_Currency_Select=2,MICROPLANNING!N$99,MICROPLANNING!N$99*LVL2_ACTV_Exchange_Rate),IF(DD_LVL2_ACTV_Annual_Currency_Select=2,MICROPLANNING!N$104,MICROPLANNING!N$104*LVL2_ACTV_Exchange_Rate))</f>
        <v>0</v>
      </c>
    </row>
    <row r="88" spans="1:14" s="10" customFormat="1" outlineLevel="1" x14ac:dyDescent="0.2">
      <c r="D88" s="114" t="str">
        <f>HL_LVL2_ACTV_Name</f>
        <v>Microplanning Activity #3 (Not in Use)</v>
      </c>
      <c r="J88" s="43">
        <f>SUM(J87:J87)</f>
        <v>0</v>
      </c>
      <c r="K88" s="43">
        <f>SUM(K87:K87)</f>
        <v>0</v>
      </c>
      <c r="L88" s="43">
        <f>SUM(L87:L87)</f>
        <v>0</v>
      </c>
      <c r="M88" s="43">
        <f>SUM(M87:M87)</f>
        <v>0</v>
      </c>
      <c r="N88" s="43">
        <f>SUM(N87:N87)</f>
        <v>0</v>
      </c>
    </row>
    <row r="89" spans="1:14" s="10" customFormat="1" outlineLevel="1" x14ac:dyDescent="0.2"/>
    <row r="90" spans="1:14" s="10" customFormat="1" outlineLevel="1" x14ac:dyDescent="0.2">
      <c r="D90" s="76" t="str">
        <f>Lang_GoTo&amp;" "&amp;HL_LVL2_ACTV_Single_Activity_Cost_Assumptions_Annual</f>
        <v>Go to Microplanning Activity #3 (Not in Use) Single Activity Cost - Annual Assumptions (Projected or Retrospective)</v>
      </c>
    </row>
    <row r="91" spans="1:14" s="10" customFormat="1" x14ac:dyDescent="0.2"/>
    <row r="92" spans="1:14" s="10" customFormat="1" x14ac:dyDescent="0.2">
      <c r="A92" s="12" t="s">
        <v>127</v>
      </c>
      <c r="B92" s="13" t="str">
        <f>B93&amp;" "&amp;Lang_Single_Activity_Cost_Outputs_Annual&amp;" ("&amp;Lang_International_Currency_Fin&amp;")"</f>
        <v>Microplanning Activity #3 (Not in Use) Single Activity Cost Outputs - Annual (International Currency - Financial)</v>
      </c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</row>
    <row r="93" spans="1:14" s="10" customFormat="1" outlineLevel="1" x14ac:dyDescent="0.2">
      <c r="B93" s="49" t="str">
        <f>HL_LVL2_ACTV_Name</f>
        <v>Microplanning Activity #3 (Not in Use)</v>
      </c>
    </row>
    <row r="94" spans="1:14" s="10" customFormat="1" outlineLevel="1" x14ac:dyDescent="0.2">
      <c r="B94" s="65" t="str">
        <f>MICRO_Lu!$D$100&amp;" ("&amp;MICRO_Lu!$D$80&amp;")"</f>
        <v>Financial (USD)</v>
      </c>
      <c r="E94" s="53" t="str">
        <f>"("&amp;IF(DD_LVL2_ACTV_Input_Detail_or_Freeform=1,MICROPLANNING!$D$96,MICROPLANNING!$D$102)&amp;")"</f>
        <v>(Direct User Entry Cost Estimate)</v>
      </c>
    </row>
    <row r="95" spans="1:14" s="10" customFormat="1" outlineLevel="1" x14ac:dyDescent="0.2"/>
    <row r="96" spans="1:14" s="10" customFormat="1" outlineLevel="1" x14ac:dyDescent="0.2">
      <c r="D96" s="49" t="str">
        <f>HL_LVL2_ACTV_Name</f>
        <v>Microplanning Activity #3 (Not in Use)</v>
      </c>
      <c r="J96" s="137">
        <f>J77/LVL2_ACTV_Exchange_Rate</f>
        <v>0</v>
      </c>
      <c r="K96" s="137">
        <f>K77/LVL2_ACTV_Exchange_Rate</f>
        <v>0</v>
      </c>
      <c r="L96" s="137">
        <f>L77/LVL2_ACTV_Exchange_Rate</f>
        <v>0</v>
      </c>
      <c r="M96" s="137">
        <f>M77/LVL2_ACTV_Exchange_Rate</f>
        <v>0</v>
      </c>
      <c r="N96" s="137">
        <f>N77/LVL2_ACTV_Exchange_Rate</f>
        <v>0</v>
      </c>
    </row>
    <row r="97" spans="1:14" s="10" customFormat="1" outlineLevel="1" x14ac:dyDescent="0.2">
      <c r="D97" s="114" t="str">
        <f>HL_LVL2_ACTV_Name</f>
        <v>Microplanning Activity #3 (Not in Use)</v>
      </c>
      <c r="J97" s="361">
        <f>SUM(J96:J96)</f>
        <v>0</v>
      </c>
      <c r="K97" s="361">
        <f>SUM(K96:K96)</f>
        <v>0</v>
      </c>
      <c r="L97" s="361">
        <f>SUM(L96:L96)</f>
        <v>0</v>
      </c>
      <c r="M97" s="361">
        <f>SUM(M96:M96)</f>
        <v>0</v>
      </c>
      <c r="N97" s="361">
        <f>SUM(N96:N96)</f>
        <v>0</v>
      </c>
    </row>
    <row r="98" spans="1:14" s="10" customFormat="1" outlineLevel="1" x14ac:dyDescent="0.2"/>
    <row r="99" spans="1:14" s="10" customFormat="1" outlineLevel="1" x14ac:dyDescent="0.2">
      <c r="D99" s="76" t="str">
        <f>Lang_GoTo&amp;" "&amp;HL_LVL2_ACTV_Single_Activity_Cost_Assumptions_Annual</f>
        <v>Go to Microplanning Activity #3 (Not in Use) Single Activity Cost - Annual Assumptions (Projected or Retrospective)</v>
      </c>
    </row>
    <row r="100" spans="1:14" s="10" customFormat="1" x14ac:dyDescent="0.2"/>
    <row r="101" spans="1:14" s="10" customFormat="1" x14ac:dyDescent="0.2">
      <c r="A101" s="12" t="s">
        <v>127</v>
      </c>
      <c r="B101" s="13" t="str">
        <f>B102&amp;" "&amp;Lang_Single_Activity_Cost_Outputs_Annual&amp;" ("&amp;Lang_International_Currency_Econ&amp;")"</f>
        <v>Microplanning Activity #3 (Not in Use) Single Activity Cost Outputs - Annual (International Currency - Economic)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</row>
    <row r="102" spans="1:14" s="10" customFormat="1" outlineLevel="1" x14ac:dyDescent="0.2">
      <c r="B102" s="49" t="str">
        <f>HL_LVL2_ACTV_Name</f>
        <v>Microplanning Activity #3 (Not in Use)</v>
      </c>
    </row>
    <row r="103" spans="1:14" s="10" customFormat="1" outlineLevel="1" x14ac:dyDescent="0.2">
      <c r="B103" s="65" t="str">
        <f>MICRO_Lu!$D$101&amp;" ("&amp;MICRO_Lu!$D$80&amp;")"</f>
        <v>Economic (USD)</v>
      </c>
      <c r="E103" s="53" t="str">
        <f>"("&amp;IF(DD_LVL2_ACTV_Input_Detail_or_Freeform=1,MICROPLANNING!$D$96,MICROPLANNING!$D$102)&amp;")"</f>
        <v>(Direct User Entry Cost Estimate)</v>
      </c>
    </row>
    <row r="104" spans="1:14" s="10" customFormat="1" outlineLevel="1" x14ac:dyDescent="0.2"/>
    <row r="105" spans="1:14" s="10" customFormat="1" outlineLevel="1" x14ac:dyDescent="0.2">
      <c r="D105" s="49" t="str">
        <f>HL_LVL2_ACTV_Name</f>
        <v>Microplanning Activity #3 (Not in Use)</v>
      </c>
      <c r="J105" s="139">
        <f>J87/LVL2_ACTV_Exchange_Rate</f>
        <v>0</v>
      </c>
      <c r="K105" s="139">
        <f>K87/LVL2_ACTV_Exchange_Rate</f>
        <v>0</v>
      </c>
      <c r="L105" s="139">
        <f>L87/LVL2_ACTV_Exchange_Rate</f>
        <v>0</v>
      </c>
      <c r="M105" s="139">
        <f>M87/LVL2_ACTV_Exchange_Rate</f>
        <v>0</v>
      </c>
      <c r="N105" s="139">
        <f>N87/LVL2_ACTV_Exchange_Rate</f>
        <v>0</v>
      </c>
    </row>
    <row r="106" spans="1:14" s="10" customFormat="1" outlineLevel="1" x14ac:dyDescent="0.2">
      <c r="D106" s="114" t="str">
        <f>HL_LVL2_ACTV_Name</f>
        <v>Microplanning Activity #3 (Not in Use)</v>
      </c>
      <c r="J106" s="137">
        <f>SUM(J105:J105)</f>
        <v>0</v>
      </c>
      <c r="K106" s="137">
        <f>SUM(K105:K105)</f>
        <v>0</v>
      </c>
      <c r="L106" s="137">
        <f>SUM(L105:L105)</f>
        <v>0</v>
      </c>
      <c r="M106" s="137">
        <f>SUM(M105:M105)</f>
        <v>0</v>
      </c>
      <c r="N106" s="137">
        <f>SUM(N105:N105)</f>
        <v>0</v>
      </c>
    </row>
    <row r="107" spans="1:14" s="10" customFormat="1" outlineLevel="1" x14ac:dyDescent="0.2"/>
    <row r="108" spans="1:14" s="10" customFormat="1" outlineLevel="1" x14ac:dyDescent="0.2">
      <c r="D108" s="76" t="str">
        <f>Lang_GoTo&amp;" "&amp;HL_LVL2_ACTV_Single_Activity_Cost_Assumptions_Annual</f>
        <v>Go to Microplanning Activity #3 (Not in Use) Single Activity Cost - Annual Assumptions (Projected or Retrospective)</v>
      </c>
    </row>
    <row r="109" spans="1:14" s="10" customFormat="1" x14ac:dyDescent="0.2"/>
    <row r="110" spans="1:14" s="10" customFormat="1" x14ac:dyDescent="0.2">
      <c r="A110" s="12" t="s">
        <v>127</v>
      </c>
      <c r="B110" s="13" t="str">
        <f>HL_LVL2_ACTV_20_Name&amp;" "&amp;Lang_Single_Activity_Cost_Outputs_Annual&amp;" ("&amp;Lang_Local_Currency_Fin&amp;")"</f>
        <v>Microplanning Activity #4 (Not in Use) Single Activity Cost Outputs - Annual (Local Currency - Financial)</v>
      </c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</row>
    <row r="111" spans="1:14" s="10" customFormat="1" outlineLevel="1" x14ac:dyDescent="0.2">
      <c r="B111" s="49" t="str">
        <f>HL_LVL2_ACTV_20_Name</f>
        <v>Microplanning Activity #4 (Not in Use)</v>
      </c>
    </row>
    <row r="112" spans="1:14" s="10" customFormat="1" outlineLevel="1" x14ac:dyDescent="0.2">
      <c r="B112" s="65" t="str">
        <f>MICRO_Lu!$D$135&amp;" ("&amp;MICRO_Lu!$D$116&amp;")"</f>
        <v>Financial (LCU)</v>
      </c>
      <c r="E112" s="53" t="str">
        <f>"("&amp;IF(DD_LVL2_ACTV_20_Input_Detail_or_Freeform=1,MICROPLANNING!$D$139,MICROPLANNING!$D$145)&amp;")"</f>
        <v>(Direct User Entry Cost Estimate)</v>
      </c>
    </row>
    <row r="113" spans="1:14" s="10" customFormat="1" outlineLevel="1" x14ac:dyDescent="0.2"/>
    <row r="114" spans="1:14" s="10" customFormat="1" outlineLevel="1" x14ac:dyDescent="0.2">
      <c r="D114" s="49" t="str">
        <f>HL_LVL2_ACTV_20_Name</f>
        <v>Microplanning Activity #4 (Not in Use)</v>
      </c>
      <c r="J114" s="115">
        <f>IF(DD_LVL2_ACTV_20_Input_Detail_or_Freeform=1,IF(DD_LVL2_ACTV_20_Annual_Currency_Select=2,MICROPLANNING!J$141,MICROPLANNING!J$141*LVL2_ACTV_20_Exchange_Rate),IF(DD_LVL2_ACTV_20_Annual_Currency_Select=2,MICROPLANNING!J$146,MICROPLANNING!J$146*LVL2_ACTV_20_Exchange_Rate))</f>
        <v>0</v>
      </c>
      <c r="K114" s="115">
        <f>IF(DD_LVL2_ACTV_20_Input_Detail_or_Freeform=1,IF(DD_LVL2_ACTV_20_Annual_Currency_Select=2,MICROPLANNING!K$141,MICROPLANNING!K$141*LVL2_ACTV_20_Exchange_Rate),IF(DD_LVL2_ACTV_20_Annual_Currency_Select=2,MICROPLANNING!K$146,MICROPLANNING!K$146*LVL2_ACTV_20_Exchange_Rate))</f>
        <v>0</v>
      </c>
      <c r="L114" s="115">
        <f>IF(DD_LVL2_ACTV_20_Input_Detail_or_Freeform=1,IF(DD_LVL2_ACTV_20_Annual_Currency_Select=2,MICROPLANNING!L$141,MICROPLANNING!L$141*LVL2_ACTV_20_Exchange_Rate),IF(DD_LVL2_ACTV_20_Annual_Currency_Select=2,MICROPLANNING!L$146,MICROPLANNING!L$146*LVL2_ACTV_20_Exchange_Rate))</f>
        <v>0</v>
      </c>
      <c r="M114" s="115">
        <f>IF(DD_LVL2_ACTV_20_Input_Detail_or_Freeform=1,IF(DD_LVL2_ACTV_20_Annual_Currency_Select=2,MICROPLANNING!M$141,MICROPLANNING!M$141*LVL2_ACTV_20_Exchange_Rate),IF(DD_LVL2_ACTV_20_Annual_Currency_Select=2,MICROPLANNING!M$146,MICROPLANNING!M$146*LVL2_ACTV_20_Exchange_Rate))</f>
        <v>0</v>
      </c>
      <c r="N114" s="115">
        <f>IF(DD_LVL2_ACTV_20_Input_Detail_or_Freeform=1,IF(DD_LVL2_ACTV_20_Annual_Currency_Select=2,MICROPLANNING!N$141,MICROPLANNING!N$141*LVL2_ACTV_20_Exchange_Rate),IF(DD_LVL2_ACTV_20_Annual_Currency_Select=2,MICROPLANNING!N$146,MICROPLANNING!N$146*LVL2_ACTV_20_Exchange_Rate))</f>
        <v>0</v>
      </c>
    </row>
    <row r="115" spans="1:14" s="10" customFormat="1" outlineLevel="1" x14ac:dyDescent="0.2">
      <c r="D115" s="114" t="str">
        <f>HL_LVL2_ACTV_20_Name</f>
        <v>Microplanning Activity #4 (Not in Use)</v>
      </c>
      <c r="J115" s="43">
        <f>SUM(J114:J114)</f>
        <v>0</v>
      </c>
      <c r="K115" s="43">
        <f>SUM(K114:K114)</f>
        <v>0</v>
      </c>
      <c r="L115" s="43">
        <f>SUM(L114:L114)</f>
        <v>0</v>
      </c>
      <c r="M115" s="43">
        <f>SUM(M114:M114)</f>
        <v>0</v>
      </c>
      <c r="N115" s="43">
        <f>SUM(N114:N114)</f>
        <v>0</v>
      </c>
    </row>
    <row r="116" spans="1:14" s="10" customFormat="1" outlineLevel="1" x14ac:dyDescent="0.2"/>
    <row r="117" spans="1:14" s="10" customFormat="1" outlineLevel="1" x14ac:dyDescent="0.2"/>
    <row r="118" spans="1:14" s="10" customFormat="1" outlineLevel="1" x14ac:dyDescent="0.2">
      <c r="D118" s="76" t="str">
        <f>Lang_GoTo&amp;" "&amp;HL_LVL2_ACTV_20_Single_Activity_Cost_Assumptions_Annual</f>
        <v>Go to Microplanning Activity #4 (Not in Use) Single Activity Cost - Annual Assumptions (Projected or Retrospective)</v>
      </c>
    </row>
    <row r="119" spans="1:14" s="10" customFormat="1" x14ac:dyDescent="0.2"/>
    <row r="120" spans="1:14" s="10" customFormat="1" x14ac:dyDescent="0.2">
      <c r="A120" s="12" t="s">
        <v>127</v>
      </c>
      <c r="B120" s="13" t="str">
        <f>B121&amp;" "&amp;Lang_Single_Activity_Cost_Outputs_Annual&amp;" ("&amp;Lang_Local_Currency_Econ&amp;")"</f>
        <v>Microplanning Activity #4 (Not in Use) Single Activity Cost Outputs - Annual (Local Currency - Economic)</v>
      </c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</row>
    <row r="121" spans="1:14" s="10" customFormat="1" outlineLevel="1" x14ac:dyDescent="0.2">
      <c r="B121" s="49" t="str">
        <f>HL_LVL2_ACTV_20_Name</f>
        <v>Microplanning Activity #4 (Not in Use)</v>
      </c>
    </row>
    <row r="122" spans="1:14" s="10" customFormat="1" outlineLevel="1" x14ac:dyDescent="0.2">
      <c r="B122" s="65" t="str">
        <f>MICRO_Lu!$D$136&amp;" ("&amp;MICRO_Lu!$D$116&amp;")"</f>
        <v>Economic (LCU)</v>
      </c>
      <c r="E122" s="53" t="str">
        <f>"("&amp;IF(DD_LVL2_ACTV_20_Input_Detail_or_Freeform=1,MICROPLANNING!$D$139,MICROPLANNING!$D$145)&amp;")"</f>
        <v>(Direct User Entry Cost Estimate)</v>
      </c>
    </row>
    <row r="123" spans="1:14" s="10" customFormat="1" outlineLevel="1" x14ac:dyDescent="0.2"/>
    <row r="124" spans="1:14" s="10" customFormat="1" outlineLevel="1" x14ac:dyDescent="0.2">
      <c r="D124" s="49" t="str">
        <f>HL_LVL2_ACTV_20_Name</f>
        <v>Microplanning Activity #4 (Not in Use)</v>
      </c>
      <c r="J124" s="115">
        <f>IF(DD_LVL2_ACTV_20_Input_Detail_or_Freeform=1,IF(DD_LVL2_ACTV_20_Annual_Currency_Select=2,MICROPLANNING!J$142,MICROPLANNING!J$142*LVL2_ACTV_20_Exchange_Rate),IF(DD_LVL2_ACTV_20_Annual_Currency_Select=2,MICROPLANNING!J$147,MICROPLANNING!J$147*LVL2_ACTV_20_Exchange_Rate))</f>
        <v>0</v>
      </c>
      <c r="K124" s="115">
        <f>IF(DD_LVL2_ACTV_20_Input_Detail_or_Freeform=1,IF(DD_LVL2_ACTV_20_Annual_Currency_Select=2,MICROPLANNING!K$142,MICROPLANNING!K$142*LVL2_ACTV_20_Exchange_Rate),IF(DD_LVL2_ACTV_20_Annual_Currency_Select=2,MICROPLANNING!K$147,MICROPLANNING!K$147*LVL2_ACTV_20_Exchange_Rate))</f>
        <v>0</v>
      </c>
      <c r="L124" s="115">
        <f>IF(DD_LVL2_ACTV_20_Input_Detail_or_Freeform=1,IF(DD_LVL2_ACTV_20_Annual_Currency_Select=2,MICROPLANNING!L$142,MICROPLANNING!L$142*LVL2_ACTV_20_Exchange_Rate),IF(DD_LVL2_ACTV_20_Annual_Currency_Select=2,MICROPLANNING!L$147,MICROPLANNING!L$147*LVL2_ACTV_20_Exchange_Rate))</f>
        <v>0</v>
      </c>
      <c r="M124" s="115">
        <f>IF(DD_LVL2_ACTV_20_Input_Detail_or_Freeform=1,IF(DD_LVL2_ACTV_20_Annual_Currency_Select=2,MICROPLANNING!M$142,MICROPLANNING!M$142*LVL2_ACTV_20_Exchange_Rate),IF(DD_LVL2_ACTV_20_Annual_Currency_Select=2,MICROPLANNING!M$147,MICROPLANNING!M$147*LVL2_ACTV_20_Exchange_Rate))</f>
        <v>0</v>
      </c>
      <c r="N124" s="115">
        <f>IF(DD_LVL2_ACTV_20_Input_Detail_or_Freeform=1,IF(DD_LVL2_ACTV_20_Annual_Currency_Select=2,MICROPLANNING!N$142,MICROPLANNING!N$142*LVL2_ACTV_20_Exchange_Rate),IF(DD_LVL2_ACTV_20_Annual_Currency_Select=2,MICROPLANNING!N$147,MICROPLANNING!N$147*LVL2_ACTV_20_Exchange_Rate))</f>
        <v>0</v>
      </c>
    </row>
    <row r="125" spans="1:14" s="10" customFormat="1" outlineLevel="1" x14ac:dyDescent="0.2">
      <c r="D125" s="114" t="str">
        <f>HL_LVL2_ACTV_20_Name</f>
        <v>Microplanning Activity #4 (Not in Use)</v>
      </c>
      <c r="J125" s="363">
        <f>SUM(J124:J124)</f>
        <v>0</v>
      </c>
      <c r="K125" s="363">
        <f>SUM(K124:K124)</f>
        <v>0</v>
      </c>
      <c r="L125" s="363">
        <f>SUM(L124:L124)</f>
        <v>0</v>
      </c>
      <c r="M125" s="363">
        <f>SUM(M124:M124)</f>
        <v>0</v>
      </c>
      <c r="N125" s="363">
        <f>SUM(N124:N124)</f>
        <v>0</v>
      </c>
    </row>
    <row r="126" spans="1:14" s="10" customFormat="1" outlineLevel="1" x14ac:dyDescent="0.2"/>
    <row r="127" spans="1:14" s="10" customFormat="1" outlineLevel="1" x14ac:dyDescent="0.2">
      <c r="D127" s="76" t="str">
        <f>Lang_GoTo&amp;" "&amp;HL_LVL2_ACTV_20_Single_Activity_Cost_Assumptions_Annual</f>
        <v>Go to Microplanning Activity #4 (Not in Use) Single Activity Cost - Annual Assumptions (Projected or Retrospective)</v>
      </c>
    </row>
    <row r="128" spans="1:14" s="10" customFormat="1" x14ac:dyDescent="0.2"/>
    <row r="129" spans="1:14" s="10" customFormat="1" x14ac:dyDescent="0.2">
      <c r="A129" s="12" t="s">
        <v>127</v>
      </c>
      <c r="B129" s="13" t="str">
        <f>B130&amp;" "&amp;Lang_Single_Activity_Cost_Outputs_Annual&amp;" ("&amp;Lang_International_Currency_Fin&amp;")"</f>
        <v>Microplanning Activity #4 (Not in Use) Single Activity Cost Outputs - Annual (International Currency - Financial)</v>
      </c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</row>
    <row r="130" spans="1:14" s="10" customFormat="1" outlineLevel="1" x14ac:dyDescent="0.2">
      <c r="B130" s="49" t="str">
        <f>HL_LVL2_ACTV_20_Name</f>
        <v>Microplanning Activity #4 (Not in Use)</v>
      </c>
    </row>
    <row r="131" spans="1:14" s="10" customFormat="1" outlineLevel="1" x14ac:dyDescent="0.2">
      <c r="B131" s="65" t="str">
        <f>MICRO_Lu!$D$135&amp;" ("&amp;MICRO_Lu!$D$115&amp;")"</f>
        <v>Financial (USD)</v>
      </c>
      <c r="E131" s="53" t="str">
        <f>"("&amp;IF(DD_LVL2_ACTV_20_Input_Detail_or_Freeform=1,MICROPLANNING!$D$139,MICROPLANNING!$D$145)&amp;")"</f>
        <v>(Direct User Entry Cost Estimate)</v>
      </c>
    </row>
    <row r="132" spans="1:14" s="10" customFormat="1" outlineLevel="1" x14ac:dyDescent="0.2"/>
    <row r="133" spans="1:14" s="10" customFormat="1" outlineLevel="1" x14ac:dyDescent="0.2">
      <c r="D133" s="49" t="str">
        <f>HL_LVL2_ACTV_20_Name</f>
        <v>Microplanning Activity #4 (Not in Use)</v>
      </c>
      <c r="J133" s="137">
        <f>J114/LVL2_ACTV_20_Exchange_Rate</f>
        <v>0</v>
      </c>
      <c r="K133" s="137">
        <f>K114/LVL2_ACTV_20_Exchange_Rate</f>
        <v>0</v>
      </c>
      <c r="L133" s="137">
        <f>L114/LVL2_ACTV_20_Exchange_Rate</f>
        <v>0</v>
      </c>
      <c r="M133" s="137">
        <f>M114/LVL2_ACTV_20_Exchange_Rate</f>
        <v>0</v>
      </c>
      <c r="N133" s="137">
        <f>N114/LVL2_ACTV_20_Exchange_Rate</f>
        <v>0</v>
      </c>
    </row>
    <row r="134" spans="1:14" s="10" customFormat="1" outlineLevel="1" x14ac:dyDescent="0.2">
      <c r="D134" s="114" t="str">
        <f>HL_LVL2_ACTV_20_Name</f>
        <v>Microplanning Activity #4 (Not in Use)</v>
      </c>
      <c r="J134" s="361">
        <f>SUM(J133:J133)</f>
        <v>0</v>
      </c>
      <c r="K134" s="361">
        <f>SUM(K133:K133)</f>
        <v>0</v>
      </c>
      <c r="L134" s="361">
        <f>SUM(L133:L133)</f>
        <v>0</v>
      </c>
      <c r="M134" s="361">
        <f>SUM(M133:M133)</f>
        <v>0</v>
      </c>
      <c r="N134" s="361">
        <f>SUM(N133:N133)</f>
        <v>0</v>
      </c>
    </row>
    <row r="135" spans="1:14" s="10" customFormat="1" outlineLevel="1" x14ac:dyDescent="0.2"/>
    <row r="136" spans="1:14" s="10" customFormat="1" outlineLevel="1" x14ac:dyDescent="0.2">
      <c r="D136" s="76" t="str">
        <f>Lang_GoTo&amp;" "&amp;HL_LVL2_ACTV_20_Single_Activity_Cost_Assumptions_Annual</f>
        <v>Go to Microplanning Activity #4 (Not in Use) Single Activity Cost - Annual Assumptions (Projected or Retrospective)</v>
      </c>
    </row>
    <row r="137" spans="1:14" s="10" customFormat="1" x14ac:dyDescent="0.2"/>
    <row r="138" spans="1:14" s="10" customFormat="1" x14ac:dyDescent="0.2">
      <c r="A138" s="12" t="s">
        <v>127</v>
      </c>
      <c r="B138" s="13" t="str">
        <f>B139&amp;" "&amp;Lang_Single_Activity_Cost_Outputs_Annual&amp;" ("&amp;Lang_International_Currency_Econ&amp;")"</f>
        <v>Microplanning Activity #4 (Not in Use) Single Activity Cost Outputs - Annual (International Currency - Economic)</v>
      </c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</row>
    <row r="139" spans="1:14" s="10" customFormat="1" outlineLevel="1" x14ac:dyDescent="0.2">
      <c r="B139" s="49" t="str">
        <f>HL_LVL2_ACTV_20_Name</f>
        <v>Microplanning Activity #4 (Not in Use)</v>
      </c>
    </row>
    <row r="140" spans="1:14" s="10" customFormat="1" outlineLevel="1" x14ac:dyDescent="0.2">
      <c r="B140" s="65" t="str">
        <f>MICRO_Lu!$D$136&amp;" ("&amp;MICRO_Lu!$D$115&amp;")"</f>
        <v>Economic (USD)</v>
      </c>
      <c r="E140" s="53" t="str">
        <f>"("&amp;IF(DD_LVL2_ACTV_20_Input_Detail_or_Freeform=1,MICROPLANNING!$D$139,MICROPLANNING!$D$145)&amp;")"</f>
        <v>(Direct User Entry Cost Estimate)</v>
      </c>
    </row>
    <row r="141" spans="1:14" s="10" customFormat="1" outlineLevel="1" x14ac:dyDescent="0.2"/>
    <row r="142" spans="1:14" s="10" customFormat="1" outlineLevel="1" x14ac:dyDescent="0.2">
      <c r="D142" s="49" t="str">
        <f>HL_LVL2_ACTV_20_Name</f>
        <v>Microplanning Activity #4 (Not in Use)</v>
      </c>
      <c r="J142" s="137">
        <f>J124/LVL2_ACTV_20_Exchange_Rate</f>
        <v>0</v>
      </c>
      <c r="K142" s="137">
        <f>K124/LVL2_ACTV_20_Exchange_Rate</f>
        <v>0</v>
      </c>
      <c r="L142" s="137">
        <f>L124/LVL2_ACTV_20_Exchange_Rate</f>
        <v>0</v>
      </c>
      <c r="M142" s="137">
        <f>M124/LVL2_ACTV_20_Exchange_Rate</f>
        <v>0</v>
      </c>
      <c r="N142" s="137">
        <f>N124/LVL2_ACTV_20_Exchange_Rate</f>
        <v>0</v>
      </c>
    </row>
    <row r="143" spans="1:14" s="10" customFormat="1" outlineLevel="1" x14ac:dyDescent="0.2">
      <c r="D143" s="114" t="str">
        <f>HL_LVL2_ACTV_20_Name</f>
        <v>Microplanning Activity #4 (Not in Use)</v>
      </c>
      <c r="J143" s="361">
        <f>SUM(J142:J142)</f>
        <v>0</v>
      </c>
      <c r="K143" s="361">
        <f>SUM(K142:K142)</f>
        <v>0</v>
      </c>
      <c r="L143" s="361">
        <f>SUM(L142:L142)</f>
        <v>0</v>
      </c>
      <c r="M143" s="361">
        <f>SUM(M142:M142)</f>
        <v>0</v>
      </c>
      <c r="N143" s="361">
        <f>SUM(N142:N142)</f>
        <v>0</v>
      </c>
    </row>
    <row r="144" spans="1:14" s="10" customFormat="1" outlineLevel="1" x14ac:dyDescent="0.2"/>
    <row r="145" spans="1:14" s="10" customFormat="1" outlineLevel="1" x14ac:dyDescent="0.2">
      <c r="D145" s="76" t="str">
        <f>Lang_GoTo&amp;" "&amp;HL_LVL2_ACTV_20_Single_Activity_Cost_Assumptions_Annual</f>
        <v>Go to Microplanning Activity #4 (Not in Use) Single Activity Cost - Annual Assumptions (Projected or Retrospective)</v>
      </c>
    </row>
    <row r="146" spans="1:14" s="10" customFormat="1" x14ac:dyDescent="0.2"/>
    <row r="147" spans="1:14" s="10" customFormat="1" x14ac:dyDescent="0.2">
      <c r="A147" s="12" t="s">
        <v>127</v>
      </c>
      <c r="B147" s="13" t="str">
        <f>B148&amp;" "&amp;Lang_Single_Activity_Cost_Outputs_Annual&amp;" ("&amp;Lang_Local_Currency_Fin&amp;")"</f>
        <v>Training Activity #1 (Not in Use) Single Activity Cost Outputs - Annual (Local Currency - Financial)</v>
      </c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</row>
    <row r="148" spans="1:14" s="10" customFormat="1" outlineLevel="1" x14ac:dyDescent="0.2">
      <c r="B148" s="49" t="str">
        <f>HL_TOP_ACTV_2_Name</f>
        <v>Training Activity #1 (Not in Use)</v>
      </c>
    </row>
    <row r="149" spans="1:14" s="10" customFormat="1" outlineLevel="1" x14ac:dyDescent="0.2">
      <c r="B149" s="65" t="str">
        <f>TRAIN_Lu!$D$30&amp;" ("&amp;TRAIN_Lu!$D$11&amp;")"</f>
        <v>Financial (LCU)</v>
      </c>
    </row>
    <row r="150" spans="1:14" s="10" customFormat="1" outlineLevel="1" x14ac:dyDescent="0.2"/>
    <row r="151" spans="1:14" s="10" customFormat="1" outlineLevel="1" x14ac:dyDescent="0.2">
      <c r="D151" s="49" t="str">
        <f>TRAINING!D12</f>
        <v>Training Activity #1 (Not in Use)</v>
      </c>
      <c r="E151" s="53" t="str">
        <f>"("&amp;IF(DD_TOP_ACTV_2_Input_Detail_or_Freeform=1,TRAINING!$D$20,TRAINING!$D$26)&amp;")"</f>
        <v>(Detailed Costing Worksheet Estimate)</v>
      </c>
      <c r="J151" s="108">
        <f>IF(DD_TOP_ACTV_2_Input_Detail_or_Freeform=1,IF(DD_TOP_ACTV_2_Annual_Currency_Used=2,TRAINING!J$22,TRAINING!J$22*TOP_ACTV_2_Exchange_Rate),IF(DD_TOP_ACTV_2_Annual_Currency_Used=2,TRAINING!J$27,TRAINING!J$27*TOP_ACTV_2_Exchange_Rate))</f>
        <v>0</v>
      </c>
      <c r="K151" s="108">
        <f>IF(DD_TOP_ACTV_2_Input_Detail_or_Freeform=1,IF(DD_TOP_ACTV_2_Annual_Currency_Used=2,TRAINING!K$22,TRAINING!K$22*TOP_ACTV_2_Exchange_Rate),IF(DD_TOP_ACTV_2_Annual_Currency_Used=2,TRAINING!K$27,TRAINING!K$27*TOP_ACTV_2_Exchange_Rate))</f>
        <v>0</v>
      </c>
      <c r="L151" s="108">
        <f>IF(DD_TOP_ACTV_2_Input_Detail_or_Freeform=1,IF(DD_TOP_ACTV_2_Annual_Currency_Used=2,TRAINING!L$22,TRAINING!L$22*TOP_ACTV_2_Exchange_Rate),IF(DD_TOP_ACTV_2_Annual_Currency_Used=2,TRAINING!L$27,TRAINING!L$27*TOP_ACTV_2_Exchange_Rate))</f>
        <v>0</v>
      </c>
      <c r="M151" s="108">
        <f>IF(DD_TOP_ACTV_2_Input_Detail_or_Freeform=1,IF(DD_TOP_ACTV_2_Annual_Currency_Used=2,TRAINING!M$22,TRAINING!M$22*TOP_ACTV_2_Exchange_Rate),IF(DD_TOP_ACTV_2_Annual_Currency_Used=2,TRAINING!M$27,TRAINING!M$27*TOP_ACTV_2_Exchange_Rate))</f>
        <v>0</v>
      </c>
      <c r="N151" s="108">
        <f>IF(DD_TOP_ACTV_2_Input_Detail_or_Freeform=1,IF(DD_TOP_ACTV_2_Annual_Currency_Used=2,TRAINING!N$22,TRAINING!N$22*TOP_ACTV_2_Exchange_Rate),IF(DD_TOP_ACTV_2_Annual_Currency_Used=2,TRAINING!N$27,TRAINING!N$27*TOP_ACTV_2_Exchange_Rate))</f>
        <v>0</v>
      </c>
    </row>
    <row r="152" spans="1:14" s="10" customFormat="1" outlineLevel="1" x14ac:dyDescent="0.2"/>
    <row r="153" spans="1:14" s="10" customFormat="1" outlineLevel="1" x14ac:dyDescent="0.2">
      <c r="D153" s="76" t="str">
        <f>Lang_GoTo&amp;" "&amp;HL_TOP_ACTV_2_Single_Activity_Cost_Assumptions_Annual</f>
        <v>Go to Training Activity #1 (Not in Use) Single Activity Cost - Annual Assumptions (Projected or Retrospective)</v>
      </c>
    </row>
    <row r="154" spans="1:14" s="10" customFormat="1" x14ac:dyDescent="0.2"/>
    <row r="155" spans="1:14" s="10" customFormat="1" x14ac:dyDescent="0.2">
      <c r="A155" s="12" t="s">
        <v>127</v>
      </c>
      <c r="B155" s="13" t="str">
        <f>B156&amp;" "&amp;Lang_Single_Activity_Cost_Outputs_Annual&amp;" ("&amp;Lang_Local_Currency_Econ&amp;")"</f>
        <v>Training Activity #1 (Not in Use) Single Activity Cost Outputs - Annual (Local Currency - Economic)</v>
      </c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</row>
    <row r="156" spans="1:14" s="10" customFormat="1" outlineLevel="1" x14ac:dyDescent="0.2">
      <c r="B156" s="49" t="str">
        <f>HL_TOP_ACTV_2_Name</f>
        <v>Training Activity #1 (Not in Use)</v>
      </c>
    </row>
    <row r="157" spans="1:14" s="10" customFormat="1" outlineLevel="1" x14ac:dyDescent="0.2">
      <c r="B157" s="65" t="str">
        <f>TRAIN_Lu!$D$31&amp;" ("&amp;TRAIN_Lu!$D$11&amp;")"</f>
        <v>Economic (LCU)</v>
      </c>
    </row>
    <row r="158" spans="1:14" s="10" customFormat="1" outlineLevel="1" x14ac:dyDescent="0.2"/>
    <row r="159" spans="1:14" s="10" customFormat="1" outlineLevel="1" x14ac:dyDescent="0.2">
      <c r="D159" s="49" t="str">
        <f>TRAINING!D12</f>
        <v>Training Activity #1 (Not in Use)</v>
      </c>
      <c r="E159" s="53" t="str">
        <f>"("&amp;IF(DD_TOP_ACTV_2_Input_Detail_or_Freeform=1,TRAINING!$D$20,TRAINING!$D$26)&amp;")"</f>
        <v>(Detailed Costing Worksheet Estimate)</v>
      </c>
      <c r="J159" s="108">
        <f>IF(DD_TOP_ACTV_2_Input_Detail_or_Freeform=1,IF(DD_TOP_ACTV_2_Annual_Currency_Used=2,TRAINING!J$23,TRAINING!J$23*TOP_ACTV_2_Exchange_Rate),IF(DD_TOP_ACTV_2_Annual_Currency_Used=2,TRAINING!J$28,TRAINING!J$28*TOP_ACTV_2_Exchange_Rate))</f>
        <v>0</v>
      </c>
      <c r="K159" s="108">
        <f>IF(DD_TOP_ACTV_2_Input_Detail_or_Freeform=1,IF(DD_TOP_ACTV_2_Annual_Currency_Used=2,TRAINING!K$23,TRAINING!K$23*TOP_ACTV_2_Exchange_Rate),IF(DD_TOP_ACTV_2_Annual_Currency_Used=2,TRAINING!K$28,TRAINING!K$28*TOP_ACTV_2_Exchange_Rate))</f>
        <v>0</v>
      </c>
      <c r="L159" s="108">
        <f>IF(DD_TOP_ACTV_2_Input_Detail_or_Freeform=1,IF(DD_TOP_ACTV_2_Annual_Currency_Used=2,TRAINING!L$23,TRAINING!L$23*TOP_ACTV_2_Exchange_Rate),IF(DD_TOP_ACTV_2_Annual_Currency_Used=2,TRAINING!L$28,TRAINING!L$28*TOP_ACTV_2_Exchange_Rate))</f>
        <v>0</v>
      </c>
      <c r="M159" s="108">
        <f>IF(DD_TOP_ACTV_2_Input_Detail_or_Freeform=1,IF(DD_TOP_ACTV_2_Annual_Currency_Used=2,TRAINING!M$23,TRAINING!M$23*TOP_ACTV_2_Exchange_Rate),IF(DD_TOP_ACTV_2_Annual_Currency_Used=2,TRAINING!M$28,TRAINING!M$28*TOP_ACTV_2_Exchange_Rate))</f>
        <v>0</v>
      </c>
      <c r="N159" s="108">
        <f>IF(DD_TOP_ACTV_2_Input_Detail_or_Freeform=1,IF(DD_TOP_ACTV_2_Annual_Currency_Used=2,TRAINING!N$23,TRAINING!N$23*TOP_ACTV_2_Exchange_Rate),IF(DD_TOP_ACTV_2_Annual_Currency_Used=2,TRAINING!N$28,TRAINING!N$28*TOP_ACTV_2_Exchange_Rate))</f>
        <v>0</v>
      </c>
    </row>
    <row r="160" spans="1:14" s="10" customFormat="1" outlineLevel="1" x14ac:dyDescent="0.2"/>
    <row r="161" spans="1:14" s="10" customFormat="1" outlineLevel="1" x14ac:dyDescent="0.2">
      <c r="D161" s="76" t="str">
        <f>Lang_GoTo&amp;" "&amp;HL_TOP_ACTV_2_Single_Activity_Cost_Assumptions_Annual</f>
        <v>Go to Training Activity #1 (Not in Use) Single Activity Cost - Annual Assumptions (Projected or Retrospective)</v>
      </c>
    </row>
    <row r="162" spans="1:14" s="10" customFormat="1" x14ac:dyDescent="0.2"/>
    <row r="163" spans="1:14" s="10" customFormat="1" x14ac:dyDescent="0.2">
      <c r="A163" s="12" t="s">
        <v>127</v>
      </c>
      <c r="B163" s="13" t="str">
        <f>B164&amp;" "&amp;Lang_Single_Activity_Cost_Outputs_Annual&amp;" ("&amp;Lang_International_Currency_Fin&amp;")"</f>
        <v>Training Activity #1 (Not in Use) Single Activity Cost Outputs - Annual (International Currency - Financial)</v>
      </c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</row>
    <row r="164" spans="1:14" s="10" customFormat="1" outlineLevel="1" x14ac:dyDescent="0.2">
      <c r="B164" s="49" t="str">
        <f>HL_TOP_ACTV_2_Name</f>
        <v>Training Activity #1 (Not in Use)</v>
      </c>
    </row>
    <row r="165" spans="1:14" s="10" customFormat="1" outlineLevel="1" x14ac:dyDescent="0.2">
      <c r="B165" s="65" t="str">
        <f>TRAIN_Lu!$D$30&amp;" ("&amp;TRAIN_Lu!$D$10&amp;")"</f>
        <v>Financial (USD)</v>
      </c>
    </row>
    <row r="166" spans="1:14" s="10" customFormat="1" outlineLevel="1" x14ac:dyDescent="0.2"/>
    <row r="167" spans="1:14" s="10" customFormat="1" outlineLevel="1" x14ac:dyDescent="0.2">
      <c r="D167" s="49" t="str">
        <f>TRAINING!D12</f>
        <v>Training Activity #1 (Not in Use)</v>
      </c>
      <c r="E167" s="53" t="str">
        <f>"("&amp;IF(DD_TOP_ACTV_2_Input_Detail_or_Freeform=1,TRAINING!$D$20,TRAINING!$D$26)&amp;")"</f>
        <v>(Detailed Costing Worksheet Estimate)</v>
      </c>
      <c r="J167" s="119">
        <f>J151/TOP_ACTV_2_Exchange_Rate</f>
        <v>0</v>
      </c>
      <c r="K167" s="119">
        <f>K151/TOP_ACTV_2_Exchange_Rate</f>
        <v>0</v>
      </c>
      <c r="L167" s="119">
        <f>L151/TOP_ACTV_2_Exchange_Rate</f>
        <v>0</v>
      </c>
      <c r="M167" s="119">
        <f>M151/TOP_ACTV_2_Exchange_Rate</f>
        <v>0</v>
      </c>
      <c r="N167" s="119">
        <f>N151/TOP_ACTV_2_Exchange_Rate</f>
        <v>0</v>
      </c>
    </row>
    <row r="168" spans="1:14" s="10" customFormat="1" outlineLevel="1" x14ac:dyDescent="0.2"/>
    <row r="169" spans="1:14" s="10" customFormat="1" outlineLevel="1" x14ac:dyDescent="0.2">
      <c r="D169" s="76" t="str">
        <f>Lang_GoTo&amp;" "&amp;HL_TOP_ACTV_2_Single_Activity_Cost_Assumptions_Annual</f>
        <v>Go to Training Activity #1 (Not in Use) Single Activity Cost - Annual Assumptions (Projected or Retrospective)</v>
      </c>
    </row>
    <row r="170" spans="1:14" s="10" customFormat="1" x14ac:dyDescent="0.2"/>
    <row r="171" spans="1:14" s="10" customFormat="1" x14ac:dyDescent="0.2">
      <c r="A171" s="12" t="s">
        <v>127</v>
      </c>
      <c r="B171" s="13" t="str">
        <f>B172&amp;" "&amp;Lang_Single_Activity_Cost_Outputs_Annual&amp;" ("&amp;Lang_International_Currency_Econ&amp;")"</f>
        <v>Training Activity #1 (Not in Use) Single Activity Cost Outputs - Annual (International Currency - Economic)</v>
      </c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</row>
    <row r="172" spans="1:14" s="10" customFormat="1" outlineLevel="1" x14ac:dyDescent="0.2">
      <c r="B172" s="49" t="str">
        <f>HL_TOP_ACTV_2_Name</f>
        <v>Training Activity #1 (Not in Use)</v>
      </c>
    </row>
    <row r="173" spans="1:14" s="10" customFormat="1" outlineLevel="1" x14ac:dyDescent="0.2">
      <c r="B173" s="65" t="str">
        <f>TRAIN_Lu!$D$31&amp;" ("&amp;TRAIN_Lu!$D$10&amp;")"</f>
        <v>Economic (USD)</v>
      </c>
    </row>
    <row r="174" spans="1:14" s="10" customFormat="1" outlineLevel="1" x14ac:dyDescent="0.2"/>
    <row r="175" spans="1:14" s="10" customFormat="1" outlineLevel="1" x14ac:dyDescent="0.2">
      <c r="D175" s="49" t="str">
        <f>TRAINING!D12</f>
        <v>Training Activity #1 (Not in Use)</v>
      </c>
      <c r="E175" s="53" t="str">
        <f>"("&amp;IF(DD_TOP_ACTV_2_Input_Detail_or_Freeform=1,TRAINING!$D$20,TRAINING!$D$26)&amp;")"</f>
        <v>(Detailed Costing Worksheet Estimate)</v>
      </c>
      <c r="J175" s="119">
        <f>J159/TOP_ACTV_2_Exchange_Rate</f>
        <v>0</v>
      </c>
      <c r="K175" s="119">
        <f>K159/TOP_ACTV_2_Exchange_Rate</f>
        <v>0</v>
      </c>
      <c r="L175" s="119">
        <f>L159/TOP_ACTV_2_Exchange_Rate</f>
        <v>0</v>
      </c>
      <c r="M175" s="119">
        <f>M159/TOP_ACTV_2_Exchange_Rate</f>
        <v>0</v>
      </c>
      <c r="N175" s="119">
        <f>N159/TOP_ACTV_2_Exchange_Rate</f>
        <v>0</v>
      </c>
    </row>
    <row r="176" spans="1:14" s="10" customFormat="1" outlineLevel="1" x14ac:dyDescent="0.2"/>
    <row r="177" spans="1:14" s="10" customFormat="1" outlineLevel="1" x14ac:dyDescent="0.2">
      <c r="D177" s="76" t="str">
        <f>Lang_GoTo&amp;" "&amp;HL_TOP_ACTV_2_Single_Activity_Cost_Assumptions_Annual</f>
        <v>Go to Training Activity #1 (Not in Use) Single Activity Cost - Annual Assumptions (Projected or Retrospective)</v>
      </c>
    </row>
    <row r="178" spans="1:14" s="10" customFormat="1" x14ac:dyDescent="0.2"/>
    <row r="179" spans="1:14" s="10" customFormat="1" x14ac:dyDescent="0.2">
      <c r="A179" s="12" t="s">
        <v>127</v>
      </c>
      <c r="B179" s="13" t="str">
        <f>B180&amp;" "&amp;Lang_Single_Activity_Cost_Outputs_Annual&amp;" ("&amp;Lang_Local_Currency_Fin&amp;")"</f>
        <v>Training Activity #2 (Not in Use) Single Activity Cost Outputs - Annual (Local Currency - Financial)</v>
      </c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</row>
    <row r="180" spans="1:14" s="10" customFormat="1" outlineLevel="1" x14ac:dyDescent="0.2">
      <c r="B180" s="49" t="str">
        <f>HL_TOP_ACTV_13_Name</f>
        <v>Training Activity #2 (Not in Use)</v>
      </c>
    </row>
    <row r="181" spans="1:14" s="10" customFormat="1" outlineLevel="1" x14ac:dyDescent="0.2">
      <c r="B181" s="65" t="str">
        <f>TRAIN_Lu!$D$65&amp;" ("&amp;TRAIN_Lu!$D$46&amp;")"</f>
        <v>Financial (LCU)</v>
      </c>
    </row>
    <row r="182" spans="1:14" s="10" customFormat="1" outlineLevel="1" x14ac:dyDescent="0.2"/>
    <row r="183" spans="1:14" s="10" customFormat="1" outlineLevel="1" x14ac:dyDescent="0.2">
      <c r="D183" s="49" t="str">
        <f>TRAINING!D49</f>
        <v>Training Activity #2 (Not in Use)</v>
      </c>
      <c r="E183" s="53" t="str">
        <f>"("&amp;IF(DD_TOP_ACTV_13_Input_Detail_or_Freeform=1,TRAINING!$D$57,TRAINING!$D$63)&amp;")"</f>
        <v>(Detailed Costing Worksheet Estimate)</v>
      </c>
      <c r="J183" s="108">
        <f>IF(DD_TOP_ACTV_13_Input_Detail_or_Freeform=1,IF(DD_TOP_ACTV_13_Annual_Currency_Used=2,TRAINING!J$59,TRAINING!J$59*TOP_ACTV_13_Exchange_Rate),IF(DD_TOP_ACTV_13_Annual_Currency_Used=2,TRAINING!J$64,TRAINING!J$64*TOP_ACTV_13_Exchange_Rate))</f>
        <v>0</v>
      </c>
      <c r="K183" s="108">
        <f>IF(DD_TOP_ACTV_13_Input_Detail_or_Freeform=1,IF(DD_TOP_ACTV_13_Annual_Currency_Used=2,TRAINING!K$59,TRAINING!K$59*TOP_ACTV_13_Exchange_Rate),IF(DD_TOP_ACTV_13_Annual_Currency_Used=2,TRAINING!K$64,TRAINING!K$64*TOP_ACTV_13_Exchange_Rate))</f>
        <v>0</v>
      </c>
      <c r="L183" s="108">
        <f>IF(DD_TOP_ACTV_13_Input_Detail_or_Freeform=1,IF(DD_TOP_ACTV_13_Annual_Currency_Used=2,TRAINING!L$59,TRAINING!L$59*TOP_ACTV_13_Exchange_Rate),IF(DD_TOP_ACTV_13_Annual_Currency_Used=2,TRAINING!L$64,TRAINING!L$64*TOP_ACTV_13_Exchange_Rate))</f>
        <v>0</v>
      </c>
      <c r="M183" s="108">
        <f>IF(DD_TOP_ACTV_13_Input_Detail_or_Freeform=1,IF(DD_TOP_ACTV_13_Annual_Currency_Used=2,TRAINING!M$59,TRAINING!M$59*TOP_ACTV_13_Exchange_Rate),IF(DD_TOP_ACTV_13_Annual_Currency_Used=2,TRAINING!M$64,TRAINING!M$64*TOP_ACTV_13_Exchange_Rate))</f>
        <v>0</v>
      </c>
      <c r="N183" s="108">
        <f>IF(DD_TOP_ACTV_13_Input_Detail_or_Freeform=1,IF(DD_TOP_ACTV_13_Annual_Currency_Used=2,TRAINING!N$59,TRAINING!N$59*TOP_ACTV_13_Exchange_Rate),IF(DD_TOP_ACTV_13_Annual_Currency_Used=2,TRAINING!N$64,TRAINING!N$64*TOP_ACTV_13_Exchange_Rate))</f>
        <v>0</v>
      </c>
    </row>
    <row r="184" spans="1:14" s="10" customFormat="1" outlineLevel="1" x14ac:dyDescent="0.2"/>
    <row r="185" spans="1:14" s="10" customFormat="1" outlineLevel="1" x14ac:dyDescent="0.2">
      <c r="D185" s="76" t="str">
        <f>Lang_GoTo&amp;" "&amp;HL_TOP_ACTV_13_Single_Activity_Cost_Assumptions_Annual</f>
        <v>Go to Training Activity #2 (Not in Use) Single Activity Cost - Annual Assumptions (Projected or Retrospective)</v>
      </c>
    </row>
    <row r="186" spans="1:14" s="10" customFormat="1" x14ac:dyDescent="0.2"/>
    <row r="187" spans="1:14" s="10" customFormat="1" x14ac:dyDescent="0.2">
      <c r="A187" s="12" t="s">
        <v>127</v>
      </c>
      <c r="B187" s="13" t="str">
        <f>B188&amp;" "&amp;Lang_Single_Activity_Cost_Outputs_Annual&amp;" ("&amp;Lang_Local_Currency_Econ&amp;")"</f>
        <v>Training Activity #2 (Not in Use) Single Activity Cost Outputs - Annual (Local Currency - Economic)</v>
      </c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</row>
    <row r="188" spans="1:14" s="10" customFormat="1" outlineLevel="1" x14ac:dyDescent="0.2">
      <c r="B188" s="49" t="str">
        <f>HL_TOP_ACTV_13_Name</f>
        <v>Training Activity #2 (Not in Use)</v>
      </c>
    </row>
    <row r="189" spans="1:14" s="10" customFormat="1" outlineLevel="1" x14ac:dyDescent="0.2">
      <c r="B189" s="65" t="str">
        <f>TRAIN_Lu!$D$66&amp;" ("&amp;TRAIN_Lu!$D$46&amp;")"</f>
        <v>Economic (LCU)</v>
      </c>
    </row>
    <row r="190" spans="1:14" s="10" customFormat="1" outlineLevel="1" x14ac:dyDescent="0.2"/>
    <row r="191" spans="1:14" s="10" customFormat="1" outlineLevel="1" x14ac:dyDescent="0.2">
      <c r="D191" s="49" t="str">
        <f>TRAINING!D49</f>
        <v>Training Activity #2 (Not in Use)</v>
      </c>
      <c r="E191" s="53" t="str">
        <f>"("&amp;IF(DD_TOP_ACTV_13_Input_Detail_or_Freeform=1,TRAINING!$D$57,TRAINING!$D$63)&amp;")"</f>
        <v>(Detailed Costing Worksheet Estimate)</v>
      </c>
      <c r="J191" s="108">
        <f>IF(DD_TOP_ACTV_13_Input_Detail_or_Freeform=1,IF(DD_TOP_ACTV_13_Annual_Currency_Used=2,TRAINING!J$60,TRAINING!J$60*TOP_ACTV_13_Exchange_Rate),IF(DD_TOP_ACTV_13_Annual_Currency_Used=2,TRAINING!J$65,TRAINING!J$65*TOP_ACTV_13_Exchange_Rate))</f>
        <v>0</v>
      </c>
      <c r="K191" s="108">
        <f>IF(DD_TOP_ACTV_13_Input_Detail_or_Freeform=1,IF(DD_TOP_ACTV_13_Annual_Currency_Used=2,TRAINING!K$60,TRAINING!K$60*TOP_ACTV_13_Exchange_Rate),IF(DD_TOP_ACTV_13_Annual_Currency_Used=2,TRAINING!K$65,TRAINING!K$65*TOP_ACTV_13_Exchange_Rate))</f>
        <v>0</v>
      </c>
      <c r="L191" s="108">
        <f>IF(DD_TOP_ACTV_13_Input_Detail_or_Freeform=1,IF(DD_TOP_ACTV_13_Annual_Currency_Used=2,TRAINING!L$60,TRAINING!L$60*TOP_ACTV_13_Exchange_Rate),IF(DD_TOP_ACTV_13_Annual_Currency_Used=2,TRAINING!L$65,TRAINING!L$65*TOP_ACTV_13_Exchange_Rate))</f>
        <v>0</v>
      </c>
      <c r="M191" s="108">
        <f>IF(DD_TOP_ACTV_13_Input_Detail_or_Freeform=1,IF(DD_TOP_ACTV_13_Annual_Currency_Used=2,TRAINING!M$60,TRAINING!M$60*TOP_ACTV_13_Exchange_Rate),IF(DD_TOP_ACTV_13_Annual_Currency_Used=2,TRAINING!M$65,TRAINING!M$65*TOP_ACTV_13_Exchange_Rate))</f>
        <v>0</v>
      </c>
      <c r="N191" s="108">
        <f>IF(DD_TOP_ACTV_13_Input_Detail_or_Freeform=1,IF(DD_TOP_ACTV_13_Annual_Currency_Used=2,TRAINING!N$60,TRAINING!N$60*TOP_ACTV_13_Exchange_Rate),IF(DD_TOP_ACTV_13_Annual_Currency_Used=2,TRAINING!N$65,TRAINING!N$65*TOP_ACTV_13_Exchange_Rate))</f>
        <v>0</v>
      </c>
    </row>
    <row r="192" spans="1:14" s="10" customFormat="1" outlineLevel="1" x14ac:dyDescent="0.2"/>
    <row r="193" spans="1:14" s="10" customFormat="1" outlineLevel="1" x14ac:dyDescent="0.2">
      <c r="D193" s="76" t="str">
        <f>Lang_GoTo&amp;" "&amp;HL_TOP_ACTV_13_Single_Activity_Cost_Assumptions_Annual</f>
        <v>Go to Training Activity #2 (Not in Use) Single Activity Cost - Annual Assumptions (Projected or Retrospective)</v>
      </c>
    </row>
    <row r="194" spans="1:14" s="10" customFormat="1" x14ac:dyDescent="0.2"/>
    <row r="195" spans="1:14" s="10" customFormat="1" x14ac:dyDescent="0.2">
      <c r="A195" s="12" t="s">
        <v>127</v>
      </c>
      <c r="B195" s="13" t="str">
        <f>B196&amp;" "&amp;Lang_Single_Activity_Cost_Outputs_Annual&amp;" ("&amp;Lang_International_Currency_Fin&amp;")"</f>
        <v>Training Activity #2 (Not in Use) Single Activity Cost Outputs - Annual (International Currency - Financial)</v>
      </c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</row>
    <row r="196" spans="1:14" s="10" customFormat="1" outlineLevel="1" x14ac:dyDescent="0.2">
      <c r="B196" s="49" t="str">
        <f>HL_TOP_ACTV_13_Name</f>
        <v>Training Activity #2 (Not in Use)</v>
      </c>
    </row>
    <row r="197" spans="1:14" s="10" customFormat="1" outlineLevel="1" x14ac:dyDescent="0.2">
      <c r="B197" s="65" t="str">
        <f>TRAIN_Lu!$D$65&amp;" ("&amp;TRAIN_Lu!$D$45&amp;")"</f>
        <v>Financial (USD)</v>
      </c>
    </row>
    <row r="198" spans="1:14" s="10" customFormat="1" outlineLevel="1" x14ac:dyDescent="0.2"/>
    <row r="199" spans="1:14" s="10" customFormat="1" outlineLevel="1" x14ac:dyDescent="0.2">
      <c r="D199" s="49" t="str">
        <f>TRAINING!D49</f>
        <v>Training Activity #2 (Not in Use)</v>
      </c>
      <c r="E199" s="53" t="str">
        <f>"("&amp;IF(DD_TOP_ACTV_13_Input_Detail_or_Freeform=1,TRAINING!$D$57,TRAINING!$D$63)&amp;")"</f>
        <v>(Detailed Costing Worksheet Estimate)</v>
      </c>
      <c r="J199" s="119">
        <f>J183/TOP_ACTV_13_Exchange_Rate</f>
        <v>0</v>
      </c>
      <c r="K199" s="119">
        <f>K183/TOP_ACTV_13_Exchange_Rate</f>
        <v>0</v>
      </c>
      <c r="L199" s="119">
        <f>L183/TOP_ACTV_13_Exchange_Rate</f>
        <v>0</v>
      </c>
      <c r="M199" s="119">
        <f>M183/TOP_ACTV_13_Exchange_Rate</f>
        <v>0</v>
      </c>
      <c r="N199" s="119">
        <f>N183/TOP_ACTV_13_Exchange_Rate</f>
        <v>0</v>
      </c>
    </row>
    <row r="200" spans="1:14" s="10" customFormat="1" outlineLevel="1" x14ac:dyDescent="0.2"/>
    <row r="201" spans="1:14" s="10" customFormat="1" outlineLevel="1" x14ac:dyDescent="0.2">
      <c r="D201" s="76" t="str">
        <f>Lang_GoTo&amp;" "&amp;HL_TOP_ACTV_13_Single_Activity_Cost_Assumptions_Annual</f>
        <v>Go to Training Activity #2 (Not in Use) Single Activity Cost - Annual Assumptions (Projected or Retrospective)</v>
      </c>
    </row>
    <row r="202" spans="1:14" s="10" customFormat="1" x14ac:dyDescent="0.2"/>
    <row r="203" spans="1:14" s="10" customFormat="1" x14ac:dyDescent="0.2">
      <c r="A203" s="12" t="s">
        <v>127</v>
      </c>
      <c r="B203" s="13" t="str">
        <f>B204&amp;" "&amp;Lang_Single_Activity_Cost_Outputs_Annual&amp;" ("&amp;Lang_International_Currency_Econ&amp;")"</f>
        <v>Training Activity #2 (Not in Use) Single Activity Cost Outputs - Annual (International Currency - Economic)</v>
      </c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</row>
    <row r="204" spans="1:14" s="10" customFormat="1" outlineLevel="1" x14ac:dyDescent="0.2">
      <c r="B204" s="49" t="str">
        <f>HL_TOP_ACTV_13_Name</f>
        <v>Training Activity #2 (Not in Use)</v>
      </c>
    </row>
    <row r="205" spans="1:14" s="10" customFormat="1" outlineLevel="1" x14ac:dyDescent="0.2">
      <c r="B205" s="65" t="str">
        <f>TRAIN_Lu!$D$66&amp;" ("&amp;TRAIN_Lu!$D$45&amp;")"</f>
        <v>Economic (USD)</v>
      </c>
    </row>
    <row r="206" spans="1:14" s="10" customFormat="1" outlineLevel="1" x14ac:dyDescent="0.2"/>
    <row r="207" spans="1:14" s="10" customFormat="1" outlineLevel="1" x14ac:dyDescent="0.2">
      <c r="D207" s="49" t="str">
        <f>TRAINING!D49</f>
        <v>Training Activity #2 (Not in Use)</v>
      </c>
      <c r="E207" s="53" t="str">
        <f>"("&amp;IF(DD_TOP_ACTV_13_Input_Detail_or_Freeform=1,TRAINING!$D$57,TRAINING!$D$63)&amp;")"</f>
        <v>(Detailed Costing Worksheet Estimate)</v>
      </c>
      <c r="J207" s="119">
        <f>J191/TOP_ACTV_13_Exchange_Rate</f>
        <v>0</v>
      </c>
      <c r="K207" s="119">
        <f>K191/TOP_ACTV_13_Exchange_Rate</f>
        <v>0</v>
      </c>
      <c r="L207" s="119">
        <f>L191/TOP_ACTV_13_Exchange_Rate</f>
        <v>0</v>
      </c>
      <c r="M207" s="119">
        <f>M191/TOP_ACTV_13_Exchange_Rate</f>
        <v>0</v>
      </c>
      <c r="N207" s="119">
        <f>N191/TOP_ACTV_13_Exchange_Rate</f>
        <v>0</v>
      </c>
    </row>
    <row r="208" spans="1:14" s="10" customFormat="1" outlineLevel="1" x14ac:dyDescent="0.2"/>
    <row r="209" spans="1:14" s="10" customFormat="1" outlineLevel="1" x14ac:dyDescent="0.2">
      <c r="D209" s="76" t="str">
        <f>Lang_GoTo&amp;" "&amp;HL_TOP_ACTV_13_Single_Activity_Cost_Assumptions_Annual</f>
        <v>Go to Training Activity #2 (Not in Use) Single Activity Cost - Annual Assumptions (Projected or Retrospective)</v>
      </c>
    </row>
    <row r="210" spans="1:14" s="10" customFormat="1" x14ac:dyDescent="0.2"/>
    <row r="211" spans="1:14" s="10" customFormat="1" x14ac:dyDescent="0.2">
      <c r="A211" s="12" t="s">
        <v>127</v>
      </c>
      <c r="B211" s="13" t="str">
        <f>B212&amp;" "&amp;Lang_Single_Activity_Cost_Outputs_Annual&amp;" ("&amp;Lang_Local_Currency_Fin&amp;")"</f>
        <v>Training Activity #3 (Not in Use) Single Activity Cost Outputs - Annual (Local Currency - Financial)</v>
      </c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</row>
    <row r="212" spans="1:14" s="10" customFormat="1" outlineLevel="1" x14ac:dyDescent="0.2">
      <c r="B212" s="49" t="str">
        <f>HL_TOP_ACTV_14_Name</f>
        <v>Training Activity #3 (Not in Use)</v>
      </c>
    </row>
    <row r="213" spans="1:14" s="10" customFormat="1" outlineLevel="1" x14ac:dyDescent="0.2">
      <c r="B213" s="65" t="str">
        <f>TRAIN_Lu!$D$100&amp;" ("&amp;TRAIN_Lu!$D$81&amp;")"</f>
        <v>Financial (LCU)</v>
      </c>
    </row>
    <row r="214" spans="1:14" s="10" customFormat="1" outlineLevel="1" x14ac:dyDescent="0.2"/>
    <row r="215" spans="1:14" s="10" customFormat="1" outlineLevel="1" x14ac:dyDescent="0.2">
      <c r="D215" s="49" t="str">
        <f>TRAINING!D86</f>
        <v>Training Activity #3 (Not in Use)</v>
      </c>
      <c r="E215" s="53" t="str">
        <f>"("&amp;IF(DD_TOP_ACTV_14_Input_Detail_or_Freeform=1,TRAINING!$D$94,TRAINING!$D$100)&amp;")"</f>
        <v>(Direct User Entry Cost Estimate)</v>
      </c>
      <c r="J215" s="79">
        <f>IF(DD_TOP_ACTV_14_Input_Detail_or_Freeform=1,IF(DD_TOP_ACTV_14_Annual_Currency_Used=2,TRAINING!J$96,TRAINING!J$96*TOP_ACTV_14_Exchange_Rate),IF(DD_TOP_ACTV_14_Annual_Currency_Used=2,TRAINING!J$101,TRAINING!J$101*TOP_ACTV_14_Exchange_Rate))</f>
        <v>0</v>
      </c>
      <c r="K215" s="79">
        <f>IF(DD_TOP_ACTV_14_Input_Detail_or_Freeform=1,IF(DD_TOP_ACTV_14_Annual_Currency_Used=2,TRAINING!K$96,TRAINING!K$96*TOP_ACTV_14_Exchange_Rate),IF(DD_TOP_ACTV_14_Annual_Currency_Used=2,TRAINING!K$101,TRAINING!K$101*TOP_ACTV_14_Exchange_Rate))</f>
        <v>0</v>
      </c>
      <c r="L215" s="79">
        <f>IF(DD_TOP_ACTV_14_Input_Detail_or_Freeform=1,IF(DD_TOP_ACTV_14_Annual_Currency_Used=2,TRAINING!L$96,TRAINING!L$96*TOP_ACTV_14_Exchange_Rate),IF(DD_TOP_ACTV_14_Annual_Currency_Used=2,TRAINING!L$101,TRAINING!L$101*TOP_ACTV_14_Exchange_Rate))</f>
        <v>0</v>
      </c>
      <c r="M215" s="79">
        <f>IF(DD_TOP_ACTV_14_Input_Detail_or_Freeform=1,IF(DD_TOP_ACTV_14_Annual_Currency_Used=2,TRAINING!M$96,TRAINING!M$96*TOP_ACTV_14_Exchange_Rate),IF(DD_TOP_ACTV_14_Annual_Currency_Used=2,TRAINING!M$101,TRAINING!M$101*TOP_ACTV_14_Exchange_Rate))</f>
        <v>0</v>
      </c>
      <c r="N215" s="79">
        <f>IF(DD_TOP_ACTV_14_Input_Detail_or_Freeform=1,IF(DD_TOP_ACTV_14_Annual_Currency_Used=2,TRAINING!N$96,TRAINING!N$96*TOP_ACTV_14_Exchange_Rate),IF(DD_TOP_ACTV_14_Annual_Currency_Used=2,TRAINING!N$101,TRAINING!N$101*TOP_ACTV_14_Exchange_Rate))</f>
        <v>0</v>
      </c>
    </row>
    <row r="216" spans="1:14" s="10" customFormat="1" outlineLevel="1" x14ac:dyDescent="0.2"/>
    <row r="217" spans="1:14" s="10" customFormat="1" outlineLevel="1" x14ac:dyDescent="0.2">
      <c r="D217" s="76" t="str">
        <f>Lang_GoTo&amp;" "&amp;HL_TOP_ACTV_14_Single_Activity_Cost_Assumptions_Annual</f>
        <v>Go to Training Activity #3 (Not in Use) Single Activity Cost - Annual Assumptions (Projected or Retrospective)</v>
      </c>
    </row>
    <row r="218" spans="1:14" s="10" customFormat="1" x14ac:dyDescent="0.2"/>
    <row r="219" spans="1:14" s="10" customFormat="1" x14ac:dyDescent="0.2">
      <c r="A219" s="12" t="s">
        <v>127</v>
      </c>
      <c r="B219" s="13" t="str">
        <f>B220&amp;" "&amp;Lang_Single_Activity_Cost_Outputs_Annual&amp;" ("&amp;Lang_Local_Currency_Econ&amp;")"</f>
        <v>Training Activity #3 (Not in Use) Single Activity Cost Outputs - Annual (Local Currency - Economic)</v>
      </c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</row>
    <row r="220" spans="1:14" s="10" customFormat="1" outlineLevel="1" x14ac:dyDescent="0.2">
      <c r="B220" s="49" t="str">
        <f>HL_TOP_ACTV_14_Name</f>
        <v>Training Activity #3 (Not in Use)</v>
      </c>
    </row>
    <row r="221" spans="1:14" s="10" customFormat="1" outlineLevel="1" x14ac:dyDescent="0.2">
      <c r="B221" s="65" t="str">
        <f>TRAIN_Lu!$D$101&amp;" ("&amp;TRAIN_Lu!$D$81&amp;")"</f>
        <v>Economic (LCU)</v>
      </c>
    </row>
    <row r="222" spans="1:14" s="10" customFormat="1" outlineLevel="1" x14ac:dyDescent="0.2"/>
    <row r="223" spans="1:14" s="10" customFormat="1" outlineLevel="1" x14ac:dyDescent="0.2">
      <c r="D223" s="49" t="str">
        <f>TRAINING!D86</f>
        <v>Training Activity #3 (Not in Use)</v>
      </c>
      <c r="E223" s="53" t="str">
        <f>"("&amp;IF(DD_TOP_ACTV_14_Input_Detail_or_Freeform=1,TRAINING!$D$94,TRAINING!$D$100)&amp;")"</f>
        <v>(Direct User Entry Cost Estimate)</v>
      </c>
      <c r="J223" s="79">
        <f>IF(DD_TOP_ACTV_14_Input_Detail_or_Freeform=1,IF(DD_TOP_ACTV_14_Annual_Currency_Used=2,TRAINING!J$97,TRAINING!J$97*TOP_ACTV_14_Exchange_Rate),IF(DD_TOP_ACTV_14_Annual_Currency_Used=2,TRAINING!J$102,TRAINING!J$102*TOP_ACTV_14_Exchange_Rate))</f>
        <v>0</v>
      </c>
      <c r="K223" s="79">
        <f>IF(DD_TOP_ACTV_14_Input_Detail_or_Freeform=1,IF(DD_TOP_ACTV_14_Annual_Currency_Used=2,TRAINING!K$97,TRAINING!K$97*TOP_ACTV_14_Exchange_Rate),IF(DD_TOP_ACTV_14_Annual_Currency_Used=2,TRAINING!K$102,TRAINING!K$102*TOP_ACTV_14_Exchange_Rate))</f>
        <v>0</v>
      </c>
      <c r="L223" s="79">
        <f>IF(DD_TOP_ACTV_14_Input_Detail_or_Freeform=1,IF(DD_TOP_ACTV_14_Annual_Currency_Used=2,TRAINING!L$97,TRAINING!L$97*TOP_ACTV_14_Exchange_Rate),IF(DD_TOP_ACTV_14_Annual_Currency_Used=2,TRAINING!L$102,TRAINING!L$102*TOP_ACTV_14_Exchange_Rate))</f>
        <v>0</v>
      </c>
      <c r="M223" s="79">
        <f>IF(DD_TOP_ACTV_14_Input_Detail_or_Freeform=1,IF(DD_TOP_ACTV_14_Annual_Currency_Used=2,TRAINING!M$97,TRAINING!M$97*TOP_ACTV_14_Exchange_Rate),IF(DD_TOP_ACTV_14_Annual_Currency_Used=2,TRAINING!M$102,TRAINING!M$102*TOP_ACTV_14_Exchange_Rate))</f>
        <v>0</v>
      </c>
      <c r="N223" s="79">
        <f>IF(DD_TOP_ACTV_14_Input_Detail_or_Freeform=1,IF(DD_TOP_ACTV_14_Annual_Currency_Used=2,TRAINING!N$97,TRAINING!N$97*TOP_ACTV_14_Exchange_Rate),IF(DD_TOP_ACTV_14_Annual_Currency_Used=2,TRAINING!N$102,TRAINING!N$102*TOP_ACTV_14_Exchange_Rate))</f>
        <v>0</v>
      </c>
    </row>
    <row r="224" spans="1:14" s="10" customFormat="1" outlineLevel="1" x14ac:dyDescent="0.2"/>
    <row r="225" spans="1:14" s="10" customFormat="1" outlineLevel="1" x14ac:dyDescent="0.2">
      <c r="D225" s="76" t="str">
        <f>Lang_GoTo&amp;" "&amp;HL_TOP_ACTV_14_Single_Activity_Cost_Assumptions_Annual</f>
        <v>Go to Training Activity #3 (Not in Use) Single Activity Cost - Annual Assumptions (Projected or Retrospective)</v>
      </c>
    </row>
    <row r="226" spans="1:14" s="10" customFormat="1" x14ac:dyDescent="0.2"/>
    <row r="227" spans="1:14" s="10" customFormat="1" x14ac:dyDescent="0.2">
      <c r="A227" s="12" t="s">
        <v>127</v>
      </c>
      <c r="B227" s="13" t="str">
        <f>B228&amp;" "&amp;Lang_Single_Activity_Cost_Outputs_Annual&amp;" ("&amp;Lang_International_Currency_Fin&amp;")"</f>
        <v>Training Activity #3 (Not in Use) Single Activity Cost Outputs - Annual (International Currency - Financial)</v>
      </c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</row>
    <row r="228" spans="1:14" s="10" customFormat="1" outlineLevel="1" x14ac:dyDescent="0.2">
      <c r="B228" s="49" t="str">
        <f>HL_TOP_ACTV_14_Name</f>
        <v>Training Activity #3 (Not in Use)</v>
      </c>
    </row>
    <row r="229" spans="1:14" s="10" customFormat="1" outlineLevel="1" x14ac:dyDescent="0.2">
      <c r="B229" s="65" t="str">
        <f>TRAIN_Lu!$D$100&amp;" ("&amp;TRAIN_Lu!$D$80&amp;")"</f>
        <v>Financial (USD)</v>
      </c>
    </row>
    <row r="230" spans="1:14" s="10" customFormat="1" outlineLevel="1" x14ac:dyDescent="0.2"/>
    <row r="231" spans="1:14" s="10" customFormat="1" outlineLevel="1" x14ac:dyDescent="0.2">
      <c r="D231" s="49" t="str">
        <f>TRAINING!D86</f>
        <v>Training Activity #3 (Not in Use)</v>
      </c>
      <c r="E231" s="53" t="str">
        <f>"("&amp;IF(DD_TOP_ACTV_14_Input_Detail_or_Freeform=1,TRAINING!$D$94,TRAINING!$D$100)&amp;")"</f>
        <v>(Direct User Entry Cost Estimate)</v>
      </c>
      <c r="J231" s="116">
        <f>J215/TOP_ACTV_14_Exchange_Rate</f>
        <v>0</v>
      </c>
      <c r="K231" s="116">
        <f>K215/TOP_ACTV_14_Exchange_Rate</f>
        <v>0</v>
      </c>
      <c r="L231" s="116">
        <f>L215/TOP_ACTV_14_Exchange_Rate</f>
        <v>0</v>
      </c>
      <c r="M231" s="116">
        <f>M215/TOP_ACTV_14_Exchange_Rate</f>
        <v>0</v>
      </c>
      <c r="N231" s="116">
        <f>N215/TOP_ACTV_14_Exchange_Rate</f>
        <v>0</v>
      </c>
    </row>
    <row r="232" spans="1:14" s="10" customFormat="1" outlineLevel="1" x14ac:dyDescent="0.2"/>
    <row r="233" spans="1:14" s="10" customFormat="1" outlineLevel="1" x14ac:dyDescent="0.2">
      <c r="D233" s="76" t="str">
        <f>Lang_GoTo&amp;" "&amp;HL_TOP_ACTV_14_Single_Activity_Cost_Assumptions_Annual</f>
        <v>Go to Training Activity #3 (Not in Use) Single Activity Cost - Annual Assumptions (Projected or Retrospective)</v>
      </c>
    </row>
    <row r="234" spans="1:14" s="10" customFormat="1" x14ac:dyDescent="0.2"/>
    <row r="235" spans="1:14" s="10" customFormat="1" x14ac:dyDescent="0.2">
      <c r="A235" s="12" t="s">
        <v>127</v>
      </c>
      <c r="B235" s="13" t="str">
        <f>B236&amp;" "&amp;Lang_Single_Activity_Cost_Outputs_Annual&amp;" ("&amp;Lang_International_Currency_Econ&amp;")"</f>
        <v>Training Activity #3 (Not in Use) Single Activity Cost Outputs - Annual (International Currency - Economic)</v>
      </c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</row>
    <row r="236" spans="1:14" s="10" customFormat="1" outlineLevel="1" x14ac:dyDescent="0.2">
      <c r="B236" s="49" t="str">
        <f>HL_TOP_ACTV_14_Name</f>
        <v>Training Activity #3 (Not in Use)</v>
      </c>
    </row>
    <row r="237" spans="1:14" s="10" customFormat="1" outlineLevel="1" x14ac:dyDescent="0.2">
      <c r="B237" s="65" t="str">
        <f>TRAIN_Lu!$D$101&amp;" ("&amp;TRAIN_Lu!$D$80&amp;")"</f>
        <v>Economic (USD)</v>
      </c>
    </row>
    <row r="238" spans="1:14" s="10" customFormat="1" outlineLevel="1" x14ac:dyDescent="0.2"/>
    <row r="239" spans="1:14" s="10" customFormat="1" outlineLevel="1" x14ac:dyDescent="0.2">
      <c r="D239" s="49" t="str">
        <f>TRAINING!D86</f>
        <v>Training Activity #3 (Not in Use)</v>
      </c>
      <c r="E239" s="53" t="str">
        <f>"("&amp;IF(DD_TOP_ACTV_14_Input_Detail_or_Freeform=1,TRAINING!$D$94,TRAINING!$D$100)&amp;")"</f>
        <v>(Direct User Entry Cost Estimate)</v>
      </c>
      <c r="J239" s="116">
        <f>J223/TOP_ACTV_14_Exchange_Rate</f>
        <v>0</v>
      </c>
      <c r="K239" s="116">
        <f>K223/TOP_ACTV_14_Exchange_Rate</f>
        <v>0</v>
      </c>
      <c r="L239" s="116">
        <f>L223/TOP_ACTV_14_Exchange_Rate</f>
        <v>0</v>
      </c>
      <c r="M239" s="116">
        <f>M223/TOP_ACTV_14_Exchange_Rate</f>
        <v>0</v>
      </c>
      <c r="N239" s="116">
        <f>N223/TOP_ACTV_14_Exchange_Rate</f>
        <v>0</v>
      </c>
    </row>
    <row r="240" spans="1:14" s="10" customFormat="1" outlineLevel="1" x14ac:dyDescent="0.2"/>
    <row r="241" spans="1:14" s="10" customFormat="1" outlineLevel="1" x14ac:dyDescent="0.2">
      <c r="D241" s="76" t="str">
        <f>Lang_GoTo&amp;" "&amp;HL_TOP_ACTV_14_Single_Activity_Cost_Assumptions_Annual</f>
        <v>Go to Training Activity #3 (Not in Use) Single Activity Cost - Annual Assumptions (Projected or Retrospective)</v>
      </c>
    </row>
    <row r="242" spans="1:14" s="10" customFormat="1" x14ac:dyDescent="0.2"/>
    <row r="243" spans="1:14" s="10" customFormat="1" x14ac:dyDescent="0.2">
      <c r="A243" s="12" t="s">
        <v>127</v>
      </c>
      <c r="B243" s="13" t="str">
        <f>B244&amp;" "&amp;Lang_Single_Activity_Cost_Outputs_Annual&amp;" ("&amp;Lang_Local_Currency_Fin&amp;")"</f>
        <v>Training Activity #4 (Not in Use) Single Activity Cost Outputs - Annual (Local Currency - Financial)</v>
      </c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</row>
    <row r="244" spans="1:14" s="10" customFormat="1" outlineLevel="1" x14ac:dyDescent="0.2">
      <c r="B244" s="49" t="str">
        <f>HL_LVL2_ACTV_2_Name</f>
        <v>Training Activity #4 (Not in Use)</v>
      </c>
    </row>
    <row r="245" spans="1:14" s="10" customFormat="1" outlineLevel="1" x14ac:dyDescent="0.2">
      <c r="B245" s="65" t="str">
        <f>TRAIN_Lu!$D$135&amp;" ("&amp;TRAIN_Lu!$D$116&amp;")"</f>
        <v>Financial (LCU)</v>
      </c>
      <c r="E245" s="53" t="str">
        <f>"("&amp;IF(DD_LVL2_ACTV_2_Input_Detail_or_Freeform=1,TRAINING!$D$133,TRAINING!$D$139)&amp;")"</f>
        <v>(Detailed Costing Worksheet Estimate)</v>
      </c>
    </row>
    <row r="246" spans="1:14" s="10" customFormat="1" outlineLevel="1" x14ac:dyDescent="0.2"/>
    <row r="247" spans="1:14" s="10" customFormat="1" outlineLevel="1" x14ac:dyDescent="0.2">
      <c r="D247" s="49" t="str">
        <f>HL_LVL2_ACTV_2_Name</f>
        <v>Training Activity #4 (Not in Use)</v>
      </c>
      <c r="J247" s="362">
        <f>IF(DD_LVL2_ACTV_2_Input_Detail_or_Freeform=1,IF(DD_LVL2_ACTV_2_Annual_Currency_Select=2,TRAINING!J$135,TRAINING!J$135*LVL2_ACTV_2_Exchange_Rate),IF(DD_LVL2_ACTV_2_Annual_Currency_Select=2,TRAINING!J$140,TRAINING!J$140*LVL2_ACTV_2_Exchange_Rate))</f>
        <v>0</v>
      </c>
      <c r="K247" s="362">
        <f>IF(DD_LVL2_ACTV_2_Input_Detail_or_Freeform=1,IF(DD_LVL2_ACTV_2_Annual_Currency_Select=2,TRAINING!K$135,TRAINING!K$135*LVL2_ACTV_2_Exchange_Rate),IF(DD_LVL2_ACTV_2_Annual_Currency_Select=2,TRAINING!K$140,TRAINING!K$140*LVL2_ACTV_2_Exchange_Rate))</f>
        <v>0</v>
      </c>
      <c r="L247" s="362">
        <f>IF(DD_LVL2_ACTV_2_Input_Detail_or_Freeform=1,IF(DD_LVL2_ACTV_2_Annual_Currency_Select=2,TRAINING!L$135,TRAINING!L$135*LVL2_ACTV_2_Exchange_Rate),IF(DD_LVL2_ACTV_2_Annual_Currency_Select=2,TRAINING!L$140,TRAINING!L$140*LVL2_ACTV_2_Exchange_Rate))</f>
        <v>0</v>
      </c>
      <c r="M247" s="362">
        <f>IF(DD_LVL2_ACTV_2_Input_Detail_or_Freeform=1,IF(DD_LVL2_ACTV_2_Annual_Currency_Select=2,TRAINING!M$135,TRAINING!M$135*LVL2_ACTV_2_Exchange_Rate),IF(DD_LVL2_ACTV_2_Annual_Currency_Select=2,TRAINING!M$140,TRAINING!M$140*LVL2_ACTV_2_Exchange_Rate))</f>
        <v>0</v>
      </c>
      <c r="N247" s="362">
        <f>IF(DD_LVL2_ACTV_2_Input_Detail_or_Freeform=1,IF(DD_LVL2_ACTV_2_Annual_Currency_Select=2,TRAINING!N$135,TRAINING!N$135*LVL2_ACTV_2_Exchange_Rate),IF(DD_LVL2_ACTV_2_Annual_Currency_Select=2,TRAINING!N$140,TRAINING!N$140*LVL2_ACTV_2_Exchange_Rate))</f>
        <v>0</v>
      </c>
    </row>
    <row r="248" spans="1:14" s="10" customFormat="1" outlineLevel="1" x14ac:dyDescent="0.2">
      <c r="D248" s="114" t="str">
        <f>HL_LVL2_ACTV_2_Name</f>
        <v>Training Activity #4 (Not in Use)</v>
      </c>
      <c r="J248" s="43">
        <f>SUM(J247:J247)</f>
        <v>0</v>
      </c>
      <c r="K248" s="43">
        <f>SUM(K247:K247)</f>
        <v>0</v>
      </c>
      <c r="L248" s="43">
        <f>SUM(L247:L247)</f>
        <v>0</v>
      </c>
      <c r="M248" s="43">
        <f>SUM(M247:M247)</f>
        <v>0</v>
      </c>
      <c r="N248" s="43">
        <f>SUM(N247:N247)</f>
        <v>0</v>
      </c>
    </row>
    <row r="249" spans="1:14" s="10" customFormat="1" outlineLevel="1" x14ac:dyDescent="0.2"/>
    <row r="250" spans="1:14" s="10" customFormat="1" outlineLevel="1" x14ac:dyDescent="0.2"/>
    <row r="251" spans="1:14" s="10" customFormat="1" outlineLevel="1" x14ac:dyDescent="0.2">
      <c r="D251" s="76" t="str">
        <f>Lang_GoTo&amp;" "&amp;HL_LVL2_ACTV_2_Single_Activity_Cost_Assumptions_Annual</f>
        <v>Go to Training Activity #4 (Not in Use) Single Activity Cost - Annual Assumptions (Projected or Retrospective)</v>
      </c>
    </row>
    <row r="252" spans="1:14" s="10" customFormat="1" x14ac:dyDescent="0.2"/>
    <row r="253" spans="1:14" s="10" customFormat="1" x14ac:dyDescent="0.2">
      <c r="A253" s="12" t="s">
        <v>127</v>
      </c>
      <c r="B253" s="13" t="str">
        <f>B254&amp;" "&amp;Lang_Single_Activity_Cost_Outputs_Annual&amp;" ("&amp;Lang_Local_Currency_Econ&amp;")"</f>
        <v>Training Activity #4 (Not in Use) Single Activity Cost Outputs - Annual (Local Currency - Economic)</v>
      </c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</row>
    <row r="254" spans="1:14" s="10" customFormat="1" outlineLevel="1" x14ac:dyDescent="0.2">
      <c r="B254" s="49" t="str">
        <f>HL_LVL2_ACTV_2_Name</f>
        <v>Training Activity #4 (Not in Use)</v>
      </c>
    </row>
    <row r="255" spans="1:14" s="10" customFormat="1" outlineLevel="1" x14ac:dyDescent="0.2">
      <c r="B255" s="65" t="str">
        <f>TRAIN_Lu!$D$136&amp;" ("&amp;TRAIN_Lu!$D$116&amp;")"</f>
        <v>Economic (LCU)</v>
      </c>
      <c r="E255" s="53" t="str">
        <f>"("&amp;IF(DD_LVL2_ACTV_2_Input_Detail_or_Freeform=1,TRAINING!$D$133,TRAINING!$D$139)&amp;")"</f>
        <v>(Detailed Costing Worksheet Estimate)</v>
      </c>
    </row>
    <row r="256" spans="1:14" s="10" customFormat="1" outlineLevel="1" x14ac:dyDescent="0.2"/>
    <row r="257" spans="1:14" s="10" customFormat="1" outlineLevel="1" x14ac:dyDescent="0.2">
      <c r="D257" s="49" t="str">
        <f>HL_LVL2_ACTV_2_Name</f>
        <v>Training Activity #4 (Not in Use)</v>
      </c>
      <c r="J257" s="362">
        <f>IF(DD_LVL2_ACTV_2_Input_Detail_or_Freeform=1,IF(DD_LVL2_ACTV_2_Annual_Currency_Select=2,TRAINING!J$136,TRAINING!J$136*LVL2_ACTV_2_Exchange_Rate),IF(DD_LVL2_ACTV_2_Annual_Currency_Select=2,TRAINING!J$141,TRAINING!J$141*LVL2_ACTV_2_Exchange_Rate))</f>
        <v>0</v>
      </c>
      <c r="K257" s="362">
        <f>IF(DD_LVL2_ACTV_2_Input_Detail_or_Freeform=1,IF(DD_LVL2_ACTV_2_Annual_Currency_Select=2,TRAINING!K$136,TRAINING!K$136*LVL2_ACTV_2_Exchange_Rate),IF(DD_LVL2_ACTV_2_Annual_Currency_Select=2,TRAINING!K$141,TRAINING!K$141*LVL2_ACTV_2_Exchange_Rate))</f>
        <v>0</v>
      </c>
      <c r="L257" s="362">
        <f>IF(DD_LVL2_ACTV_2_Input_Detail_or_Freeform=1,IF(DD_LVL2_ACTV_2_Annual_Currency_Select=2,TRAINING!L$136,TRAINING!L$136*LVL2_ACTV_2_Exchange_Rate),IF(DD_LVL2_ACTV_2_Annual_Currency_Select=2,TRAINING!L$141,TRAINING!L$141*LVL2_ACTV_2_Exchange_Rate))</f>
        <v>0</v>
      </c>
      <c r="M257" s="362">
        <f>IF(DD_LVL2_ACTV_2_Input_Detail_or_Freeform=1,IF(DD_LVL2_ACTV_2_Annual_Currency_Select=2,TRAINING!M$136,TRAINING!M$136*LVL2_ACTV_2_Exchange_Rate),IF(DD_LVL2_ACTV_2_Annual_Currency_Select=2,TRAINING!M$141,TRAINING!M$141*LVL2_ACTV_2_Exchange_Rate))</f>
        <v>0</v>
      </c>
      <c r="N257" s="362">
        <f>IF(DD_LVL2_ACTV_2_Input_Detail_or_Freeform=1,IF(DD_LVL2_ACTV_2_Annual_Currency_Select=2,TRAINING!N$136,TRAINING!N$136*LVL2_ACTV_2_Exchange_Rate),IF(DD_LVL2_ACTV_2_Annual_Currency_Select=2,TRAINING!N$141,TRAINING!N$141*LVL2_ACTV_2_Exchange_Rate))</f>
        <v>0</v>
      </c>
    </row>
    <row r="258" spans="1:14" s="10" customFormat="1" outlineLevel="1" x14ac:dyDescent="0.2">
      <c r="D258" s="114" t="str">
        <f>HL_LVL2_ACTV_2_Name</f>
        <v>Training Activity #4 (Not in Use)</v>
      </c>
      <c r="J258" s="43">
        <f>SUM(J257:J257)</f>
        <v>0</v>
      </c>
      <c r="K258" s="43">
        <f>SUM(K257:K257)</f>
        <v>0</v>
      </c>
      <c r="L258" s="43">
        <f>SUM(L257:L257)</f>
        <v>0</v>
      </c>
      <c r="M258" s="43">
        <f>SUM(M257:M257)</f>
        <v>0</v>
      </c>
      <c r="N258" s="43">
        <f>SUM(N257:N257)</f>
        <v>0</v>
      </c>
    </row>
    <row r="259" spans="1:14" s="10" customFormat="1" outlineLevel="1" x14ac:dyDescent="0.2"/>
    <row r="260" spans="1:14" s="10" customFormat="1" outlineLevel="1" x14ac:dyDescent="0.2">
      <c r="D260" s="76" t="str">
        <f>Lang_GoTo&amp;" "&amp;HL_LVL2_ACTV_2_Single_Activity_Cost_Assumptions_Annual</f>
        <v>Go to Training Activity #4 (Not in Use) Single Activity Cost - Annual Assumptions (Projected or Retrospective)</v>
      </c>
    </row>
    <row r="261" spans="1:14" s="10" customFormat="1" x14ac:dyDescent="0.2"/>
    <row r="262" spans="1:14" s="10" customFormat="1" x14ac:dyDescent="0.2">
      <c r="A262" s="12" t="s">
        <v>127</v>
      </c>
      <c r="B262" s="13" t="str">
        <f>B263&amp;" "&amp;Lang_Single_Activity_Cost_Outputs_Annual&amp;" ("&amp;Lang_International_Currency_Fin&amp;")"</f>
        <v>Training Activity #4 (Not in Use) Single Activity Cost Outputs - Annual (International Currency - Financial)</v>
      </c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</row>
    <row r="263" spans="1:14" s="10" customFormat="1" outlineLevel="1" x14ac:dyDescent="0.2">
      <c r="B263" s="49" t="str">
        <f>HL_LVL2_ACTV_2_Name</f>
        <v>Training Activity #4 (Not in Use)</v>
      </c>
    </row>
    <row r="264" spans="1:14" s="10" customFormat="1" outlineLevel="1" x14ac:dyDescent="0.2">
      <c r="B264" s="65" t="str">
        <f>TRAIN_Lu!$D$135&amp;" ("&amp;TRAIN_Lu!$D$115&amp;")"</f>
        <v>Financial (USD)</v>
      </c>
      <c r="E264" s="53" t="str">
        <f>"("&amp;IF(DD_LVL2_ACTV_2_Input_Detail_or_Freeform=1,TRAINING!$D$133,TRAINING!$D$139)&amp;")"</f>
        <v>(Detailed Costing Worksheet Estimate)</v>
      </c>
    </row>
    <row r="265" spans="1:14" s="10" customFormat="1" outlineLevel="1" x14ac:dyDescent="0.2"/>
    <row r="266" spans="1:14" s="10" customFormat="1" outlineLevel="1" x14ac:dyDescent="0.2">
      <c r="D266" s="49" t="str">
        <f>HL_LVL2_ACTV_2_Name</f>
        <v>Training Activity #4 (Not in Use)</v>
      </c>
      <c r="J266" s="119">
        <f>J247/LVL2_ACTV_2_Exchange_Rate</f>
        <v>0</v>
      </c>
      <c r="K266" s="119">
        <f>K247/LVL2_ACTV_2_Exchange_Rate</f>
        <v>0</v>
      </c>
      <c r="L266" s="119">
        <f>L247/LVL2_ACTV_2_Exchange_Rate</f>
        <v>0</v>
      </c>
      <c r="M266" s="119">
        <f>M247/LVL2_ACTV_2_Exchange_Rate</f>
        <v>0</v>
      </c>
      <c r="N266" s="119">
        <f>N247/LVL2_ACTV_2_Exchange_Rate</f>
        <v>0</v>
      </c>
    </row>
    <row r="267" spans="1:14" s="10" customFormat="1" outlineLevel="1" x14ac:dyDescent="0.2">
      <c r="D267" s="114" t="str">
        <f>HL_LVL2_ACTV_2_Name</f>
        <v>Training Activity #4 (Not in Use)</v>
      </c>
      <c r="J267" s="119">
        <f>SUM(J266:J266)</f>
        <v>0</v>
      </c>
      <c r="K267" s="119">
        <f>SUM(K266:K266)</f>
        <v>0</v>
      </c>
      <c r="L267" s="119">
        <f>SUM(L266:L266)</f>
        <v>0</v>
      </c>
      <c r="M267" s="119">
        <f>SUM(M266:M266)</f>
        <v>0</v>
      </c>
      <c r="N267" s="119">
        <f>SUM(N266:N266)</f>
        <v>0</v>
      </c>
    </row>
    <row r="268" spans="1:14" s="10" customFormat="1" outlineLevel="1" x14ac:dyDescent="0.2"/>
    <row r="269" spans="1:14" s="10" customFormat="1" outlineLevel="1" x14ac:dyDescent="0.2">
      <c r="D269" s="76" t="str">
        <f>Lang_GoTo&amp;" "&amp;HL_LVL2_ACTV_2_Single_Activity_Cost_Assumptions_Annual</f>
        <v>Go to Training Activity #4 (Not in Use) Single Activity Cost - Annual Assumptions (Projected or Retrospective)</v>
      </c>
    </row>
    <row r="270" spans="1:14" s="10" customFormat="1" x14ac:dyDescent="0.2"/>
    <row r="271" spans="1:14" s="10" customFormat="1" x14ac:dyDescent="0.2">
      <c r="A271" s="12" t="s">
        <v>127</v>
      </c>
      <c r="B271" s="13" t="str">
        <f>B272&amp;" "&amp;Lang_Single_Activity_Cost_Outputs_Annual&amp;" ("&amp;Lang_International_Currency_Econ&amp;")"</f>
        <v>Training Activity #4 (Not in Use) Single Activity Cost Outputs - Annual (International Currency - Economic)</v>
      </c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</row>
    <row r="272" spans="1:14" s="10" customFormat="1" outlineLevel="1" x14ac:dyDescent="0.2">
      <c r="B272" s="49" t="str">
        <f>HL_LVL2_ACTV_2_Name</f>
        <v>Training Activity #4 (Not in Use)</v>
      </c>
    </row>
    <row r="273" spans="1:14" s="10" customFormat="1" outlineLevel="1" x14ac:dyDescent="0.2">
      <c r="B273" s="65" t="str">
        <f>TRAIN_Lu!$D$136&amp;" ("&amp;TRAIN_Lu!$D$115&amp;")"</f>
        <v>Economic (USD)</v>
      </c>
      <c r="E273" s="53" t="str">
        <f>"("&amp;IF(DD_LVL2_ACTV_2_Input_Detail_or_Freeform=1,TRAINING!$D$133,TRAINING!$D$139)&amp;")"</f>
        <v>(Detailed Costing Worksheet Estimate)</v>
      </c>
    </row>
    <row r="274" spans="1:14" s="10" customFormat="1" outlineLevel="1" x14ac:dyDescent="0.2"/>
    <row r="275" spans="1:14" s="10" customFormat="1" outlineLevel="1" x14ac:dyDescent="0.2">
      <c r="D275" s="49" t="str">
        <f>HL_LVL2_ACTV_2_Name</f>
        <v>Training Activity #4 (Not in Use)</v>
      </c>
      <c r="J275" s="119">
        <f>J257/LVL2_ACTV_2_Exchange_Rate</f>
        <v>0</v>
      </c>
      <c r="K275" s="119">
        <f>K257/LVL2_ACTV_2_Exchange_Rate</f>
        <v>0</v>
      </c>
      <c r="L275" s="119">
        <f>L257/LVL2_ACTV_2_Exchange_Rate</f>
        <v>0</v>
      </c>
      <c r="M275" s="119">
        <f>M257/LVL2_ACTV_2_Exchange_Rate</f>
        <v>0</v>
      </c>
      <c r="N275" s="119">
        <f>N257/LVL2_ACTV_2_Exchange_Rate</f>
        <v>0</v>
      </c>
    </row>
    <row r="276" spans="1:14" s="10" customFormat="1" outlineLevel="1" x14ac:dyDescent="0.2">
      <c r="D276" s="114" t="str">
        <f>HL_LVL2_ACTV_2_Name</f>
        <v>Training Activity #4 (Not in Use)</v>
      </c>
      <c r="J276" s="360">
        <f>SUM(J275:J275)</f>
        <v>0</v>
      </c>
      <c r="K276" s="360">
        <f>SUM(K275:K275)</f>
        <v>0</v>
      </c>
      <c r="L276" s="360">
        <f>SUM(L275:L275)</f>
        <v>0</v>
      </c>
      <c r="M276" s="360">
        <f>SUM(M275:M275)</f>
        <v>0</v>
      </c>
      <c r="N276" s="360">
        <f>SUM(N275:N275)</f>
        <v>0</v>
      </c>
    </row>
    <row r="277" spans="1:14" s="10" customFormat="1" outlineLevel="1" x14ac:dyDescent="0.2"/>
    <row r="278" spans="1:14" s="10" customFormat="1" outlineLevel="1" x14ac:dyDescent="0.2">
      <c r="D278" s="76" t="str">
        <f>Lang_GoTo&amp;" "&amp;HL_LVL2_ACTV_2_Single_Activity_Cost_Assumptions_Annual</f>
        <v>Go to Training Activity #4 (Not in Use) Single Activity Cost - Annual Assumptions (Projected or Retrospective)</v>
      </c>
    </row>
    <row r="279" spans="1:14" s="10" customFormat="1" x14ac:dyDescent="0.2"/>
    <row r="280" spans="1:14" s="10" customFormat="1" x14ac:dyDescent="0.2">
      <c r="A280" s="12" t="s">
        <v>127</v>
      </c>
      <c r="B280" s="13" t="str">
        <f>B281&amp;" "&amp;Lang_Single_Activity_Cost_Outputs_Annual&amp;" ("&amp;Lang_Local_Currency_Fin&amp;")"</f>
        <v xml:space="preserve"> Sensitisation Activity # 1 (Not in Use) Single Activity Cost Outputs - Annual (Local Currency - Financial)</v>
      </c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</row>
    <row r="281" spans="1:14" s="10" customFormat="1" outlineLevel="1" x14ac:dyDescent="0.2">
      <c r="B281" s="49" t="str">
        <f>HL_TOP_ACTV_3_Name</f>
        <v xml:space="preserve"> Sensitisation Activity # 1 (Not in Use)</v>
      </c>
    </row>
    <row r="282" spans="1:14" s="10" customFormat="1" outlineLevel="1" x14ac:dyDescent="0.2">
      <c r="B282" s="65" t="str">
        <f>SENS_Lu!$D$32&amp;" ("&amp;SENS_Lu!$D$13&amp;")"</f>
        <v>Financial (LCU)</v>
      </c>
    </row>
    <row r="283" spans="1:14" s="10" customFormat="1" outlineLevel="1" x14ac:dyDescent="0.2"/>
    <row r="284" spans="1:14" s="10" customFormat="1" outlineLevel="1" x14ac:dyDescent="0.2">
      <c r="D284" s="49" t="str">
        <f>SENSITISATION!D12</f>
        <v xml:space="preserve"> Sensitisation Activity # 1 (Not in Use)</v>
      </c>
      <c r="E284" s="53" t="str">
        <f>"("&amp;IF(DD_TOP_ACTV_3_Input_Detail_or_Freeform=1,SENSITISATION!$D$20,SENSITISATION!$D$26)&amp;")"</f>
        <v>(Direct User Entry Cost Estimate)</v>
      </c>
      <c r="J284" s="108">
        <f>IF(DD_TOP_ACTV_3_Input_Detail_or_Freeform=1,IF(DD_TOP_ACTV_3_Annual_Currency_Used=2,SENSITISATION!J$22,SENSITISATION!J$22*TOP_ACTV_3_Exchange_Rate),IF(DD_TOP_ACTV_3_Annual_Currency_Used=2,SENSITISATION!J$27,SENSITISATION!J$27*TOP_ACTV_3_Exchange_Rate))</f>
        <v>0</v>
      </c>
      <c r="K284" s="108">
        <f>IF(DD_TOP_ACTV_3_Input_Detail_or_Freeform=1,IF(DD_TOP_ACTV_3_Annual_Currency_Used=2,SENSITISATION!K$22,SENSITISATION!K$22*TOP_ACTV_3_Exchange_Rate),IF(DD_TOP_ACTV_3_Annual_Currency_Used=2,SENSITISATION!K$27,SENSITISATION!K$27*TOP_ACTV_3_Exchange_Rate))</f>
        <v>0</v>
      </c>
      <c r="L284" s="108">
        <f>IF(DD_TOP_ACTV_3_Input_Detail_or_Freeform=1,IF(DD_TOP_ACTV_3_Annual_Currency_Used=2,SENSITISATION!L$22,SENSITISATION!L$22*TOP_ACTV_3_Exchange_Rate),IF(DD_TOP_ACTV_3_Annual_Currency_Used=2,SENSITISATION!L$27,SENSITISATION!L$27*TOP_ACTV_3_Exchange_Rate))</f>
        <v>0</v>
      </c>
      <c r="M284" s="108">
        <f>IF(DD_TOP_ACTV_3_Input_Detail_or_Freeform=1,IF(DD_TOP_ACTV_3_Annual_Currency_Used=2,SENSITISATION!M$22,SENSITISATION!M$22*TOP_ACTV_3_Exchange_Rate),IF(DD_TOP_ACTV_3_Annual_Currency_Used=2,SENSITISATION!M$27,SENSITISATION!M$27*TOP_ACTV_3_Exchange_Rate))</f>
        <v>0</v>
      </c>
      <c r="N284" s="108">
        <f>IF(DD_TOP_ACTV_3_Input_Detail_or_Freeform=1,IF(DD_TOP_ACTV_3_Annual_Currency_Used=2,SENSITISATION!N$22,SENSITISATION!N$22*TOP_ACTV_3_Exchange_Rate),IF(DD_TOP_ACTV_3_Annual_Currency_Used=2,SENSITISATION!N$27,SENSITISATION!N$27*TOP_ACTV_3_Exchange_Rate))</f>
        <v>0</v>
      </c>
    </row>
    <row r="285" spans="1:14" s="10" customFormat="1" outlineLevel="1" x14ac:dyDescent="0.2"/>
    <row r="286" spans="1:14" s="10" customFormat="1" outlineLevel="1" x14ac:dyDescent="0.2">
      <c r="D286" s="76" t="str">
        <f>Lang_GoTo&amp;" "&amp;HL_TOP_ACTV_3_Single_Activity_Cost_Assumptions_Annual</f>
        <v>Go to  Sensitisation Activity # 1 (Not in Use) Single Activity Cost - Annual Assumptions (Projected or Retrospective)</v>
      </c>
    </row>
    <row r="287" spans="1:14" s="10" customFormat="1" x14ac:dyDescent="0.2"/>
    <row r="288" spans="1:14" s="10" customFormat="1" x14ac:dyDescent="0.2">
      <c r="A288" s="12" t="s">
        <v>127</v>
      </c>
      <c r="B288" s="13" t="str">
        <f>B289&amp;" "&amp;Lang_Single_Activity_Cost_Outputs_Annual&amp;" ("&amp;Lang_Local_Currency_Econ&amp;")"</f>
        <v xml:space="preserve"> Sensitisation Activity # 1 (Not in Use) Single Activity Cost Outputs - Annual (Local Currency - Economic)</v>
      </c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</row>
    <row r="289" spans="1:14" s="10" customFormat="1" outlineLevel="1" x14ac:dyDescent="0.2">
      <c r="B289" s="49" t="str">
        <f>HL_TOP_ACTV_3_Name</f>
        <v xml:space="preserve"> Sensitisation Activity # 1 (Not in Use)</v>
      </c>
    </row>
    <row r="290" spans="1:14" s="10" customFormat="1" outlineLevel="1" x14ac:dyDescent="0.2">
      <c r="B290" s="65" t="str">
        <f>SENS_Lu!$D$33&amp;" ("&amp;SENS_Lu!$D$13&amp;")"</f>
        <v>Economic (LCU)</v>
      </c>
    </row>
    <row r="291" spans="1:14" s="10" customFormat="1" outlineLevel="1" x14ac:dyDescent="0.2"/>
    <row r="292" spans="1:14" s="10" customFormat="1" outlineLevel="1" x14ac:dyDescent="0.2">
      <c r="D292" s="49" t="str">
        <f>SENSITISATION!D12</f>
        <v xml:space="preserve"> Sensitisation Activity # 1 (Not in Use)</v>
      </c>
      <c r="E292" s="53" t="str">
        <f>"("&amp;IF(DD_TOP_ACTV_3_Input_Detail_or_Freeform=1,SENSITISATION!$D$20,SENSITISATION!$D$26)&amp;")"</f>
        <v>(Direct User Entry Cost Estimate)</v>
      </c>
      <c r="J292" s="108">
        <f>IF(DD_TOP_ACTV_3_Input_Detail_or_Freeform=1,IF(DD_TOP_ACTV_3_Annual_Currency_Used=2,SENSITISATION!J$23,SENSITISATION!J$23*TOP_ACTV_3_Exchange_Rate),IF(DD_TOP_ACTV_3_Annual_Currency_Used=2,SENSITISATION!J$28,SENSITISATION!J$28*TOP_ACTV_3_Exchange_Rate))</f>
        <v>0</v>
      </c>
      <c r="K292" s="108">
        <f>IF(DD_TOP_ACTV_3_Input_Detail_or_Freeform=1,IF(DD_TOP_ACTV_3_Annual_Currency_Used=2,SENSITISATION!K$23,SENSITISATION!K$23*TOP_ACTV_3_Exchange_Rate),IF(DD_TOP_ACTV_3_Annual_Currency_Used=2,SENSITISATION!K$28,SENSITISATION!K$28*TOP_ACTV_3_Exchange_Rate))</f>
        <v>0</v>
      </c>
      <c r="L292" s="108">
        <f>IF(DD_TOP_ACTV_3_Input_Detail_or_Freeform=1,IF(DD_TOP_ACTV_3_Annual_Currency_Used=2,SENSITISATION!L$23,SENSITISATION!L$23*TOP_ACTV_3_Exchange_Rate),IF(DD_TOP_ACTV_3_Annual_Currency_Used=2,SENSITISATION!L$28,SENSITISATION!L$28*TOP_ACTV_3_Exchange_Rate))</f>
        <v>0</v>
      </c>
      <c r="M292" s="108">
        <f>IF(DD_TOP_ACTV_3_Input_Detail_or_Freeform=1,IF(DD_TOP_ACTV_3_Annual_Currency_Used=2,SENSITISATION!M$23,SENSITISATION!M$23*TOP_ACTV_3_Exchange_Rate),IF(DD_TOP_ACTV_3_Annual_Currency_Used=2,SENSITISATION!M$28,SENSITISATION!M$28*TOP_ACTV_3_Exchange_Rate))</f>
        <v>0</v>
      </c>
      <c r="N292" s="108">
        <f>IF(DD_TOP_ACTV_3_Input_Detail_or_Freeform=1,IF(DD_TOP_ACTV_3_Annual_Currency_Used=2,SENSITISATION!N$23,SENSITISATION!N$23*TOP_ACTV_3_Exchange_Rate),IF(DD_TOP_ACTV_3_Annual_Currency_Used=2,SENSITISATION!N$28,SENSITISATION!N$28*TOP_ACTV_3_Exchange_Rate))</f>
        <v>0</v>
      </c>
    </row>
    <row r="293" spans="1:14" s="10" customFormat="1" outlineLevel="1" x14ac:dyDescent="0.2"/>
    <row r="294" spans="1:14" s="10" customFormat="1" outlineLevel="1" x14ac:dyDescent="0.2">
      <c r="D294" s="76" t="str">
        <f>Lang_GoTo&amp;" "&amp;HL_TOP_ACTV_3_Single_Activity_Cost_Assumptions_Annual</f>
        <v>Go to  Sensitisation Activity # 1 (Not in Use) Single Activity Cost - Annual Assumptions (Projected or Retrospective)</v>
      </c>
    </row>
    <row r="295" spans="1:14" s="10" customFormat="1" x14ac:dyDescent="0.2"/>
    <row r="296" spans="1:14" s="10" customFormat="1" x14ac:dyDescent="0.2">
      <c r="A296" s="12" t="s">
        <v>127</v>
      </c>
      <c r="B296" s="13" t="str">
        <f>B297&amp;" "&amp;Lang_Single_Activity_Cost_Outputs_Annual&amp;" ("&amp;Lang_International_Currency_Fin&amp;")"</f>
        <v xml:space="preserve"> Sensitisation Activity # 1 (Not in Use) Single Activity Cost Outputs - Annual (International Currency - Financial)</v>
      </c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</row>
    <row r="297" spans="1:14" s="10" customFormat="1" outlineLevel="1" x14ac:dyDescent="0.2">
      <c r="B297" s="49" t="str">
        <f>HL_TOP_ACTV_3_Name</f>
        <v xml:space="preserve"> Sensitisation Activity # 1 (Not in Use)</v>
      </c>
    </row>
    <row r="298" spans="1:14" s="10" customFormat="1" outlineLevel="1" x14ac:dyDescent="0.2">
      <c r="B298" s="65" t="str">
        <f>SENS_Lu!$D$32&amp;" ("&amp;SENS_Lu!$D$12&amp;")"</f>
        <v>Financial (USD)</v>
      </c>
    </row>
    <row r="299" spans="1:14" s="10" customFormat="1" outlineLevel="1" x14ac:dyDescent="0.2"/>
    <row r="300" spans="1:14" s="10" customFormat="1" outlineLevel="1" x14ac:dyDescent="0.2">
      <c r="D300" s="49" t="str">
        <f>SENSITISATION!D12</f>
        <v xml:space="preserve"> Sensitisation Activity # 1 (Not in Use)</v>
      </c>
      <c r="E300" s="53" t="str">
        <f>"("&amp;IF(DD_TOP_ACTV_3_Input_Detail_or_Freeform=1,SENSITISATION!$D$20,SENSITISATION!$D$26)&amp;")"</f>
        <v>(Direct User Entry Cost Estimate)</v>
      </c>
      <c r="J300" s="119">
        <f>J284/TOP_ACTV_3_Exchange_Rate</f>
        <v>0</v>
      </c>
      <c r="K300" s="119">
        <f>K284/TOP_ACTV_3_Exchange_Rate</f>
        <v>0</v>
      </c>
      <c r="L300" s="119">
        <f>L284/TOP_ACTV_3_Exchange_Rate</f>
        <v>0</v>
      </c>
      <c r="M300" s="119">
        <f>M284/TOP_ACTV_3_Exchange_Rate</f>
        <v>0</v>
      </c>
      <c r="N300" s="119">
        <f>N284/TOP_ACTV_3_Exchange_Rate</f>
        <v>0</v>
      </c>
    </row>
    <row r="301" spans="1:14" s="10" customFormat="1" outlineLevel="1" x14ac:dyDescent="0.2"/>
    <row r="302" spans="1:14" s="10" customFormat="1" outlineLevel="1" x14ac:dyDescent="0.2">
      <c r="D302" s="76" t="str">
        <f>Lang_GoTo&amp;" "&amp;HL_TOP_ACTV_3_Single_Activity_Cost_Assumptions_Annual</f>
        <v>Go to  Sensitisation Activity # 1 (Not in Use) Single Activity Cost - Annual Assumptions (Projected or Retrospective)</v>
      </c>
    </row>
    <row r="303" spans="1:14" s="10" customFormat="1" x14ac:dyDescent="0.2"/>
    <row r="304" spans="1:14" s="10" customFormat="1" x14ac:dyDescent="0.2">
      <c r="A304" s="12" t="s">
        <v>127</v>
      </c>
      <c r="B304" s="13" t="str">
        <f>B305&amp;" "&amp;Lang_Single_Activity_Cost_Outputs_Annual&amp;" ("&amp;Lang_International_Currency_Econ&amp;")"</f>
        <v xml:space="preserve"> Sensitisation Activity # 1 (Not in Use) Single Activity Cost Outputs - Annual (International Currency - Economic)</v>
      </c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</row>
    <row r="305" spans="1:14" s="10" customFormat="1" outlineLevel="1" x14ac:dyDescent="0.2">
      <c r="B305" s="49" t="str">
        <f>HL_TOP_ACTV_3_Name</f>
        <v xml:space="preserve"> Sensitisation Activity # 1 (Not in Use)</v>
      </c>
    </row>
    <row r="306" spans="1:14" s="10" customFormat="1" outlineLevel="1" x14ac:dyDescent="0.2">
      <c r="B306" s="65" t="str">
        <f>SENS_Lu!$D$33&amp;" ("&amp;SENS_Lu!$D$12&amp;")"</f>
        <v>Economic (USD)</v>
      </c>
    </row>
    <row r="307" spans="1:14" s="10" customFormat="1" outlineLevel="1" x14ac:dyDescent="0.2"/>
    <row r="308" spans="1:14" s="10" customFormat="1" outlineLevel="1" x14ac:dyDescent="0.2">
      <c r="D308" s="49" t="str">
        <f>SENSITISATION!D12</f>
        <v xml:space="preserve"> Sensitisation Activity # 1 (Not in Use)</v>
      </c>
      <c r="E308" s="53" t="str">
        <f>"("&amp;IF(DD_TOP_ACTV_3_Input_Detail_or_Freeform=1,SENSITISATION!$D$20,SENSITISATION!$D$26)&amp;")"</f>
        <v>(Direct User Entry Cost Estimate)</v>
      </c>
      <c r="J308" s="119">
        <f>J292/TOP_ACTV_3_Exchange_Rate</f>
        <v>0</v>
      </c>
      <c r="K308" s="119">
        <f>K292/TOP_ACTV_3_Exchange_Rate</f>
        <v>0</v>
      </c>
      <c r="L308" s="119">
        <f>L292/TOP_ACTV_3_Exchange_Rate</f>
        <v>0</v>
      </c>
      <c r="M308" s="119">
        <f>M292/TOP_ACTV_3_Exchange_Rate</f>
        <v>0</v>
      </c>
      <c r="N308" s="119">
        <f>N292/TOP_ACTV_3_Exchange_Rate</f>
        <v>0</v>
      </c>
    </row>
    <row r="309" spans="1:14" s="10" customFormat="1" outlineLevel="1" x14ac:dyDescent="0.2"/>
    <row r="310" spans="1:14" s="10" customFormat="1" outlineLevel="1" x14ac:dyDescent="0.2">
      <c r="D310" s="76" t="str">
        <f>Lang_GoTo&amp;" "&amp;HL_TOP_ACTV_3_Single_Activity_Cost_Assumptions_Annual</f>
        <v>Go to  Sensitisation Activity # 1 (Not in Use) Single Activity Cost - Annual Assumptions (Projected or Retrospective)</v>
      </c>
    </row>
    <row r="311" spans="1:14" s="10" customFormat="1" x14ac:dyDescent="0.2"/>
    <row r="312" spans="1:14" s="10" customFormat="1" x14ac:dyDescent="0.2">
      <c r="A312" s="12" t="s">
        <v>127</v>
      </c>
      <c r="B312" s="13" t="str">
        <f>B313&amp;" "&amp;Lang_Single_Activity_Cost_Outputs_Annual&amp;" ("&amp;Lang_Local_Currency_Fin&amp;")"</f>
        <v xml:space="preserve"> Sensitisation Activity # 2 (Not in Use) Single Activity Cost Outputs - Annual (Local Currency - Financial)</v>
      </c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</row>
    <row r="313" spans="1:14" s="10" customFormat="1" outlineLevel="1" x14ac:dyDescent="0.2">
      <c r="B313" s="49" t="str">
        <f>HL_TOP_ACTV_10_Name</f>
        <v xml:space="preserve"> Sensitisation Activity # 2 (Not in Use)</v>
      </c>
    </row>
    <row r="314" spans="1:14" s="10" customFormat="1" outlineLevel="1" x14ac:dyDescent="0.2">
      <c r="B314" s="65" t="str">
        <f>SENS_Lu!$D$67&amp;" ("&amp;SENS_Lu!$D$48&amp;")"</f>
        <v>Financial (LCU)</v>
      </c>
    </row>
    <row r="315" spans="1:14" s="10" customFormat="1" outlineLevel="1" x14ac:dyDescent="0.2"/>
    <row r="316" spans="1:14" s="10" customFormat="1" outlineLevel="1" x14ac:dyDescent="0.2">
      <c r="D316" s="49" t="str">
        <f>SENSITISATION!D49</f>
        <v xml:space="preserve"> Sensitisation Activity # 2 (Not in Use)</v>
      </c>
      <c r="E316" s="53" t="str">
        <f>"("&amp;IF(DD_TOP_ACTV_10_Input_Detail_or_Freeform=1,SENSITISATION!$D$57,SENSITISATION!$D$63)&amp;")"</f>
        <v>(Direct User Entry Cost Estimate)</v>
      </c>
      <c r="J316" s="79">
        <f>IF(DD_TOP_ACTV_10_Input_Detail_or_Freeform=1,IF(DD_TOP_ACTV_10_Annual_Currency_Used=2,SENSITISATION!J$59,SENSITISATION!J$59*TOP_ACTV_10_Exchange_Rate),IF(DD_TOP_ACTV_10_Annual_Currency_Used=2,SENSITISATION!J$64,SENSITISATION!J$64*TOP_ACTV_10_Exchange_Rate))</f>
        <v>0</v>
      </c>
      <c r="K316" s="79">
        <f>IF(DD_TOP_ACTV_10_Input_Detail_or_Freeform=1,IF(DD_TOP_ACTV_10_Annual_Currency_Used=2,SENSITISATION!K$59,SENSITISATION!K$59*TOP_ACTV_10_Exchange_Rate),IF(DD_TOP_ACTV_10_Annual_Currency_Used=2,SENSITISATION!K$64,SENSITISATION!K$64*TOP_ACTV_10_Exchange_Rate))</f>
        <v>0</v>
      </c>
      <c r="L316" s="79">
        <f>IF(DD_TOP_ACTV_10_Input_Detail_or_Freeform=1,IF(DD_TOP_ACTV_10_Annual_Currency_Used=2,SENSITISATION!L$59,SENSITISATION!L$59*TOP_ACTV_10_Exchange_Rate),IF(DD_TOP_ACTV_10_Annual_Currency_Used=2,SENSITISATION!L$64,SENSITISATION!L$64*TOP_ACTV_10_Exchange_Rate))</f>
        <v>0</v>
      </c>
      <c r="M316" s="79">
        <f>IF(DD_TOP_ACTV_10_Input_Detail_or_Freeform=1,IF(DD_TOP_ACTV_10_Annual_Currency_Used=2,SENSITISATION!M$59,SENSITISATION!M$59*TOP_ACTV_10_Exchange_Rate),IF(DD_TOP_ACTV_10_Annual_Currency_Used=2,SENSITISATION!M$64,SENSITISATION!M$64*TOP_ACTV_10_Exchange_Rate))</f>
        <v>0</v>
      </c>
      <c r="N316" s="79">
        <f>IF(DD_TOP_ACTV_10_Input_Detail_or_Freeform=1,IF(DD_TOP_ACTV_10_Annual_Currency_Used=2,SENSITISATION!N$59,SENSITISATION!N$59*TOP_ACTV_10_Exchange_Rate),IF(DD_TOP_ACTV_10_Annual_Currency_Used=2,SENSITISATION!N$64,SENSITISATION!N$64*TOP_ACTV_10_Exchange_Rate))</f>
        <v>0</v>
      </c>
    </row>
    <row r="317" spans="1:14" s="10" customFormat="1" outlineLevel="1" x14ac:dyDescent="0.2"/>
    <row r="318" spans="1:14" s="10" customFormat="1" outlineLevel="1" x14ac:dyDescent="0.2">
      <c r="D318" s="76" t="str">
        <f>Lang_GoTo&amp;" "&amp;HL_TOP_ACTV_10_Single_Activity_Cost_Assumptions_Annual</f>
        <v>Go to  Sensitisation Activity # 2 (Not in Use) Single Activity Cost - Annual Assumptions (Projected or Retrospective)</v>
      </c>
    </row>
    <row r="319" spans="1:14" s="10" customFormat="1" x14ac:dyDescent="0.2"/>
    <row r="320" spans="1:14" s="10" customFormat="1" x14ac:dyDescent="0.2">
      <c r="A320" s="12" t="s">
        <v>127</v>
      </c>
      <c r="B320" s="13" t="str">
        <f>B321&amp;" "&amp;Lang_Single_Activity_Cost_Outputs_Annual&amp;" ("&amp;Lang_Local_Currency_Econ&amp;")"</f>
        <v xml:space="preserve"> Sensitisation Activity # 2 (Not in Use) Single Activity Cost Outputs - Annual (Local Currency - Economic)</v>
      </c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</row>
    <row r="321" spans="1:14" s="10" customFormat="1" outlineLevel="1" x14ac:dyDescent="0.2">
      <c r="B321" s="49" t="str">
        <f>HL_TOP_ACTV_10_Name</f>
        <v xml:space="preserve"> Sensitisation Activity # 2 (Not in Use)</v>
      </c>
    </row>
    <row r="322" spans="1:14" s="10" customFormat="1" outlineLevel="1" x14ac:dyDescent="0.2">
      <c r="B322" s="65" t="str">
        <f>SENS_Lu!$D$68&amp;" ("&amp;SENS_Lu!$D$48&amp;")"</f>
        <v>Economic (LCU)</v>
      </c>
    </row>
    <row r="323" spans="1:14" s="10" customFormat="1" outlineLevel="1" x14ac:dyDescent="0.2"/>
    <row r="324" spans="1:14" s="10" customFormat="1" outlineLevel="1" x14ac:dyDescent="0.2">
      <c r="D324" s="49" t="str">
        <f>SENSITISATION!D49</f>
        <v xml:space="preserve"> Sensitisation Activity # 2 (Not in Use)</v>
      </c>
      <c r="E324" s="53" t="str">
        <f>"("&amp;IF(DD_TOP_ACTV_10_Input_Detail_or_Freeform=1,SENSITISATION!$D$57,SENSITISATION!$D$63)&amp;")"</f>
        <v>(Direct User Entry Cost Estimate)</v>
      </c>
      <c r="J324" s="79">
        <f>IF(DD_TOP_ACTV_10_Input_Detail_or_Freeform=1,IF(DD_TOP_ACTV_10_Annual_Currency_Used=2,SENSITISATION!J$60,SENSITISATION!J$60*TOP_ACTV_10_Exchange_Rate),IF(DD_TOP_ACTV_10_Annual_Currency_Used=2,SENSITISATION!J$65,SENSITISATION!J$65*TOP_ACTV_10_Exchange_Rate))</f>
        <v>0</v>
      </c>
      <c r="K324" s="79">
        <f>IF(DD_TOP_ACTV_10_Input_Detail_or_Freeform=1,IF(DD_TOP_ACTV_10_Annual_Currency_Used=2,SENSITISATION!K$60,SENSITISATION!K$60*TOP_ACTV_10_Exchange_Rate),IF(DD_TOP_ACTV_10_Annual_Currency_Used=2,SENSITISATION!K$65,SENSITISATION!K$65*TOP_ACTV_10_Exchange_Rate))</f>
        <v>0</v>
      </c>
      <c r="L324" s="79">
        <f>IF(DD_TOP_ACTV_10_Input_Detail_or_Freeform=1,IF(DD_TOP_ACTV_10_Annual_Currency_Used=2,SENSITISATION!L$60,SENSITISATION!L$60*TOP_ACTV_10_Exchange_Rate),IF(DD_TOP_ACTV_10_Annual_Currency_Used=2,SENSITISATION!L$65,SENSITISATION!L$65*TOP_ACTV_10_Exchange_Rate))</f>
        <v>0</v>
      </c>
      <c r="M324" s="79">
        <f>IF(DD_TOP_ACTV_10_Input_Detail_or_Freeform=1,IF(DD_TOP_ACTV_10_Annual_Currency_Used=2,SENSITISATION!M$60,SENSITISATION!M$60*TOP_ACTV_10_Exchange_Rate),IF(DD_TOP_ACTV_10_Annual_Currency_Used=2,SENSITISATION!M$65,SENSITISATION!M$65*TOP_ACTV_10_Exchange_Rate))</f>
        <v>0</v>
      </c>
      <c r="N324" s="79">
        <f>IF(DD_TOP_ACTV_10_Input_Detail_or_Freeform=1,IF(DD_TOP_ACTV_10_Annual_Currency_Used=2,SENSITISATION!N$60,SENSITISATION!N$60*TOP_ACTV_10_Exchange_Rate),IF(DD_TOP_ACTV_10_Annual_Currency_Used=2,SENSITISATION!N$65,SENSITISATION!N$65*TOP_ACTV_10_Exchange_Rate))</f>
        <v>0</v>
      </c>
    </row>
    <row r="325" spans="1:14" s="10" customFormat="1" outlineLevel="1" x14ac:dyDescent="0.2"/>
    <row r="326" spans="1:14" s="10" customFormat="1" outlineLevel="1" x14ac:dyDescent="0.2">
      <c r="D326" s="76" t="str">
        <f>Lang_GoTo&amp;" "&amp;HL_TOP_ACTV_10_Single_Activity_Cost_Assumptions_Annual</f>
        <v>Go to  Sensitisation Activity # 2 (Not in Use) Single Activity Cost - Annual Assumptions (Projected or Retrospective)</v>
      </c>
    </row>
    <row r="327" spans="1:14" s="10" customFormat="1" x14ac:dyDescent="0.2"/>
    <row r="328" spans="1:14" s="10" customFormat="1" x14ac:dyDescent="0.2">
      <c r="A328" s="12" t="s">
        <v>127</v>
      </c>
      <c r="B328" s="13" t="str">
        <f>B329&amp;" "&amp;Lang_Single_Activity_Cost_Outputs_Annual&amp;" ("&amp;Lang_International_Currency_Fin&amp;")"</f>
        <v xml:space="preserve"> Sensitisation Activity # 2 (Not in Use) Single Activity Cost Outputs - Annual (International Currency - Financial)</v>
      </c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</row>
    <row r="329" spans="1:14" s="10" customFormat="1" outlineLevel="1" x14ac:dyDescent="0.2">
      <c r="B329" s="49" t="str">
        <f>HL_TOP_ACTV_10_Name</f>
        <v xml:space="preserve"> Sensitisation Activity # 2 (Not in Use)</v>
      </c>
    </row>
    <row r="330" spans="1:14" s="10" customFormat="1" outlineLevel="1" x14ac:dyDescent="0.2">
      <c r="B330" s="65" t="str">
        <f>SENS_Lu!$D$67&amp;" ("&amp;SENS_Lu!$D$47&amp;")"</f>
        <v>Financial (USD)</v>
      </c>
    </row>
    <row r="331" spans="1:14" s="10" customFormat="1" outlineLevel="1" x14ac:dyDescent="0.2"/>
    <row r="332" spans="1:14" s="10" customFormat="1" outlineLevel="1" x14ac:dyDescent="0.2">
      <c r="D332" s="49" t="str">
        <f>SENSITISATION!D49</f>
        <v xml:space="preserve"> Sensitisation Activity # 2 (Not in Use)</v>
      </c>
      <c r="E332" s="53" t="str">
        <f>"("&amp;IF(DD_TOP_ACTV_10_Input_Detail_or_Freeform=1,SENSITISATION!$D$57,SENSITISATION!$D$63)&amp;")"</f>
        <v>(Direct User Entry Cost Estimate)</v>
      </c>
      <c r="J332" s="119">
        <f>J316/TOP_ACTV_10_Exchange_Rate</f>
        <v>0</v>
      </c>
      <c r="K332" s="119">
        <f>K316/TOP_ACTV_10_Exchange_Rate</f>
        <v>0</v>
      </c>
      <c r="L332" s="119">
        <f>L316/TOP_ACTV_10_Exchange_Rate</f>
        <v>0</v>
      </c>
      <c r="M332" s="119">
        <f>M316/TOP_ACTV_10_Exchange_Rate</f>
        <v>0</v>
      </c>
      <c r="N332" s="119">
        <f>N316/TOP_ACTV_10_Exchange_Rate</f>
        <v>0</v>
      </c>
    </row>
    <row r="333" spans="1:14" s="10" customFormat="1" outlineLevel="1" x14ac:dyDescent="0.2"/>
    <row r="334" spans="1:14" s="10" customFormat="1" outlineLevel="1" x14ac:dyDescent="0.2">
      <c r="D334" s="76" t="str">
        <f>Lang_GoTo&amp;" "&amp;HL_TOP_ACTV_10_Single_Activity_Cost_Assumptions_Annual</f>
        <v>Go to  Sensitisation Activity # 2 (Not in Use) Single Activity Cost - Annual Assumptions (Projected or Retrospective)</v>
      </c>
    </row>
    <row r="335" spans="1:14" s="10" customFormat="1" x14ac:dyDescent="0.2"/>
    <row r="336" spans="1:14" s="10" customFormat="1" x14ac:dyDescent="0.2">
      <c r="A336" s="12" t="s">
        <v>127</v>
      </c>
      <c r="B336" s="13" t="str">
        <f>B337&amp;" "&amp;Lang_Single_Activity_Cost_Outputs_Annual&amp;" ("&amp;Lang_International_Currency_Econ&amp;")"</f>
        <v xml:space="preserve"> Sensitisation Activity # 2 (Not in Use) Single Activity Cost Outputs - Annual (International Currency - Economic)</v>
      </c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</row>
    <row r="337" spans="1:14" s="10" customFormat="1" outlineLevel="1" x14ac:dyDescent="0.2">
      <c r="B337" s="49" t="str">
        <f>HL_TOP_ACTV_10_Name</f>
        <v xml:space="preserve"> Sensitisation Activity # 2 (Not in Use)</v>
      </c>
    </row>
    <row r="338" spans="1:14" s="10" customFormat="1" outlineLevel="1" x14ac:dyDescent="0.2">
      <c r="B338" s="65" t="str">
        <f>SENS_Lu!$D$68&amp;" ("&amp;SENS_Lu!$D$47&amp;")"</f>
        <v>Economic (USD)</v>
      </c>
    </row>
    <row r="339" spans="1:14" s="10" customFormat="1" outlineLevel="1" x14ac:dyDescent="0.2"/>
    <row r="340" spans="1:14" s="10" customFormat="1" outlineLevel="1" x14ac:dyDescent="0.2">
      <c r="D340" s="49" t="str">
        <f>SENSITISATION!D49</f>
        <v xml:space="preserve"> Sensitisation Activity # 2 (Not in Use)</v>
      </c>
      <c r="E340" s="53" t="str">
        <f>"("&amp;IF(DD_TOP_ACTV_10_Input_Detail_or_Freeform=1,SENSITISATION!$D$57,SENSITISATION!$D$63)&amp;")"</f>
        <v>(Direct User Entry Cost Estimate)</v>
      </c>
      <c r="J340" s="119">
        <f>J324/TOP_ACTV_10_Exchange_Rate</f>
        <v>0</v>
      </c>
      <c r="K340" s="119">
        <f>K324/TOP_ACTV_10_Exchange_Rate</f>
        <v>0</v>
      </c>
      <c r="L340" s="119">
        <f>L324/TOP_ACTV_10_Exchange_Rate</f>
        <v>0</v>
      </c>
      <c r="M340" s="119">
        <f>M324/TOP_ACTV_10_Exchange_Rate</f>
        <v>0</v>
      </c>
      <c r="N340" s="119">
        <f>N324/TOP_ACTV_10_Exchange_Rate</f>
        <v>0</v>
      </c>
    </row>
    <row r="341" spans="1:14" s="10" customFormat="1" outlineLevel="1" x14ac:dyDescent="0.2"/>
    <row r="342" spans="1:14" s="10" customFormat="1" outlineLevel="1" x14ac:dyDescent="0.2">
      <c r="D342" s="76" t="str">
        <f>Lang_GoTo&amp;" "&amp;HL_TOP_ACTV_10_Single_Activity_Cost_Assumptions_Annual</f>
        <v>Go to  Sensitisation Activity # 2 (Not in Use) Single Activity Cost - Annual Assumptions (Projected or Retrospective)</v>
      </c>
    </row>
    <row r="343" spans="1:14" s="10" customFormat="1" x14ac:dyDescent="0.2"/>
    <row r="344" spans="1:14" s="10" customFormat="1" x14ac:dyDescent="0.2">
      <c r="A344" s="12" t="s">
        <v>127</v>
      </c>
      <c r="B344" s="13" t="str">
        <f>B345&amp;" "&amp;Lang_Single_Activity_Cost_Outputs_Annual&amp;" ("&amp;Lang_Local_Currency_Fin&amp;")"</f>
        <v xml:space="preserve"> Sensitisation Activity # 3 (Not in Use) Single Activity Cost Outputs - Annual (Local Currency - Financial)</v>
      </c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</row>
    <row r="345" spans="1:14" s="10" customFormat="1" outlineLevel="1" x14ac:dyDescent="0.2">
      <c r="B345" s="49" t="str">
        <f>HL_TOP_ACTV_11_Name</f>
        <v xml:space="preserve"> Sensitisation Activity # 3 (Not in Use)</v>
      </c>
    </row>
    <row r="346" spans="1:14" s="10" customFormat="1" outlineLevel="1" x14ac:dyDescent="0.2">
      <c r="B346" s="65" t="str">
        <f>SENS_Lu!$D$102&amp;" ("&amp;SENS_Lu!$D$83&amp;")"</f>
        <v>Financial (LCU)</v>
      </c>
    </row>
    <row r="347" spans="1:14" s="10" customFormat="1" outlineLevel="1" x14ac:dyDescent="0.2"/>
    <row r="348" spans="1:14" s="10" customFormat="1" outlineLevel="1" x14ac:dyDescent="0.2">
      <c r="D348" s="49" t="str">
        <f>SENSITISATION!D86</f>
        <v xml:space="preserve"> Sensitisation Activity # 3 (Not in Use)</v>
      </c>
      <c r="E348" s="53" t="str">
        <f>"("&amp;IF(DD_TOP_ACTV_11_Input_Detail_or_Freeform=1,SENSITISATION!$D$94,SENSITISATION!$D$100)&amp;")"</f>
        <v>(Direct User Entry Cost Estimate)</v>
      </c>
      <c r="J348" s="79">
        <f>IF(DD_TOP_ACTV_11_Input_Detail_or_Freeform=1,IF(DD_TOP_ACTV_11_Annual_Currency_Used=2,SENSITISATION!J$96,SENSITISATION!J$96*TOP_ACTV_11_Exchange_Rate),IF(DD_TOP_ACTV_11_Annual_Currency_Used=2,SENSITISATION!J$101,SENSITISATION!J$101*TOP_ACTV_11_Exchange_Rate))</f>
        <v>0</v>
      </c>
      <c r="K348" s="79">
        <f>IF(DD_TOP_ACTV_11_Input_Detail_or_Freeform=1,IF(DD_TOP_ACTV_11_Annual_Currency_Used=2,SENSITISATION!K$96,SENSITISATION!K$96*TOP_ACTV_11_Exchange_Rate),IF(DD_TOP_ACTV_11_Annual_Currency_Used=2,SENSITISATION!K$101,SENSITISATION!K$101*TOP_ACTV_11_Exchange_Rate))</f>
        <v>0</v>
      </c>
      <c r="L348" s="79">
        <f>IF(DD_TOP_ACTV_11_Input_Detail_or_Freeform=1,IF(DD_TOP_ACTV_11_Annual_Currency_Used=2,SENSITISATION!L$96,SENSITISATION!L$96*TOP_ACTV_11_Exchange_Rate),IF(DD_TOP_ACTV_11_Annual_Currency_Used=2,SENSITISATION!L$101,SENSITISATION!L$101*TOP_ACTV_11_Exchange_Rate))</f>
        <v>0</v>
      </c>
      <c r="M348" s="79">
        <f>IF(DD_TOP_ACTV_11_Input_Detail_or_Freeform=1,IF(DD_TOP_ACTV_11_Annual_Currency_Used=2,SENSITISATION!M$96,SENSITISATION!M$96*TOP_ACTV_11_Exchange_Rate),IF(DD_TOP_ACTV_11_Annual_Currency_Used=2,SENSITISATION!M$101,SENSITISATION!M$101*TOP_ACTV_11_Exchange_Rate))</f>
        <v>0</v>
      </c>
      <c r="N348" s="79">
        <f>IF(DD_TOP_ACTV_11_Input_Detail_or_Freeform=1,IF(DD_TOP_ACTV_11_Annual_Currency_Used=2,SENSITISATION!N$96,SENSITISATION!N$96*TOP_ACTV_11_Exchange_Rate),IF(DD_TOP_ACTV_11_Annual_Currency_Used=2,SENSITISATION!N$101,SENSITISATION!N$101*TOP_ACTV_11_Exchange_Rate))</f>
        <v>0</v>
      </c>
    </row>
    <row r="349" spans="1:14" s="10" customFormat="1" outlineLevel="1" x14ac:dyDescent="0.2"/>
    <row r="350" spans="1:14" s="10" customFormat="1" outlineLevel="1" x14ac:dyDescent="0.2">
      <c r="D350" s="76" t="str">
        <f>Lang_GoTo&amp;" "&amp;HL_TOP_ACTV_11_Single_Activity_Cost_Assumptions_Annual</f>
        <v>Go to  Sensitisation Activity # 3 (Not in Use) Single Activity Cost - Annual Assumptions (Projected or Retrospective)</v>
      </c>
    </row>
    <row r="351" spans="1:14" s="10" customFormat="1" x14ac:dyDescent="0.2"/>
    <row r="352" spans="1:14" s="10" customFormat="1" x14ac:dyDescent="0.2">
      <c r="A352" s="12" t="s">
        <v>127</v>
      </c>
      <c r="B352" s="13" t="str">
        <f>B353&amp;" "&amp;Lang_Single_Activity_Cost_Outputs_Annual&amp;" ("&amp;Lang_Local_Currency_Econ&amp;")"</f>
        <v xml:space="preserve"> Sensitisation Activity # 3 (Not in Use) Single Activity Cost Outputs - Annual (Local Currency - Economic)</v>
      </c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</row>
    <row r="353" spans="1:14" s="10" customFormat="1" outlineLevel="1" x14ac:dyDescent="0.2">
      <c r="B353" s="49" t="str">
        <f>HL_TOP_ACTV_11_Name</f>
        <v xml:space="preserve"> Sensitisation Activity # 3 (Not in Use)</v>
      </c>
    </row>
    <row r="354" spans="1:14" s="10" customFormat="1" outlineLevel="1" x14ac:dyDescent="0.2">
      <c r="B354" s="65" t="str">
        <f>SENS_Lu!$D$103&amp;" ("&amp;SENS_Lu!$D$83&amp;")"</f>
        <v>Economic (LCU)</v>
      </c>
    </row>
    <row r="355" spans="1:14" s="10" customFormat="1" outlineLevel="1" x14ac:dyDescent="0.2"/>
    <row r="356" spans="1:14" s="10" customFormat="1" outlineLevel="1" x14ac:dyDescent="0.2">
      <c r="D356" s="49" t="str">
        <f>SENSITISATION!D86</f>
        <v xml:space="preserve"> Sensitisation Activity # 3 (Not in Use)</v>
      </c>
      <c r="E356" s="53" t="str">
        <f>"("&amp;IF(DD_TOP_ACTV_11_Input_Detail_or_Freeform=1,SENSITISATION!$D$94,SENSITISATION!$D$100)&amp;")"</f>
        <v>(Direct User Entry Cost Estimate)</v>
      </c>
      <c r="J356" s="79">
        <f>IF(DD_TOP_ACTV_11_Input_Detail_or_Freeform=1,IF(DD_TOP_ACTV_11_Annual_Currency_Used=2,SENSITISATION!J$97,SENSITISATION!J$97*TOP_ACTV_11_Exchange_Rate),IF(DD_TOP_ACTV_11_Annual_Currency_Used=2,SENSITISATION!J$102,SENSITISATION!J$102*TOP_ACTV_11_Exchange_Rate))</f>
        <v>0</v>
      </c>
      <c r="K356" s="79">
        <f>IF(DD_TOP_ACTV_11_Input_Detail_or_Freeform=1,IF(DD_TOP_ACTV_11_Annual_Currency_Used=2,SENSITISATION!K$97,SENSITISATION!K$97*TOP_ACTV_11_Exchange_Rate),IF(DD_TOP_ACTV_11_Annual_Currency_Used=2,SENSITISATION!K$102,SENSITISATION!K$102*TOP_ACTV_11_Exchange_Rate))</f>
        <v>0</v>
      </c>
      <c r="L356" s="79">
        <f>IF(DD_TOP_ACTV_11_Input_Detail_or_Freeform=1,IF(DD_TOP_ACTV_11_Annual_Currency_Used=2,SENSITISATION!L$97,SENSITISATION!L$97*TOP_ACTV_11_Exchange_Rate),IF(DD_TOP_ACTV_11_Annual_Currency_Used=2,SENSITISATION!L$102,SENSITISATION!L$102*TOP_ACTV_11_Exchange_Rate))</f>
        <v>0</v>
      </c>
      <c r="M356" s="79">
        <f>IF(DD_TOP_ACTV_11_Input_Detail_or_Freeform=1,IF(DD_TOP_ACTV_11_Annual_Currency_Used=2,SENSITISATION!M$97,SENSITISATION!M$97*TOP_ACTV_11_Exchange_Rate),IF(DD_TOP_ACTV_11_Annual_Currency_Used=2,SENSITISATION!M$102,SENSITISATION!M$102*TOP_ACTV_11_Exchange_Rate))</f>
        <v>0</v>
      </c>
      <c r="N356" s="79">
        <f>IF(DD_TOP_ACTV_11_Input_Detail_or_Freeform=1,IF(DD_TOP_ACTV_11_Annual_Currency_Used=2,SENSITISATION!N$97,SENSITISATION!N$97*TOP_ACTV_11_Exchange_Rate),IF(DD_TOP_ACTV_11_Annual_Currency_Used=2,SENSITISATION!N$102,SENSITISATION!N$102*TOP_ACTV_11_Exchange_Rate))</f>
        <v>0</v>
      </c>
    </row>
    <row r="357" spans="1:14" s="10" customFormat="1" outlineLevel="1" x14ac:dyDescent="0.2"/>
    <row r="358" spans="1:14" s="10" customFormat="1" outlineLevel="1" x14ac:dyDescent="0.2">
      <c r="D358" s="76" t="str">
        <f>Lang_GoTo&amp;" "&amp;HL_TOP_ACTV_11_Single_Activity_Cost_Assumptions_Annual</f>
        <v>Go to  Sensitisation Activity # 3 (Not in Use) Single Activity Cost - Annual Assumptions (Projected or Retrospective)</v>
      </c>
    </row>
    <row r="359" spans="1:14" s="10" customFormat="1" x14ac:dyDescent="0.2"/>
    <row r="360" spans="1:14" s="10" customFormat="1" x14ac:dyDescent="0.2">
      <c r="A360" s="12" t="s">
        <v>127</v>
      </c>
      <c r="B360" s="13" t="str">
        <f>B361&amp;" "&amp;Lang_Single_Activity_Cost_Outputs_Annual&amp;" ("&amp;Lang_International_Currency_Fin&amp;")"</f>
        <v xml:space="preserve"> Sensitisation Activity # 3 (Not in Use) Single Activity Cost Outputs - Annual (International Currency - Financial)</v>
      </c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</row>
    <row r="361" spans="1:14" s="10" customFormat="1" outlineLevel="1" x14ac:dyDescent="0.2">
      <c r="B361" s="49" t="str">
        <f>HL_TOP_ACTV_11_Name</f>
        <v xml:space="preserve"> Sensitisation Activity # 3 (Not in Use)</v>
      </c>
    </row>
    <row r="362" spans="1:14" s="10" customFormat="1" outlineLevel="1" x14ac:dyDescent="0.2">
      <c r="B362" s="65" t="str">
        <f>SENS_Lu!$D$102&amp;" ("&amp;SENS_Lu!$D$82&amp;")"</f>
        <v>Financial (USD)</v>
      </c>
    </row>
    <row r="363" spans="1:14" s="10" customFormat="1" outlineLevel="1" x14ac:dyDescent="0.2"/>
    <row r="364" spans="1:14" s="10" customFormat="1" outlineLevel="1" x14ac:dyDescent="0.2">
      <c r="D364" s="49" t="str">
        <f>SENSITISATION!D86</f>
        <v xml:space="preserve"> Sensitisation Activity # 3 (Not in Use)</v>
      </c>
      <c r="E364" s="53" t="str">
        <f>"("&amp;IF(DD_TOP_ACTV_11_Input_Detail_or_Freeform=1,SENSITISATION!$D$94,SENSITISATION!$D$100)&amp;")"</f>
        <v>(Direct User Entry Cost Estimate)</v>
      </c>
      <c r="J364" s="119">
        <f>J348/TOP_ACTV_11_Exchange_Rate</f>
        <v>0</v>
      </c>
      <c r="K364" s="119">
        <f>K348/TOP_ACTV_11_Exchange_Rate</f>
        <v>0</v>
      </c>
      <c r="L364" s="119">
        <f>L348/TOP_ACTV_11_Exchange_Rate</f>
        <v>0</v>
      </c>
      <c r="M364" s="119">
        <f>M348/TOP_ACTV_11_Exchange_Rate</f>
        <v>0</v>
      </c>
      <c r="N364" s="119">
        <f>N348/TOP_ACTV_11_Exchange_Rate</f>
        <v>0</v>
      </c>
    </row>
    <row r="365" spans="1:14" s="10" customFormat="1" outlineLevel="1" x14ac:dyDescent="0.2"/>
    <row r="366" spans="1:14" s="10" customFormat="1" outlineLevel="1" x14ac:dyDescent="0.2">
      <c r="D366" s="76" t="str">
        <f>Lang_GoTo&amp;" "&amp;HL_TOP_ACTV_11_Single_Activity_Cost_Assumptions_Annual</f>
        <v>Go to  Sensitisation Activity # 3 (Not in Use) Single Activity Cost - Annual Assumptions (Projected or Retrospective)</v>
      </c>
    </row>
    <row r="367" spans="1:14" s="10" customFormat="1" x14ac:dyDescent="0.2"/>
    <row r="368" spans="1:14" s="10" customFormat="1" x14ac:dyDescent="0.2">
      <c r="A368" s="12" t="s">
        <v>127</v>
      </c>
      <c r="B368" s="13" t="str">
        <f>B369&amp;" "&amp;Lang_Single_Activity_Cost_Outputs_Annual&amp;" ("&amp;Lang_International_Currency_Econ&amp;")"</f>
        <v xml:space="preserve"> Sensitisation Activity # 3 (Not in Use) Single Activity Cost Outputs - Annual (International Currency - Economic)</v>
      </c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</row>
    <row r="369" spans="1:14" s="10" customFormat="1" outlineLevel="1" x14ac:dyDescent="0.2">
      <c r="B369" s="49" t="str">
        <f>HL_TOP_ACTV_11_Name</f>
        <v xml:space="preserve"> Sensitisation Activity # 3 (Not in Use)</v>
      </c>
    </row>
    <row r="370" spans="1:14" s="10" customFormat="1" outlineLevel="1" x14ac:dyDescent="0.2">
      <c r="B370" s="65" t="str">
        <f>SENS_Lu!$D$103&amp;" ("&amp;SENS_Lu!$D$82&amp;")"</f>
        <v>Economic (USD)</v>
      </c>
    </row>
    <row r="371" spans="1:14" s="10" customFormat="1" outlineLevel="1" x14ac:dyDescent="0.2"/>
    <row r="372" spans="1:14" s="10" customFormat="1" outlineLevel="1" x14ac:dyDescent="0.2">
      <c r="D372" s="49" t="str">
        <f>SENSITISATION!D86</f>
        <v xml:space="preserve"> Sensitisation Activity # 3 (Not in Use)</v>
      </c>
      <c r="E372" s="53" t="str">
        <f>"("&amp;IF(DD_TOP_ACTV_11_Input_Detail_or_Freeform=1,SENSITISATION!$D$94,SENSITISATION!$D$100)&amp;")"</f>
        <v>(Direct User Entry Cost Estimate)</v>
      </c>
      <c r="J372" s="119">
        <f>J356/TOP_ACTV_11_Exchange_Rate</f>
        <v>0</v>
      </c>
      <c r="K372" s="119">
        <f>K356/TOP_ACTV_11_Exchange_Rate</f>
        <v>0</v>
      </c>
      <c r="L372" s="119">
        <f>L356/TOP_ACTV_11_Exchange_Rate</f>
        <v>0</v>
      </c>
      <c r="M372" s="119">
        <f>M356/TOP_ACTV_11_Exchange_Rate</f>
        <v>0</v>
      </c>
      <c r="N372" s="119">
        <f>N356/TOP_ACTV_11_Exchange_Rate</f>
        <v>0</v>
      </c>
    </row>
    <row r="373" spans="1:14" s="10" customFormat="1" outlineLevel="1" x14ac:dyDescent="0.2"/>
    <row r="374" spans="1:14" s="10" customFormat="1" outlineLevel="1" x14ac:dyDescent="0.2">
      <c r="D374" s="76" t="str">
        <f>Lang_GoTo&amp;" "&amp;HL_TOP_ACTV_11_Single_Activity_Cost_Assumptions_Annual</f>
        <v>Go to  Sensitisation Activity # 3 (Not in Use) Single Activity Cost - Annual Assumptions (Projected or Retrospective)</v>
      </c>
    </row>
    <row r="375" spans="1:14" s="10" customFormat="1" x14ac:dyDescent="0.2"/>
    <row r="376" spans="1:14" s="10" customFormat="1" x14ac:dyDescent="0.2">
      <c r="A376" s="12" t="s">
        <v>127</v>
      </c>
      <c r="B376" s="13" t="str">
        <f>B377&amp;" "&amp;Lang_Single_Activity_Cost_Outputs_Annual&amp;" ("&amp;Lang_Local_Currency_Fin&amp;")"</f>
        <v xml:space="preserve"> Sensitisation Activity # 4 (Not in Use) Single Activity Cost Outputs - Annual (Local Currency - Financial)</v>
      </c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</row>
    <row r="377" spans="1:14" s="10" customFormat="1" outlineLevel="1" x14ac:dyDescent="0.2">
      <c r="B377" s="49" t="str">
        <f>HL_LVL2_ACTV_3_Name</f>
        <v xml:space="preserve"> Sensitisation Activity # 4 (Not in Use)</v>
      </c>
    </row>
    <row r="378" spans="1:14" s="10" customFormat="1" outlineLevel="1" x14ac:dyDescent="0.2">
      <c r="B378" s="65" t="str">
        <f>SENS_Lu!$D$137&amp;" ("&amp;SENS_Lu!$D$118&amp;")"</f>
        <v>Financial (LCU)</v>
      </c>
      <c r="E378" s="53" t="str">
        <f>"("&amp;IF(DD_LVL2_ACTV_3_Input_Detail_or_Freeform=1,SENSITISATION!$D$133,SENSITISATION!$D$139)&amp;")"</f>
        <v>(Direct User Entry Cost Estimate)</v>
      </c>
    </row>
    <row r="379" spans="1:14" s="10" customFormat="1" outlineLevel="1" x14ac:dyDescent="0.2"/>
    <row r="380" spans="1:14" s="10" customFormat="1" outlineLevel="1" x14ac:dyDescent="0.2">
      <c r="D380" s="49" t="str">
        <f>HL_LVL2_ACTV_3_Name</f>
        <v xml:space="preserve"> Sensitisation Activity # 4 (Not in Use)</v>
      </c>
      <c r="J380" s="362">
        <f>IF(DD_LVL2_ACTV_3_Input_Detail_or_Freeform=1,IF(DD_LVL2_ACTV_3_Annual_Currency_Select=2,SENSITISATION!J$135,SENSITISATION!J$135*LVL2_ACTV_3_Exchange_Rate),IF(DD_LVL2_ACTV_3_Annual_Currency_Select=2,SENSITISATION!J$140,SENSITISATION!J$140*LVL2_ACTV_3_Exchange_Rate))</f>
        <v>0</v>
      </c>
      <c r="K380" s="362">
        <f>IF(DD_LVL2_ACTV_3_Input_Detail_or_Freeform=1,IF(DD_LVL2_ACTV_3_Annual_Currency_Select=2,SENSITISATION!K$135,SENSITISATION!K$135*LVL2_ACTV_3_Exchange_Rate),IF(DD_LVL2_ACTV_3_Annual_Currency_Select=2,SENSITISATION!K$140,SENSITISATION!K$140*LVL2_ACTV_3_Exchange_Rate))</f>
        <v>0</v>
      </c>
      <c r="L380" s="362">
        <f>IF(DD_LVL2_ACTV_3_Input_Detail_or_Freeform=1,IF(DD_LVL2_ACTV_3_Annual_Currency_Select=2,SENSITISATION!L$135,SENSITISATION!L$135*LVL2_ACTV_3_Exchange_Rate),IF(DD_LVL2_ACTV_3_Annual_Currency_Select=2,SENSITISATION!L$140,SENSITISATION!L$140*LVL2_ACTV_3_Exchange_Rate))</f>
        <v>0</v>
      </c>
      <c r="M380" s="362">
        <f>IF(DD_LVL2_ACTV_3_Input_Detail_or_Freeform=1,IF(DD_LVL2_ACTV_3_Annual_Currency_Select=2,SENSITISATION!M$135,SENSITISATION!M$135*LVL2_ACTV_3_Exchange_Rate),IF(DD_LVL2_ACTV_3_Annual_Currency_Select=2,SENSITISATION!M$140,SENSITISATION!M$140*LVL2_ACTV_3_Exchange_Rate))</f>
        <v>0</v>
      </c>
      <c r="N380" s="362">
        <f>IF(DD_LVL2_ACTV_3_Input_Detail_or_Freeform=1,IF(DD_LVL2_ACTV_3_Annual_Currency_Select=2,SENSITISATION!N$135,SENSITISATION!N$135*LVL2_ACTV_3_Exchange_Rate),IF(DD_LVL2_ACTV_3_Annual_Currency_Select=2,SENSITISATION!N$140,SENSITISATION!N$140*LVL2_ACTV_3_Exchange_Rate))</f>
        <v>0</v>
      </c>
    </row>
    <row r="381" spans="1:14" s="10" customFormat="1" outlineLevel="1" x14ac:dyDescent="0.2">
      <c r="D381" s="114" t="str">
        <f>HL_LVL2_ACTV_3_Name</f>
        <v xml:space="preserve"> Sensitisation Activity # 4 (Not in Use)</v>
      </c>
      <c r="J381" s="43">
        <f>SUM(J380:J380)</f>
        <v>0</v>
      </c>
      <c r="K381" s="43">
        <f>SUM(K380:K380)</f>
        <v>0</v>
      </c>
      <c r="L381" s="43">
        <f>SUM(L380:L380)</f>
        <v>0</v>
      </c>
      <c r="M381" s="43">
        <f>SUM(M380:M380)</f>
        <v>0</v>
      </c>
      <c r="N381" s="43">
        <f>SUM(N380:N380)</f>
        <v>0</v>
      </c>
    </row>
    <row r="382" spans="1:14" s="10" customFormat="1" outlineLevel="1" x14ac:dyDescent="0.2"/>
    <row r="383" spans="1:14" s="10" customFormat="1" outlineLevel="1" x14ac:dyDescent="0.2"/>
    <row r="384" spans="1:14" s="10" customFormat="1" outlineLevel="1" x14ac:dyDescent="0.2">
      <c r="D384" s="76" t="str">
        <f>Lang_GoTo&amp;" "&amp;HL_LVL2_ACTV_3_Single_Activity_Cost_Assumptions_Annual</f>
        <v>Go to  Sensitisation Activity # 4 (Not in Use) Single Activity Cost - Annual Assumptions (Projected or Retrospective)</v>
      </c>
    </row>
    <row r="385" spans="1:14" s="10" customFormat="1" x14ac:dyDescent="0.2"/>
    <row r="386" spans="1:14" s="10" customFormat="1" x14ac:dyDescent="0.2">
      <c r="A386" s="12" t="s">
        <v>127</v>
      </c>
      <c r="B386" s="13" t="str">
        <f>B387&amp;" "&amp;Lang_Single_Activity_Cost_Outputs_Annual&amp;" ("&amp;Lang_Local_Currency_Econ&amp;")"</f>
        <v xml:space="preserve"> Sensitisation Activity # 4 (Not in Use) Single Activity Cost Outputs - Annual (Local Currency - Economic)</v>
      </c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</row>
    <row r="387" spans="1:14" s="10" customFormat="1" outlineLevel="1" x14ac:dyDescent="0.2">
      <c r="B387" s="49" t="str">
        <f>HL_LVL2_ACTV_3_Name</f>
        <v xml:space="preserve"> Sensitisation Activity # 4 (Not in Use)</v>
      </c>
    </row>
    <row r="388" spans="1:14" s="10" customFormat="1" outlineLevel="1" x14ac:dyDescent="0.2">
      <c r="B388" s="65" t="str">
        <f>SENS_Lu!$D$138&amp;" ("&amp;SENS_Lu!$D$118&amp;")"</f>
        <v>Economic (LCU)</v>
      </c>
      <c r="E388" s="53" t="str">
        <f>"("&amp;IF(DD_LVL2_ACTV_3_Input_Detail_or_Freeform=1,SENSITISATION!$D$133,SENSITISATION!$D$139)&amp;")"</f>
        <v>(Direct User Entry Cost Estimate)</v>
      </c>
    </row>
    <row r="389" spans="1:14" s="10" customFormat="1" outlineLevel="1" x14ac:dyDescent="0.2"/>
    <row r="390" spans="1:14" s="10" customFormat="1" outlineLevel="1" x14ac:dyDescent="0.2">
      <c r="D390" s="49" t="str">
        <f>HL_LVL2_ACTV_3_Name</f>
        <v xml:space="preserve"> Sensitisation Activity # 4 (Not in Use)</v>
      </c>
      <c r="J390" s="140">
        <f>IF(DD_LVL2_ACTV_3_Input_Detail_or_Freeform=1,IF(DD_LVL2_ACTV_3_Annual_Currency_Select=2,SENSITISATION!J$136,SENSITISATION!J$136*LVL2_ACTV_3_Exchange_Rate),IF(DD_LVL2_ACTV_3_Annual_Currency_Select=2,SENSITISATION!J$141,SENSITISATION!J$141*LVL2_ACTV_3_Exchange_Rate))</f>
        <v>0</v>
      </c>
      <c r="K390" s="140">
        <f>IF(DD_LVL2_ACTV_3_Input_Detail_or_Freeform=1,IF(DD_LVL2_ACTV_3_Annual_Currency_Select=2,SENSITISATION!K$136,SENSITISATION!K$136*LVL2_ACTV_3_Exchange_Rate),IF(DD_LVL2_ACTV_3_Annual_Currency_Select=2,SENSITISATION!K$141,SENSITISATION!K$141*LVL2_ACTV_3_Exchange_Rate))</f>
        <v>0</v>
      </c>
      <c r="L390" s="140">
        <f>IF(DD_LVL2_ACTV_3_Input_Detail_or_Freeform=1,IF(DD_LVL2_ACTV_3_Annual_Currency_Select=2,SENSITISATION!L$136,SENSITISATION!L$136*LVL2_ACTV_3_Exchange_Rate),IF(DD_LVL2_ACTV_3_Annual_Currency_Select=2,SENSITISATION!L$141,SENSITISATION!L$141*LVL2_ACTV_3_Exchange_Rate))</f>
        <v>0</v>
      </c>
      <c r="M390" s="140">
        <f>IF(DD_LVL2_ACTV_3_Input_Detail_or_Freeform=1,IF(DD_LVL2_ACTV_3_Annual_Currency_Select=2,SENSITISATION!M$136,SENSITISATION!M$136*LVL2_ACTV_3_Exchange_Rate),IF(DD_LVL2_ACTV_3_Annual_Currency_Select=2,SENSITISATION!M$141,SENSITISATION!M$141*LVL2_ACTV_3_Exchange_Rate))</f>
        <v>0</v>
      </c>
      <c r="N390" s="140">
        <f>IF(DD_LVL2_ACTV_3_Input_Detail_or_Freeform=1,IF(DD_LVL2_ACTV_3_Annual_Currency_Select=2,SENSITISATION!N$136,SENSITISATION!N$136*LVL2_ACTV_3_Exchange_Rate),IF(DD_LVL2_ACTV_3_Annual_Currency_Select=2,SENSITISATION!N$141,SENSITISATION!N$141*LVL2_ACTV_3_Exchange_Rate))</f>
        <v>0</v>
      </c>
    </row>
    <row r="391" spans="1:14" s="10" customFormat="1" outlineLevel="1" x14ac:dyDescent="0.2">
      <c r="D391" s="114" t="str">
        <f>HL_LVL2_ACTV_3_Name</f>
        <v xml:space="preserve"> Sensitisation Activity # 4 (Not in Use)</v>
      </c>
      <c r="J391" s="41">
        <f>SUM(J390:J390)</f>
        <v>0</v>
      </c>
      <c r="K391" s="41">
        <f>SUM(K390:K390)</f>
        <v>0</v>
      </c>
      <c r="L391" s="41">
        <f>SUM(L390:L390)</f>
        <v>0</v>
      </c>
      <c r="M391" s="41">
        <f>SUM(M390:M390)</f>
        <v>0</v>
      </c>
      <c r="N391" s="41">
        <f>SUM(N390:N390)</f>
        <v>0</v>
      </c>
    </row>
    <row r="392" spans="1:14" s="10" customFormat="1" outlineLevel="1" x14ac:dyDescent="0.2"/>
    <row r="393" spans="1:14" s="10" customFormat="1" outlineLevel="1" x14ac:dyDescent="0.2">
      <c r="D393" s="76" t="str">
        <f>Lang_GoTo&amp;" "&amp;HL_LVL2_ACTV_3_Single_Activity_Cost_Assumptions_Annual</f>
        <v>Go to  Sensitisation Activity # 4 (Not in Use) Single Activity Cost - Annual Assumptions (Projected or Retrospective)</v>
      </c>
    </row>
    <row r="394" spans="1:14" s="10" customFormat="1" x14ac:dyDescent="0.2"/>
    <row r="395" spans="1:14" s="10" customFormat="1" x14ac:dyDescent="0.2">
      <c r="A395" s="12" t="s">
        <v>127</v>
      </c>
      <c r="B395" s="13" t="str">
        <f>B396&amp;" "&amp;Lang_Single_Activity_Cost_Outputs_Annual&amp;" ("&amp;Lang_International_Currency_Fin&amp;")"</f>
        <v xml:space="preserve"> Sensitisation Activity # 4 (Not in Use) Single Activity Cost Outputs - Annual (International Currency - Financial)</v>
      </c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</row>
    <row r="396" spans="1:14" s="10" customFormat="1" outlineLevel="1" x14ac:dyDescent="0.2">
      <c r="B396" s="49" t="str">
        <f>HL_LVL2_ACTV_3_Name</f>
        <v xml:space="preserve"> Sensitisation Activity # 4 (Not in Use)</v>
      </c>
    </row>
    <row r="397" spans="1:14" s="10" customFormat="1" outlineLevel="1" x14ac:dyDescent="0.2">
      <c r="B397" s="65" t="str">
        <f>SENS_Lu!$D$137&amp;" ("&amp;SENS_Lu!$D$117&amp;")"</f>
        <v>Financial (USD)</v>
      </c>
      <c r="E397" s="53" t="str">
        <f>"("&amp;IF(DD_LVL2_ACTV_3_Input_Detail_or_Freeform=1,SENSITISATION!$D$133,SENSITISATION!$D$139)&amp;")"</f>
        <v>(Direct User Entry Cost Estimate)</v>
      </c>
    </row>
    <row r="398" spans="1:14" s="10" customFormat="1" outlineLevel="1" x14ac:dyDescent="0.2"/>
    <row r="399" spans="1:14" s="10" customFormat="1" outlineLevel="1" x14ac:dyDescent="0.2">
      <c r="D399" s="49" t="str">
        <f>HL_LVL2_ACTV_3_Name</f>
        <v xml:space="preserve"> Sensitisation Activity # 4 (Not in Use)</v>
      </c>
      <c r="J399" s="138">
        <f>J380/LVL2_ACTV_3_Exchange_Rate</f>
        <v>0</v>
      </c>
      <c r="K399" s="138">
        <f>K380/LVL2_ACTV_3_Exchange_Rate</f>
        <v>0</v>
      </c>
      <c r="L399" s="138">
        <f>L380/LVL2_ACTV_3_Exchange_Rate</f>
        <v>0</v>
      </c>
      <c r="M399" s="138">
        <f>M380/LVL2_ACTV_3_Exchange_Rate</f>
        <v>0</v>
      </c>
      <c r="N399" s="138">
        <f>N380/LVL2_ACTV_3_Exchange_Rate</f>
        <v>0</v>
      </c>
    </row>
    <row r="400" spans="1:14" s="10" customFormat="1" outlineLevel="1" x14ac:dyDescent="0.2">
      <c r="D400" s="114" t="str">
        <f>HL_LVL2_ACTV_3_Name</f>
        <v xml:space="preserve"> Sensitisation Activity # 4 (Not in Use)</v>
      </c>
      <c r="J400" s="119">
        <f>SUM(J399:J399)</f>
        <v>0</v>
      </c>
      <c r="K400" s="119">
        <f>SUM(K399:K399)</f>
        <v>0</v>
      </c>
      <c r="L400" s="119">
        <f>SUM(L399:L399)</f>
        <v>0</v>
      </c>
      <c r="M400" s="119">
        <f>SUM(M399:M399)</f>
        <v>0</v>
      </c>
      <c r="N400" s="119">
        <f>SUM(N399:N399)</f>
        <v>0</v>
      </c>
    </row>
    <row r="401" spans="1:14" s="10" customFormat="1" outlineLevel="1" x14ac:dyDescent="0.2"/>
    <row r="402" spans="1:14" s="10" customFormat="1" outlineLevel="1" x14ac:dyDescent="0.2">
      <c r="D402" s="76" t="str">
        <f>Lang_GoTo&amp;" "&amp;HL_LVL2_ACTV_3_Single_Activity_Cost_Assumptions_Annual</f>
        <v>Go to  Sensitisation Activity # 4 (Not in Use) Single Activity Cost - Annual Assumptions (Projected or Retrospective)</v>
      </c>
    </row>
    <row r="403" spans="1:14" s="10" customFormat="1" x14ac:dyDescent="0.2"/>
    <row r="404" spans="1:14" s="10" customFormat="1" x14ac:dyDescent="0.2">
      <c r="A404" s="12" t="s">
        <v>127</v>
      </c>
      <c r="B404" s="13" t="str">
        <f>B405&amp;" "&amp;Lang_Single_Activity_Cost_Outputs_Annual&amp;" ("&amp;Lang_International_Currency_Econ&amp;")"</f>
        <v xml:space="preserve"> Sensitisation Activity # 4 (Not in Use) Single Activity Cost Outputs - Annual (International Currency - Economic)</v>
      </c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</row>
    <row r="405" spans="1:14" s="10" customFormat="1" outlineLevel="1" x14ac:dyDescent="0.2">
      <c r="B405" s="49" t="str">
        <f>HL_LVL2_ACTV_3_Name</f>
        <v xml:space="preserve"> Sensitisation Activity # 4 (Not in Use)</v>
      </c>
    </row>
    <row r="406" spans="1:14" s="10" customFormat="1" outlineLevel="1" x14ac:dyDescent="0.2">
      <c r="B406" s="65" t="str">
        <f>SENS_Lu!$D$138&amp;" ("&amp;SENS_Lu!$D$117&amp;")"</f>
        <v>Economic (USD)</v>
      </c>
      <c r="E406" s="53" t="str">
        <f>"("&amp;IF(DD_LVL2_ACTV_3_Input_Detail_or_Freeform=1,SENSITISATION!$D$133,SENSITISATION!$D$139)&amp;")"</f>
        <v>(Direct User Entry Cost Estimate)</v>
      </c>
    </row>
    <row r="407" spans="1:14" s="10" customFormat="1" outlineLevel="1" x14ac:dyDescent="0.2"/>
    <row r="408" spans="1:14" s="10" customFormat="1" outlineLevel="1" x14ac:dyDescent="0.2">
      <c r="D408" s="49" t="str">
        <f>HL_LVL2_ACTV_3_Name</f>
        <v xml:space="preserve"> Sensitisation Activity # 4 (Not in Use)</v>
      </c>
      <c r="J408" s="138">
        <f>J390/LVL2_ACTV_3_Exchange_Rate</f>
        <v>0</v>
      </c>
      <c r="K408" s="138">
        <f>K390/LVL2_ACTV_3_Exchange_Rate</f>
        <v>0</v>
      </c>
      <c r="L408" s="138">
        <f>L390/LVL2_ACTV_3_Exchange_Rate</f>
        <v>0</v>
      </c>
      <c r="M408" s="138">
        <f>M390/LVL2_ACTV_3_Exchange_Rate</f>
        <v>0</v>
      </c>
      <c r="N408" s="138">
        <f>N390/LVL2_ACTV_3_Exchange_Rate</f>
        <v>0</v>
      </c>
    </row>
    <row r="409" spans="1:14" s="10" customFormat="1" outlineLevel="1" x14ac:dyDescent="0.2">
      <c r="D409" s="114" t="str">
        <f>HL_LVL2_ACTV_3_Name</f>
        <v xml:space="preserve"> Sensitisation Activity # 4 (Not in Use)</v>
      </c>
      <c r="J409" s="119">
        <f>SUM(J408:J408)</f>
        <v>0</v>
      </c>
      <c r="K409" s="119">
        <f>SUM(K408:K408)</f>
        <v>0</v>
      </c>
      <c r="L409" s="119">
        <f>SUM(L408:L408)</f>
        <v>0</v>
      </c>
      <c r="M409" s="119">
        <f>SUM(M408:M408)</f>
        <v>0</v>
      </c>
      <c r="N409" s="119">
        <f>SUM(N408:N408)</f>
        <v>0</v>
      </c>
    </row>
    <row r="410" spans="1:14" s="10" customFormat="1" outlineLevel="1" x14ac:dyDescent="0.2"/>
    <row r="411" spans="1:14" s="10" customFormat="1" outlineLevel="1" x14ac:dyDescent="0.2">
      <c r="D411" s="76" t="str">
        <f>Lang_GoTo&amp;" "&amp;HL_LVL2_ACTV_3_Single_Activity_Cost_Assumptions_Annual</f>
        <v>Go to  Sensitisation Activity # 4 (Not in Use) Single Activity Cost - Annual Assumptions (Projected or Retrospective)</v>
      </c>
    </row>
    <row r="412" spans="1:14" s="10" customFormat="1" x14ac:dyDescent="0.2"/>
    <row r="413" spans="1:14" s="10" customFormat="1" x14ac:dyDescent="0.2">
      <c r="A413" s="12" t="s">
        <v>127</v>
      </c>
      <c r="B413" s="13" t="str">
        <f>B414&amp;" "&amp;Lang_Single_Activity_Cost_Outputs_Annual&amp;" ("&amp;Lang_Local_Currency_Fin&amp;")"</f>
        <v xml:space="preserve"> Sensitisation Activity # 5 (Not in Use) Single Activity Cost Outputs - Annual (Local Currency - Financial)</v>
      </c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</row>
    <row r="414" spans="1:14" s="10" customFormat="1" outlineLevel="1" x14ac:dyDescent="0.2">
      <c r="B414" s="10" t="str">
        <f>HL_LVL2_ACTV_18_Name</f>
        <v xml:space="preserve"> Sensitisation Activity # 5 (Not in Use)</v>
      </c>
    </row>
    <row r="415" spans="1:14" s="10" customFormat="1" outlineLevel="1" x14ac:dyDescent="0.2">
      <c r="B415" s="65" t="str">
        <f>SENS_Lu!$D$172&amp;" ("&amp;SENS_Lu!$D$153&amp;")"</f>
        <v>Financial (LCU)</v>
      </c>
      <c r="E415" s="53" t="str">
        <f>"("&amp;IF(DD_LVL2_ACTV_18_Input_Detail_or_Freeform=1,SENSITISATION!$D$176,SENSITISATION!$D$182)&amp;")"</f>
        <v>(Direct User Entry Cost Estimate)</v>
      </c>
    </row>
    <row r="416" spans="1:14" s="10" customFormat="1" outlineLevel="1" x14ac:dyDescent="0.2"/>
    <row r="417" spans="1:14" s="10" customFormat="1" outlineLevel="1" x14ac:dyDescent="0.2">
      <c r="D417" s="49" t="str">
        <f>HL_LVL2_ACTV_18_Name</f>
        <v xml:space="preserve"> Sensitisation Activity # 5 (Not in Use)</v>
      </c>
      <c r="J417" s="362">
        <f>IF(DD_LVL2_ACTV_18_Input_Detail_or_Freeform=1,IF(DD_LVL2_ACTV_18_Annual_Currency_Select=2,SENSITISATION!J$178,SENSITISATION!J$178*LVL2_ACTV_18_Exchange_Rate),IF(DD_LVL2_ACTV_18_Annual_Currency_Select=2,SENSITISATION!J$183,SENSITISATION!J$183*LVL2_ACTV_18_Exchange_Rate))</f>
        <v>0</v>
      </c>
      <c r="K417" s="362">
        <f>IF(DD_LVL2_ACTV_18_Input_Detail_or_Freeform=1,IF(DD_LVL2_ACTV_18_Annual_Currency_Select=2,SENSITISATION!K$178,SENSITISATION!K$178*LVL2_ACTV_18_Exchange_Rate),IF(DD_LVL2_ACTV_18_Annual_Currency_Select=2,SENSITISATION!K$183,SENSITISATION!K$183*LVL2_ACTV_18_Exchange_Rate))</f>
        <v>0</v>
      </c>
      <c r="L417" s="362">
        <f>IF(DD_LVL2_ACTV_18_Input_Detail_or_Freeform=1,IF(DD_LVL2_ACTV_18_Annual_Currency_Select=2,SENSITISATION!L$178,SENSITISATION!L$178*LVL2_ACTV_18_Exchange_Rate),IF(DD_LVL2_ACTV_18_Annual_Currency_Select=2,SENSITISATION!L$183,SENSITISATION!L$183*LVL2_ACTV_18_Exchange_Rate))</f>
        <v>0</v>
      </c>
      <c r="M417" s="362">
        <f>IF(DD_LVL2_ACTV_18_Input_Detail_or_Freeform=1,IF(DD_LVL2_ACTV_18_Annual_Currency_Select=2,SENSITISATION!M$178,SENSITISATION!M$178*LVL2_ACTV_18_Exchange_Rate),IF(DD_LVL2_ACTV_18_Annual_Currency_Select=2,SENSITISATION!M$183,SENSITISATION!M$183*LVL2_ACTV_18_Exchange_Rate))</f>
        <v>0</v>
      </c>
      <c r="N417" s="362">
        <f>IF(DD_LVL2_ACTV_18_Input_Detail_or_Freeform=1,IF(DD_LVL2_ACTV_18_Annual_Currency_Select=2,SENSITISATION!N$178,SENSITISATION!N$178*LVL2_ACTV_18_Exchange_Rate),IF(DD_LVL2_ACTV_18_Annual_Currency_Select=2,SENSITISATION!N$183,SENSITISATION!N$183*LVL2_ACTV_18_Exchange_Rate))</f>
        <v>0</v>
      </c>
    </row>
    <row r="418" spans="1:14" s="10" customFormat="1" outlineLevel="1" x14ac:dyDescent="0.2">
      <c r="D418" s="114" t="str">
        <f>HL_LVL2_ACTV_18_Name</f>
        <v xml:space="preserve"> Sensitisation Activity # 5 (Not in Use)</v>
      </c>
      <c r="J418" s="43">
        <f>SUM(J417:J417)</f>
        <v>0</v>
      </c>
      <c r="K418" s="43">
        <f>SUM(K417:K417)</f>
        <v>0</v>
      </c>
      <c r="L418" s="43">
        <f>SUM(L417:L417)</f>
        <v>0</v>
      </c>
      <c r="M418" s="43">
        <f>SUM(M417:M417)</f>
        <v>0</v>
      </c>
      <c r="N418" s="43">
        <f>SUM(N417:N417)</f>
        <v>0</v>
      </c>
    </row>
    <row r="419" spans="1:14" s="10" customFormat="1" outlineLevel="1" x14ac:dyDescent="0.2"/>
    <row r="420" spans="1:14" s="10" customFormat="1" outlineLevel="1" x14ac:dyDescent="0.2"/>
    <row r="421" spans="1:14" s="10" customFormat="1" outlineLevel="1" x14ac:dyDescent="0.2">
      <c r="D421" s="76" t="str">
        <f>Lang_GoTo&amp;" "&amp;HL_LVL2_ACTV_18_Single_Activity_Cost_Assumptions_Annual</f>
        <v>Go to  Sensitisation Activity # 5 (Not in Use) Single Activity Cost - Annual Assumptions (Projected or Retrospective)</v>
      </c>
    </row>
    <row r="422" spans="1:14" s="10" customFormat="1" x14ac:dyDescent="0.2"/>
    <row r="423" spans="1:14" s="10" customFormat="1" x14ac:dyDescent="0.2">
      <c r="A423" s="12" t="s">
        <v>127</v>
      </c>
      <c r="B423" s="13" t="str">
        <f>B424&amp;" "&amp;Lang_Single_Activity_Cost_Outputs_Annual&amp;" ("&amp;Lang_Local_Currency_Econ&amp;")"</f>
        <v xml:space="preserve"> Sensitisation Activity # 5 (Not in Use) Single Activity Cost Outputs - Annual (Local Currency - Economic)</v>
      </c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</row>
    <row r="424" spans="1:14" s="10" customFormat="1" outlineLevel="1" x14ac:dyDescent="0.2">
      <c r="B424" s="10" t="str">
        <f>HL_LVL2_ACTV_18_Name</f>
        <v xml:space="preserve"> Sensitisation Activity # 5 (Not in Use)</v>
      </c>
    </row>
    <row r="425" spans="1:14" s="10" customFormat="1" outlineLevel="1" x14ac:dyDescent="0.2">
      <c r="B425" s="65" t="str">
        <f>SENS_Lu!$D$173&amp;" ("&amp;SENS_Lu!$D$153&amp;")"</f>
        <v>Economic (LCU)</v>
      </c>
      <c r="E425" s="53" t="str">
        <f>"("&amp;IF(DD_LVL2_ACTV_18_Input_Detail_or_Freeform=1,SENSITISATION!$D$176,SENSITISATION!$D$182)&amp;")"</f>
        <v>(Direct User Entry Cost Estimate)</v>
      </c>
    </row>
    <row r="426" spans="1:14" s="10" customFormat="1" outlineLevel="1" x14ac:dyDescent="0.2"/>
    <row r="427" spans="1:14" s="10" customFormat="1" outlineLevel="1" x14ac:dyDescent="0.2">
      <c r="D427" s="49" t="str">
        <f>HL_LVL2_ACTV_18_Name</f>
        <v xml:space="preserve"> Sensitisation Activity # 5 (Not in Use)</v>
      </c>
      <c r="J427" s="141">
        <f>IF(DD_LVL2_ACTV_18_Input_Detail_or_Freeform=1,IF(DD_LVL2_ACTV_18_Annual_Currency_Select=2,SENSITISATION!J$179,SENSITISATION!J$179*LVL2_ACTV_18_Exchange_Rate),IF(DD_LVL2_ACTV_18_Annual_Currency_Select=2,SENSITISATION!J$184,SENSITISATION!J$184*LVL2_ACTV_18_Exchange_Rate))</f>
        <v>0</v>
      </c>
      <c r="K427" s="141">
        <f>IF(DD_LVL2_ACTV_18_Input_Detail_or_Freeform=1,IF(DD_LVL2_ACTV_18_Annual_Currency_Select=2,SENSITISATION!K$179,SENSITISATION!K$179*LVL2_ACTV_18_Exchange_Rate),IF(DD_LVL2_ACTV_18_Annual_Currency_Select=2,SENSITISATION!K$184,SENSITISATION!K$184*LVL2_ACTV_18_Exchange_Rate))</f>
        <v>0</v>
      </c>
      <c r="L427" s="141">
        <f>IF(DD_LVL2_ACTV_18_Input_Detail_or_Freeform=1,IF(DD_LVL2_ACTV_18_Annual_Currency_Select=2,SENSITISATION!L$179,SENSITISATION!L$179*LVL2_ACTV_18_Exchange_Rate),IF(DD_LVL2_ACTV_18_Annual_Currency_Select=2,SENSITISATION!L$184,SENSITISATION!L$184*LVL2_ACTV_18_Exchange_Rate))</f>
        <v>0</v>
      </c>
      <c r="M427" s="141">
        <f>IF(DD_LVL2_ACTV_18_Input_Detail_or_Freeform=1,IF(DD_LVL2_ACTV_18_Annual_Currency_Select=2,SENSITISATION!M$179,SENSITISATION!M$179*LVL2_ACTV_18_Exchange_Rate),IF(DD_LVL2_ACTV_18_Annual_Currency_Select=2,SENSITISATION!M$184,SENSITISATION!M$184*LVL2_ACTV_18_Exchange_Rate))</f>
        <v>0</v>
      </c>
      <c r="N427" s="141">
        <f>IF(DD_LVL2_ACTV_18_Input_Detail_or_Freeform=1,IF(DD_LVL2_ACTV_18_Annual_Currency_Select=2,SENSITISATION!N$179,SENSITISATION!N$179*LVL2_ACTV_18_Exchange_Rate),IF(DD_LVL2_ACTV_18_Annual_Currency_Select=2,SENSITISATION!N$184,SENSITISATION!N$184*LVL2_ACTV_18_Exchange_Rate))</f>
        <v>0</v>
      </c>
    </row>
    <row r="428" spans="1:14" s="10" customFormat="1" outlineLevel="1" x14ac:dyDescent="0.2">
      <c r="D428" s="114" t="str">
        <f>HL_LVL2_ACTV_18_Name</f>
        <v xml:space="preserve"> Sensitisation Activity # 5 (Not in Use)</v>
      </c>
      <c r="J428" s="142">
        <f>SUM(J427:J427)</f>
        <v>0</v>
      </c>
      <c r="K428" s="142">
        <f>SUM(K427:K427)</f>
        <v>0</v>
      </c>
      <c r="L428" s="142">
        <f>SUM(L427:L427)</f>
        <v>0</v>
      </c>
      <c r="M428" s="142">
        <f>SUM(M427:M427)</f>
        <v>0</v>
      </c>
      <c r="N428" s="142">
        <f>SUM(N427:N427)</f>
        <v>0</v>
      </c>
    </row>
    <row r="429" spans="1:14" s="10" customFormat="1" outlineLevel="1" x14ac:dyDescent="0.2"/>
    <row r="430" spans="1:14" s="10" customFormat="1" outlineLevel="1" x14ac:dyDescent="0.2">
      <c r="D430" s="76" t="str">
        <f>Lang_GoTo&amp;" "&amp;HL_LVL2_ACTV_18_Single_Activity_Cost_Assumptions_Annual</f>
        <v>Go to  Sensitisation Activity # 5 (Not in Use) Single Activity Cost - Annual Assumptions (Projected or Retrospective)</v>
      </c>
    </row>
    <row r="431" spans="1:14" s="10" customFormat="1" x14ac:dyDescent="0.2"/>
    <row r="432" spans="1:14" s="10" customFormat="1" x14ac:dyDescent="0.2">
      <c r="A432" s="12" t="s">
        <v>127</v>
      </c>
      <c r="B432" s="13" t="str">
        <f>B433&amp;" "&amp;Lang_Single_Activity_Cost_Outputs_Annual&amp;" ("&amp;Lang_International_Currency_Fin&amp;")"</f>
        <v xml:space="preserve"> Sensitisation Activity # 5 (Not in Use) Single Activity Cost Outputs - Annual (International Currency - Financial)</v>
      </c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</row>
    <row r="433" spans="1:14" s="10" customFormat="1" outlineLevel="1" x14ac:dyDescent="0.2">
      <c r="B433" s="10" t="str">
        <f>HL_LVL2_ACTV_18_Name</f>
        <v xml:space="preserve"> Sensitisation Activity # 5 (Not in Use)</v>
      </c>
    </row>
    <row r="434" spans="1:14" s="10" customFormat="1" outlineLevel="1" x14ac:dyDescent="0.2">
      <c r="B434" s="65" t="str">
        <f>SENS_Lu!$D$172&amp;" ("&amp;SENS_Lu!$D$152&amp;")"</f>
        <v>Financial (USD)</v>
      </c>
      <c r="E434" s="53" t="str">
        <f>"("&amp;IF(DD_LVL2_ACTV_18_Input_Detail_or_Freeform=1,SENSITISATION!$D$176,SENSITISATION!$D$182)&amp;")"</f>
        <v>(Direct User Entry Cost Estimate)</v>
      </c>
    </row>
    <row r="435" spans="1:14" s="10" customFormat="1" outlineLevel="1" x14ac:dyDescent="0.2"/>
    <row r="436" spans="1:14" s="10" customFormat="1" outlineLevel="1" x14ac:dyDescent="0.2">
      <c r="D436" s="49" t="str">
        <f>HL_LVL2_ACTV_18_Name</f>
        <v xml:space="preserve"> Sensitisation Activity # 5 (Not in Use)</v>
      </c>
      <c r="J436" s="138">
        <f>J417/LVL2_ACTV_18_Exchange_Rate</f>
        <v>0</v>
      </c>
      <c r="K436" s="138">
        <f>K417/LVL2_ACTV_18_Exchange_Rate</f>
        <v>0</v>
      </c>
      <c r="L436" s="138">
        <f>L417/LVL2_ACTV_18_Exchange_Rate</f>
        <v>0</v>
      </c>
      <c r="M436" s="138">
        <f>M417/LVL2_ACTV_18_Exchange_Rate</f>
        <v>0</v>
      </c>
      <c r="N436" s="138">
        <f>N417/LVL2_ACTV_18_Exchange_Rate</f>
        <v>0</v>
      </c>
    </row>
    <row r="437" spans="1:14" s="10" customFormat="1" outlineLevel="1" x14ac:dyDescent="0.2">
      <c r="D437" s="114" t="str">
        <f>HL_LVL2_ACTV_18_Name</f>
        <v xml:space="preserve"> Sensitisation Activity # 5 (Not in Use)</v>
      </c>
      <c r="J437" s="143">
        <f>SUM(J436:J436)</f>
        <v>0</v>
      </c>
      <c r="K437" s="143">
        <f>SUM(K436:K436)</f>
        <v>0</v>
      </c>
      <c r="L437" s="143">
        <f>SUM(L436:L436)</f>
        <v>0</v>
      </c>
      <c r="M437" s="143">
        <f>SUM(M436:M436)</f>
        <v>0</v>
      </c>
      <c r="N437" s="143">
        <f>SUM(N436:N436)</f>
        <v>0</v>
      </c>
    </row>
    <row r="438" spans="1:14" s="10" customFormat="1" outlineLevel="1" x14ac:dyDescent="0.2"/>
    <row r="439" spans="1:14" s="10" customFormat="1" outlineLevel="1" x14ac:dyDescent="0.2">
      <c r="D439" s="76" t="str">
        <f>Lang_GoTo&amp;" "&amp;HL_LVL2_ACTV_18_Single_Activity_Cost_Assumptions_Annual</f>
        <v>Go to  Sensitisation Activity # 5 (Not in Use) Single Activity Cost - Annual Assumptions (Projected or Retrospective)</v>
      </c>
    </row>
    <row r="440" spans="1:14" s="10" customFormat="1" x14ac:dyDescent="0.2"/>
    <row r="441" spans="1:14" s="10" customFormat="1" x14ac:dyDescent="0.2">
      <c r="A441" s="12" t="s">
        <v>127</v>
      </c>
      <c r="B441" s="13" t="str">
        <f>B442&amp;" "&amp;Lang_Single_Activity_Cost_Outputs_Annual&amp;" ("&amp;Lang_International_Currency_Econ&amp;")"</f>
        <v xml:space="preserve"> Sensitisation Activity # 5 (Not in Use) Single Activity Cost Outputs - Annual (International Currency - Economic)</v>
      </c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</row>
    <row r="442" spans="1:14" s="10" customFormat="1" outlineLevel="1" x14ac:dyDescent="0.2">
      <c r="B442" s="10" t="str">
        <f>HL_LVL2_ACTV_18_Name</f>
        <v xml:space="preserve"> Sensitisation Activity # 5 (Not in Use)</v>
      </c>
    </row>
    <row r="443" spans="1:14" s="10" customFormat="1" outlineLevel="1" x14ac:dyDescent="0.2">
      <c r="B443" s="65" t="str">
        <f>SENS_Lu!$D$173&amp;" ("&amp;SENS_Lu!$D$152&amp;")"</f>
        <v>Economic (USD)</v>
      </c>
      <c r="E443" s="53" t="str">
        <f>"("&amp;IF(DD_LVL2_ACTV_18_Input_Detail_or_Freeform=1,SENSITISATION!$D$176,SENSITISATION!$D$182)&amp;")"</f>
        <v>(Direct User Entry Cost Estimate)</v>
      </c>
    </row>
    <row r="444" spans="1:14" s="10" customFormat="1" outlineLevel="1" x14ac:dyDescent="0.2"/>
    <row r="445" spans="1:14" s="10" customFormat="1" outlineLevel="1" x14ac:dyDescent="0.2">
      <c r="D445" s="49" t="str">
        <f>HL_LVL2_ACTV_18_Name</f>
        <v xml:space="preserve"> Sensitisation Activity # 5 (Not in Use)</v>
      </c>
      <c r="J445" s="138">
        <f>J427/LVL2_ACTV_18_Exchange_Rate</f>
        <v>0</v>
      </c>
      <c r="K445" s="138">
        <f>K427/LVL2_ACTV_18_Exchange_Rate</f>
        <v>0</v>
      </c>
      <c r="L445" s="138">
        <f>L427/LVL2_ACTV_18_Exchange_Rate</f>
        <v>0</v>
      </c>
      <c r="M445" s="138">
        <f>M427/LVL2_ACTV_18_Exchange_Rate</f>
        <v>0</v>
      </c>
      <c r="N445" s="138">
        <f>N427/LVL2_ACTV_18_Exchange_Rate</f>
        <v>0</v>
      </c>
    </row>
    <row r="446" spans="1:14" s="10" customFormat="1" outlineLevel="1" x14ac:dyDescent="0.2">
      <c r="D446" s="114" t="str">
        <f>HL_LVL2_ACTV_18_Name</f>
        <v xml:space="preserve"> Sensitisation Activity # 5 (Not in Use)</v>
      </c>
      <c r="J446" s="143">
        <f>SUM(J445:J445)</f>
        <v>0</v>
      </c>
      <c r="K446" s="143">
        <f>SUM(K445:K445)</f>
        <v>0</v>
      </c>
      <c r="L446" s="143">
        <f>SUM(L445:L445)</f>
        <v>0</v>
      </c>
      <c r="M446" s="143">
        <f>SUM(M445:M445)</f>
        <v>0</v>
      </c>
      <c r="N446" s="143">
        <f>SUM(N445:N445)</f>
        <v>0</v>
      </c>
    </row>
    <row r="447" spans="1:14" s="10" customFormat="1" outlineLevel="1" x14ac:dyDescent="0.2"/>
    <row r="448" spans="1:14" s="10" customFormat="1" outlineLevel="1" x14ac:dyDescent="0.2">
      <c r="D448" s="76" t="str">
        <f>Lang_GoTo&amp;" "&amp;HL_LVL2_ACTV_18_Single_Activity_Cost_Assumptions_Annual</f>
        <v>Go to  Sensitisation Activity # 5 (Not in Use) Single Activity Cost - Annual Assumptions (Projected or Retrospective)</v>
      </c>
    </row>
    <row r="449" spans="1:14" s="10" customFormat="1" x14ac:dyDescent="0.2"/>
    <row r="450" spans="1:14" s="10" customFormat="1" x14ac:dyDescent="0.2">
      <c r="A450" s="12" t="s">
        <v>127</v>
      </c>
      <c r="B450" s="13" t="str">
        <f>B451&amp;" "&amp;Lang_Single_Activity_Cost_Outputs_Annual&amp;" ("&amp;Lang_Local_Currency_Fin&amp;")"</f>
        <v xml:space="preserve"> Sensitisation Activity # 6 (Not in Use) Single Activity Cost Outputs - Annual (Local Currency - Financial)</v>
      </c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</row>
    <row r="451" spans="1:14" s="10" customFormat="1" outlineLevel="1" x14ac:dyDescent="0.2">
      <c r="B451" s="10" t="str">
        <f>HL_LVL2_ACTV_19_Name</f>
        <v xml:space="preserve"> Sensitisation Activity # 6 (Not in Use)</v>
      </c>
    </row>
    <row r="452" spans="1:14" s="10" customFormat="1" outlineLevel="1" x14ac:dyDescent="0.2">
      <c r="B452" s="65" t="str">
        <f>SENS_Lu!$D$207&amp;" ("&amp;SENS_Lu!$D$188&amp;")"</f>
        <v>Financial (LCU)</v>
      </c>
      <c r="E452" s="53" t="str">
        <f>"("&amp;IF(DD_LVL2_ACTV_19_Input_Detail_or_Freeform=1,SENSITISATION!$D$219,SENSITISATION!$D$225)&amp;")"</f>
        <v>(Direct User Entry Cost Estimate)</v>
      </c>
    </row>
    <row r="453" spans="1:14" s="10" customFormat="1" outlineLevel="1" x14ac:dyDescent="0.2"/>
    <row r="454" spans="1:14" s="10" customFormat="1" outlineLevel="1" x14ac:dyDescent="0.2">
      <c r="D454" s="49" t="str">
        <f>HL_LVL2_ACTV_19_Name</f>
        <v xml:space="preserve"> Sensitisation Activity # 6 (Not in Use)</v>
      </c>
      <c r="J454" s="141">
        <f>IF(DD_LVL2_ACTV_19_Input_Detail_or_Freeform=1,IF(DD_LVL2_ACTV_19_Annual_Currency_Select=2,SENSITISATION!J$221,SENSITISATION!J$221*LVL2_ACTV_19_Exchange_Rate),IF(DD_LVL2_ACTV_19_Annual_Currency_Select=2,SENSITISATION!J$226,SENSITISATION!J$226*LVL2_ACTV_19_Exchange_Rate))</f>
        <v>0</v>
      </c>
      <c r="K454" s="141">
        <f>IF(DD_LVL2_ACTV_19_Input_Detail_or_Freeform=1,IF(DD_LVL2_ACTV_19_Annual_Currency_Select=2,SENSITISATION!K$221,SENSITISATION!K$221*LVL2_ACTV_19_Exchange_Rate),IF(DD_LVL2_ACTV_19_Annual_Currency_Select=2,SENSITISATION!K$226,SENSITISATION!K$226*LVL2_ACTV_19_Exchange_Rate))</f>
        <v>0</v>
      </c>
      <c r="L454" s="141">
        <f>IF(DD_LVL2_ACTV_19_Input_Detail_or_Freeform=1,IF(DD_LVL2_ACTV_19_Annual_Currency_Select=2,SENSITISATION!L$221,SENSITISATION!L$221*LVL2_ACTV_19_Exchange_Rate),IF(DD_LVL2_ACTV_19_Annual_Currency_Select=2,SENSITISATION!L$226,SENSITISATION!L$226*LVL2_ACTV_19_Exchange_Rate))</f>
        <v>0</v>
      </c>
      <c r="M454" s="141">
        <f>IF(DD_LVL2_ACTV_19_Input_Detail_or_Freeform=1,IF(DD_LVL2_ACTV_19_Annual_Currency_Select=2,SENSITISATION!M$221,SENSITISATION!M$221*LVL2_ACTV_19_Exchange_Rate),IF(DD_LVL2_ACTV_19_Annual_Currency_Select=2,SENSITISATION!M$226,SENSITISATION!M$226*LVL2_ACTV_19_Exchange_Rate))</f>
        <v>0</v>
      </c>
      <c r="N454" s="141">
        <f>IF(DD_LVL2_ACTV_19_Input_Detail_or_Freeform=1,IF(DD_LVL2_ACTV_19_Annual_Currency_Select=2,SENSITISATION!N$221,SENSITISATION!N$221*LVL2_ACTV_19_Exchange_Rate),IF(DD_LVL2_ACTV_19_Annual_Currency_Select=2,SENSITISATION!N$226,SENSITISATION!N$226*LVL2_ACTV_19_Exchange_Rate))</f>
        <v>0</v>
      </c>
    </row>
    <row r="455" spans="1:14" s="10" customFormat="1" outlineLevel="1" x14ac:dyDescent="0.2">
      <c r="D455" s="114" t="str">
        <f>HL_LVL2_ACTV_19_Name</f>
        <v xml:space="preserve"> Sensitisation Activity # 6 (Not in Use)</v>
      </c>
      <c r="J455" s="142">
        <f>SUM(J454:J454)</f>
        <v>0</v>
      </c>
      <c r="K455" s="142">
        <f>SUM(K454:K454)</f>
        <v>0</v>
      </c>
      <c r="L455" s="142">
        <f>SUM(L454:L454)</f>
        <v>0</v>
      </c>
      <c r="M455" s="142">
        <f>SUM(M454:M454)</f>
        <v>0</v>
      </c>
      <c r="N455" s="142">
        <f>SUM(N454:N454)</f>
        <v>0</v>
      </c>
    </row>
    <row r="456" spans="1:14" s="10" customFormat="1" outlineLevel="1" x14ac:dyDescent="0.2"/>
    <row r="457" spans="1:14" s="10" customFormat="1" outlineLevel="1" x14ac:dyDescent="0.2"/>
    <row r="458" spans="1:14" s="10" customFormat="1" outlineLevel="1" x14ac:dyDescent="0.2">
      <c r="D458" s="76" t="str">
        <f>Lang_GoTo&amp;" "&amp;HL_LVL2_ACTV_19_Single_Activity_Cost_Assumptions_Annual</f>
        <v>Go to  Sensitisation Activity # 6 (Not in Use) Single Activity Cost - Annual Assumptions (Projected or Retrospective)</v>
      </c>
    </row>
    <row r="459" spans="1:14" s="10" customFormat="1" x14ac:dyDescent="0.2"/>
    <row r="460" spans="1:14" s="10" customFormat="1" x14ac:dyDescent="0.2">
      <c r="A460" s="12" t="s">
        <v>127</v>
      </c>
      <c r="B460" s="13" t="str">
        <f>B461&amp;" "&amp;Lang_Single_Activity_Cost_Outputs_Annual&amp;" ("&amp;Lang_Local_Currency_Econ&amp;")"</f>
        <v xml:space="preserve"> Sensitisation Activity # 6 (Not in Use) Single Activity Cost Outputs - Annual (Local Currency - Economic)</v>
      </c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</row>
    <row r="461" spans="1:14" s="10" customFormat="1" outlineLevel="1" x14ac:dyDescent="0.2">
      <c r="B461" s="10" t="str">
        <f>HL_LVL2_ACTV_19_Name</f>
        <v xml:space="preserve"> Sensitisation Activity # 6 (Not in Use)</v>
      </c>
    </row>
    <row r="462" spans="1:14" s="10" customFormat="1" outlineLevel="1" x14ac:dyDescent="0.2">
      <c r="B462" s="65" t="str">
        <f>SENS_Lu!$D$208&amp;" ("&amp;SENS_Lu!$D$188&amp;")"</f>
        <v>Economic (LCU)</v>
      </c>
      <c r="E462" s="53" t="str">
        <f>"("&amp;IF(DD_LVL2_ACTV_19_Input_Detail_or_Freeform=1,SENSITISATION!$D$219,SENSITISATION!$D$225)&amp;")"</f>
        <v>(Direct User Entry Cost Estimate)</v>
      </c>
    </row>
    <row r="463" spans="1:14" s="10" customFormat="1" outlineLevel="1" x14ac:dyDescent="0.2"/>
    <row r="464" spans="1:14" s="10" customFormat="1" outlineLevel="1" x14ac:dyDescent="0.2">
      <c r="D464" s="49" t="str">
        <f>HL_LVL2_ACTV_19_Name</f>
        <v xml:space="preserve"> Sensitisation Activity # 6 (Not in Use)</v>
      </c>
      <c r="J464" s="141">
        <f>IF(DD_LVL2_ACTV_19_Input_Detail_or_Freeform=1,IF(DD_LVL2_ACTV_19_Annual_Currency_Select=2,SENSITISATION!J$222,SENSITISATION!J$222*LVL2_ACTV_19_Exchange_Rate),IF(DD_LVL2_ACTV_19_Annual_Currency_Select=2,SENSITISATION!J$227,SENSITISATION!J$227*LVL2_ACTV_19_Exchange_Rate))</f>
        <v>0</v>
      </c>
      <c r="K464" s="141">
        <f>IF(DD_LVL2_ACTV_19_Input_Detail_or_Freeform=1,IF(DD_LVL2_ACTV_19_Annual_Currency_Select=2,SENSITISATION!K$222,SENSITISATION!K$222*LVL2_ACTV_19_Exchange_Rate),IF(DD_LVL2_ACTV_19_Annual_Currency_Select=2,SENSITISATION!K$227,SENSITISATION!K$227*LVL2_ACTV_19_Exchange_Rate))</f>
        <v>0</v>
      </c>
      <c r="L464" s="141">
        <f>IF(DD_LVL2_ACTV_19_Input_Detail_or_Freeform=1,IF(DD_LVL2_ACTV_19_Annual_Currency_Select=2,SENSITISATION!L$222,SENSITISATION!L$222*LVL2_ACTV_19_Exchange_Rate),IF(DD_LVL2_ACTV_19_Annual_Currency_Select=2,SENSITISATION!L$227,SENSITISATION!L$227*LVL2_ACTV_19_Exchange_Rate))</f>
        <v>0</v>
      </c>
      <c r="M464" s="141">
        <f>IF(DD_LVL2_ACTV_19_Input_Detail_or_Freeform=1,IF(DD_LVL2_ACTV_19_Annual_Currency_Select=2,SENSITISATION!M$222,SENSITISATION!M$222*LVL2_ACTV_19_Exchange_Rate),IF(DD_LVL2_ACTV_19_Annual_Currency_Select=2,SENSITISATION!M$227,SENSITISATION!M$227*LVL2_ACTV_19_Exchange_Rate))</f>
        <v>0</v>
      </c>
      <c r="N464" s="141">
        <f>IF(DD_LVL2_ACTV_19_Input_Detail_or_Freeform=1,IF(DD_LVL2_ACTV_19_Annual_Currency_Select=2,SENSITISATION!N$222,SENSITISATION!N$222*LVL2_ACTV_19_Exchange_Rate),IF(DD_LVL2_ACTV_19_Annual_Currency_Select=2,SENSITISATION!N$227,SENSITISATION!N$227*LVL2_ACTV_19_Exchange_Rate))</f>
        <v>0</v>
      </c>
    </row>
    <row r="465" spans="1:14" s="10" customFormat="1" outlineLevel="1" x14ac:dyDescent="0.2">
      <c r="D465" s="114" t="str">
        <f>HL_LVL2_ACTV_19_Name</f>
        <v xml:space="preserve"> Sensitisation Activity # 6 (Not in Use)</v>
      </c>
      <c r="J465" s="142">
        <f>SUM(J464:J464)</f>
        <v>0</v>
      </c>
      <c r="K465" s="142">
        <f>SUM(K464:K464)</f>
        <v>0</v>
      </c>
      <c r="L465" s="142">
        <f>SUM(L464:L464)</f>
        <v>0</v>
      </c>
      <c r="M465" s="142">
        <f>SUM(M464:M464)</f>
        <v>0</v>
      </c>
      <c r="N465" s="142">
        <f>SUM(N464:N464)</f>
        <v>0</v>
      </c>
    </row>
    <row r="466" spans="1:14" s="10" customFormat="1" outlineLevel="1" x14ac:dyDescent="0.2"/>
    <row r="467" spans="1:14" s="10" customFormat="1" outlineLevel="1" x14ac:dyDescent="0.2">
      <c r="D467" s="76" t="str">
        <f>Lang_GoTo&amp;" "&amp;HL_LVL2_ACTV_19_Single_Activity_Cost_Assumptions_Annual</f>
        <v>Go to  Sensitisation Activity # 6 (Not in Use) Single Activity Cost - Annual Assumptions (Projected or Retrospective)</v>
      </c>
    </row>
    <row r="468" spans="1:14" s="10" customFormat="1" x14ac:dyDescent="0.2"/>
    <row r="469" spans="1:14" s="10" customFormat="1" x14ac:dyDescent="0.2">
      <c r="A469" s="12" t="s">
        <v>127</v>
      </c>
      <c r="B469" s="13" t="str">
        <f>B470&amp;" "&amp;Lang_Single_Activity_Cost_Outputs_Annual&amp;" ("&amp;Lang_International_Currency_Fin&amp;")"</f>
        <v xml:space="preserve"> Sensitisation Activity # 6 (Not in Use) Single Activity Cost Outputs - Annual (International Currency - Financial)</v>
      </c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</row>
    <row r="470" spans="1:14" s="10" customFormat="1" outlineLevel="1" x14ac:dyDescent="0.2">
      <c r="B470" s="10" t="str">
        <f>HL_LVL2_ACTV_19_Name</f>
        <v xml:space="preserve"> Sensitisation Activity # 6 (Not in Use)</v>
      </c>
    </row>
    <row r="471" spans="1:14" s="10" customFormat="1" outlineLevel="1" x14ac:dyDescent="0.2">
      <c r="B471" s="65" t="str">
        <f>SENS_Lu!$D$207&amp;" ("&amp;SENS_Lu!$D$187&amp;")"</f>
        <v>Financial (USD)</v>
      </c>
      <c r="E471" s="53" t="str">
        <f>"("&amp;IF(DD_LVL2_ACTV_19_Input_Detail_or_Freeform=1,SENSITISATION!$D$219,SENSITISATION!$D$225)&amp;")"</f>
        <v>(Direct User Entry Cost Estimate)</v>
      </c>
    </row>
    <row r="472" spans="1:14" s="10" customFormat="1" outlineLevel="1" x14ac:dyDescent="0.2"/>
    <row r="473" spans="1:14" s="10" customFormat="1" outlineLevel="1" x14ac:dyDescent="0.2">
      <c r="D473" s="49" t="str">
        <f>HL_LVL2_ACTV_19_Name</f>
        <v xml:space="preserve"> Sensitisation Activity # 6 (Not in Use)</v>
      </c>
      <c r="J473" s="138">
        <f>J454/LVL2_ACTV_19_Exchange_Rate</f>
        <v>0</v>
      </c>
      <c r="K473" s="138">
        <f>K454/LVL2_ACTV_19_Exchange_Rate</f>
        <v>0</v>
      </c>
      <c r="L473" s="138">
        <f>L454/LVL2_ACTV_19_Exchange_Rate</f>
        <v>0</v>
      </c>
      <c r="M473" s="138">
        <f>M454/LVL2_ACTV_19_Exchange_Rate</f>
        <v>0</v>
      </c>
      <c r="N473" s="138">
        <f>N454/LVL2_ACTV_19_Exchange_Rate</f>
        <v>0</v>
      </c>
    </row>
    <row r="474" spans="1:14" s="10" customFormat="1" outlineLevel="1" x14ac:dyDescent="0.2">
      <c r="D474" s="114" t="str">
        <f>HL_LVL2_ACTV_19_Name</f>
        <v xml:space="preserve"> Sensitisation Activity # 6 (Not in Use)</v>
      </c>
      <c r="J474" s="143">
        <f>SUM(J473:J473)</f>
        <v>0</v>
      </c>
      <c r="K474" s="143">
        <f>SUM(K473:K473)</f>
        <v>0</v>
      </c>
      <c r="L474" s="143">
        <f>SUM(L473:L473)</f>
        <v>0</v>
      </c>
      <c r="M474" s="143">
        <f>SUM(M473:M473)</f>
        <v>0</v>
      </c>
      <c r="N474" s="143">
        <f>SUM(N473:N473)</f>
        <v>0</v>
      </c>
    </row>
    <row r="475" spans="1:14" s="10" customFormat="1" outlineLevel="1" x14ac:dyDescent="0.2"/>
    <row r="476" spans="1:14" s="10" customFormat="1" outlineLevel="1" x14ac:dyDescent="0.2">
      <c r="D476" s="76" t="str">
        <f>Lang_GoTo&amp;" "&amp;HL_LVL2_ACTV_19_Single_Activity_Cost_Assumptions_Annual</f>
        <v>Go to  Sensitisation Activity # 6 (Not in Use) Single Activity Cost - Annual Assumptions (Projected or Retrospective)</v>
      </c>
    </row>
    <row r="477" spans="1:14" s="10" customFormat="1" x14ac:dyDescent="0.2"/>
    <row r="478" spans="1:14" s="10" customFormat="1" x14ac:dyDescent="0.2">
      <c r="A478" s="12" t="s">
        <v>127</v>
      </c>
      <c r="B478" s="13" t="str">
        <f>B479&amp;" "&amp;Lang_Single_Activity_Cost_Outputs_Annual&amp;" ("&amp;Lang_International_Currency_Econ&amp;")"</f>
        <v xml:space="preserve"> Sensitisation Activity # 6 (Not in Use) Single Activity Cost Outputs - Annual (International Currency - Economic)</v>
      </c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</row>
    <row r="479" spans="1:14" s="10" customFormat="1" outlineLevel="1" x14ac:dyDescent="0.2">
      <c r="B479" s="10" t="str">
        <f>HL_LVL2_ACTV_19_Name</f>
        <v xml:space="preserve"> Sensitisation Activity # 6 (Not in Use)</v>
      </c>
    </row>
    <row r="480" spans="1:14" s="10" customFormat="1" outlineLevel="1" x14ac:dyDescent="0.2">
      <c r="B480" s="65" t="str">
        <f>SENS_Lu!$D$208&amp;" ("&amp;SENS_Lu!$D$187&amp;")"</f>
        <v>Economic (USD)</v>
      </c>
      <c r="E480" s="53" t="str">
        <f>"("&amp;IF(DD_LVL2_ACTV_19_Input_Detail_or_Freeform=1,SENSITISATION!$D$219,SENSITISATION!$D$225)&amp;")"</f>
        <v>(Direct User Entry Cost Estimate)</v>
      </c>
    </row>
    <row r="481" spans="1:14" s="10" customFormat="1" outlineLevel="1" x14ac:dyDescent="0.2"/>
    <row r="482" spans="1:14" s="10" customFormat="1" outlineLevel="1" x14ac:dyDescent="0.2">
      <c r="D482" s="49" t="str">
        <f>HL_LVL2_ACTV_19_Name</f>
        <v xml:space="preserve"> Sensitisation Activity # 6 (Not in Use)</v>
      </c>
      <c r="J482" s="138">
        <f>J464/LVL2_ACTV_19_Exchange_Rate</f>
        <v>0</v>
      </c>
      <c r="K482" s="138">
        <f>K464/LVL2_ACTV_19_Exchange_Rate</f>
        <v>0</v>
      </c>
      <c r="L482" s="138">
        <f>L464/LVL2_ACTV_19_Exchange_Rate</f>
        <v>0</v>
      </c>
      <c r="M482" s="138">
        <f>M464/LVL2_ACTV_19_Exchange_Rate</f>
        <v>0</v>
      </c>
      <c r="N482" s="138">
        <f>N464/LVL2_ACTV_19_Exchange_Rate</f>
        <v>0</v>
      </c>
    </row>
    <row r="483" spans="1:14" s="10" customFormat="1" outlineLevel="1" x14ac:dyDescent="0.2">
      <c r="D483" s="114" t="str">
        <f>HL_LVL2_ACTV_19_Name</f>
        <v xml:space="preserve"> Sensitisation Activity # 6 (Not in Use)</v>
      </c>
      <c r="J483" s="143">
        <f>SUM(J482:J482)</f>
        <v>0</v>
      </c>
      <c r="K483" s="143">
        <f>SUM(K482:K482)</f>
        <v>0</v>
      </c>
      <c r="L483" s="143">
        <f>SUM(L482:L482)</f>
        <v>0</v>
      </c>
      <c r="M483" s="143">
        <f>SUM(M482:M482)</f>
        <v>0</v>
      </c>
      <c r="N483" s="143">
        <f>SUM(N482:N482)</f>
        <v>0</v>
      </c>
    </row>
    <row r="484" spans="1:14" s="10" customFormat="1" outlineLevel="1" x14ac:dyDescent="0.2"/>
    <row r="485" spans="1:14" s="10" customFormat="1" outlineLevel="1" x14ac:dyDescent="0.2">
      <c r="D485" s="76" t="str">
        <f>Lang_GoTo&amp;" "&amp;HL_LVL2_ACTV_19_Single_Activity_Cost_Assumptions_Annual</f>
        <v>Go to  Sensitisation Activity # 6 (Not in Use) Single Activity Cost - Annual Assumptions (Projected or Retrospective)</v>
      </c>
    </row>
    <row r="486" spans="1:14" s="10" customFormat="1" x14ac:dyDescent="0.2"/>
    <row r="487" spans="1:14" s="10" customFormat="1" x14ac:dyDescent="0.2">
      <c r="A487" s="12" t="s">
        <v>127</v>
      </c>
      <c r="B487" s="13" t="str">
        <f>B488&amp;" "&amp;Lang_Single_Activity_Cost_Outputs_Annual&amp;" ("&amp;Lang_Local_Currency_Fin&amp;")"</f>
        <v>IEC Soc Mob  Activity # 1 (Not in Use) Single Activity Cost Outputs - Annual (Local Currency - Financial)</v>
      </c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</row>
    <row r="488" spans="1:14" s="10" customFormat="1" outlineLevel="1" x14ac:dyDescent="0.2">
      <c r="B488" s="49" t="str">
        <f>HL_TOP_ACTV_4_Name</f>
        <v>IEC Soc Mob  Activity # 1 (Not in Use)</v>
      </c>
    </row>
    <row r="489" spans="1:14" s="10" customFormat="1" outlineLevel="1" x14ac:dyDescent="0.2">
      <c r="B489" s="65" t="str">
        <f>SOCMOB_Lu!$D$32&amp;" ("&amp;SOCMOB_Lu!$D$13&amp;")"</f>
        <v>Financial (LCU)</v>
      </c>
    </row>
    <row r="490" spans="1:14" s="10" customFormat="1" outlineLevel="1" x14ac:dyDescent="0.2"/>
    <row r="491" spans="1:14" s="10" customFormat="1" outlineLevel="1" x14ac:dyDescent="0.2">
      <c r="D491" s="49" t="str">
        <f>SOCIAL_MOBILISATION!D12</f>
        <v>IEC Soc Mob  Activity # 1 (Not in Use)</v>
      </c>
      <c r="E491" s="53" t="str">
        <f>"("&amp;IF(DD_TOP_ACTV_4_Input_Detail_or_Freeform=1,SOCIAL_MOBILISATION!$D$20,SOCIAL_MOBILISATION!$D$26)&amp;")"</f>
        <v>(Direct User Entry Cost Estimate)</v>
      </c>
      <c r="J491" s="108">
        <f>IF(DD_TOP_ACTV_4_Input_Detail_or_Freeform=1,IF(DD_TOP_ACTV_4_Annual_Currency_Used=2,SOCIAL_MOBILISATION!J$22,SOCIAL_MOBILISATION!J$22*TOP_ACTV_4_Exchange_Rate),IF(DD_TOP_ACTV_4_Annual_Currency_Used=2,SOCIAL_MOBILISATION!J$27,SOCIAL_MOBILISATION!J$27*TOP_ACTV_4_Exchange_Rate))</f>
        <v>0</v>
      </c>
      <c r="K491" s="108">
        <f>IF(DD_TOP_ACTV_4_Input_Detail_or_Freeform=1,IF(DD_TOP_ACTV_4_Annual_Currency_Used=2,SOCIAL_MOBILISATION!K$22,SOCIAL_MOBILISATION!K$22*TOP_ACTV_4_Exchange_Rate),IF(DD_TOP_ACTV_4_Annual_Currency_Used=2,SOCIAL_MOBILISATION!K$27,SOCIAL_MOBILISATION!K$27*TOP_ACTV_4_Exchange_Rate))</f>
        <v>0</v>
      </c>
      <c r="L491" s="108">
        <f>IF(DD_TOP_ACTV_4_Input_Detail_or_Freeform=1,IF(DD_TOP_ACTV_4_Annual_Currency_Used=2,SOCIAL_MOBILISATION!L$22,SOCIAL_MOBILISATION!L$22*TOP_ACTV_4_Exchange_Rate),IF(DD_TOP_ACTV_4_Annual_Currency_Used=2,SOCIAL_MOBILISATION!L$27,SOCIAL_MOBILISATION!L$27*TOP_ACTV_4_Exchange_Rate))</f>
        <v>0</v>
      </c>
      <c r="M491" s="108">
        <f>IF(DD_TOP_ACTV_4_Input_Detail_or_Freeform=1,IF(DD_TOP_ACTV_4_Annual_Currency_Used=2,SOCIAL_MOBILISATION!M$22,SOCIAL_MOBILISATION!M$22*TOP_ACTV_4_Exchange_Rate),IF(DD_TOP_ACTV_4_Annual_Currency_Used=2,SOCIAL_MOBILISATION!M$27,SOCIAL_MOBILISATION!M$27*TOP_ACTV_4_Exchange_Rate))</f>
        <v>0</v>
      </c>
      <c r="N491" s="108">
        <f>IF(DD_TOP_ACTV_4_Input_Detail_or_Freeform=1,IF(DD_TOP_ACTV_4_Annual_Currency_Used=2,SOCIAL_MOBILISATION!N$22,SOCIAL_MOBILISATION!N$22*TOP_ACTV_4_Exchange_Rate),IF(DD_TOP_ACTV_4_Annual_Currency_Used=2,SOCIAL_MOBILISATION!N$27,SOCIAL_MOBILISATION!N$27*TOP_ACTV_4_Exchange_Rate))</f>
        <v>0</v>
      </c>
    </row>
    <row r="492" spans="1:14" s="10" customFormat="1" outlineLevel="1" x14ac:dyDescent="0.2"/>
    <row r="493" spans="1:14" s="10" customFormat="1" outlineLevel="1" x14ac:dyDescent="0.2">
      <c r="D493" s="76" t="str">
        <f>Lang_GoTo&amp;" "&amp;HL_TOP_ACTV_4_Single_Activity_Cost_Assumptions_Annual</f>
        <v>Go to IEC Soc Mob  Activity # 1 (Not in Use) Single Activity Cost - Annual Assumptions (Projected or Retrospective)</v>
      </c>
    </row>
    <row r="494" spans="1:14" s="10" customFormat="1" x14ac:dyDescent="0.2"/>
    <row r="495" spans="1:14" s="10" customFormat="1" x14ac:dyDescent="0.2">
      <c r="A495" s="12" t="s">
        <v>127</v>
      </c>
      <c r="B495" s="13" t="str">
        <f>B496&amp;" "&amp;Lang_Single_Activity_Cost_Outputs_Annual&amp;" ("&amp;Lang_Local_Currency_Econ&amp;")"</f>
        <v>IEC Soc Mob  Activity # 1 (Not in Use) Single Activity Cost Outputs - Annual (Local Currency - Economic)</v>
      </c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</row>
    <row r="496" spans="1:14" s="10" customFormat="1" outlineLevel="1" x14ac:dyDescent="0.2">
      <c r="B496" s="49" t="str">
        <f>HL_TOP_ACTV_4_Name</f>
        <v>IEC Soc Mob  Activity # 1 (Not in Use)</v>
      </c>
    </row>
    <row r="497" spans="1:14" s="10" customFormat="1" outlineLevel="1" x14ac:dyDescent="0.2">
      <c r="B497" s="65" t="str">
        <f>SOCMOB_Lu!$D$33&amp;" ("&amp;SOCMOB_Lu!$D$13&amp;")"</f>
        <v>Economic (LCU)</v>
      </c>
    </row>
    <row r="498" spans="1:14" s="10" customFormat="1" outlineLevel="1" x14ac:dyDescent="0.2"/>
    <row r="499" spans="1:14" s="10" customFormat="1" outlineLevel="1" x14ac:dyDescent="0.2">
      <c r="D499" s="49" t="str">
        <f>SOCIAL_MOBILISATION!D12</f>
        <v>IEC Soc Mob  Activity # 1 (Not in Use)</v>
      </c>
      <c r="E499" s="53" t="str">
        <f>"("&amp;IF(DD_TOP_ACTV_4_Input_Detail_or_Freeform=1,SOCIAL_MOBILISATION!$D$20,SOCIAL_MOBILISATION!$D$26)&amp;")"</f>
        <v>(Direct User Entry Cost Estimate)</v>
      </c>
      <c r="J499" s="108">
        <f>IF(DD_TOP_ACTV_4_Input_Detail_or_Freeform=1,IF(DD_TOP_ACTV_4_Annual_Currency_Used=2,SOCIAL_MOBILISATION!J$23,SOCIAL_MOBILISATION!J$23*TOP_ACTV_4_Exchange_Rate),IF(DD_TOP_ACTV_4_Annual_Currency_Used=2,SOCIAL_MOBILISATION!J$28,SOCIAL_MOBILISATION!J$28*TOP_ACTV_4_Exchange_Rate))</f>
        <v>0</v>
      </c>
      <c r="K499" s="108">
        <f>IF(DD_TOP_ACTV_4_Input_Detail_or_Freeform=1,IF(DD_TOP_ACTV_4_Annual_Currency_Used=2,SOCIAL_MOBILISATION!K$23,SOCIAL_MOBILISATION!K$23*TOP_ACTV_4_Exchange_Rate),IF(DD_TOP_ACTV_4_Annual_Currency_Used=2,SOCIAL_MOBILISATION!K$28,SOCIAL_MOBILISATION!K$28*TOP_ACTV_4_Exchange_Rate))</f>
        <v>0</v>
      </c>
      <c r="L499" s="108">
        <f>IF(DD_TOP_ACTV_4_Input_Detail_or_Freeform=1,IF(DD_TOP_ACTV_4_Annual_Currency_Used=2,SOCIAL_MOBILISATION!L$23,SOCIAL_MOBILISATION!L$23*TOP_ACTV_4_Exchange_Rate),IF(DD_TOP_ACTV_4_Annual_Currency_Used=2,SOCIAL_MOBILISATION!L$28,SOCIAL_MOBILISATION!L$28*TOP_ACTV_4_Exchange_Rate))</f>
        <v>0</v>
      </c>
      <c r="M499" s="108">
        <f>IF(DD_TOP_ACTV_4_Input_Detail_or_Freeform=1,IF(DD_TOP_ACTV_4_Annual_Currency_Used=2,SOCIAL_MOBILISATION!M$23,SOCIAL_MOBILISATION!M$23*TOP_ACTV_4_Exchange_Rate),IF(DD_TOP_ACTV_4_Annual_Currency_Used=2,SOCIAL_MOBILISATION!M$28,SOCIAL_MOBILISATION!M$28*TOP_ACTV_4_Exchange_Rate))</f>
        <v>0</v>
      </c>
      <c r="N499" s="108">
        <f>IF(DD_TOP_ACTV_4_Input_Detail_or_Freeform=1,IF(DD_TOP_ACTV_4_Annual_Currency_Used=2,SOCIAL_MOBILISATION!N$23,SOCIAL_MOBILISATION!N$23*TOP_ACTV_4_Exchange_Rate),IF(DD_TOP_ACTV_4_Annual_Currency_Used=2,SOCIAL_MOBILISATION!N$28,SOCIAL_MOBILISATION!N$28*TOP_ACTV_4_Exchange_Rate))</f>
        <v>0</v>
      </c>
    </row>
    <row r="500" spans="1:14" s="10" customFormat="1" outlineLevel="1" x14ac:dyDescent="0.2"/>
    <row r="501" spans="1:14" s="10" customFormat="1" outlineLevel="1" x14ac:dyDescent="0.2">
      <c r="D501" s="76" t="str">
        <f>Lang_GoTo&amp;" "&amp;HL_TOP_ACTV_4_Single_Activity_Cost_Assumptions_Annual</f>
        <v>Go to IEC Soc Mob  Activity # 1 (Not in Use) Single Activity Cost - Annual Assumptions (Projected or Retrospective)</v>
      </c>
    </row>
    <row r="502" spans="1:14" s="10" customFormat="1" x14ac:dyDescent="0.2"/>
    <row r="503" spans="1:14" s="10" customFormat="1" x14ac:dyDescent="0.2">
      <c r="A503" s="12" t="s">
        <v>127</v>
      </c>
      <c r="B503" s="13" t="str">
        <f>B504&amp;" "&amp;Lang_Single_Activity_Cost_Outputs_Annual&amp;" ("&amp;Lang_International_Currency_Fin&amp;")"</f>
        <v>IEC Soc Mob  Activity # 1 (Not in Use) Single Activity Cost Outputs - Annual (International Currency - Financial)</v>
      </c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</row>
    <row r="504" spans="1:14" s="10" customFormat="1" outlineLevel="1" x14ac:dyDescent="0.2">
      <c r="B504" s="49" t="str">
        <f>HL_TOP_ACTV_4_Name</f>
        <v>IEC Soc Mob  Activity # 1 (Not in Use)</v>
      </c>
    </row>
    <row r="505" spans="1:14" s="10" customFormat="1" outlineLevel="1" x14ac:dyDescent="0.2">
      <c r="B505" s="65" t="str">
        <f>SOCMOB_Lu!$D$32&amp;" ("&amp;SOCMOB_Lu!$D$12&amp;")"</f>
        <v>Financial (USD)</v>
      </c>
    </row>
    <row r="506" spans="1:14" s="10" customFormat="1" outlineLevel="1" x14ac:dyDescent="0.2"/>
    <row r="507" spans="1:14" s="10" customFormat="1" outlineLevel="1" x14ac:dyDescent="0.2">
      <c r="D507" s="49" t="str">
        <f>SOCIAL_MOBILISATION!D12</f>
        <v>IEC Soc Mob  Activity # 1 (Not in Use)</v>
      </c>
      <c r="E507" s="53" t="str">
        <f>"("&amp;IF(DD_TOP_ACTV_4_Input_Detail_or_Freeform=1,SOCIAL_MOBILISATION!$D$20,SOCIAL_MOBILISATION!$D$26)&amp;")"</f>
        <v>(Direct User Entry Cost Estimate)</v>
      </c>
      <c r="J507" s="119">
        <f>J491/TOP_ACTV_4_Exchange_Rate</f>
        <v>0</v>
      </c>
      <c r="K507" s="119">
        <f>K491/TOP_ACTV_4_Exchange_Rate</f>
        <v>0</v>
      </c>
      <c r="L507" s="119">
        <f>L491/TOP_ACTV_4_Exchange_Rate</f>
        <v>0</v>
      </c>
      <c r="M507" s="119">
        <f>M491/TOP_ACTV_4_Exchange_Rate</f>
        <v>0</v>
      </c>
      <c r="N507" s="119">
        <f>N491/TOP_ACTV_4_Exchange_Rate</f>
        <v>0</v>
      </c>
    </row>
    <row r="508" spans="1:14" s="10" customFormat="1" outlineLevel="1" x14ac:dyDescent="0.2"/>
    <row r="509" spans="1:14" s="10" customFormat="1" outlineLevel="1" x14ac:dyDescent="0.2">
      <c r="D509" s="76" t="str">
        <f>Lang_GoTo&amp;" "&amp;HL_TOP_ACTV_4_Single_Activity_Cost_Assumptions_Annual</f>
        <v>Go to IEC Soc Mob  Activity # 1 (Not in Use) Single Activity Cost - Annual Assumptions (Projected or Retrospective)</v>
      </c>
    </row>
    <row r="510" spans="1:14" s="10" customFormat="1" x14ac:dyDescent="0.2"/>
    <row r="511" spans="1:14" s="10" customFormat="1" x14ac:dyDescent="0.2">
      <c r="A511" s="12" t="s">
        <v>127</v>
      </c>
      <c r="B511" s="13" t="str">
        <f>B512&amp;" "&amp;Lang_Single_Activity_Cost_Outputs_Annual&amp;" ("&amp;Lang_International_Currency_Econ&amp;")"</f>
        <v>IEC Soc Mob  Activity # 1 (Not in Use) Single Activity Cost Outputs - Annual (International Currency - Economic)</v>
      </c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</row>
    <row r="512" spans="1:14" s="10" customFormat="1" outlineLevel="1" x14ac:dyDescent="0.2">
      <c r="B512" s="49" t="str">
        <f>HL_TOP_ACTV_4_Name</f>
        <v>IEC Soc Mob  Activity # 1 (Not in Use)</v>
      </c>
    </row>
    <row r="513" spans="1:14" s="10" customFormat="1" outlineLevel="1" x14ac:dyDescent="0.2">
      <c r="B513" s="65" t="str">
        <f>SOCMOB_Lu!$D$33&amp;" ("&amp;SOCMOB_Lu!$D$12&amp;")"</f>
        <v>Economic (USD)</v>
      </c>
    </row>
    <row r="514" spans="1:14" s="10" customFormat="1" outlineLevel="1" x14ac:dyDescent="0.2"/>
    <row r="515" spans="1:14" s="10" customFormat="1" outlineLevel="1" x14ac:dyDescent="0.2">
      <c r="D515" s="49" t="str">
        <f>SOCIAL_MOBILISATION!D12</f>
        <v>IEC Soc Mob  Activity # 1 (Not in Use)</v>
      </c>
      <c r="E515" s="53" t="str">
        <f>"("&amp;IF(DD_TOP_ACTV_4_Input_Detail_or_Freeform=1,SOCIAL_MOBILISATION!$D$20,SOCIAL_MOBILISATION!$D$26)&amp;")"</f>
        <v>(Direct User Entry Cost Estimate)</v>
      </c>
      <c r="J515" s="119">
        <f>J499/TOP_ACTV_4_Exchange_Rate</f>
        <v>0</v>
      </c>
      <c r="K515" s="119">
        <f>K499/TOP_ACTV_4_Exchange_Rate</f>
        <v>0</v>
      </c>
      <c r="L515" s="119">
        <f>L499/TOP_ACTV_4_Exchange_Rate</f>
        <v>0</v>
      </c>
      <c r="M515" s="119">
        <f>M499/TOP_ACTV_4_Exchange_Rate</f>
        <v>0</v>
      </c>
      <c r="N515" s="119">
        <f>N499/TOP_ACTV_4_Exchange_Rate</f>
        <v>0</v>
      </c>
    </row>
    <row r="516" spans="1:14" s="10" customFormat="1" outlineLevel="1" x14ac:dyDescent="0.2"/>
    <row r="517" spans="1:14" s="10" customFormat="1" outlineLevel="1" x14ac:dyDescent="0.2">
      <c r="D517" s="76" t="str">
        <f>Lang_GoTo&amp;" "&amp;HL_TOP_ACTV_4_Single_Activity_Cost_Assumptions_Annual</f>
        <v>Go to IEC Soc Mob  Activity # 1 (Not in Use) Single Activity Cost - Annual Assumptions (Projected or Retrospective)</v>
      </c>
    </row>
    <row r="518" spans="1:14" s="10" customFormat="1" x14ac:dyDescent="0.2"/>
    <row r="519" spans="1:14" s="10" customFormat="1" x14ac:dyDescent="0.2">
      <c r="A519" s="12" t="s">
        <v>127</v>
      </c>
      <c r="B519" s="13" t="str">
        <f>B520&amp;" "&amp;Lang_Single_Activity_Cost_Outputs_Annual&amp;" ("&amp;Lang_Local_Currency_Fin&amp;")"</f>
        <v>IEC Soc Mob  Activity # 2 (Not in Use) Single Activity Cost Outputs - Annual (Local Currency - Financial)</v>
      </c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</row>
    <row r="520" spans="1:14" s="10" customFormat="1" outlineLevel="1" x14ac:dyDescent="0.2">
      <c r="B520" s="49" t="str">
        <f>HL_TOP_ACTV_15_Name</f>
        <v>IEC Soc Mob  Activity # 2 (Not in Use)</v>
      </c>
    </row>
    <row r="521" spans="1:14" s="10" customFormat="1" outlineLevel="1" x14ac:dyDescent="0.2">
      <c r="B521" s="65" t="str">
        <f>SOCMOB_Lu!$D$67&amp;" ("&amp;SOCMOB_Lu!$D$48&amp;")"</f>
        <v>Financial (LCU)</v>
      </c>
    </row>
    <row r="522" spans="1:14" s="10" customFormat="1" outlineLevel="1" x14ac:dyDescent="0.2"/>
    <row r="523" spans="1:14" s="10" customFormat="1" outlineLevel="1" x14ac:dyDescent="0.2">
      <c r="D523" s="49" t="str">
        <f>SOCIAL_MOBILISATION!D49</f>
        <v>IEC Soc Mob  Activity # 2 (Not in Use)</v>
      </c>
      <c r="E523" s="53" t="str">
        <f>"("&amp;IF(DD_TOP_ACTV_15_Input_Detail_or_Freeform=1,SOCIAL_MOBILISATION!$D$57,SOCIAL_MOBILISATION!$D$63)&amp;")"</f>
        <v>(Direct User Entry Cost Estimate)</v>
      </c>
      <c r="J523" s="108">
        <f>IF(DD_TOP_ACTV_15_Input_Detail_or_Freeform=1,IF(DD_TOP_ACTV_15_Annual_Currency_Used=2,SOCIAL_MOBILISATION!J$59,SOCIAL_MOBILISATION!J$59*TOP_ACTV_15_Exchange_Rate),IF(DD_TOP_ACTV_15_Annual_Currency_Used=2,SOCIAL_MOBILISATION!J$64,SOCIAL_MOBILISATION!J$64*TOP_ACTV_15_Exchange_Rate))</f>
        <v>0</v>
      </c>
      <c r="K523" s="108">
        <f>IF(DD_TOP_ACTV_15_Input_Detail_or_Freeform=1,IF(DD_TOP_ACTV_15_Annual_Currency_Used=2,SOCIAL_MOBILISATION!K$59,SOCIAL_MOBILISATION!K$59*TOP_ACTV_15_Exchange_Rate),IF(DD_TOP_ACTV_15_Annual_Currency_Used=2,SOCIAL_MOBILISATION!K$64,SOCIAL_MOBILISATION!K$64*TOP_ACTV_15_Exchange_Rate))</f>
        <v>0</v>
      </c>
      <c r="L523" s="108">
        <f>IF(DD_TOP_ACTV_15_Input_Detail_or_Freeform=1,IF(DD_TOP_ACTV_15_Annual_Currency_Used=2,SOCIAL_MOBILISATION!L$59,SOCIAL_MOBILISATION!L$59*TOP_ACTV_15_Exchange_Rate),IF(DD_TOP_ACTV_15_Annual_Currency_Used=2,SOCIAL_MOBILISATION!L$64,SOCIAL_MOBILISATION!L$64*TOP_ACTV_15_Exchange_Rate))</f>
        <v>0</v>
      </c>
      <c r="M523" s="108">
        <f>IF(DD_TOP_ACTV_15_Input_Detail_or_Freeform=1,IF(DD_TOP_ACTV_15_Annual_Currency_Used=2,SOCIAL_MOBILISATION!M$59,SOCIAL_MOBILISATION!M$59*TOP_ACTV_15_Exchange_Rate),IF(DD_TOP_ACTV_15_Annual_Currency_Used=2,SOCIAL_MOBILISATION!M$64,SOCIAL_MOBILISATION!M$64*TOP_ACTV_15_Exchange_Rate))</f>
        <v>0</v>
      </c>
      <c r="N523" s="108">
        <f>IF(DD_TOP_ACTV_15_Input_Detail_or_Freeform=1,IF(DD_TOP_ACTV_15_Annual_Currency_Used=2,SOCIAL_MOBILISATION!N$59,SOCIAL_MOBILISATION!N$59*TOP_ACTV_15_Exchange_Rate),IF(DD_TOP_ACTV_15_Annual_Currency_Used=2,SOCIAL_MOBILISATION!N$64,SOCIAL_MOBILISATION!N$64*TOP_ACTV_15_Exchange_Rate))</f>
        <v>0</v>
      </c>
    </row>
    <row r="524" spans="1:14" s="10" customFormat="1" outlineLevel="1" x14ac:dyDescent="0.2"/>
    <row r="525" spans="1:14" s="10" customFormat="1" outlineLevel="1" x14ac:dyDescent="0.2">
      <c r="D525" s="76" t="str">
        <f>Lang_GoTo&amp;" "&amp;HL_TOP_ACTV_15_Single_Activity_Cost_Assumptions_Annual</f>
        <v>Go to IEC Soc Mob  Activity # 2 (Not in Use) Single Activity Cost - Annual Assumptions (Projected or Retrospective)</v>
      </c>
    </row>
    <row r="526" spans="1:14" s="10" customFormat="1" x14ac:dyDescent="0.2"/>
    <row r="527" spans="1:14" s="10" customFormat="1" x14ac:dyDescent="0.2">
      <c r="A527" s="12" t="s">
        <v>127</v>
      </c>
      <c r="B527" s="13" t="str">
        <f>B528&amp;" "&amp;Lang_Single_Activity_Cost_Outputs_Annual&amp;" ("&amp;Lang_Local_Currency_Econ&amp;")"</f>
        <v>IEC Soc Mob  Activity # 2 (Not in Use) Single Activity Cost Outputs - Annual (Local Currency - Economic)</v>
      </c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</row>
    <row r="528" spans="1:14" s="10" customFormat="1" outlineLevel="1" x14ac:dyDescent="0.2">
      <c r="B528" s="49" t="str">
        <f>HL_TOP_ACTV_15_Name</f>
        <v>IEC Soc Mob  Activity # 2 (Not in Use)</v>
      </c>
    </row>
    <row r="529" spans="1:14" s="10" customFormat="1" outlineLevel="1" x14ac:dyDescent="0.2">
      <c r="B529" s="65" t="str">
        <f>SOCMOB_Lu!$D$68&amp;" ("&amp;SOCMOB_Lu!$D$48&amp;")"</f>
        <v>Economic (LCU)</v>
      </c>
    </row>
    <row r="530" spans="1:14" s="10" customFormat="1" outlineLevel="1" x14ac:dyDescent="0.2"/>
    <row r="531" spans="1:14" s="10" customFormat="1" outlineLevel="1" x14ac:dyDescent="0.2">
      <c r="D531" s="49" t="str">
        <f>SOCIAL_MOBILISATION!D49</f>
        <v>IEC Soc Mob  Activity # 2 (Not in Use)</v>
      </c>
      <c r="E531" s="53" t="str">
        <f>"("&amp;IF(DD_TOP_ACTV_15_Input_Detail_or_Freeform=1,SOCIAL_MOBILISATION!$D$57,SOCIAL_MOBILISATION!$D$63)&amp;")"</f>
        <v>(Direct User Entry Cost Estimate)</v>
      </c>
      <c r="J531" s="108">
        <f>IF(DD_TOP_ACTV_15_Input_Detail_or_Freeform=1,IF(DD_TOP_ACTV_15_Annual_Currency_Used=2,SOCIAL_MOBILISATION!J$60,SOCIAL_MOBILISATION!J$60*TOP_ACTV_15_Exchange_Rate),IF(DD_TOP_ACTV_15_Annual_Currency_Used=2,SOCIAL_MOBILISATION!J$65,SOCIAL_MOBILISATION!J$65*TOP_ACTV_15_Exchange_Rate))</f>
        <v>0</v>
      </c>
      <c r="K531" s="108">
        <f>IF(DD_TOP_ACTV_15_Input_Detail_or_Freeform=1,IF(DD_TOP_ACTV_15_Annual_Currency_Used=2,SOCIAL_MOBILISATION!K$60,SOCIAL_MOBILISATION!K$60*TOP_ACTV_15_Exchange_Rate),IF(DD_TOP_ACTV_15_Annual_Currency_Used=2,SOCIAL_MOBILISATION!K$65,SOCIAL_MOBILISATION!K$65*TOP_ACTV_15_Exchange_Rate))</f>
        <v>0</v>
      </c>
      <c r="L531" s="108">
        <f>IF(DD_TOP_ACTV_15_Input_Detail_or_Freeform=1,IF(DD_TOP_ACTV_15_Annual_Currency_Used=2,SOCIAL_MOBILISATION!L$60,SOCIAL_MOBILISATION!L$60*TOP_ACTV_15_Exchange_Rate),IF(DD_TOP_ACTV_15_Annual_Currency_Used=2,SOCIAL_MOBILISATION!L$65,SOCIAL_MOBILISATION!L$65*TOP_ACTV_15_Exchange_Rate))</f>
        <v>0</v>
      </c>
      <c r="M531" s="108">
        <f>IF(DD_TOP_ACTV_15_Input_Detail_or_Freeform=1,IF(DD_TOP_ACTV_15_Annual_Currency_Used=2,SOCIAL_MOBILISATION!M$60,SOCIAL_MOBILISATION!M$60*TOP_ACTV_15_Exchange_Rate),IF(DD_TOP_ACTV_15_Annual_Currency_Used=2,SOCIAL_MOBILISATION!M$65,SOCIAL_MOBILISATION!M$65*TOP_ACTV_15_Exchange_Rate))</f>
        <v>0</v>
      </c>
      <c r="N531" s="108">
        <f>IF(DD_TOP_ACTV_15_Input_Detail_or_Freeform=1,IF(DD_TOP_ACTV_15_Annual_Currency_Used=2,SOCIAL_MOBILISATION!N$60,SOCIAL_MOBILISATION!N$60*TOP_ACTV_15_Exchange_Rate),IF(DD_TOP_ACTV_15_Annual_Currency_Used=2,SOCIAL_MOBILISATION!N$65,SOCIAL_MOBILISATION!N$65*TOP_ACTV_15_Exchange_Rate))</f>
        <v>0</v>
      </c>
    </row>
    <row r="532" spans="1:14" s="10" customFormat="1" outlineLevel="1" x14ac:dyDescent="0.2"/>
    <row r="533" spans="1:14" s="10" customFormat="1" outlineLevel="1" x14ac:dyDescent="0.2">
      <c r="D533" s="76" t="str">
        <f>Lang_GoTo&amp;" "&amp;HL_TOP_ACTV_15_Single_Activity_Cost_Assumptions_Annual</f>
        <v>Go to IEC Soc Mob  Activity # 2 (Not in Use) Single Activity Cost - Annual Assumptions (Projected or Retrospective)</v>
      </c>
    </row>
    <row r="534" spans="1:14" s="10" customFormat="1" x14ac:dyDescent="0.2"/>
    <row r="535" spans="1:14" s="10" customFormat="1" x14ac:dyDescent="0.2">
      <c r="A535" s="12" t="s">
        <v>127</v>
      </c>
      <c r="B535" s="13" t="str">
        <f>B536&amp;" "&amp;Lang_Single_Activity_Cost_Outputs_Annual&amp;" ("&amp;Lang_International_Currency_Fin&amp;")"</f>
        <v>IEC Soc Mob  Activity # 2 (Not in Use) Single Activity Cost Outputs - Annual (International Currency - Financial)</v>
      </c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</row>
    <row r="536" spans="1:14" s="10" customFormat="1" outlineLevel="1" x14ac:dyDescent="0.2">
      <c r="B536" s="49" t="str">
        <f>HL_TOP_ACTV_15_Name</f>
        <v>IEC Soc Mob  Activity # 2 (Not in Use)</v>
      </c>
    </row>
    <row r="537" spans="1:14" s="10" customFormat="1" outlineLevel="1" x14ac:dyDescent="0.2">
      <c r="B537" s="65" t="str">
        <f>SOCMOB_Lu!$D$67&amp;" ("&amp;SOCMOB_Lu!$D$47&amp;")"</f>
        <v>Financial (USD)</v>
      </c>
    </row>
    <row r="538" spans="1:14" s="10" customFormat="1" outlineLevel="1" x14ac:dyDescent="0.2"/>
    <row r="539" spans="1:14" s="10" customFormat="1" outlineLevel="1" x14ac:dyDescent="0.2">
      <c r="D539" s="49" t="str">
        <f>SOCIAL_MOBILISATION!D49</f>
        <v>IEC Soc Mob  Activity # 2 (Not in Use)</v>
      </c>
      <c r="E539" s="53" t="str">
        <f>"("&amp;IF(DD_TOP_ACTV_15_Input_Detail_or_Freeform=1,SOCIAL_MOBILISATION!$D$57,SOCIAL_MOBILISATION!$D$63)&amp;")"</f>
        <v>(Direct User Entry Cost Estimate)</v>
      </c>
      <c r="J539" s="119">
        <f>J523/TOP_ACTV_15_Exchange_Rate</f>
        <v>0</v>
      </c>
      <c r="K539" s="119">
        <f>K523/TOP_ACTV_15_Exchange_Rate</f>
        <v>0</v>
      </c>
      <c r="L539" s="119">
        <f>L523/TOP_ACTV_15_Exchange_Rate</f>
        <v>0</v>
      </c>
      <c r="M539" s="119">
        <f>M523/TOP_ACTV_15_Exchange_Rate</f>
        <v>0</v>
      </c>
      <c r="N539" s="119">
        <f>N523/TOP_ACTV_15_Exchange_Rate</f>
        <v>0</v>
      </c>
    </row>
    <row r="540" spans="1:14" s="10" customFormat="1" outlineLevel="1" x14ac:dyDescent="0.2"/>
    <row r="541" spans="1:14" s="10" customFormat="1" outlineLevel="1" x14ac:dyDescent="0.2">
      <c r="D541" s="76" t="str">
        <f>Lang_GoTo&amp;" "&amp;HL_TOP_ACTV_15_Single_Activity_Cost_Assumptions_Annual</f>
        <v>Go to IEC Soc Mob  Activity # 2 (Not in Use) Single Activity Cost - Annual Assumptions (Projected or Retrospective)</v>
      </c>
    </row>
    <row r="542" spans="1:14" s="10" customFormat="1" x14ac:dyDescent="0.2"/>
    <row r="543" spans="1:14" s="10" customFormat="1" x14ac:dyDescent="0.2">
      <c r="A543" s="12" t="s">
        <v>127</v>
      </c>
      <c r="B543" s="13" t="str">
        <f>B544&amp;" "&amp;Lang_Single_Activity_Cost_Outputs_Annual&amp;" ("&amp;Lang_International_Currency_Econ&amp;")"</f>
        <v>IEC Soc Mob  Activity # 2 (Not in Use) Single Activity Cost Outputs - Annual (International Currency - Economic)</v>
      </c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</row>
    <row r="544" spans="1:14" s="10" customFormat="1" outlineLevel="1" x14ac:dyDescent="0.2">
      <c r="B544" s="49" t="str">
        <f>HL_TOP_ACTV_15_Name</f>
        <v>IEC Soc Mob  Activity # 2 (Not in Use)</v>
      </c>
    </row>
    <row r="545" spans="1:14" s="10" customFormat="1" outlineLevel="1" x14ac:dyDescent="0.2">
      <c r="B545" s="65" t="str">
        <f>SOCMOB_Lu!$D$68&amp;" ("&amp;SOCMOB_Lu!$D$47&amp;")"</f>
        <v>Economic (USD)</v>
      </c>
    </row>
    <row r="546" spans="1:14" s="10" customFormat="1" outlineLevel="1" x14ac:dyDescent="0.2"/>
    <row r="547" spans="1:14" s="10" customFormat="1" outlineLevel="1" x14ac:dyDescent="0.2">
      <c r="D547" s="49" t="str">
        <f>SOCIAL_MOBILISATION!D49</f>
        <v>IEC Soc Mob  Activity # 2 (Not in Use)</v>
      </c>
      <c r="E547" s="53" t="str">
        <f>"("&amp;IF(DD_TOP_ACTV_15_Input_Detail_or_Freeform=1,SOCIAL_MOBILISATION!$D$57,SOCIAL_MOBILISATION!$D$63)&amp;")"</f>
        <v>(Direct User Entry Cost Estimate)</v>
      </c>
      <c r="J547" s="119">
        <f>J531/TOP_ACTV_15_Exchange_Rate</f>
        <v>0</v>
      </c>
      <c r="K547" s="119">
        <f>K531/TOP_ACTV_15_Exchange_Rate</f>
        <v>0</v>
      </c>
      <c r="L547" s="119">
        <f>L531/TOP_ACTV_15_Exchange_Rate</f>
        <v>0</v>
      </c>
      <c r="M547" s="119">
        <f>M531/TOP_ACTV_15_Exchange_Rate</f>
        <v>0</v>
      </c>
      <c r="N547" s="119">
        <f>N531/TOP_ACTV_15_Exchange_Rate</f>
        <v>0</v>
      </c>
    </row>
    <row r="548" spans="1:14" s="10" customFormat="1" outlineLevel="1" x14ac:dyDescent="0.2"/>
    <row r="549" spans="1:14" s="10" customFormat="1" outlineLevel="1" x14ac:dyDescent="0.2">
      <c r="D549" s="76" t="str">
        <f>Lang_GoTo&amp;" "&amp;HL_TOP_ACTV_15_Single_Activity_Cost_Assumptions_Annual</f>
        <v>Go to IEC Soc Mob  Activity # 2 (Not in Use) Single Activity Cost - Annual Assumptions (Projected or Retrospective)</v>
      </c>
    </row>
    <row r="550" spans="1:14" s="10" customFormat="1" x14ac:dyDescent="0.2"/>
    <row r="551" spans="1:14" s="10" customFormat="1" x14ac:dyDescent="0.2">
      <c r="A551" s="12" t="s">
        <v>127</v>
      </c>
      <c r="B551" s="13" t="str">
        <f>B552&amp;" "&amp;Lang_Single_Activity_Cost_Outputs_Annual&amp;" ("&amp;Lang_Local_Currency_Fin&amp;")"</f>
        <v>IEC Soc Mob  Activity # 3 (Not in Use) Single Activity Cost Outputs - Annual (Local Currency - Financial)</v>
      </c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</row>
    <row r="552" spans="1:14" s="10" customFormat="1" outlineLevel="1" x14ac:dyDescent="0.2">
      <c r="B552" s="49" t="str">
        <f>HL_TOP_ACTV_16_Name</f>
        <v>IEC Soc Mob  Activity # 3 (Not in Use)</v>
      </c>
    </row>
    <row r="553" spans="1:14" s="10" customFormat="1" outlineLevel="1" x14ac:dyDescent="0.2">
      <c r="B553" s="65" t="str">
        <f>SOCMOB_Lu!$D$102&amp;" ("&amp;SOCMOB_Lu!$D$83&amp;")"</f>
        <v>Financial (LCU)</v>
      </c>
    </row>
    <row r="554" spans="1:14" s="10" customFormat="1" outlineLevel="1" x14ac:dyDescent="0.2"/>
    <row r="555" spans="1:14" s="10" customFormat="1" outlineLevel="1" x14ac:dyDescent="0.2">
      <c r="D555" s="49" t="str">
        <f>SOCIAL_MOBILISATION!D86</f>
        <v>IEC Soc Mob  Activity # 3 (Not in Use)</v>
      </c>
      <c r="E555" s="53" t="str">
        <f>"("&amp;IF(DD_TOP_ACTV_16_Input_Detail_or_Freeform=1,SOCIAL_MOBILISATION!$D$94,SOCIAL_MOBILISATION!$D$100)&amp;")"</f>
        <v>(Direct User Entry Cost Estimate)</v>
      </c>
      <c r="J555" s="108">
        <f>IF(DD_TOP_ACTV_16_Input_Detail_or_Freeform=1,IF(DD_TOP_ACTV_16_Annual_Currency_Used=2,SOCIAL_MOBILISATION!J$96,SOCIAL_MOBILISATION!J$96*TOP_ACTV_16_Exchange_Rate),IF(DD_TOP_ACTV_16_Annual_Currency_Used=2,SOCIAL_MOBILISATION!J$101,SOCIAL_MOBILISATION!J$101*TOP_ACTV_16_Exchange_Rate))</f>
        <v>0</v>
      </c>
      <c r="K555" s="108">
        <f>IF(DD_TOP_ACTV_16_Input_Detail_or_Freeform=1,IF(DD_TOP_ACTV_16_Annual_Currency_Used=2,SOCIAL_MOBILISATION!K$96,SOCIAL_MOBILISATION!K$96*TOP_ACTV_16_Exchange_Rate),IF(DD_TOP_ACTV_16_Annual_Currency_Used=2,SOCIAL_MOBILISATION!K$101,SOCIAL_MOBILISATION!K$101*TOP_ACTV_16_Exchange_Rate))</f>
        <v>0</v>
      </c>
      <c r="L555" s="108">
        <f>IF(DD_TOP_ACTV_16_Input_Detail_or_Freeform=1,IF(DD_TOP_ACTV_16_Annual_Currency_Used=2,SOCIAL_MOBILISATION!L$96,SOCIAL_MOBILISATION!L$96*TOP_ACTV_16_Exchange_Rate),IF(DD_TOP_ACTV_16_Annual_Currency_Used=2,SOCIAL_MOBILISATION!L$101,SOCIAL_MOBILISATION!L$101*TOP_ACTV_16_Exchange_Rate))</f>
        <v>0</v>
      </c>
      <c r="M555" s="108">
        <f>IF(DD_TOP_ACTV_16_Input_Detail_or_Freeform=1,IF(DD_TOP_ACTV_16_Annual_Currency_Used=2,SOCIAL_MOBILISATION!M$96,SOCIAL_MOBILISATION!M$96*TOP_ACTV_16_Exchange_Rate),IF(DD_TOP_ACTV_16_Annual_Currency_Used=2,SOCIAL_MOBILISATION!M$101,SOCIAL_MOBILISATION!M$101*TOP_ACTV_16_Exchange_Rate))</f>
        <v>0</v>
      </c>
      <c r="N555" s="108">
        <f>IF(DD_TOP_ACTV_16_Input_Detail_or_Freeform=1,IF(DD_TOP_ACTV_16_Annual_Currency_Used=2,SOCIAL_MOBILISATION!N$96,SOCIAL_MOBILISATION!N$96*TOP_ACTV_16_Exchange_Rate),IF(DD_TOP_ACTV_16_Annual_Currency_Used=2,SOCIAL_MOBILISATION!N$101,SOCIAL_MOBILISATION!N$101*TOP_ACTV_16_Exchange_Rate))</f>
        <v>0</v>
      </c>
    </row>
    <row r="556" spans="1:14" s="10" customFormat="1" outlineLevel="1" x14ac:dyDescent="0.2"/>
    <row r="557" spans="1:14" s="10" customFormat="1" outlineLevel="1" x14ac:dyDescent="0.2">
      <c r="D557" s="76" t="str">
        <f>Lang_GoTo&amp;" "&amp;HL_TOP_ACTV_16_Single_Activity_Cost_Assumptions_Annual</f>
        <v>Go to IEC Soc Mob  Activity # 3 (Not in Use) Single Activity Cost - Annual Assumptions (Projected or Retrospective)</v>
      </c>
    </row>
    <row r="558" spans="1:14" s="10" customFormat="1" x14ac:dyDescent="0.2"/>
    <row r="559" spans="1:14" s="10" customFormat="1" x14ac:dyDescent="0.2">
      <c r="A559" s="12" t="s">
        <v>127</v>
      </c>
      <c r="B559" s="13" t="str">
        <f>B560&amp;" "&amp;Lang_Single_Activity_Cost_Outputs_Annual&amp;" ("&amp;Lang_Local_Currency_Econ&amp;")"</f>
        <v>IEC Soc Mob  Activity # 3 (Not in Use) Single Activity Cost Outputs - Annual (Local Currency - Economic)</v>
      </c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</row>
    <row r="560" spans="1:14" s="10" customFormat="1" outlineLevel="1" x14ac:dyDescent="0.2">
      <c r="B560" s="49" t="str">
        <f>HL_TOP_ACTV_16_Name</f>
        <v>IEC Soc Mob  Activity # 3 (Not in Use)</v>
      </c>
    </row>
    <row r="561" spans="1:14" s="10" customFormat="1" outlineLevel="1" x14ac:dyDescent="0.2">
      <c r="B561" s="65" t="str">
        <f>SOCMOB_Lu!$D$103&amp;" ("&amp;SOCMOB_Lu!$D$83&amp;")"</f>
        <v>Economic (LCU)</v>
      </c>
    </row>
    <row r="562" spans="1:14" s="10" customFormat="1" outlineLevel="1" x14ac:dyDescent="0.2"/>
    <row r="563" spans="1:14" s="10" customFormat="1" outlineLevel="1" x14ac:dyDescent="0.2">
      <c r="D563" s="49" t="str">
        <f>SOCIAL_MOBILISATION!D86</f>
        <v>IEC Soc Mob  Activity # 3 (Not in Use)</v>
      </c>
      <c r="E563" s="53" t="str">
        <f>"("&amp;IF(DD_TOP_ACTV_16_Input_Detail_or_Freeform=1,SOCIAL_MOBILISATION!$D$94,SOCIAL_MOBILISATION!$D$100)&amp;")"</f>
        <v>(Direct User Entry Cost Estimate)</v>
      </c>
      <c r="J563" s="108">
        <f>IF(DD_TOP_ACTV_16_Input_Detail_or_Freeform=1,IF(DD_TOP_ACTV_16_Annual_Currency_Used=2,SOCIAL_MOBILISATION!J$97,SOCIAL_MOBILISATION!J$97*TOP_ACTV_16_Exchange_Rate),IF(DD_TOP_ACTV_16_Annual_Currency_Used=2,SOCIAL_MOBILISATION!J$102,SOCIAL_MOBILISATION!J$102*TOP_ACTV_16_Exchange_Rate))</f>
        <v>0</v>
      </c>
      <c r="K563" s="108">
        <f>IF(DD_TOP_ACTV_16_Input_Detail_or_Freeform=1,IF(DD_TOP_ACTV_16_Annual_Currency_Used=2,SOCIAL_MOBILISATION!K$97,SOCIAL_MOBILISATION!K$97*TOP_ACTV_16_Exchange_Rate),IF(DD_TOP_ACTV_16_Annual_Currency_Used=2,SOCIAL_MOBILISATION!K$102,SOCIAL_MOBILISATION!K$102*TOP_ACTV_16_Exchange_Rate))</f>
        <v>0</v>
      </c>
      <c r="L563" s="108">
        <f>IF(DD_TOP_ACTV_16_Input_Detail_or_Freeform=1,IF(DD_TOP_ACTV_16_Annual_Currency_Used=2,SOCIAL_MOBILISATION!L$97,SOCIAL_MOBILISATION!L$97*TOP_ACTV_16_Exchange_Rate),IF(DD_TOP_ACTV_16_Annual_Currency_Used=2,SOCIAL_MOBILISATION!L$102,SOCIAL_MOBILISATION!L$102*TOP_ACTV_16_Exchange_Rate))</f>
        <v>0</v>
      </c>
      <c r="M563" s="108">
        <f>IF(DD_TOP_ACTV_16_Input_Detail_or_Freeform=1,IF(DD_TOP_ACTV_16_Annual_Currency_Used=2,SOCIAL_MOBILISATION!M$97,SOCIAL_MOBILISATION!M$97*TOP_ACTV_16_Exchange_Rate),IF(DD_TOP_ACTV_16_Annual_Currency_Used=2,SOCIAL_MOBILISATION!M$102,SOCIAL_MOBILISATION!M$102*TOP_ACTV_16_Exchange_Rate))</f>
        <v>0</v>
      </c>
      <c r="N563" s="108">
        <f>IF(DD_TOP_ACTV_16_Input_Detail_or_Freeform=1,IF(DD_TOP_ACTV_16_Annual_Currency_Used=2,SOCIAL_MOBILISATION!N$97,SOCIAL_MOBILISATION!N$97*TOP_ACTV_16_Exchange_Rate),IF(DD_TOP_ACTV_16_Annual_Currency_Used=2,SOCIAL_MOBILISATION!N$102,SOCIAL_MOBILISATION!N$102*TOP_ACTV_16_Exchange_Rate))</f>
        <v>0</v>
      </c>
    </row>
    <row r="564" spans="1:14" s="10" customFormat="1" outlineLevel="1" x14ac:dyDescent="0.2"/>
    <row r="565" spans="1:14" s="10" customFormat="1" outlineLevel="1" x14ac:dyDescent="0.2">
      <c r="D565" s="76" t="str">
        <f>Lang_GoTo&amp;" "&amp;HL_TOP_ACTV_16_Single_Activity_Cost_Assumptions_Annual</f>
        <v>Go to IEC Soc Mob  Activity # 3 (Not in Use) Single Activity Cost - Annual Assumptions (Projected or Retrospective)</v>
      </c>
    </row>
    <row r="566" spans="1:14" s="10" customFormat="1" x14ac:dyDescent="0.2"/>
    <row r="567" spans="1:14" s="10" customFormat="1" x14ac:dyDescent="0.2">
      <c r="A567" s="12" t="s">
        <v>127</v>
      </c>
      <c r="B567" s="13" t="str">
        <f>B568&amp;" "&amp;Lang_Single_Activity_Cost_Outputs_Annual&amp;" ("&amp;Lang_International_Currency_Fin&amp;")"</f>
        <v>IEC Soc Mob  Activity # 3 (Not in Use) Single Activity Cost Outputs - Annual (International Currency - Financial)</v>
      </c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</row>
    <row r="568" spans="1:14" s="10" customFormat="1" outlineLevel="1" x14ac:dyDescent="0.2">
      <c r="B568" s="49" t="str">
        <f>HL_TOP_ACTV_16_Name</f>
        <v>IEC Soc Mob  Activity # 3 (Not in Use)</v>
      </c>
    </row>
    <row r="569" spans="1:14" s="10" customFormat="1" outlineLevel="1" x14ac:dyDescent="0.2">
      <c r="B569" s="65" t="str">
        <f>SOCMOB_Lu!$D$102&amp;" ("&amp;SOCMOB_Lu!$D$82&amp;")"</f>
        <v>Financial (USD)</v>
      </c>
    </row>
    <row r="570" spans="1:14" s="10" customFormat="1" outlineLevel="1" x14ac:dyDescent="0.2"/>
    <row r="571" spans="1:14" s="10" customFormat="1" outlineLevel="1" x14ac:dyDescent="0.2">
      <c r="D571" s="49" t="str">
        <f>SOCIAL_MOBILISATION!D86</f>
        <v>IEC Soc Mob  Activity # 3 (Not in Use)</v>
      </c>
      <c r="E571" s="53" t="str">
        <f>"("&amp;IF(DD_TOP_ACTV_16_Input_Detail_or_Freeform=1,SOCIAL_MOBILISATION!$D$94,SOCIAL_MOBILISATION!$D$100)&amp;")"</f>
        <v>(Direct User Entry Cost Estimate)</v>
      </c>
      <c r="J571" s="119">
        <f>J555/TOP_ACTV_16_Exchange_Rate</f>
        <v>0</v>
      </c>
      <c r="K571" s="119">
        <f>K555/TOP_ACTV_16_Exchange_Rate</f>
        <v>0</v>
      </c>
      <c r="L571" s="119">
        <f>L555/TOP_ACTV_16_Exchange_Rate</f>
        <v>0</v>
      </c>
      <c r="M571" s="119">
        <f>M555/TOP_ACTV_16_Exchange_Rate</f>
        <v>0</v>
      </c>
      <c r="N571" s="119">
        <f>N555/TOP_ACTV_16_Exchange_Rate</f>
        <v>0</v>
      </c>
    </row>
    <row r="572" spans="1:14" s="10" customFormat="1" outlineLevel="1" x14ac:dyDescent="0.2"/>
    <row r="573" spans="1:14" s="10" customFormat="1" outlineLevel="1" x14ac:dyDescent="0.2">
      <c r="D573" s="76" t="str">
        <f>Lang_GoTo&amp;" "&amp;HL_TOP_ACTV_16_Single_Activity_Cost_Assumptions_Annual</f>
        <v>Go to IEC Soc Mob  Activity # 3 (Not in Use) Single Activity Cost - Annual Assumptions (Projected or Retrospective)</v>
      </c>
    </row>
    <row r="574" spans="1:14" s="10" customFormat="1" x14ac:dyDescent="0.2"/>
    <row r="575" spans="1:14" s="10" customFormat="1" x14ac:dyDescent="0.2">
      <c r="A575" s="12" t="s">
        <v>127</v>
      </c>
      <c r="B575" s="13" t="str">
        <f>B576&amp;" "&amp;Lang_Single_Activity_Cost_Outputs_Annual&amp;" ("&amp;Lang_International_Currency_Econ&amp;")"</f>
        <v>IEC Soc Mob  Activity # 3 (Not in Use) Single Activity Cost Outputs - Annual (International Currency - Economic)</v>
      </c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</row>
    <row r="576" spans="1:14" s="10" customFormat="1" outlineLevel="1" x14ac:dyDescent="0.2">
      <c r="B576" s="49" t="str">
        <f>HL_TOP_ACTV_16_Name</f>
        <v>IEC Soc Mob  Activity # 3 (Not in Use)</v>
      </c>
    </row>
    <row r="577" spans="1:14" s="10" customFormat="1" outlineLevel="1" x14ac:dyDescent="0.2">
      <c r="B577" s="65" t="str">
        <f>SOCMOB_Lu!$D$103&amp;" ("&amp;SOCMOB_Lu!$D$82&amp;")"</f>
        <v>Economic (USD)</v>
      </c>
    </row>
    <row r="578" spans="1:14" s="10" customFormat="1" outlineLevel="1" x14ac:dyDescent="0.2"/>
    <row r="579" spans="1:14" s="10" customFormat="1" outlineLevel="1" x14ac:dyDescent="0.2">
      <c r="D579" s="49" t="str">
        <f>SOCIAL_MOBILISATION!D86</f>
        <v>IEC Soc Mob  Activity # 3 (Not in Use)</v>
      </c>
      <c r="E579" s="53" t="str">
        <f>"("&amp;IF(DD_TOP_ACTV_16_Input_Detail_or_Freeform=1,SOCIAL_MOBILISATION!$D$94,SOCIAL_MOBILISATION!$D$100)&amp;")"</f>
        <v>(Direct User Entry Cost Estimate)</v>
      </c>
      <c r="J579" s="119">
        <f>J563/TOP_ACTV_16_Exchange_Rate</f>
        <v>0</v>
      </c>
      <c r="K579" s="119">
        <f>K563/TOP_ACTV_16_Exchange_Rate</f>
        <v>0</v>
      </c>
      <c r="L579" s="119">
        <f>L563/TOP_ACTV_16_Exchange_Rate</f>
        <v>0</v>
      </c>
      <c r="M579" s="119">
        <f>M563/TOP_ACTV_16_Exchange_Rate</f>
        <v>0</v>
      </c>
      <c r="N579" s="119">
        <f>N563/TOP_ACTV_16_Exchange_Rate</f>
        <v>0</v>
      </c>
    </row>
    <row r="580" spans="1:14" s="10" customFormat="1" outlineLevel="1" x14ac:dyDescent="0.2"/>
    <row r="581" spans="1:14" s="10" customFormat="1" outlineLevel="1" x14ac:dyDescent="0.2">
      <c r="D581" s="76" t="str">
        <f>Lang_GoTo&amp;" "&amp;HL_TOP_ACTV_16_Single_Activity_Cost_Assumptions_Annual</f>
        <v>Go to IEC Soc Mob  Activity # 3 (Not in Use) Single Activity Cost - Annual Assumptions (Projected or Retrospective)</v>
      </c>
    </row>
    <row r="582" spans="1:14" s="10" customFormat="1" x14ac:dyDescent="0.2"/>
    <row r="583" spans="1:14" s="10" customFormat="1" x14ac:dyDescent="0.2">
      <c r="A583" s="12" t="s">
        <v>127</v>
      </c>
      <c r="B583" s="13" t="str">
        <f>B584&amp;" "&amp;Lang_Single_Activity_Cost_Outputs_Annual&amp;" ("&amp;Lang_Local_Currency_Fin&amp;")"</f>
        <v>IEC Soc Mob  Activity # 4  (Not in Use) Single Activity Cost Outputs - Annual (Local Currency - Financial)</v>
      </c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</row>
    <row r="584" spans="1:14" s="10" customFormat="1" outlineLevel="1" x14ac:dyDescent="0.2">
      <c r="B584" s="10" t="str">
        <f>HL_LVL2_ACTV_4_Name</f>
        <v>IEC Soc Mob  Activity # 4  (Not in Use)</v>
      </c>
    </row>
    <row r="585" spans="1:14" s="10" customFormat="1" outlineLevel="1" x14ac:dyDescent="0.2">
      <c r="B585" s="65" t="str">
        <f>SOCMOB_Lu!$D$137&amp;" ("&amp;SOCMOB_Lu!$D$118&amp;")"</f>
        <v>Financial (LCU)</v>
      </c>
      <c r="E585" s="53" t="str">
        <f>"("&amp;IF(DD_LVL2_ACTV_4_Input_Detail_or_Freeform=1,SOCIAL_MOBILISATION!$D$133,SOCIAL_MOBILISATION!$D$139)&amp;")"</f>
        <v>(Direct User Entry Cost Estimate)</v>
      </c>
    </row>
    <row r="586" spans="1:14" s="10" customFormat="1" outlineLevel="1" x14ac:dyDescent="0.2"/>
    <row r="587" spans="1:14" s="10" customFormat="1" outlineLevel="1" x14ac:dyDescent="0.2">
      <c r="D587" s="49" t="str">
        <f>HL_LVL2_ACTV_4_Name</f>
        <v>IEC Soc Mob  Activity # 4  (Not in Use)</v>
      </c>
      <c r="J587" s="362">
        <f>IF(DD_LVL2_ACTV_4_Input_Detail_or_Freeform=1,IF(DD_LVL2_ACTV_4_Annual_Currency_Select=2,SOCIAL_MOBILISATION!J$135,SOCIAL_MOBILISATION!J$135*LVL2_ACTV_4_Exchange_Rate),IF(DD_LVL2_ACTV_4_Annual_Currency_Select=2,SOCIAL_MOBILISATION!J$140,SOCIAL_MOBILISATION!J$140*LVL2_ACTV_4_Exchange_Rate))</f>
        <v>0</v>
      </c>
      <c r="K587" s="362">
        <f>IF(DD_LVL2_ACTV_4_Input_Detail_or_Freeform=1,IF(DD_LVL2_ACTV_4_Annual_Currency_Select=2,SOCIAL_MOBILISATION!K$135,SOCIAL_MOBILISATION!K$135*LVL2_ACTV_4_Exchange_Rate),IF(DD_LVL2_ACTV_4_Annual_Currency_Select=2,SOCIAL_MOBILISATION!K$140,SOCIAL_MOBILISATION!K$140*LVL2_ACTV_4_Exchange_Rate))</f>
        <v>0</v>
      </c>
      <c r="L587" s="362">
        <f>IF(DD_LVL2_ACTV_4_Input_Detail_or_Freeform=1,IF(DD_LVL2_ACTV_4_Annual_Currency_Select=2,SOCIAL_MOBILISATION!L$135,SOCIAL_MOBILISATION!L$135*LVL2_ACTV_4_Exchange_Rate),IF(DD_LVL2_ACTV_4_Annual_Currency_Select=2,SOCIAL_MOBILISATION!L$140,SOCIAL_MOBILISATION!L$140*LVL2_ACTV_4_Exchange_Rate))</f>
        <v>0</v>
      </c>
      <c r="M587" s="362">
        <f>IF(DD_LVL2_ACTV_4_Input_Detail_or_Freeform=1,IF(DD_LVL2_ACTV_4_Annual_Currency_Select=2,SOCIAL_MOBILISATION!M$135,SOCIAL_MOBILISATION!M$135*LVL2_ACTV_4_Exchange_Rate),IF(DD_LVL2_ACTV_4_Annual_Currency_Select=2,SOCIAL_MOBILISATION!M$140,SOCIAL_MOBILISATION!M$140*LVL2_ACTV_4_Exchange_Rate))</f>
        <v>0</v>
      </c>
      <c r="N587" s="362">
        <f>IF(DD_LVL2_ACTV_4_Input_Detail_or_Freeform=1,IF(DD_LVL2_ACTV_4_Annual_Currency_Select=2,SOCIAL_MOBILISATION!N$135,SOCIAL_MOBILISATION!N$135*LVL2_ACTV_4_Exchange_Rate),IF(DD_LVL2_ACTV_4_Annual_Currency_Select=2,SOCIAL_MOBILISATION!N$140,SOCIAL_MOBILISATION!N$140*LVL2_ACTV_4_Exchange_Rate))</f>
        <v>0</v>
      </c>
    </row>
    <row r="588" spans="1:14" s="10" customFormat="1" outlineLevel="1" x14ac:dyDescent="0.2">
      <c r="D588" s="114" t="str">
        <f>HL_LVL2_ACTV_4_Name</f>
        <v>IEC Soc Mob  Activity # 4  (Not in Use)</v>
      </c>
      <c r="J588" s="43">
        <f>SUM(J587:J587)</f>
        <v>0</v>
      </c>
      <c r="K588" s="43">
        <f>SUM(K587:K587)</f>
        <v>0</v>
      </c>
      <c r="L588" s="43">
        <f>SUM(L587:L587)</f>
        <v>0</v>
      </c>
      <c r="M588" s="43">
        <f>SUM(M587:M587)</f>
        <v>0</v>
      </c>
      <c r="N588" s="43">
        <f>SUM(N587:N587)</f>
        <v>0</v>
      </c>
    </row>
    <row r="589" spans="1:14" s="10" customFormat="1" outlineLevel="1" x14ac:dyDescent="0.2"/>
    <row r="590" spans="1:14" s="10" customFormat="1" outlineLevel="1" x14ac:dyDescent="0.2"/>
    <row r="591" spans="1:14" s="10" customFormat="1" outlineLevel="1" x14ac:dyDescent="0.2">
      <c r="D591" s="76" t="str">
        <f>Lang_GoTo&amp;" "&amp;HL_LVL2_ACTV_4_Single_Activity_Cost_Assumptions_Annual</f>
        <v>Go to IEC Soc Mob  Activity # 4  (Not in Use) Single Activity Cost - Annual Assumptions (Projected or Retrospective)</v>
      </c>
    </row>
    <row r="592" spans="1:14" s="10" customFormat="1" x14ac:dyDescent="0.2"/>
    <row r="593" spans="1:14" s="10" customFormat="1" x14ac:dyDescent="0.2">
      <c r="A593" s="12" t="s">
        <v>127</v>
      </c>
      <c r="B593" s="13" t="str">
        <f>B594&amp;" "&amp;Lang_Single_Activity_Cost_Outputs_Annual&amp;" ("&amp;Lang_Local_Currency_Econ&amp;")"</f>
        <v>IEC Soc Mob  Activity # 4  (Not in Use) Single Activity Cost Outputs - Annual (Local Currency - Economic)</v>
      </c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</row>
    <row r="594" spans="1:14" s="10" customFormat="1" outlineLevel="1" x14ac:dyDescent="0.2">
      <c r="B594" s="10" t="str">
        <f>HL_LVL2_ACTV_4_Name</f>
        <v>IEC Soc Mob  Activity # 4  (Not in Use)</v>
      </c>
    </row>
    <row r="595" spans="1:14" s="10" customFormat="1" outlineLevel="1" x14ac:dyDescent="0.2">
      <c r="B595" s="65" t="str">
        <f>SOCMOB_Lu!$D$138&amp;" ("&amp;SOCMOB_Lu!$D$118&amp;")"</f>
        <v>Economic (LCU)</v>
      </c>
      <c r="E595" s="53" t="str">
        <f>"("&amp;IF(DD_LVL2_ACTV_4_Input_Detail_or_Freeform=1,SOCIAL_MOBILISATION!$D$133,SOCIAL_MOBILISATION!$D$139)&amp;")"</f>
        <v>(Direct User Entry Cost Estimate)</v>
      </c>
    </row>
    <row r="596" spans="1:14" s="10" customFormat="1" outlineLevel="1" x14ac:dyDescent="0.2"/>
    <row r="597" spans="1:14" s="10" customFormat="1" outlineLevel="1" x14ac:dyDescent="0.2">
      <c r="D597" s="49" t="str">
        <f>HL_LVL2_ACTV_4_Name</f>
        <v>IEC Soc Mob  Activity # 4  (Not in Use)</v>
      </c>
      <c r="J597" s="362">
        <f>IF(DD_LVL2_ACTV_4_Input_Detail_or_Freeform=1,IF(DD_LVL2_ACTV_4_Annual_Currency_Select=2,SOCIAL_MOBILISATION!J$136,SOCIAL_MOBILISATION!J$136*LVL2_ACTV_4_Exchange_Rate),IF(DD_LVL2_ACTV_4_Annual_Currency_Select=2,SOCIAL_MOBILISATION!J$141,SOCIAL_MOBILISATION!J$141*LVL2_ACTV_4_Exchange_Rate))</f>
        <v>0</v>
      </c>
      <c r="K597" s="362">
        <f>IF(DD_LVL2_ACTV_4_Input_Detail_or_Freeform=1,IF(DD_LVL2_ACTV_4_Annual_Currency_Select=2,SOCIAL_MOBILISATION!K$136,SOCIAL_MOBILISATION!K$136*LVL2_ACTV_4_Exchange_Rate),IF(DD_LVL2_ACTV_4_Annual_Currency_Select=2,SOCIAL_MOBILISATION!K$141,SOCIAL_MOBILISATION!K$141*LVL2_ACTV_4_Exchange_Rate))</f>
        <v>0</v>
      </c>
      <c r="L597" s="362">
        <f>IF(DD_LVL2_ACTV_4_Input_Detail_or_Freeform=1,IF(DD_LVL2_ACTV_4_Annual_Currency_Select=2,SOCIAL_MOBILISATION!L$136,SOCIAL_MOBILISATION!L$136*LVL2_ACTV_4_Exchange_Rate),IF(DD_LVL2_ACTV_4_Annual_Currency_Select=2,SOCIAL_MOBILISATION!L$141,SOCIAL_MOBILISATION!L$141*LVL2_ACTV_4_Exchange_Rate))</f>
        <v>0</v>
      </c>
      <c r="M597" s="362">
        <f>IF(DD_LVL2_ACTV_4_Input_Detail_or_Freeform=1,IF(DD_LVL2_ACTV_4_Annual_Currency_Select=2,SOCIAL_MOBILISATION!M$136,SOCIAL_MOBILISATION!M$136*LVL2_ACTV_4_Exchange_Rate),IF(DD_LVL2_ACTV_4_Annual_Currency_Select=2,SOCIAL_MOBILISATION!M$141,SOCIAL_MOBILISATION!M$141*LVL2_ACTV_4_Exchange_Rate))</f>
        <v>0</v>
      </c>
      <c r="N597" s="362">
        <f>IF(DD_LVL2_ACTV_4_Input_Detail_or_Freeform=1,IF(DD_LVL2_ACTV_4_Annual_Currency_Select=2,SOCIAL_MOBILISATION!N$136,SOCIAL_MOBILISATION!N$136*LVL2_ACTV_4_Exchange_Rate),IF(DD_LVL2_ACTV_4_Annual_Currency_Select=2,SOCIAL_MOBILISATION!N$141,SOCIAL_MOBILISATION!N$141*LVL2_ACTV_4_Exchange_Rate))</f>
        <v>0</v>
      </c>
    </row>
    <row r="598" spans="1:14" s="10" customFormat="1" outlineLevel="1" x14ac:dyDescent="0.2">
      <c r="D598" s="114" t="str">
        <f>HL_LVL2_ACTV_4_Name</f>
        <v>IEC Soc Mob  Activity # 4  (Not in Use)</v>
      </c>
      <c r="J598" s="43">
        <f>SUM(J597:J597)</f>
        <v>0</v>
      </c>
      <c r="K598" s="43">
        <f>SUM(K597:K597)</f>
        <v>0</v>
      </c>
      <c r="L598" s="43">
        <f>SUM(L597:L597)</f>
        <v>0</v>
      </c>
      <c r="M598" s="43">
        <f>SUM(M597:M597)</f>
        <v>0</v>
      </c>
      <c r="N598" s="43">
        <f>SUM(N597:N597)</f>
        <v>0</v>
      </c>
    </row>
    <row r="599" spans="1:14" s="10" customFormat="1" outlineLevel="1" x14ac:dyDescent="0.2"/>
    <row r="600" spans="1:14" s="10" customFormat="1" outlineLevel="1" x14ac:dyDescent="0.2">
      <c r="D600" s="76" t="str">
        <f>Lang_GoTo&amp;" "&amp;HL_LVL2_ACTV_4_Single_Activity_Cost_Assumptions_Annual</f>
        <v>Go to IEC Soc Mob  Activity # 4  (Not in Use) Single Activity Cost - Annual Assumptions (Projected or Retrospective)</v>
      </c>
    </row>
    <row r="601" spans="1:14" s="10" customFormat="1" x14ac:dyDescent="0.2"/>
    <row r="602" spans="1:14" s="10" customFormat="1" x14ac:dyDescent="0.2">
      <c r="A602" s="12" t="s">
        <v>127</v>
      </c>
      <c r="B602" s="13" t="str">
        <f>B603&amp;" "&amp;Lang_Single_Activity_Cost_Outputs_Annual&amp;" ("&amp;Lang_International_Currency_Fin&amp;")"</f>
        <v>IEC Soc Mob  Activity # 4  (Not in Use) Single Activity Cost Outputs - Annual (International Currency - Financial)</v>
      </c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</row>
    <row r="603" spans="1:14" s="10" customFormat="1" outlineLevel="1" x14ac:dyDescent="0.2">
      <c r="B603" s="10" t="str">
        <f>HL_LVL2_ACTV_4_Name</f>
        <v>IEC Soc Mob  Activity # 4  (Not in Use)</v>
      </c>
    </row>
    <row r="604" spans="1:14" s="10" customFormat="1" outlineLevel="1" x14ac:dyDescent="0.2">
      <c r="B604" s="65" t="str">
        <f>SOCMOB_Lu!$D$137&amp;" ("&amp;SOCMOB_Lu!$D$117&amp;")"</f>
        <v>Financial (USD)</v>
      </c>
      <c r="E604" s="53" t="str">
        <f>"("&amp;IF(DD_LVL2_ACTV_4_Input_Detail_or_Freeform=1,SOCIAL_MOBILISATION!$D$133,SOCIAL_MOBILISATION!$D$139)&amp;")"</f>
        <v>(Direct User Entry Cost Estimate)</v>
      </c>
    </row>
    <row r="605" spans="1:14" s="10" customFormat="1" outlineLevel="1" x14ac:dyDescent="0.2"/>
    <row r="606" spans="1:14" s="10" customFormat="1" outlineLevel="1" x14ac:dyDescent="0.2">
      <c r="D606" s="49" t="str">
        <f>HL_LVL2_ACTV_4_Name</f>
        <v>IEC Soc Mob  Activity # 4  (Not in Use)</v>
      </c>
      <c r="J606" s="119">
        <f>J587/LVL2_ACTV_4_Exchange_Rate</f>
        <v>0</v>
      </c>
      <c r="K606" s="119">
        <f>K587/LVL2_ACTV_4_Exchange_Rate</f>
        <v>0</v>
      </c>
      <c r="L606" s="119">
        <f>L587/LVL2_ACTV_4_Exchange_Rate</f>
        <v>0</v>
      </c>
      <c r="M606" s="119">
        <f>M587/LVL2_ACTV_4_Exchange_Rate</f>
        <v>0</v>
      </c>
      <c r="N606" s="119">
        <f>N587/LVL2_ACTV_4_Exchange_Rate</f>
        <v>0</v>
      </c>
    </row>
    <row r="607" spans="1:14" s="10" customFormat="1" outlineLevel="1" x14ac:dyDescent="0.2">
      <c r="D607" s="114" t="str">
        <f>HL_LVL2_ACTV_4_Name</f>
        <v>IEC Soc Mob  Activity # 4  (Not in Use)</v>
      </c>
      <c r="J607" s="245">
        <f>SUM(J606:J606)</f>
        <v>0</v>
      </c>
      <c r="K607" s="245">
        <f>SUM(K606:K606)</f>
        <v>0</v>
      </c>
      <c r="L607" s="245">
        <f>SUM(L606:L606)</f>
        <v>0</v>
      </c>
      <c r="M607" s="245">
        <f>SUM(M606:M606)</f>
        <v>0</v>
      </c>
      <c r="N607" s="245">
        <f>SUM(N606:N606)</f>
        <v>0</v>
      </c>
    </row>
    <row r="608" spans="1:14" s="10" customFormat="1" outlineLevel="1" x14ac:dyDescent="0.2"/>
    <row r="609" spans="1:14" s="10" customFormat="1" outlineLevel="1" x14ac:dyDescent="0.2">
      <c r="D609" s="76" t="str">
        <f>Lang_GoTo&amp;" "&amp;HL_LVL2_ACTV_4_Single_Activity_Cost_Assumptions_Annual</f>
        <v>Go to IEC Soc Mob  Activity # 4  (Not in Use) Single Activity Cost - Annual Assumptions (Projected or Retrospective)</v>
      </c>
    </row>
    <row r="610" spans="1:14" s="10" customFormat="1" x14ac:dyDescent="0.2"/>
    <row r="611" spans="1:14" s="10" customFormat="1" x14ac:dyDescent="0.2">
      <c r="A611" s="12" t="s">
        <v>127</v>
      </c>
      <c r="B611" s="13" t="str">
        <f>B612&amp;" "&amp;Lang_Single_Activity_Cost_Outputs_Annual&amp;" ("&amp;Lang_International_Currency_Econ&amp;")"</f>
        <v>IEC Soc Mob  Activity # 4  (Not in Use) Single Activity Cost Outputs - Annual (International Currency - Economic)</v>
      </c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</row>
    <row r="612" spans="1:14" s="10" customFormat="1" outlineLevel="1" x14ac:dyDescent="0.2">
      <c r="B612" s="10" t="str">
        <f>HL_LVL2_ACTV_4_Name</f>
        <v>IEC Soc Mob  Activity # 4  (Not in Use)</v>
      </c>
    </row>
    <row r="613" spans="1:14" s="10" customFormat="1" outlineLevel="1" x14ac:dyDescent="0.2">
      <c r="B613" s="65" t="str">
        <f>SOCMOB_Lu!$D$138&amp;" ("&amp;SOCMOB_Lu!$D$117&amp;")"</f>
        <v>Economic (USD)</v>
      </c>
      <c r="E613" s="53" t="str">
        <f>"("&amp;IF(DD_LVL2_ACTV_4_Input_Detail_or_Freeform=1,SOCIAL_MOBILISATION!$D$133,SOCIAL_MOBILISATION!$D$139)&amp;")"</f>
        <v>(Direct User Entry Cost Estimate)</v>
      </c>
    </row>
    <row r="614" spans="1:14" s="10" customFormat="1" outlineLevel="1" x14ac:dyDescent="0.2"/>
    <row r="615" spans="1:14" s="10" customFormat="1" outlineLevel="1" x14ac:dyDescent="0.2">
      <c r="D615" s="49" t="str">
        <f>HL_LVL2_ACTV_4_Name</f>
        <v>IEC Soc Mob  Activity # 4  (Not in Use)</v>
      </c>
      <c r="J615" s="119">
        <f>J597/LVL2_ACTV_4_Exchange_Rate</f>
        <v>0</v>
      </c>
      <c r="K615" s="119">
        <f>K597/LVL2_ACTV_4_Exchange_Rate</f>
        <v>0</v>
      </c>
      <c r="L615" s="119">
        <f>L597/LVL2_ACTV_4_Exchange_Rate</f>
        <v>0</v>
      </c>
      <c r="M615" s="119">
        <f>M597/LVL2_ACTV_4_Exchange_Rate</f>
        <v>0</v>
      </c>
      <c r="N615" s="119">
        <f>N597/LVL2_ACTV_4_Exchange_Rate</f>
        <v>0</v>
      </c>
    </row>
    <row r="616" spans="1:14" s="10" customFormat="1" outlineLevel="1" x14ac:dyDescent="0.2">
      <c r="D616" s="114" t="str">
        <f>HL_LVL2_ACTV_4_Name</f>
        <v>IEC Soc Mob  Activity # 4  (Not in Use)</v>
      </c>
      <c r="J616" s="245">
        <f>SUM(J615:J615)</f>
        <v>0</v>
      </c>
      <c r="K616" s="245">
        <f>SUM(K615:K615)</f>
        <v>0</v>
      </c>
      <c r="L616" s="245">
        <f>SUM(L615:L615)</f>
        <v>0</v>
      </c>
      <c r="M616" s="245">
        <f>SUM(M615:M615)</f>
        <v>0</v>
      </c>
      <c r="N616" s="245">
        <f>SUM(N615:N615)</f>
        <v>0</v>
      </c>
    </row>
    <row r="617" spans="1:14" s="10" customFormat="1" outlineLevel="1" x14ac:dyDescent="0.2"/>
    <row r="618" spans="1:14" s="10" customFormat="1" outlineLevel="1" x14ac:dyDescent="0.2">
      <c r="D618" s="76" t="str">
        <f>Lang_GoTo&amp;" "&amp;HL_LVL2_ACTV_4_Single_Activity_Cost_Assumptions_Annual</f>
        <v>Go to IEC Soc Mob  Activity # 4  (Not in Use) Single Activity Cost - Annual Assumptions (Projected or Retrospective)</v>
      </c>
    </row>
    <row r="619" spans="1:14" s="10" customFormat="1" x14ac:dyDescent="0.2"/>
    <row r="620" spans="1:14" s="10" customFormat="1" x14ac:dyDescent="0.2">
      <c r="A620" s="12" t="s">
        <v>127</v>
      </c>
      <c r="B620" s="13" t="str">
        <f>B621&amp;" "&amp;Lang_Single_Activity_Cost_Outputs_Annual&amp;" ("&amp;Lang_Local_Currency_Fin&amp;")"</f>
        <v>IEC Soc Mob  Activity # 5  (Not in Use) Single Activity Cost Outputs - Annual (Local Currency - Financial)</v>
      </c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</row>
    <row r="621" spans="1:14" s="10" customFormat="1" outlineLevel="1" x14ac:dyDescent="0.2">
      <c r="B621" s="10" t="str">
        <f>HL_LVL2_ACTV_10_Name</f>
        <v>IEC Soc Mob  Activity # 5  (Not in Use)</v>
      </c>
    </row>
    <row r="622" spans="1:14" s="10" customFormat="1" outlineLevel="1" x14ac:dyDescent="0.2">
      <c r="B622" s="65" t="str">
        <f>SOCMOB_Lu!$D$172&amp;" ("&amp;SOCMOB_Lu!$D$153&amp;")"</f>
        <v>Financial (LCU)</v>
      </c>
      <c r="E622" s="53" t="str">
        <f>"("&amp;IF(DD_LVL2_ACTV_10_Input_Detail_or_Freeform=1,SOCIAL_MOBILISATION!$D$176,SOCIAL_MOBILISATION!$D$182)&amp;")"</f>
        <v>(Direct User Entry Cost Estimate)</v>
      </c>
    </row>
    <row r="623" spans="1:14" s="10" customFormat="1" outlineLevel="1" x14ac:dyDescent="0.2"/>
    <row r="624" spans="1:14" s="10" customFormat="1" outlineLevel="1" x14ac:dyDescent="0.2">
      <c r="D624" s="49" t="str">
        <f>HL_LVL2_ACTV_10_Name</f>
        <v>IEC Soc Mob  Activity # 5  (Not in Use)</v>
      </c>
      <c r="J624" s="362">
        <f>IF(DD_LVL2_ACTV_10_Input_Detail_or_Freeform=1,IF(DD_LVL2_ACTV_10_Annual_Currency_Select=2,SOCIAL_MOBILISATION!J$178,SOCIAL_MOBILISATION!J$178*LVL2_ACTV_10_Exchange_Rate),IF(DD_LVL2_ACTV_10_Annual_Currency_Select=2,SOCIAL_MOBILISATION!J$183,SOCIAL_MOBILISATION!J$183*LVL2_ACTV_10_Exchange_Rate))</f>
        <v>0</v>
      </c>
      <c r="K624" s="362">
        <f>IF(DD_LVL2_ACTV_10_Input_Detail_or_Freeform=1,IF(DD_LVL2_ACTV_10_Annual_Currency_Select=2,SOCIAL_MOBILISATION!K$178,SOCIAL_MOBILISATION!K$178*LVL2_ACTV_10_Exchange_Rate),IF(DD_LVL2_ACTV_10_Annual_Currency_Select=2,SOCIAL_MOBILISATION!K$183,SOCIAL_MOBILISATION!K$183*LVL2_ACTV_10_Exchange_Rate))</f>
        <v>0</v>
      </c>
      <c r="L624" s="362">
        <f>IF(DD_LVL2_ACTV_10_Input_Detail_or_Freeform=1,IF(DD_LVL2_ACTV_10_Annual_Currency_Select=2,SOCIAL_MOBILISATION!L$178,SOCIAL_MOBILISATION!L$178*LVL2_ACTV_10_Exchange_Rate),IF(DD_LVL2_ACTV_10_Annual_Currency_Select=2,SOCIAL_MOBILISATION!L$183,SOCIAL_MOBILISATION!L$183*LVL2_ACTV_10_Exchange_Rate))</f>
        <v>0</v>
      </c>
      <c r="M624" s="362">
        <f>IF(DD_LVL2_ACTV_10_Input_Detail_or_Freeform=1,IF(DD_LVL2_ACTV_10_Annual_Currency_Select=2,SOCIAL_MOBILISATION!M$178,SOCIAL_MOBILISATION!M$178*LVL2_ACTV_10_Exchange_Rate),IF(DD_LVL2_ACTV_10_Annual_Currency_Select=2,SOCIAL_MOBILISATION!M$183,SOCIAL_MOBILISATION!M$183*LVL2_ACTV_10_Exchange_Rate))</f>
        <v>0</v>
      </c>
      <c r="N624" s="362">
        <f>IF(DD_LVL2_ACTV_10_Input_Detail_or_Freeform=1,IF(DD_LVL2_ACTV_10_Annual_Currency_Select=2,SOCIAL_MOBILISATION!N$178,SOCIAL_MOBILISATION!N$178*LVL2_ACTV_10_Exchange_Rate),IF(DD_LVL2_ACTV_10_Annual_Currency_Select=2,SOCIAL_MOBILISATION!N$183,SOCIAL_MOBILISATION!N$183*LVL2_ACTV_10_Exchange_Rate))</f>
        <v>0</v>
      </c>
    </row>
    <row r="625" spans="1:14" s="10" customFormat="1" outlineLevel="1" x14ac:dyDescent="0.2">
      <c r="D625" s="114" t="str">
        <f>HL_LVL2_ACTV_10_Name</f>
        <v>IEC Soc Mob  Activity # 5  (Not in Use)</v>
      </c>
      <c r="J625" s="43">
        <f>SUM(J624:J624)</f>
        <v>0</v>
      </c>
      <c r="K625" s="43">
        <f>SUM(K624:K624)</f>
        <v>0</v>
      </c>
      <c r="L625" s="43">
        <f>SUM(L624:L624)</f>
        <v>0</v>
      </c>
      <c r="M625" s="43">
        <f>SUM(M624:M624)</f>
        <v>0</v>
      </c>
      <c r="N625" s="43">
        <f>SUM(N624:N624)</f>
        <v>0</v>
      </c>
    </row>
    <row r="626" spans="1:14" s="10" customFormat="1" outlineLevel="1" x14ac:dyDescent="0.2"/>
    <row r="627" spans="1:14" s="10" customFormat="1" outlineLevel="1" x14ac:dyDescent="0.2"/>
    <row r="628" spans="1:14" s="10" customFormat="1" outlineLevel="1" x14ac:dyDescent="0.2">
      <c r="D628" s="76" t="str">
        <f>Lang_GoTo&amp;" "&amp;HL_LVL2_ACTV_10_Single_Activity_Cost_Assumptions_Annual</f>
        <v>Go to IEC Soc Mob  Activity # 5  (Not in Use) Single Activity Cost - Annual Assumptions (Projected or Retrospective)</v>
      </c>
    </row>
    <row r="629" spans="1:14" s="10" customFormat="1" x14ac:dyDescent="0.2"/>
    <row r="630" spans="1:14" s="10" customFormat="1" x14ac:dyDescent="0.2">
      <c r="A630" s="12" t="s">
        <v>127</v>
      </c>
      <c r="B630" s="13" t="str">
        <f>B631&amp;" "&amp;Lang_Single_Activity_Cost_Outputs_Annual&amp;" ("&amp;Lang_Local_Currency_Econ&amp;")"</f>
        <v>IEC Soc Mob  Activity # 5  (Not in Use) Single Activity Cost Outputs - Annual (Local Currency - Economic)</v>
      </c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</row>
    <row r="631" spans="1:14" s="10" customFormat="1" outlineLevel="1" x14ac:dyDescent="0.2">
      <c r="B631" s="10" t="str">
        <f>HL_LVL2_ACTV_10_Name</f>
        <v>IEC Soc Mob  Activity # 5  (Not in Use)</v>
      </c>
    </row>
    <row r="632" spans="1:14" s="10" customFormat="1" outlineLevel="1" x14ac:dyDescent="0.2">
      <c r="B632" s="65" t="str">
        <f>SOCMOB_Lu!$D$173&amp;" ("&amp;SOCMOB_Lu!$D$153&amp;")"</f>
        <v>Economic (LCU)</v>
      </c>
      <c r="E632" s="53" t="str">
        <f>"("&amp;IF(DD_LVL2_ACTV_10_Input_Detail_or_Freeform=1,SOCIAL_MOBILISATION!$D$176,SOCIAL_MOBILISATION!$D$182)&amp;")"</f>
        <v>(Direct User Entry Cost Estimate)</v>
      </c>
    </row>
    <row r="633" spans="1:14" s="10" customFormat="1" outlineLevel="1" x14ac:dyDescent="0.2"/>
    <row r="634" spans="1:14" s="10" customFormat="1" outlineLevel="1" x14ac:dyDescent="0.2">
      <c r="D634" s="49" t="str">
        <f>HL_LVL2_ACTV_10_Name</f>
        <v>IEC Soc Mob  Activity # 5  (Not in Use)</v>
      </c>
      <c r="J634" s="362">
        <f>IF(DD_LVL2_ACTV_10_Input_Detail_or_Freeform=1,IF(DD_LVL2_ACTV_10_Annual_Currency_Select=2,SOCIAL_MOBILISATION!J$179,SOCIAL_MOBILISATION!J$179*LVL2_ACTV_10_Exchange_Rate),IF(DD_LVL2_ACTV_10_Annual_Currency_Select=2,SOCIAL_MOBILISATION!J$184,SOCIAL_MOBILISATION!J$184*LVL2_ACTV_10_Exchange_Rate))</f>
        <v>0</v>
      </c>
      <c r="K634" s="362">
        <f>IF(DD_LVL2_ACTV_10_Input_Detail_or_Freeform=1,IF(DD_LVL2_ACTV_10_Annual_Currency_Select=2,SOCIAL_MOBILISATION!K$179,SOCIAL_MOBILISATION!K$179*LVL2_ACTV_10_Exchange_Rate),IF(DD_LVL2_ACTV_10_Annual_Currency_Select=2,SOCIAL_MOBILISATION!K$184,SOCIAL_MOBILISATION!K$184*LVL2_ACTV_10_Exchange_Rate))</f>
        <v>0</v>
      </c>
      <c r="L634" s="362">
        <f>IF(DD_LVL2_ACTV_10_Input_Detail_or_Freeform=1,IF(DD_LVL2_ACTV_10_Annual_Currency_Select=2,SOCIAL_MOBILISATION!L$179,SOCIAL_MOBILISATION!L$179*LVL2_ACTV_10_Exchange_Rate),IF(DD_LVL2_ACTV_10_Annual_Currency_Select=2,SOCIAL_MOBILISATION!L$184,SOCIAL_MOBILISATION!L$184*LVL2_ACTV_10_Exchange_Rate))</f>
        <v>0</v>
      </c>
      <c r="M634" s="362">
        <f>IF(DD_LVL2_ACTV_10_Input_Detail_or_Freeform=1,IF(DD_LVL2_ACTV_10_Annual_Currency_Select=2,SOCIAL_MOBILISATION!M$179,SOCIAL_MOBILISATION!M$179*LVL2_ACTV_10_Exchange_Rate),IF(DD_LVL2_ACTV_10_Annual_Currency_Select=2,SOCIAL_MOBILISATION!M$184,SOCIAL_MOBILISATION!M$184*LVL2_ACTV_10_Exchange_Rate))</f>
        <v>0</v>
      </c>
      <c r="N634" s="362">
        <f>IF(DD_LVL2_ACTV_10_Input_Detail_or_Freeform=1,IF(DD_LVL2_ACTV_10_Annual_Currency_Select=2,SOCIAL_MOBILISATION!N$179,SOCIAL_MOBILISATION!N$179*LVL2_ACTV_10_Exchange_Rate),IF(DD_LVL2_ACTV_10_Annual_Currency_Select=2,SOCIAL_MOBILISATION!N$184,SOCIAL_MOBILISATION!N$184*LVL2_ACTV_10_Exchange_Rate))</f>
        <v>0</v>
      </c>
    </row>
    <row r="635" spans="1:14" s="10" customFormat="1" outlineLevel="1" x14ac:dyDescent="0.2">
      <c r="D635" s="114" t="str">
        <f>HL_LVL2_ACTV_10_Name</f>
        <v>IEC Soc Mob  Activity # 5  (Not in Use)</v>
      </c>
      <c r="J635" s="43">
        <f>SUM(J634:J634)</f>
        <v>0</v>
      </c>
      <c r="K635" s="43">
        <f>SUM(K634:K634)</f>
        <v>0</v>
      </c>
      <c r="L635" s="43">
        <f>SUM(L634:L634)</f>
        <v>0</v>
      </c>
      <c r="M635" s="43">
        <f>SUM(M634:M634)</f>
        <v>0</v>
      </c>
      <c r="N635" s="43">
        <f>SUM(N634:N634)</f>
        <v>0</v>
      </c>
    </row>
    <row r="636" spans="1:14" s="10" customFormat="1" outlineLevel="1" x14ac:dyDescent="0.2"/>
    <row r="637" spans="1:14" s="10" customFormat="1" outlineLevel="1" x14ac:dyDescent="0.2">
      <c r="D637" s="76" t="str">
        <f>Lang_GoTo&amp;" "&amp;HL_LVL2_ACTV_10_Single_Activity_Cost_Assumptions_Annual</f>
        <v>Go to IEC Soc Mob  Activity # 5  (Not in Use) Single Activity Cost - Annual Assumptions (Projected or Retrospective)</v>
      </c>
    </row>
    <row r="638" spans="1:14" s="10" customFormat="1" x14ac:dyDescent="0.2"/>
    <row r="639" spans="1:14" s="10" customFormat="1" x14ac:dyDescent="0.2">
      <c r="A639" s="12" t="s">
        <v>127</v>
      </c>
      <c r="B639" s="13" t="str">
        <f>B640&amp;" "&amp;Lang_Single_Activity_Cost_Outputs_Annual&amp;" ("&amp;Lang_International_Currency_Fin&amp;")"</f>
        <v>IEC Soc Mob  Activity # 5  (Not in Use) Single Activity Cost Outputs - Annual (International Currency - Financial)</v>
      </c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</row>
    <row r="640" spans="1:14" s="10" customFormat="1" outlineLevel="1" x14ac:dyDescent="0.2">
      <c r="B640" s="10" t="str">
        <f>HL_LVL2_ACTV_10_Name</f>
        <v>IEC Soc Mob  Activity # 5  (Not in Use)</v>
      </c>
    </row>
    <row r="641" spans="1:14" s="10" customFormat="1" outlineLevel="1" x14ac:dyDescent="0.2">
      <c r="B641" s="65" t="str">
        <f>SOCMOB_Lu!$D$172&amp;" ("&amp;SOCMOB_Lu!$D$152&amp;")"</f>
        <v>Financial (USD)</v>
      </c>
      <c r="E641" s="53" t="str">
        <f>"("&amp;IF(DD_LVL2_ACTV_10_Input_Detail_or_Freeform=1,SOCIAL_MOBILISATION!$D$176,SOCIAL_MOBILISATION!$D$182)&amp;")"</f>
        <v>(Direct User Entry Cost Estimate)</v>
      </c>
    </row>
    <row r="642" spans="1:14" s="10" customFormat="1" outlineLevel="1" x14ac:dyDescent="0.2"/>
    <row r="643" spans="1:14" s="10" customFormat="1" outlineLevel="1" x14ac:dyDescent="0.2">
      <c r="D643" s="49" t="str">
        <f>HL_LVL2_ACTV_10_Name</f>
        <v>IEC Soc Mob  Activity # 5  (Not in Use)</v>
      </c>
      <c r="J643" s="119">
        <f>J624/LVL2_ACTV_10_Exchange_Rate</f>
        <v>0</v>
      </c>
      <c r="K643" s="119">
        <f>K624/LVL2_ACTV_10_Exchange_Rate</f>
        <v>0</v>
      </c>
      <c r="L643" s="119">
        <f>L624/LVL2_ACTV_10_Exchange_Rate</f>
        <v>0</v>
      </c>
      <c r="M643" s="119">
        <f>M624/LVL2_ACTV_10_Exchange_Rate</f>
        <v>0</v>
      </c>
      <c r="N643" s="119">
        <f>N624/LVL2_ACTV_10_Exchange_Rate</f>
        <v>0</v>
      </c>
    </row>
    <row r="644" spans="1:14" s="10" customFormat="1" outlineLevel="1" x14ac:dyDescent="0.2">
      <c r="D644" s="114" t="str">
        <f>HL_LVL2_ACTV_10_Name</f>
        <v>IEC Soc Mob  Activity # 5  (Not in Use)</v>
      </c>
      <c r="J644" s="245">
        <f>SUM(J643:J643)</f>
        <v>0</v>
      </c>
      <c r="K644" s="245">
        <f>SUM(K643:K643)</f>
        <v>0</v>
      </c>
      <c r="L644" s="245">
        <f>SUM(L643:L643)</f>
        <v>0</v>
      </c>
      <c r="M644" s="245">
        <f>SUM(M643:M643)</f>
        <v>0</v>
      </c>
      <c r="N644" s="245">
        <f>SUM(N643:N643)</f>
        <v>0</v>
      </c>
    </row>
    <row r="645" spans="1:14" s="10" customFormat="1" outlineLevel="1" x14ac:dyDescent="0.2"/>
    <row r="646" spans="1:14" s="10" customFormat="1" outlineLevel="1" x14ac:dyDescent="0.2">
      <c r="D646" s="76" t="str">
        <f>Lang_GoTo&amp;" "&amp;HL_LVL2_ACTV_10_Single_Activity_Cost_Assumptions_Annual</f>
        <v>Go to IEC Soc Mob  Activity # 5  (Not in Use) Single Activity Cost - Annual Assumptions (Projected or Retrospective)</v>
      </c>
    </row>
    <row r="647" spans="1:14" s="10" customFormat="1" x14ac:dyDescent="0.2"/>
    <row r="648" spans="1:14" s="10" customFormat="1" x14ac:dyDescent="0.2">
      <c r="A648" s="12" t="s">
        <v>127</v>
      </c>
      <c r="B648" s="13" t="str">
        <f>B649&amp;" "&amp;Lang_Single_Activity_Cost_Outputs_Annual&amp;" ("&amp;Lang_International_Currency_Econ&amp;")"</f>
        <v>IEC Soc Mob  Activity # 5  (Not in Use) Single Activity Cost Outputs - Annual (International Currency - Economic)</v>
      </c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</row>
    <row r="649" spans="1:14" s="10" customFormat="1" outlineLevel="1" x14ac:dyDescent="0.2">
      <c r="B649" s="10" t="str">
        <f>HL_LVL2_ACTV_10_Name</f>
        <v>IEC Soc Mob  Activity # 5  (Not in Use)</v>
      </c>
    </row>
    <row r="650" spans="1:14" s="10" customFormat="1" outlineLevel="1" x14ac:dyDescent="0.2">
      <c r="B650" s="65" t="str">
        <f>SOCMOB_Lu!$D$173&amp;" ("&amp;SOCMOB_Lu!$D$152&amp;")"</f>
        <v>Economic (USD)</v>
      </c>
      <c r="E650" s="53" t="str">
        <f>"("&amp;IF(DD_LVL2_ACTV_10_Input_Detail_or_Freeform=1,SOCIAL_MOBILISATION!$D$176,SOCIAL_MOBILISATION!$D$182)&amp;")"</f>
        <v>(Direct User Entry Cost Estimate)</v>
      </c>
    </row>
    <row r="651" spans="1:14" s="10" customFormat="1" outlineLevel="1" x14ac:dyDescent="0.2"/>
    <row r="652" spans="1:14" s="10" customFormat="1" outlineLevel="1" x14ac:dyDescent="0.2">
      <c r="D652" s="49" t="str">
        <f>HL_LVL2_ACTV_10_Name</f>
        <v>IEC Soc Mob  Activity # 5  (Not in Use)</v>
      </c>
      <c r="J652" s="119">
        <f>J634/LVL2_ACTV_10_Exchange_Rate</f>
        <v>0</v>
      </c>
      <c r="K652" s="119">
        <f>K634/LVL2_ACTV_10_Exchange_Rate</f>
        <v>0</v>
      </c>
      <c r="L652" s="119">
        <f>L634/LVL2_ACTV_10_Exchange_Rate</f>
        <v>0</v>
      </c>
      <c r="M652" s="119">
        <f>M634/LVL2_ACTV_10_Exchange_Rate</f>
        <v>0</v>
      </c>
      <c r="N652" s="119">
        <f>N634/LVL2_ACTV_10_Exchange_Rate</f>
        <v>0</v>
      </c>
    </row>
    <row r="653" spans="1:14" s="10" customFormat="1" outlineLevel="1" x14ac:dyDescent="0.2">
      <c r="D653" s="114" t="str">
        <f>HL_LVL2_ACTV_10_Name</f>
        <v>IEC Soc Mob  Activity # 5  (Not in Use)</v>
      </c>
      <c r="J653" s="245">
        <f>SUM(J652:J652)</f>
        <v>0</v>
      </c>
      <c r="K653" s="245">
        <f>SUM(K652:K652)</f>
        <v>0</v>
      </c>
      <c r="L653" s="245">
        <f>SUM(L652:L652)</f>
        <v>0</v>
      </c>
      <c r="M653" s="245">
        <f>SUM(M652:M652)</f>
        <v>0</v>
      </c>
      <c r="N653" s="245">
        <f>SUM(N652:N652)</f>
        <v>0</v>
      </c>
    </row>
    <row r="654" spans="1:14" s="10" customFormat="1" outlineLevel="1" x14ac:dyDescent="0.2"/>
    <row r="655" spans="1:14" s="10" customFormat="1" outlineLevel="1" x14ac:dyDescent="0.2">
      <c r="D655" s="76" t="str">
        <f>Lang_GoTo&amp;" "&amp;HL_LVL2_ACTV_10_Single_Activity_Cost_Assumptions_Annual</f>
        <v>Go to IEC Soc Mob  Activity # 5  (Not in Use) Single Activity Cost - Annual Assumptions (Projected or Retrospective)</v>
      </c>
    </row>
    <row r="656" spans="1:14" s="10" customFormat="1" x14ac:dyDescent="0.2"/>
    <row r="657" spans="1:14" s="10" customFormat="1" x14ac:dyDescent="0.2">
      <c r="A657" s="12" t="s">
        <v>127</v>
      </c>
      <c r="B657" s="13" t="str">
        <f>B658&amp;" "&amp;Lang_Single_Activity_Cost_Outputs_Annual&amp;" ("&amp;Lang_Local_Currency_Fin&amp;")"</f>
        <v>IEC Soc Mob  Activity # 6 (Not in Use) Single Activity Cost Outputs - Annual (Local Currency - Financial)</v>
      </c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</row>
    <row r="658" spans="1:14" s="10" customFormat="1" outlineLevel="1" x14ac:dyDescent="0.2">
      <c r="B658" s="10" t="str">
        <f>HL_LVL2_ACTV_11_Name</f>
        <v>IEC Soc Mob  Activity # 6 (Not in Use)</v>
      </c>
    </row>
    <row r="659" spans="1:14" s="10" customFormat="1" outlineLevel="1" x14ac:dyDescent="0.2">
      <c r="B659" s="65" t="str">
        <f>SOCMOB_Lu!$D$207&amp;" ("&amp;SOCMOB_Lu!$D$188&amp;")"</f>
        <v>Financial (LCU)</v>
      </c>
      <c r="E659" s="53" t="str">
        <f>"("&amp;IF(DD_LVL2_ACTV_11_Input_Detail_or_Freeform=1,SOCIAL_MOBILISATION!$D$219,SOCIAL_MOBILISATION!$D$225)&amp;")"</f>
        <v>(Direct User Entry Cost Estimate)</v>
      </c>
    </row>
    <row r="660" spans="1:14" s="10" customFormat="1" outlineLevel="1" x14ac:dyDescent="0.2"/>
    <row r="661" spans="1:14" s="10" customFormat="1" outlineLevel="1" x14ac:dyDescent="0.2">
      <c r="D661" s="49" t="str">
        <f>HL_LVL2_ACTV_11_Name</f>
        <v>IEC Soc Mob  Activity # 6 (Not in Use)</v>
      </c>
      <c r="J661" s="362">
        <f>IF(DD_LVL2_ACTV_11_Input_Detail_or_Freeform=1,IF(DD_LVL2_ACTV_11_Annual_Currency_Select=2,SOCIAL_MOBILISATION!J$221,SOCIAL_MOBILISATION!J$221*LVL2_ACTV_11_Exchange_Rate),IF(DD_LVL2_ACTV_11_Annual_Currency_Select=2,SOCIAL_MOBILISATION!J$226,SOCIAL_MOBILISATION!J$226*LVL2_ACTV_11_Exchange_Rate))</f>
        <v>0</v>
      </c>
      <c r="K661" s="362">
        <f>IF(DD_LVL2_ACTV_11_Input_Detail_or_Freeform=1,IF(DD_LVL2_ACTV_11_Annual_Currency_Select=2,SOCIAL_MOBILISATION!K$221,SOCIAL_MOBILISATION!K$221*LVL2_ACTV_11_Exchange_Rate),IF(DD_LVL2_ACTV_11_Annual_Currency_Select=2,SOCIAL_MOBILISATION!K$226,SOCIAL_MOBILISATION!K$226*LVL2_ACTV_11_Exchange_Rate))</f>
        <v>0</v>
      </c>
      <c r="L661" s="362">
        <f>IF(DD_LVL2_ACTV_11_Input_Detail_or_Freeform=1,IF(DD_LVL2_ACTV_11_Annual_Currency_Select=2,SOCIAL_MOBILISATION!L$221,SOCIAL_MOBILISATION!L$221*LVL2_ACTV_11_Exchange_Rate),IF(DD_LVL2_ACTV_11_Annual_Currency_Select=2,SOCIAL_MOBILISATION!L$226,SOCIAL_MOBILISATION!L$226*LVL2_ACTV_11_Exchange_Rate))</f>
        <v>0</v>
      </c>
      <c r="M661" s="362">
        <f>IF(DD_LVL2_ACTV_11_Input_Detail_or_Freeform=1,IF(DD_LVL2_ACTV_11_Annual_Currency_Select=2,SOCIAL_MOBILISATION!M$221,SOCIAL_MOBILISATION!M$221*LVL2_ACTV_11_Exchange_Rate),IF(DD_LVL2_ACTV_11_Annual_Currency_Select=2,SOCIAL_MOBILISATION!M$226,SOCIAL_MOBILISATION!M$226*LVL2_ACTV_11_Exchange_Rate))</f>
        <v>0</v>
      </c>
      <c r="N661" s="362">
        <f>IF(DD_LVL2_ACTV_11_Input_Detail_or_Freeform=1,IF(DD_LVL2_ACTV_11_Annual_Currency_Select=2,SOCIAL_MOBILISATION!N$221,SOCIAL_MOBILISATION!N$221*LVL2_ACTV_11_Exchange_Rate),IF(DD_LVL2_ACTV_11_Annual_Currency_Select=2,SOCIAL_MOBILISATION!N$226,SOCIAL_MOBILISATION!N$226*LVL2_ACTV_11_Exchange_Rate))</f>
        <v>0</v>
      </c>
    </row>
    <row r="662" spans="1:14" s="10" customFormat="1" outlineLevel="1" x14ac:dyDescent="0.2">
      <c r="D662" s="114" t="str">
        <f>HL_LVL2_ACTV_11_Name</f>
        <v>IEC Soc Mob  Activity # 6 (Not in Use)</v>
      </c>
      <c r="J662" s="43">
        <f>SUM(J661:J661)</f>
        <v>0</v>
      </c>
      <c r="K662" s="43">
        <f>SUM(K661:K661)</f>
        <v>0</v>
      </c>
      <c r="L662" s="43">
        <f>SUM(L661:L661)</f>
        <v>0</v>
      </c>
      <c r="M662" s="43">
        <f>SUM(M661:M661)</f>
        <v>0</v>
      </c>
      <c r="N662" s="43">
        <f>SUM(N661:N661)</f>
        <v>0</v>
      </c>
    </row>
    <row r="663" spans="1:14" s="10" customFormat="1" outlineLevel="1" x14ac:dyDescent="0.2"/>
    <row r="664" spans="1:14" s="10" customFormat="1" outlineLevel="1" x14ac:dyDescent="0.2"/>
    <row r="665" spans="1:14" s="10" customFormat="1" outlineLevel="1" x14ac:dyDescent="0.2">
      <c r="D665" s="76" t="str">
        <f>Lang_GoTo&amp;" "&amp;HL_LVL2_ACTV_11_Single_Activity_Cost_Assumptions_Annual</f>
        <v>Go to IEC Soc Mob  Activity # 6 (Not in Use) Single Activity Cost - Annual Assumptions (Projected or Retrospective)</v>
      </c>
    </row>
    <row r="666" spans="1:14" s="10" customFormat="1" x14ac:dyDescent="0.2"/>
    <row r="667" spans="1:14" s="10" customFormat="1" x14ac:dyDescent="0.2">
      <c r="A667" s="12" t="s">
        <v>127</v>
      </c>
      <c r="B667" s="13" t="str">
        <f>B668&amp;" "&amp;Lang_Single_Activity_Cost_Outputs_Annual&amp;" ("&amp;Lang_Local_Currency_Econ&amp;")"</f>
        <v>IEC Soc Mob  Activity # 6 (Not in Use) Single Activity Cost Outputs - Annual (Local Currency - Economic)</v>
      </c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</row>
    <row r="668" spans="1:14" s="10" customFormat="1" outlineLevel="1" x14ac:dyDescent="0.2">
      <c r="B668" s="10" t="str">
        <f>HL_LVL2_ACTV_11_Name</f>
        <v>IEC Soc Mob  Activity # 6 (Not in Use)</v>
      </c>
    </row>
    <row r="669" spans="1:14" s="10" customFormat="1" outlineLevel="1" x14ac:dyDescent="0.2">
      <c r="B669" s="65" t="str">
        <f>SOCMOB_Lu!$D$208&amp;" ("&amp;SOCMOB_Lu!$D$188&amp;")"</f>
        <v>Economic (LCU)</v>
      </c>
      <c r="E669" s="53" t="str">
        <f>"("&amp;IF(DD_LVL2_ACTV_11_Input_Detail_or_Freeform=1,SOCIAL_MOBILISATION!$D$219,SOCIAL_MOBILISATION!$D$225)&amp;")"</f>
        <v>(Direct User Entry Cost Estimate)</v>
      </c>
    </row>
    <row r="670" spans="1:14" s="10" customFormat="1" outlineLevel="1" x14ac:dyDescent="0.2"/>
    <row r="671" spans="1:14" s="10" customFormat="1" outlineLevel="1" x14ac:dyDescent="0.2">
      <c r="D671" s="49" t="str">
        <f>HL_LVL2_ACTV_11_Name</f>
        <v>IEC Soc Mob  Activity # 6 (Not in Use)</v>
      </c>
      <c r="J671" s="362">
        <f>IF(DD_LVL2_ACTV_11_Input_Detail_or_Freeform=1,IF(DD_LVL2_ACTV_11_Annual_Currency_Select=2,SOCIAL_MOBILISATION!J$222,SOCIAL_MOBILISATION!J$222*LVL2_ACTV_11_Exchange_Rate),IF(DD_LVL2_ACTV_11_Annual_Currency_Select=2,SOCIAL_MOBILISATION!J$227,SOCIAL_MOBILISATION!J$227*LVL2_ACTV_11_Exchange_Rate))</f>
        <v>0</v>
      </c>
      <c r="K671" s="362">
        <f>IF(DD_LVL2_ACTV_11_Input_Detail_or_Freeform=1,IF(DD_LVL2_ACTV_11_Annual_Currency_Select=2,SOCIAL_MOBILISATION!K$222,SOCIAL_MOBILISATION!K$222*LVL2_ACTV_11_Exchange_Rate),IF(DD_LVL2_ACTV_11_Annual_Currency_Select=2,SOCIAL_MOBILISATION!K$227,SOCIAL_MOBILISATION!K$227*LVL2_ACTV_11_Exchange_Rate))</f>
        <v>0</v>
      </c>
      <c r="L671" s="362">
        <f>IF(DD_LVL2_ACTV_11_Input_Detail_or_Freeform=1,IF(DD_LVL2_ACTV_11_Annual_Currency_Select=2,SOCIAL_MOBILISATION!L$222,SOCIAL_MOBILISATION!L$222*LVL2_ACTV_11_Exchange_Rate),IF(DD_LVL2_ACTV_11_Annual_Currency_Select=2,SOCIAL_MOBILISATION!L$227,SOCIAL_MOBILISATION!L$227*LVL2_ACTV_11_Exchange_Rate))</f>
        <v>0</v>
      </c>
      <c r="M671" s="362">
        <f>IF(DD_LVL2_ACTV_11_Input_Detail_or_Freeform=1,IF(DD_LVL2_ACTV_11_Annual_Currency_Select=2,SOCIAL_MOBILISATION!M$222,SOCIAL_MOBILISATION!M$222*LVL2_ACTV_11_Exchange_Rate),IF(DD_LVL2_ACTV_11_Annual_Currency_Select=2,SOCIAL_MOBILISATION!M$227,SOCIAL_MOBILISATION!M$227*LVL2_ACTV_11_Exchange_Rate))</f>
        <v>0</v>
      </c>
      <c r="N671" s="362">
        <f>IF(DD_LVL2_ACTV_11_Input_Detail_or_Freeform=1,IF(DD_LVL2_ACTV_11_Annual_Currency_Select=2,SOCIAL_MOBILISATION!N$222,SOCIAL_MOBILISATION!N$222*LVL2_ACTV_11_Exchange_Rate),IF(DD_LVL2_ACTV_11_Annual_Currency_Select=2,SOCIAL_MOBILISATION!N$227,SOCIAL_MOBILISATION!N$227*LVL2_ACTV_11_Exchange_Rate))</f>
        <v>0</v>
      </c>
    </row>
    <row r="672" spans="1:14" s="10" customFormat="1" outlineLevel="1" x14ac:dyDescent="0.2">
      <c r="D672" s="114" t="str">
        <f>HL_LVL2_ACTV_11_Name</f>
        <v>IEC Soc Mob  Activity # 6 (Not in Use)</v>
      </c>
      <c r="J672" s="43">
        <f>SUM(J671:J671)</f>
        <v>0</v>
      </c>
      <c r="K672" s="43">
        <f>SUM(K671:K671)</f>
        <v>0</v>
      </c>
      <c r="L672" s="43">
        <f>SUM(L671:L671)</f>
        <v>0</v>
      </c>
      <c r="M672" s="43">
        <f>SUM(M671:M671)</f>
        <v>0</v>
      </c>
      <c r="N672" s="43">
        <f>SUM(N671:N671)</f>
        <v>0</v>
      </c>
    </row>
    <row r="673" spans="1:14" s="10" customFormat="1" outlineLevel="1" x14ac:dyDescent="0.2"/>
    <row r="674" spans="1:14" s="10" customFormat="1" outlineLevel="1" x14ac:dyDescent="0.2">
      <c r="D674" s="76" t="str">
        <f>Lang_GoTo&amp;" "&amp;HL_LVL2_ACTV_11_Single_Activity_Cost_Assumptions_Annual</f>
        <v>Go to IEC Soc Mob  Activity # 6 (Not in Use) Single Activity Cost - Annual Assumptions (Projected or Retrospective)</v>
      </c>
    </row>
    <row r="675" spans="1:14" s="10" customFormat="1" x14ac:dyDescent="0.2"/>
    <row r="676" spans="1:14" s="10" customFormat="1" x14ac:dyDescent="0.2">
      <c r="A676" s="12" t="s">
        <v>127</v>
      </c>
      <c r="B676" s="13" t="str">
        <f>B677&amp;" "&amp;Lang_Single_Activity_Cost_Outputs_Annual&amp;" ("&amp;Lang_International_Currency_Fin&amp;")"</f>
        <v>IEC Soc Mob  Activity # 6 (Not in Use) Single Activity Cost Outputs - Annual (International Currency - Financial)</v>
      </c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</row>
    <row r="677" spans="1:14" s="10" customFormat="1" outlineLevel="1" x14ac:dyDescent="0.2">
      <c r="B677" s="10" t="str">
        <f>HL_LVL2_ACTV_11_Name</f>
        <v>IEC Soc Mob  Activity # 6 (Not in Use)</v>
      </c>
    </row>
    <row r="678" spans="1:14" s="10" customFormat="1" outlineLevel="1" x14ac:dyDescent="0.2">
      <c r="B678" s="65" t="str">
        <f>SOCMOB_Lu!$D$207&amp;" ("&amp;SOCMOB_Lu!$D$187&amp;")"</f>
        <v>Financial (USD)</v>
      </c>
      <c r="E678" s="53" t="str">
        <f>"("&amp;IF(DD_LVL2_ACTV_11_Input_Detail_or_Freeform=1,SOCIAL_MOBILISATION!$D$219,SOCIAL_MOBILISATION!$D$225)&amp;")"</f>
        <v>(Direct User Entry Cost Estimate)</v>
      </c>
    </row>
    <row r="679" spans="1:14" s="10" customFormat="1" outlineLevel="1" x14ac:dyDescent="0.2"/>
    <row r="680" spans="1:14" s="10" customFormat="1" outlineLevel="1" x14ac:dyDescent="0.2">
      <c r="D680" s="49" t="str">
        <f>HL_LVL2_ACTV_11_Name</f>
        <v>IEC Soc Mob  Activity # 6 (Not in Use)</v>
      </c>
      <c r="J680" s="119">
        <f>J661/LVL2_ACTV_11_Exchange_Rate</f>
        <v>0</v>
      </c>
      <c r="K680" s="119">
        <f>K661/LVL2_ACTV_11_Exchange_Rate</f>
        <v>0</v>
      </c>
      <c r="L680" s="119">
        <f>L661/LVL2_ACTV_11_Exchange_Rate</f>
        <v>0</v>
      </c>
      <c r="M680" s="119">
        <f>M661/LVL2_ACTV_11_Exchange_Rate</f>
        <v>0</v>
      </c>
      <c r="N680" s="119">
        <f>N661/LVL2_ACTV_11_Exchange_Rate</f>
        <v>0</v>
      </c>
    </row>
    <row r="681" spans="1:14" s="10" customFormat="1" outlineLevel="1" x14ac:dyDescent="0.2">
      <c r="D681" s="114" t="str">
        <f>HL_LVL2_ACTV_11_Name</f>
        <v>IEC Soc Mob  Activity # 6 (Not in Use)</v>
      </c>
      <c r="J681" s="245">
        <f>SUM(J680:J680)</f>
        <v>0</v>
      </c>
      <c r="K681" s="245">
        <f>SUM(K680:K680)</f>
        <v>0</v>
      </c>
      <c r="L681" s="245">
        <f>SUM(L680:L680)</f>
        <v>0</v>
      </c>
      <c r="M681" s="245">
        <f>SUM(M680:M680)</f>
        <v>0</v>
      </c>
      <c r="N681" s="245">
        <f>SUM(N680:N680)</f>
        <v>0</v>
      </c>
    </row>
    <row r="682" spans="1:14" s="10" customFormat="1" outlineLevel="1" x14ac:dyDescent="0.2"/>
    <row r="683" spans="1:14" s="10" customFormat="1" outlineLevel="1" x14ac:dyDescent="0.2">
      <c r="D683" s="76" t="str">
        <f>Lang_GoTo&amp;" "&amp;HL_LVL2_ACTV_11_Single_Activity_Cost_Assumptions_Annual</f>
        <v>Go to IEC Soc Mob  Activity # 6 (Not in Use) Single Activity Cost - Annual Assumptions (Projected or Retrospective)</v>
      </c>
    </row>
    <row r="684" spans="1:14" s="10" customFormat="1" x14ac:dyDescent="0.2"/>
    <row r="685" spans="1:14" s="10" customFormat="1" x14ac:dyDescent="0.2">
      <c r="A685" s="12" t="s">
        <v>127</v>
      </c>
      <c r="B685" s="13" t="str">
        <f>B686&amp;" "&amp;Lang_Single_Activity_Cost_Outputs_Annual&amp;" ("&amp;Lang_International_Currency_Econ&amp;")"</f>
        <v>IEC Soc Mob  Activity # 6 (Not in Use) Single Activity Cost Outputs - Annual (International Currency - Economic)</v>
      </c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</row>
    <row r="686" spans="1:14" s="10" customFormat="1" outlineLevel="1" x14ac:dyDescent="0.2">
      <c r="B686" s="10" t="str">
        <f>HL_LVL2_ACTV_11_Name</f>
        <v>IEC Soc Mob  Activity # 6 (Not in Use)</v>
      </c>
    </row>
    <row r="687" spans="1:14" s="10" customFormat="1" outlineLevel="1" x14ac:dyDescent="0.2">
      <c r="B687" s="65" t="str">
        <f>SOCMOB_Lu!$D$208&amp;" ("&amp;SOCMOB_Lu!$D$187&amp;")"</f>
        <v>Economic (USD)</v>
      </c>
      <c r="E687" s="53" t="str">
        <f>"("&amp;IF(DD_LVL2_ACTV_11_Input_Detail_or_Freeform=1,SOCIAL_MOBILISATION!$D$219,SOCIAL_MOBILISATION!$D$225)&amp;")"</f>
        <v>(Direct User Entry Cost Estimate)</v>
      </c>
    </row>
    <row r="688" spans="1:14" s="10" customFormat="1" outlineLevel="1" x14ac:dyDescent="0.2"/>
    <row r="689" spans="1:14" s="10" customFormat="1" outlineLevel="1" x14ac:dyDescent="0.2">
      <c r="D689" s="49" t="str">
        <f>HL_LVL2_ACTV_11_Name</f>
        <v>IEC Soc Mob  Activity # 6 (Not in Use)</v>
      </c>
      <c r="J689" s="119">
        <f>J671/LVL2_ACTV_11_Exchange_Rate</f>
        <v>0</v>
      </c>
      <c r="K689" s="119">
        <f>K671/LVL2_ACTV_11_Exchange_Rate</f>
        <v>0</v>
      </c>
      <c r="L689" s="119">
        <f>L671/LVL2_ACTV_11_Exchange_Rate</f>
        <v>0</v>
      </c>
      <c r="M689" s="119">
        <f>M671/LVL2_ACTV_11_Exchange_Rate</f>
        <v>0</v>
      </c>
      <c r="N689" s="119">
        <f>N671/LVL2_ACTV_11_Exchange_Rate</f>
        <v>0</v>
      </c>
    </row>
    <row r="690" spans="1:14" s="10" customFormat="1" outlineLevel="1" x14ac:dyDescent="0.2">
      <c r="D690" s="114" t="str">
        <f>HL_LVL2_ACTV_11_Name</f>
        <v>IEC Soc Mob  Activity # 6 (Not in Use)</v>
      </c>
      <c r="J690" s="245">
        <f>SUM(J689:J689)</f>
        <v>0</v>
      </c>
      <c r="K690" s="245">
        <f>SUM(K689:K689)</f>
        <v>0</v>
      </c>
      <c r="L690" s="245">
        <f>SUM(L689:L689)</f>
        <v>0</v>
      </c>
      <c r="M690" s="245">
        <f>SUM(M689:M689)</f>
        <v>0</v>
      </c>
      <c r="N690" s="245">
        <f>SUM(N689:N689)</f>
        <v>0</v>
      </c>
    </row>
    <row r="691" spans="1:14" s="10" customFormat="1" outlineLevel="1" x14ac:dyDescent="0.2"/>
    <row r="692" spans="1:14" s="10" customFormat="1" outlineLevel="1" x14ac:dyDescent="0.2">
      <c r="D692" s="76" t="str">
        <f>Lang_GoTo&amp;" "&amp;HL_LVL2_ACTV_11_Single_Activity_Cost_Assumptions_Annual</f>
        <v>Go to IEC Soc Mob  Activity # 6 (Not in Use) Single Activity Cost - Annual Assumptions (Projected or Retrospective)</v>
      </c>
    </row>
    <row r="693" spans="1:14" s="10" customFormat="1" x14ac:dyDescent="0.2"/>
    <row r="694" spans="1:14" s="10" customFormat="1" x14ac:dyDescent="0.2">
      <c r="A694" s="12" t="s">
        <v>127</v>
      </c>
      <c r="B694" s="13" t="str">
        <f>B695&amp;" "&amp;Lang_Single_Activity_Cost_Outputs_Annual&amp;" ("&amp;Lang_Local_Currency_Fin&amp;")"</f>
        <v>IEC Soc Mob  Activity # 7 (Not in Use) Single Activity Cost Outputs - Annual (Local Currency - Financial)</v>
      </c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</row>
    <row r="695" spans="1:14" s="10" customFormat="1" outlineLevel="1" x14ac:dyDescent="0.2">
      <c r="B695" s="10" t="str">
        <f>HL_LVL2_ACTV_8_Name</f>
        <v>IEC Soc Mob  Activity # 7 (Not in Use)</v>
      </c>
    </row>
    <row r="696" spans="1:14" s="10" customFormat="1" outlineLevel="1" x14ac:dyDescent="0.2">
      <c r="B696" s="65" t="str">
        <f>SOCMOB_Lu!$D$242&amp;" ("&amp;SOCMOB_Lu!$D$223&amp;")"</f>
        <v>Financial (LCU)</v>
      </c>
      <c r="E696" s="53" t="str">
        <f>"("&amp;IF(DD_LVL2_ACTV_8_Input_Detail_or_Freeform=1,SOCIAL_MOBILISATION!$D$262,SOCIAL_MOBILISATION!$D$268)&amp;")"</f>
        <v>(Direct User Entry Cost Estimate)</v>
      </c>
    </row>
    <row r="697" spans="1:14" s="10" customFormat="1" outlineLevel="1" x14ac:dyDescent="0.2"/>
    <row r="698" spans="1:14" s="10" customFormat="1" outlineLevel="1" x14ac:dyDescent="0.2">
      <c r="D698" s="49" t="str">
        <f>HL_LVL2_ACTV_8_Name</f>
        <v>IEC Soc Mob  Activity # 7 (Not in Use)</v>
      </c>
      <c r="J698" s="362">
        <f>IF(DD_LVL2_ACTV_8_Input_Detail_or_Freeform=1,IF(DD_LVL2_ACTV_8_Annual_Currency_Select=2,SOCIAL_MOBILISATION!J$264,SOCIAL_MOBILISATION!J$264*LVL2_ACTV_8_Exchange_Rate),IF(DD_LVL2_ACTV_8_Annual_Currency_Select=2,SOCIAL_MOBILISATION!J$269,SOCIAL_MOBILISATION!J$269*LVL2_ACTV_8_Exchange_Rate))</f>
        <v>0</v>
      </c>
      <c r="K698" s="362">
        <f>IF(DD_LVL2_ACTV_8_Input_Detail_or_Freeform=1,IF(DD_LVL2_ACTV_8_Annual_Currency_Select=2,SOCIAL_MOBILISATION!K$264,SOCIAL_MOBILISATION!K$264*LVL2_ACTV_8_Exchange_Rate),IF(DD_LVL2_ACTV_8_Annual_Currency_Select=2,SOCIAL_MOBILISATION!K$269,SOCIAL_MOBILISATION!K$269*LVL2_ACTV_8_Exchange_Rate))</f>
        <v>0</v>
      </c>
      <c r="L698" s="362">
        <f>IF(DD_LVL2_ACTV_8_Input_Detail_or_Freeform=1,IF(DD_LVL2_ACTV_8_Annual_Currency_Select=2,SOCIAL_MOBILISATION!L$264,SOCIAL_MOBILISATION!L$264*LVL2_ACTV_8_Exchange_Rate),IF(DD_LVL2_ACTV_8_Annual_Currency_Select=2,SOCIAL_MOBILISATION!L$269,SOCIAL_MOBILISATION!L$269*LVL2_ACTV_8_Exchange_Rate))</f>
        <v>0</v>
      </c>
      <c r="M698" s="362">
        <f>IF(DD_LVL2_ACTV_8_Input_Detail_or_Freeform=1,IF(DD_LVL2_ACTV_8_Annual_Currency_Select=2,SOCIAL_MOBILISATION!M$264,SOCIAL_MOBILISATION!M$264*LVL2_ACTV_8_Exchange_Rate),IF(DD_LVL2_ACTV_8_Annual_Currency_Select=2,SOCIAL_MOBILISATION!M$269,SOCIAL_MOBILISATION!M$269*LVL2_ACTV_8_Exchange_Rate))</f>
        <v>0</v>
      </c>
      <c r="N698" s="362">
        <f>IF(DD_LVL2_ACTV_8_Input_Detail_or_Freeform=1,IF(DD_LVL2_ACTV_8_Annual_Currency_Select=2,SOCIAL_MOBILISATION!N$264,SOCIAL_MOBILISATION!N$264*LVL2_ACTV_8_Exchange_Rate),IF(DD_LVL2_ACTV_8_Annual_Currency_Select=2,SOCIAL_MOBILISATION!N$269,SOCIAL_MOBILISATION!N$269*LVL2_ACTV_8_Exchange_Rate))</f>
        <v>0</v>
      </c>
    </row>
    <row r="699" spans="1:14" s="10" customFormat="1" outlineLevel="1" x14ac:dyDescent="0.2">
      <c r="D699" s="114" t="str">
        <f>HL_LVL2_ACTV_8_Name</f>
        <v>IEC Soc Mob  Activity # 7 (Not in Use)</v>
      </c>
      <c r="J699" s="43">
        <f>SUM(J698:J698)</f>
        <v>0</v>
      </c>
      <c r="K699" s="43">
        <f>SUM(K698:K698)</f>
        <v>0</v>
      </c>
      <c r="L699" s="43">
        <f>SUM(L698:L698)</f>
        <v>0</v>
      </c>
      <c r="M699" s="43">
        <f>SUM(M698:M698)</f>
        <v>0</v>
      </c>
      <c r="N699" s="43">
        <f>SUM(N698:N698)</f>
        <v>0</v>
      </c>
    </row>
    <row r="700" spans="1:14" s="10" customFormat="1" outlineLevel="1" x14ac:dyDescent="0.2"/>
    <row r="701" spans="1:14" s="10" customFormat="1" outlineLevel="1" x14ac:dyDescent="0.2"/>
    <row r="702" spans="1:14" s="10" customFormat="1" outlineLevel="1" x14ac:dyDescent="0.2">
      <c r="D702" s="76" t="str">
        <f>Lang_GoTo&amp;" "&amp;HL_LVL2_ACTV_8_Single_Activity_Cost_Assumptions_Annual</f>
        <v>Go to IEC Soc Mob  Activity # 7 (Not in Use) Single Activity Cost - Annual Assumptions (Projected or Retrospective)</v>
      </c>
    </row>
    <row r="703" spans="1:14" s="10" customFormat="1" x14ac:dyDescent="0.2"/>
    <row r="704" spans="1:14" s="10" customFormat="1" x14ac:dyDescent="0.2">
      <c r="A704" s="12" t="s">
        <v>127</v>
      </c>
      <c r="B704" s="13" t="str">
        <f>B705&amp;" "&amp;Lang_Single_Activity_Cost_Outputs_Annual&amp;" ("&amp;Lang_Local_Currency_Econ&amp;")"</f>
        <v>IEC Soc Mob  Activity # 7 (Not in Use) Single Activity Cost Outputs - Annual (Local Currency - Economic)</v>
      </c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</row>
    <row r="705" spans="1:14" s="10" customFormat="1" outlineLevel="1" x14ac:dyDescent="0.2">
      <c r="B705" s="10" t="str">
        <f>HL_LVL2_ACTV_8_Name</f>
        <v>IEC Soc Mob  Activity # 7 (Not in Use)</v>
      </c>
    </row>
    <row r="706" spans="1:14" s="10" customFormat="1" outlineLevel="1" x14ac:dyDescent="0.2">
      <c r="B706" s="65" t="str">
        <f>SOCMOB_Lu!$D$243&amp;" ("&amp;SOCMOB_Lu!$D$223&amp;")"</f>
        <v>Economic (LCU)</v>
      </c>
      <c r="E706" s="53" t="str">
        <f>"("&amp;IF(DD_LVL2_ACTV_8_Input_Detail_or_Freeform=1,SOCIAL_MOBILISATION!$D$262,SOCIAL_MOBILISATION!$D$268)&amp;")"</f>
        <v>(Direct User Entry Cost Estimate)</v>
      </c>
    </row>
    <row r="707" spans="1:14" s="10" customFormat="1" outlineLevel="1" x14ac:dyDescent="0.2"/>
    <row r="708" spans="1:14" s="10" customFormat="1" outlineLevel="1" x14ac:dyDescent="0.2">
      <c r="D708" s="49" t="str">
        <f>HL_LVL2_ACTV_8_Name</f>
        <v>IEC Soc Mob  Activity # 7 (Not in Use)</v>
      </c>
      <c r="J708" s="362">
        <f>IF(DD_LVL2_ACTV_8_Input_Detail_or_Freeform=1,IF(DD_LVL2_ACTV_8_Annual_Currency_Select=2,SOCIAL_MOBILISATION!J$265,SOCIAL_MOBILISATION!J$265*LVL2_ACTV_8_Exchange_Rate),IF(DD_LVL2_ACTV_8_Annual_Currency_Select=2,SOCIAL_MOBILISATION!J$270,SOCIAL_MOBILISATION!J$270*LVL2_ACTV_8_Exchange_Rate))</f>
        <v>0</v>
      </c>
      <c r="K708" s="362">
        <f>IF(DD_LVL2_ACTV_8_Input_Detail_or_Freeform=1,IF(DD_LVL2_ACTV_8_Annual_Currency_Select=2,SOCIAL_MOBILISATION!K$265,SOCIAL_MOBILISATION!K$265*LVL2_ACTV_8_Exchange_Rate),IF(DD_LVL2_ACTV_8_Annual_Currency_Select=2,SOCIAL_MOBILISATION!K$270,SOCIAL_MOBILISATION!K$270*LVL2_ACTV_8_Exchange_Rate))</f>
        <v>0</v>
      </c>
      <c r="L708" s="362">
        <f>IF(DD_LVL2_ACTV_8_Input_Detail_or_Freeform=1,IF(DD_LVL2_ACTV_8_Annual_Currency_Select=2,SOCIAL_MOBILISATION!L$265,SOCIAL_MOBILISATION!L$265*LVL2_ACTV_8_Exchange_Rate),IF(DD_LVL2_ACTV_8_Annual_Currency_Select=2,SOCIAL_MOBILISATION!L$270,SOCIAL_MOBILISATION!L$270*LVL2_ACTV_8_Exchange_Rate))</f>
        <v>0</v>
      </c>
      <c r="M708" s="362">
        <f>IF(DD_LVL2_ACTV_8_Input_Detail_or_Freeform=1,IF(DD_LVL2_ACTV_8_Annual_Currency_Select=2,SOCIAL_MOBILISATION!M$265,SOCIAL_MOBILISATION!M$265*LVL2_ACTV_8_Exchange_Rate),IF(DD_LVL2_ACTV_8_Annual_Currency_Select=2,SOCIAL_MOBILISATION!M$270,SOCIAL_MOBILISATION!M$270*LVL2_ACTV_8_Exchange_Rate))</f>
        <v>0</v>
      </c>
      <c r="N708" s="362">
        <f>IF(DD_LVL2_ACTV_8_Input_Detail_or_Freeform=1,IF(DD_LVL2_ACTV_8_Annual_Currency_Select=2,SOCIAL_MOBILISATION!N$265,SOCIAL_MOBILISATION!N$265*LVL2_ACTV_8_Exchange_Rate),IF(DD_LVL2_ACTV_8_Annual_Currency_Select=2,SOCIAL_MOBILISATION!N$270,SOCIAL_MOBILISATION!N$270*LVL2_ACTV_8_Exchange_Rate))</f>
        <v>0</v>
      </c>
    </row>
    <row r="709" spans="1:14" s="10" customFormat="1" outlineLevel="1" x14ac:dyDescent="0.2">
      <c r="D709" s="114" t="str">
        <f>HL_LVL2_ACTV_8_Name</f>
        <v>IEC Soc Mob  Activity # 7 (Not in Use)</v>
      </c>
      <c r="J709" s="43">
        <f>SUM(J708:J708)</f>
        <v>0</v>
      </c>
      <c r="K709" s="43">
        <f>SUM(K708:K708)</f>
        <v>0</v>
      </c>
      <c r="L709" s="43">
        <f>SUM(L708:L708)</f>
        <v>0</v>
      </c>
      <c r="M709" s="43">
        <f>SUM(M708:M708)</f>
        <v>0</v>
      </c>
      <c r="N709" s="43">
        <f>SUM(N708:N708)</f>
        <v>0</v>
      </c>
    </row>
    <row r="710" spans="1:14" s="10" customFormat="1" outlineLevel="1" x14ac:dyDescent="0.2"/>
    <row r="711" spans="1:14" s="10" customFormat="1" outlineLevel="1" x14ac:dyDescent="0.2">
      <c r="D711" s="76" t="str">
        <f>Lang_GoTo&amp;" "&amp;HL_LVL2_ACTV_8_Single_Activity_Cost_Assumptions_Annual</f>
        <v>Go to IEC Soc Mob  Activity # 7 (Not in Use) Single Activity Cost - Annual Assumptions (Projected or Retrospective)</v>
      </c>
    </row>
    <row r="712" spans="1:14" s="10" customFormat="1" x14ac:dyDescent="0.2"/>
    <row r="713" spans="1:14" s="10" customFormat="1" x14ac:dyDescent="0.2">
      <c r="A713" s="12" t="s">
        <v>127</v>
      </c>
      <c r="B713" s="13" t="str">
        <f>B714&amp;" "&amp;Lang_Single_Activity_Cost_Outputs_Annual&amp;" ("&amp;Lang_International_Currency_Fin&amp;")"</f>
        <v>IEC Soc Mob  Activity # 7 (Not in Use) Single Activity Cost Outputs - Annual (International Currency - Financial)</v>
      </c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</row>
    <row r="714" spans="1:14" s="10" customFormat="1" outlineLevel="1" x14ac:dyDescent="0.2">
      <c r="B714" s="10" t="str">
        <f>HL_LVL2_ACTV_8_Name</f>
        <v>IEC Soc Mob  Activity # 7 (Not in Use)</v>
      </c>
    </row>
    <row r="715" spans="1:14" s="10" customFormat="1" outlineLevel="1" x14ac:dyDescent="0.2">
      <c r="B715" s="65" t="str">
        <f>SOCMOB_Lu!$D$242&amp;" ("&amp;SOCMOB_Lu!$D$222&amp;")"</f>
        <v>Financial (USD)</v>
      </c>
      <c r="E715" s="53" t="str">
        <f>"("&amp;IF(DD_LVL2_ACTV_8_Input_Detail_or_Freeform=1,SOCIAL_MOBILISATION!$D$262,SOCIAL_MOBILISATION!$D$268)&amp;")"</f>
        <v>(Direct User Entry Cost Estimate)</v>
      </c>
    </row>
    <row r="716" spans="1:14" s="10" customFormat="1" outlineLevel="1" x14ac:dyDescent="0.2"/>
    <row r="717" spans="1:14" s="10" customFormat="1" outlineLevel="1" x14ac:dyDescent="0.2">
      <c r="D717" s="49" t="str">
        <f>HL_LVL2_ACTV_8_Name</f>
        <v>IEC Soc Mob  Activity # 7 (Not in Use)</v>
      </c>
      <c r="J717" s="119">
        <f>J698/LVL2_ACTV_8_Exchange_Rate</f>
        <v>0</v>
      </c>
      <c r="K717" s="119">
        <f>K698/LVL2_ACTV_8_Exchange_Rate</f>
        <v>0</v>
      </c>
      <c r="L717" s="119">
        <f>L698/LVL2_ACTV_8_Exchange_Rate</f>
        <v>0</v>
      </c>
      <c r="M717" s="119">
        <f>M698/LVL2_ACTV_8_Exchange_Rate</f>
        <v>0</v>
      </c>
      <c r="N717" s="119">
        <f>N698/LVL2_ACTV_8_Exchange_Rate</f>
        <v>0</v>
      </c>
    </row>
    <row r="718" spans="1:14" s="10" customFormat="1" outlineLevel="1" x14ac:dyDescent="0.2">
      <c r="D718" s="114" t="str">
        <f>HL_LVL2_ACTV_8_Name</f>
        <v>IEC Soc Mob  Activity # 7 (Not in Use)</v>
      </c>
      <c r="J718" s="245">
        <f>SUM(J717:J717)</f>
        <v>0</v>
      </c>
      <c r="K718" s="245">
        <f>SUM(K717:K717)</f>
        <v>0</v>
      </c>
      <c r="L718" s="245">
        <f>SUM(L717:L717)</f>
        <v>0</v>
      </c>
      <c r="M718" s="245">
        <f>SUM(M717:M717)</f>
        <v>0</v>
      </c>
      <c r="N718" s="245">
        <f>SUM(N717:N717)</f>
        <v>0</v>
      </c>
    </row>
    <row r="719" spans="1:14" s="10" customFormat="1" outlineLevel="1" x14ac:dyDescent="0.2"/>
    <row r="720" spans="1:14" s="10" customFormat="1" outlineLevel="1" x14ac:dyDescent="0.2">
      <c r="D720" s="76" t="str">
        <f>Lang_GoTo&amp;" "&amp;HL_LVL2_ACTV_8_Single_Activity_Cost_Assumptions_Annual</f>
        <v>Go to IEC Soc Mob  Activity # 7 (Not in Use) Single Activity Cost - Annual Assumptions (Projected or Retrospective)</v>
      </c>
    </row>
    <row r="721" spans="1:14" s="10" customFormat="1" x14ac:dyDescent="0.2"/>
    <row r="722" spans="1:14" s="10" customFormat="1" x14ac:dyDescent="0.2">
      <c r="A722" s="12" t="s">
        <v>127</v>
      </c>
      <c r="B722" s="13" t="str">
        <f>B723&amp;" "&amp;Lang_Single_Activity_Cost_Outputs_Annual&amp;" ("&amp;Lang_International_Currency_Econ&amp;")"</f>
        <v>IEC Soc Mob  Activity # 7 (Not in Use) Single Activity Cost Outputs - Annual (International Currency - Economic)</v>
      </c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</row>
    <row r="723" spans="1:14" s="10" customFormat="1" outlineLevel="1" x14ac:dyDescent="0.2">
      <c r="B723" s="10" t="str">
        <f>HL_LVL2_ACTV_8_Name</f>
        <v>IEC Soc Mob  Activity # 7 (Not in Use)</v>
      </c>
    </row>
    <row r="724" spans="1:14" s="10" customFormat="1" outlineLevel="1" x14ac:dyDescent="0.2">
      <c r="B724" s="65" t="str">
        <f>SOCMOB_Lu!$D$243&amp;" ("&amp;SOCMOB_Lu!$D$222&amp;")"</f>
        <v>Economic (USD)</v>
      </c>
      <c r="E724" s="53" t="str">
        <f>"("&amp;IF(DD_LVL2_ACTV_8_Input_Detail_or_Freeform=1,SOCIAL_MOBILISATION!$D$262,SOCIAL_MOBILISATION!$D$268)&amp;")"</f>
        <v>(Direct User Entry Cost Estimate)</v>
      </c>
    </row>
    <row r="725" spans="1:14" s="10" customFormat="1" outlineLevel="1" x14ac:dyDescent="0.2"/>
    <row r="726" spans="1:14" s="10" customFormat="1" outlineLevel="1" x14ac:dyDescent="0.2">
      <c r="D726" s="49" t="str">
        <f>HL_LVL2_ACTV_8_Name</f>
        <v>IEC Soc Mob  Activity # 7 (Not in Use)</v>
      </c>
      <c r="J726" s="119">
        <f>J708/LVL2_ACTV_8_Exchange_Rate</f>
        <v>0</v>
      </c>
      <c r="K726" s="119">
        <f>K708/LVL2_ACTV_8_Exchange_Rate</f>
        <v>0</v>
      </c>
      <c r="L726" s="119">
        <f>L708/LVL2_ACTV_8_Exchange_Rate</f>
        <v>0</v>
      </c>
      <c r="M726" s="119">
        <f>M708/LVL2_ACTV_8_Exchange_Rate</f>
        <v>0</v>
      </c>
      <c r="N726" s="119">
        <f>N708/LVL2_ACTV_8_Exchange_Rate</f>
        <v>0</v>
      </c>
    </row>
    <row r="727" spans="1:14" s="10" customFormat="1" outlineLevel="1" x14ac:dyDescent="0.2">
      <c r="D727" s="114" t="str">
        <f>HL_LVL2_ACTV_8_Name</f>
        <v>IEC Soc Mob  Activity # 7 (Not in Use)</v>
      </c>
      <c r="J727" s="245">
        <f>SUM(J726:J726)</f>
        <v>0</v>
      </c>
      <c r="K727" s="245">
        <f>SUM(K726:K726)</f>
        <v>0</v>
      </c>
      <c r="L727" s="245">
        <f>SUM(L726:L726)</f>
        <v>0</v>
      </c>
      <c r="M727" s="245">
        <f>SUM(M726:M726)</f>
        <v>0</v>
      </c>
      <c r="N727" s="245">
        <f>SUM(N726:N726)</f>
        <v>0</v>
      </c>
    </row>
    <row r="728" spans="1:14" s="10" customFormat="1" outlineLevel="1" x14ac:dyDescent="0.2"/>
    <row r="729" spans="1:14" s="10" customFormat="1" outlineLevel="1" x14ac:dyDescent="0.2">
      <c r="D729" s="76" t="str">
        <f>Lang_GoTo&amp;" "&amp;HL_LVL2_ACTV_8_Single_Activity_Cost_Assumptions_Annual</f>
        <v>Go to IEC Soc Mob  Activity # 7 (Not in Use) Single Activity Cost - Annual Assumptions (Projected or Retrospective)</v>
      </c>
    </row>
    <row r="730" spans="1:14" s="10" customFormat="1" x14ac:dyDescent="0.2"/>
    <row r="731" spans="1:14" s="10" customFormat="1" x14ac:dyDescent="0.2">
      <c r="A731" s="12" t="s">
        <v>127</v>
      </c>
      <c r="B731" s="13" t="str">
        <f>B732&amp;" "&amp;Lang_Single_Activity_Cost_Outputs_Annual&amp;" ("&amp;Lang_Local_Currency_Fin&amp;")"</f>
        <v>IEC Soc Mob  Activity # 8 (Not in Use) Single Activity Cost Outputs - Annual (Local Currency - Financial)</v>
      </c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</row>
    <row r="732" spans="1:14" s="10" customFormat="1" outlineLevel="1" x14ac:dyDescent="0.2">
      <c r="B732" s="10" t="str">
        <f>HL_LVL2_ACTV_21_Name</f>
        <v>IEC Soc Mob  Activity # 8 (Not in Use)</v>
      </c>
    </row>
    <row r="733" spans="1:14" s="10" customFormat="1" outlineLevel="1" x14ac:dyDescent="0.2">
      <c r="B733" s="65" t="str">
        <f>SOCMOB_Lu!$D$277&amp;" ("&amp;SOCMOB_Lu!$D$258&amp;")"</f>
        <v>Financial (LCU)</v>
      </c>
      <c r="E733" s="53" t="str">
        <f>"("&amp;IF(DD_LVL2_ACTV_21_Input_Detail_or_Freeform=1,SOCIAL_MOBILISATION!$D$305,SOCIAL_MOBILISATION!$D$311)&amp;")"</f>
        <v>(Direct User Entry Cost Estimate)</v>
      </c>
    </row>
    <row r="734" spans="1:14" s="10" customFormat="1" outlineLevel="1" x14ac:dyDescent="0.2"/>
    <row r="735" spans="1:14" s="10" customFormat="1" outlineLevel="1" x14ac:dyDescent="0.2">
      <c r="D735" s="49" t="str">
        <f>HL_LVL2_ACTV_21_Name</f>
        <v>IEC Soc Mob  Activity # 8 (Not in Use)</v>
      </c>
      <c r="J735" s="362">
        <f>IF(DD_LVL2_ACTV_21_Input_Detail_or_Freeform=1,IF(DD_LVL2_ACTV_21_Annual_Currency_Select=2,SOCIAL_MOBILISATION!J$307,SOCIAL_MOBILISATION!J$307*LVL2_ACTV_21_Exchange_Rate),IF(DD_LVL2_ACTV_21_Annual_Currency_Select=2,SOCIAL_MOBILISATION!J$312,SOCIAL_MOBILISATION!J$312*LVL2_ACTV_21_Exchange_Rate))</f>
        <v>0</v>
      </c>
      <c r="K735" s="362">
        <f>IF(DD_LVL2_ACTV_21_Input_Detail_or_Freeform=1,IF(DD_LVL2_ACTV_21_Annual_Currency_Select=2,SOCIAL_MOBILISATION!K$307,SOCIAL_MOBILISATION!K$307*LVL2_ACTV_21_Exchange_Rate),IF(DD_LVL2_ACTV_21_Annual_Currency_Select=2,SOCIAL_MOBILISATION!K$312,SOCIAL_MOBILISATION!K$312*LVL2_ACTV_21_Exchange_Rate))</f>
        <v>0</v>
      </c>
      <c r="L735" s="362">
        <f>IF(DD_LVL2_ACTV_21_Input_Detail_or_Freeform=1,IF(DD_LVL2_ACTV_21_Annual_Currency_Select=2,SOCIAL_MOBILISATION!L$307,SOCIAL_MOBILISATION!L$307*LVL2_ACTV_21_Exchange_Rate),IF(DD_LVL2_ACTV_21_Annual_Currency_Select=2,SOCIAL_MOBILISATION!L$312,SOCIAL_MOBILISATION!L$312*LVL2_ACTV_21_Exchange_Rate))</f>
        <v>0</v>
      </c>
      <c r="M735" s="362">
        <f>IF(DD_LVL2_ACTV_21_Input_Detail_or_Freeform=1,IF(DD_LVL2_ACTV_21_Annual_Currency_Select=2,SOCIAL_MOBILISATION!M$307,SOCIAL_MOBILISATION!M$307*LVL2_ACTV_21_Exchange_Rate),IF(DD_LVL2_ACTV_21_Annual_Currency_Select=2,SOCIAL_MOBILISATION!M$312,SOCIAL_MOBILISATION!M$312*LVL2_ACTV_21_Exchange_Rate))</f>
        <v>0</v>
      </c>
      <c r="N735" s="362">
        <f>IF(DD_LVL2_ACTV_21_Input_Detail_or_Freeform=1,IF(DD_LVL2_ACTV_21_Annual_Currency_Select=2,SOCIAL_MOBILISATION!N$307,SOCIAL_MOBILISATION!N$307*LVL2_ACTV_21_Exchange_Rate),IF(DD_LVL2_ACTV_21_Annual_Currency_Select=2,SOCIAL_MOBILISATION!N$312,SOCIAL_MOBILISATION!N$312*LVL2_ACTV_21_Exchange_Rate))</f>
        <v>0</v>
      </c>
    </row>
    <row r="736" spans="1:14" s="10" customFormat="1" outlineLevel="1" x14ac:dyDescent="0.2">
      <c r="D736" s="114" t="str">
        <f>HL_LVL2_ACTV_21_Name</f>
        <v>IEC Soc Mob  Activity # 8 (Not in Use)</v>
      </c>
      <c r="J736" s="43">
        <f>SUM(J735:J735)</f>
        <v>0</v>
      </c>
      <c r="K736" s="43">
        <f>SUM(K735:K735)</f>
        <v>0</v>
      </c>
      <c r="L736" s="43">
        <f>SUM(L735:L735)</f>
        <v>0</v>
      </c>
      <c r="M736" s="43">
        <f>SUM(M735:M735)</f>
        <v>0</v>
      </c>
      <c r="N736" s="43">
        <f>SUM(N735:N735)</f>
        <v>0</v>
      </c>
    </row>
    <row r="737" spans="1:14" s="10" customFormat="1" outlineLevel="1" x14ac:dyDescent="0.2"/>
    <row r="738" spans="1:14" s="10" customFormat="1" outlineLevel="1" x14ac:dyDescent="0.2"/>
    <row r="739" spans="1:14" s="10" customFormat="1" outlineLevel="1" x14ac:dyDescent="0.2">
      <c r="D739" s="76" t="str">
        <f>Lang_GoTo&amp;" "&amp;HL_LVL2_ACTV_21_Single_Activity_Cost_Assumptions_Annual</f>
        <v>Go to IEC Soc Mob  Activity # 8 (Not in Use) Single Activity Cost - Annual Assumptions (Projected or Retrospective)</v>
      </c>
    </row>
    <row r="740" spans="1:14" s="10" customFormat="1" x14ac:dyDescent="0.2"/>
    <row r="741" spans="1:14" s="10" customFormat="1" x14ac:dyDescent="0.2">
      <c r="A741" s="12" t="s">
        <v>127</v>
      </c>
      <c r="B741" s="13" t="str">
        <f>B742&amp;" "&amp;Lang_Single_Activity_Cost_Outputs_Annual&amp;" ("&amp;Lang_Local_Currency_Econ&amp;")"</f>
        <v>IEC Soc Mob  Activity # 8 (Not in Use) Single Activity Cost Outputs - Annual (Local Currency - Economic)</v>
      </c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</row>
    <row r="742" spans="1:14" s="10" customFormat="1" outlineLevel="1" x14ac:dyDescent="0.2">
      <c r="B742" s="10" t="str">
        <f>HL_LVL2_ACTV_21_Name</f>
        <v>IEC Soc Mob  Activity # 8 (Not in Use)</v>
      </c>
    </row>
    <row r="743" spans="1:14" s="10" customFormat="1" outlineLevel="1" x14ac:dyDescent="0.2">
      <c r="B743" s="65" t="str">
        <f>SOCMOB_Lu!$D$278&amp;" ("&amp;SOCMOB_Lu!$D$258&amp;")"</f>
        <v>Economic (LCU)</v>
      </c>
      <c r="E743" s="53" t="str">
        <f>"("&amp;IF(DD_LVL2_ACTV_21_Input_Detail_or_Freeform=1,SOCIAL_MOBILISATION!$D$305,SOCIAL_MOBILISATION!$D$311)&amp;")"</f>
        <v>(Direct User Entry Cost Estimate)</v>
      </c>
    </row>
    <row r="744" spans="1:14" s="10" customFormat="1" outlineLevel="1" x14ac:dyDescent="0.2"/>
    <row r="745" spans="1:14" s="10" customFormat="1" outlineLevel="1" x14ac:dyDescent="0.2">
      <c r="D745" s="49" t="str">
        <f>HL_LVL2_ACTV_21_Name</f>
        <v>IEC Soc Mob  Activity # 8 (Not in Use)</v>
      </c>
      <c r="J745" s="362">
        <f>IF(DD_LVL2_ACTV_21_Input_Detail_or_Freeform=1,IF(DD_LVL2_ACTV_21_Annual_Currency_Select=2,SOCIAL_MOBILISATION!J$308,SOCIAL_MOBILISATION!J$308*LVL2_ACTV_21_Exchange_Rate),IF(DD_LVL2_ACTV_21_Annual_Currency_Select=2,SOCIAL_MOBILISATION!J$313,SOCIAL_MOBILISATION!J$313*LVL2_ACTV_21_Exchange_Rate))</f>
        <v>0</v>
      </c>
      <c r="K745" s="362">
        <f>IF(DD_LVL2_ACTV_21_Input_Detail_or_Freeform=1,IF(DD_LVL2_ACTV_21_Annual_Currency_Select=2,SOCIAL_MOBILISATION!K$308,SOCIAL_MOBILISATION!K$308*LVL2_ACTV_21_Exchange_Rate),IF(DD_LVL2_ACTV_21_Annual_Currency_Select=2,SOCIAL_MOBILISATION!K$313,SOCIAL_MOBILISATION!K$313*LVL2_ACTV_21_Exchange_Rate))</f>
        <v>0</v>
      </c>
      <c r="L745" s="362">
        <f>IF(DD_LVL2_ACTV_21_Input_Detail_or_Freeform=1,IF(DD_LVL2_ACTV_21_Annual_Currency_Select=2,SOCIAL_MOBILISATION!L$308,SOCIAL_MOBILISATION!L$308*LVL2_ACTV_21_Exchange_Rate),IF(DD_LVL2_ACTV_21_Annual_Currency_Select=2,SOCIAL_MOBILISATION!L$313,SOCIAL_MOBILISATION!L$313*LVL2_ACTV_21_Exchange_Rate))</f>
        <v>0</v>
      </c>
      <c r="M745" s="362">
        <f>IF(DD_LVL2_ACTV_21_Input_Detail_or_Freeform=1,IF(DD_LVL2_ACTV_21_Annual_Currency_Select=2,SOCIAL_MOBILISATION!M$308,SOCIAL_MOBILISATION!M$308*LVL2_ACTV_21_Exchange_Rate),IF(DD_LVL2_ACTV_21_Annual_Currency_Select=2,SOCIAL_MOBILISATION!M$313,SOCIAL_MOBILISATION!M$313*LVL2_ACTV_21_Exchange_Rate))</f>
        <v>0</v>
      </c>
      <c r="N745" s="362">
        <f>IF(DD_LVL2_ACTV_21_Input_Detail_or_Freeform=1,IF(DD_LVL2_ACTV_21_Annual_Currency_Select=2,SOCIAL_MOBILISATION!N$308,SOCIAL_MOBILISATION!N$308*LVL2_ACTV_21_Exchange_Rate),IF(DD_LVL2_ACTV_21_Annual_Currency_Select=2,SOCIAL_MOBILISATION!N$313,SOCIAL_MOBILISATION!N$313*LVL2_ACTV_21_Exchange_Rate))</f>
        <v>0</v>
      </c>
    </row>
    <row r="746" spans="1:14" s="10" customFormat="1" outlineLevel="1" x14ac:dyDescent="0.2">
      <c r="D746" s="114" t="str">
        <f>HL_LVL2_ACTV_21_Name</f>
        <v>IEC Soc Mob  Activity # 8 (Not in Use)</v>
      </c>
      <c r="J746" s="43">
        <f>SUM(J745:J745)</f>
        <v>0</v>
      </c>
      <c r="K746" s="43">
        <f>SUM(K745:K745)</f>
        <v>0</v>
      </c>
      <c r="L746" s="43">
        <f>SUM(L745:L745)</f>
        <v>0</v>
      </c>
      <c r="M746" s="43">
        <f>SUM(M745:M745)</f>
        <v>0</v>
      </c>
      <c r="N746" s="43">
        <f>SUM(N745:N745)</f>
        <v>0</v>
      </c>
    </row>
    <row r="747" spans="1:14" s="10" customFormat="1" outlineLevel="1" x14ac:dyDescent="0.2"/>
    <row r="748" spans="1:14" s="10" customFormat="1" outlineLevel="1" x14ac:dyDescent="0.2">
      <c r="D748" s="76" t="str">
        <f>Lang_GoTo&amp;" "&amp;HL_LVL2_ACTV_21_Single_Activity_Cost_Assumptions_Annual</f>
        <v>Go to IEC Soc Mob  Activity # 8 (Not in Use) Single Activity Cost - Annual Assumptions (Projected or Retrospective)</v>
      </c>
    </row>
    <row r="749" spans="1:14" s="10" customFormat="1" x14ac:dyDescent="0.2"/>
    <row r="750" spans="1:14" s="10" customFormat="1" x14ac:dyDescent="0.2">
      <c r="A750" s="12" t="s">
        <v>127</v>
      </c>
      <c r="B750" s="13" t="str">
        <f>B751&amp;" "&amp;Lang_Single_Activity_Cost_Outputs_Annual&amp;" ("&amp;Lang_International_Currency_Fin&amp;")"</f>
        <v>IEC Soc Mob  Activity # 8 (Not in Use) Single Activity Cost Outputs - Annual (International Currency - Financial)</v>
      </c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</row>
    <row r="751" spans="1:14" s="10" customFormat="1" outlineLevel="1" x14ac:dyDescent="0.2">
      <c r="B751" s="10" t="str">
        <f>HL_LVL2_ACTV_21_Name</f>
        <v>IEC Soc Mob  Activity # 8 (Not in Use)</v>
      </c>
    </row>
    <row r="752" spans="1:14" s="10" customFormat="1" outlineLevel="1" x14ac:dyDescent="0.2">
      <c r="B752" s="65" t="str">
        <f>SOCMOB_Lu!$D$277&amp;" ("&amp;SOCMOB_Lu!$D$257&amp;")"</f>
        <v>Financial (USD)</v>
      </c>
      <c r="E752" s="53" t="str">
        <f>"("&amp;IF(DD_LVL2_ACTV_21_Input_Detail_or_Freeform=1,SOCIAL_MOBILISATION!$D$305,SOCIAL_MOBILISATION!$D$311)&amp;")"</f>
        <v>(Direct User Entry Cost Estimate)</v>
      </c>
    </row>
    <row r="753" spans="1:14" s="10" customFormat="1" outlineLevel="1" x14ac:dyDescent="0.2"/>
    <row r="754" spans="1:14" s="10" customFormat="1" outlineLevel="1" x14ac:dyDescent="0.2">
      <c r="D754" s="49" t="str">
        <f>HL_LVL2_ACTV_21_Name</f>
        <v>IEC Soc Mob  Activity # 8 (Not in Use)</v>
      </c>
      <c r="J754" s="119">
        <f>J735/LVL2_ACTV_21_Exchange_Rate</f>
        <v>0</v>
      </c>
      <c r="K754" s="119">
        <f>K735/LVL2_ACTV_21_Exchange_Rate</f>
        <v>0</v>
      </c>
      <c r="L754" s="119">
        <f>L735/LVL2_ACTV_21_Exchange_Rate</f>
        <v>0</v>
      </c>
      <c r="M754" s="119">
        <f>M735/LVL2_ACTV_21_Exchange_Rate</f>
        <v>0</v>
      </c>
      <c r="N754" s="119">
        <f>N735/LVL2_ACTV_21_Exchange_Rate</f>
        <v>0</v>
      </c>
    </row>
    <row r="755" spans="1:14" s="10" customFormat="1" outlineLevel="1" x14ac:dyDescent="0.2">
      <c r="D755" s="114" t="str">
        <f>HL_LVL2_ACTV_21_Name</f>
        <v>IEC Soc Mob  Activity # 8 (Not in Use)</v>
      </c>
      <c r="J755" s="245">
        <f>SUM(J754:J754)</f>
        <v>0</v>
      </c>
      <c r="K755" s="245">
        <f>SUM(K754:K754)</f>
        <v>0</v>
      </c>
      <c r="L755" s="245">
        <f>SUM(L754:L754)</f>
        <v>0</v>
      </c>
      <c r="M755" s="245">
        <f>SUM(M754:M754)</f>
        <v>0</v>
      </c>
      <c r="N755" s="245">
        <f>SUM(N754:N754)</f>
        <v>0</v>
      </c>
    </row>
    <row r="756" spans="1:14" s="10" customFormat="1" outlineLevel="1" x14ac:dyDescent="0.2"/>
    <row r="757" spans="1:14" s="10" customFormat="1" outlineLevel="1" x14ac:dyDescent="0.2">
      <c r="D757" s="76" t="str">
        <f>Lang_GoTo&amp;" "&amp;HL_LVL2_ACTV_21_Single_Activity_Cost_Assumptions_Annual</f>
        <v>Go to IEC Soc Mob  Activity # 8 (Not in Use) Single Activity Cost - Annual Assumptions (Projected or Retrospective)</v>
      </c>
    </row>
    <row r="758" spans="1:14" s="10" customFormat="1" x14ac:dyDescent="0.2"/>
    <row r="759" spans="1:14" s="10" customFormat="1" x14ac:dyDescent="0.2">
      <c r="A759" s="12" t="s">
        <v>127</v>
      </c>
      <c r="B759" s="13" t="str">
        <f>B760&amp;" "&amp;Lang_Single_Activity_Cost_Outputs_Annual&amp;" ("&amp;Lang_International_Currency_Econ&amp;")"</f>
        <v>IEC Soc Mob  Activity # 8 (Not in Use) Single Activity Cost Outputs - Annual (International Currency - Economic)</v>
      </c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</row>
    <row r="760" spans="1:14" s="10" customFormat="1" outlineLevel="1" x14ac:dyDescent="0.2">
      <c r="B760" s="10" t="str">
        <f>HL_LVL2_ACTV_21_Name</f>
        <v>IEC Soc Mob  Activity # 8 (Not in Use)</v>
      </c>
    </row>
    <row r="761" spans="1:14" s="10" customFormat="1" outlineLevel="1" x14ac:dyDescent="0.2">
      <c r="B761" s="65" t="str">
        <f>SOCMOB_Lu!$D$278&amp;" ("&amp;SOCMOB_Lu!$D$257&amp;")"</f>
        <v>Economic (USD)</v>
      </c>
      <c r="E761" s="53" t="str">
        <f>"("&amp;IF(DD_LVL2_ACTV_21_Input_Detail_or_Freeform=1,SOCIAL_MOBILISATION!$D$305,SOCIAL_MOBILISATION!$D$311)&amp;")"</f>
        <v>(Direct User Entry Cost Estimate)</v>
      </c>
    </row>
    <row r="762" spans="1:14" s="10" customFormat="1" outlineLevel="1" x14ac:dyDescent="0.2"/>
    <row r="763" spans="1:14" s="10" customFormat="1" outlineLevel="1" x14ac:dyDescent="0.2">
      <c r="D763" s="49" t="str">
        <f>HL_LVL2_ACTV_21_Name</f>
        <v>IEC Soc Mob  Activity # 8 (Not in Use)</v>
      </c>
      <c r="J763" s="119">
        <f>J745/LVL2_ACTV_21_Exchange_Rate</f>
        <v>0</v>
      </c>
      <c r="K763" s="119">
        <f>K745/LVL2_ACTV_21_Exchange_Rate</f>
        <v>0</v>
      </c>
      <c r="L763" s="119">
        <f>L745/LVL2_ACTV_21_Exchange_Rate</f>
        <v>0</v>
      </c>
      <c r="M763" s="119">
        <f>M745/LVL2_ACTV_21_Exchange_Rate</f>
        <v>0</v>
      </c>
      <c r="N763" s="119">
        <f>N745/LVL2_ACTV_21_Exchange_Rate</f>
        <v>0</v>
      </c>
    </row>
    <row r="764" spans="1:14" s="10" customFormat="1" outlineLevel="1" x14ac:dyDescent="0.2">
      <c r="D764" s="114" t="str">
        <f>HL_LVL2_ACTV_21_Name</f>
        <v>IEC Soc Mob  Activity # 8 (Not in Use)</v>
      </c>
      <c r="J764" s="245">
        <f>SUM(J763:J763)</f>
        <v>0</v>
      </c>
      <c r="K764" s="245">
        <f>SUM(K763:K763)</f>
        <v>0</v>
      </c>
      <c r="L764" s="245">
        <f>SUM(L763:L763)</f>
        <v>0</v>
      </c>
      <c r="M764" s="245">
        <f>SUM(M763:M763)</f>
        <v>0</v>
      </c>
      <c r="N764" s="245">
        <f>SUM(N763:N763)</f>
        <v>0</v>
      </c>
    </row>
    <row r="765" spans="1:14" s="10" customFormat="1" outlineLevel="1" x14ac:dyDescent="0.2"/>
    <row r="766" spans="1:14" s="10" customFormat="1" outlineLevel="1" x14ac:dyDescent="0.2">
      <c r="D766" s="76" t="str">
        <f>Lang_GoTo&amp;" "&amp;HL_LVL2_ACTV_21_Single_Activity_Cost_Assumptions_Annual</f>
        <v>Go to IEC Soc Mob  Activity # 8 (Not in Use) Single Activity Cost - Annual Assumptions (Projected or Retrospective)</v>
      </c>
    </row>
    <row r="767" spans="1:14" s="10" customFormat="1" x14ac:dyDescent="0.2"/>
    <row r="768" spans="1:14" s="10" customFormat="1" x14ac:dyDescent="0.2">
      <c r="A768" s="12" t="s">
        <v>127</v>
      </c>
      <c r="B768" s="13" t="str">
        <f>B769&amp;" "&amp;Lang_Single_Activity_Cost_Outputs_Annual&amp;" ("&amp;Lang_Local_Currency_Fin&amp;")"</f>
        <v>SME Activity #1 (Not in Use) Single Activity Cost Outputs - Annual (Local Currency - Financial)</v>
      </c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</row>
    <row r="769" spans="1:14" s="10" customFormat="1" outlineLevel="1" x14ac:dyDescent="0.2">
      <c r="B769" s="49" t="str">
        <f>HL_TOP_ACTV_5_Name</f>
        <v>SME Activity #1 (Not in Use)</v>
      </c>
    </row>
    <row r="770" spans="1:14" s="10" customFormat="1" outlineLevel="1" x14ac:dyDescent="0.2">
      <c r="B770" s="65" t="str">
        <f>SUPV_Lu!$D$32&amp;" ("&amp;SUPV_Lu!$D$13&amp;")"</f>
        <v>Financial (LCU)</v>
      </c>
    </row>
    <row r="771" spans="1:14" s="10" customFormat="1" outlineLevel="1" x14ac:dyDescent="0.2"/>
    <row r="772" spans="1:14" s="10" customFormat="1" outlineLevel="1" x14ac:dyDescent="0.2">
      <c r="D772" s="49" t="str">
        <f>SUPERVISION!D12</f>
        <v>SME Activity #1 (Not in Use)</v>
      </c>
      <c r="E772" s="53" t="str">
        <f>"("&amp;IF(DD_TOP_ACTV_5_Input_Detail_or_Freeform=1,SUPERVISION!$D$20,SUPERVISION!$D$26)&amp;")"</f>
        <v>(Detailed Costing Worksheet Estimate)</v>
      </c>
      <c r="J772" s="108">
        <f>IF(DD_TOP_ACTV_5_Input_Detail_or_Freeform=1,IF(DD_TOP_ACTV_5_Annual_Currency_Used=2,SUPERVISION!J$22,SUPERVISION!J$22*TOP_ACTV_5_Exchange_Rate),IF(DD_TOP_ACTV_5_Annual_Currency_Used=2,SUPERVISION!J$27,SUPERVISION!J$27*TOP_ACTV_5_Exchange_Rate))</f>
        <v>0</v>
      </c>
      <c r="K772" s="108">
        <f>IF(DD_TOP_ACTV_5_Input_Detail_or_Freeform=1,IF(DD_TOP_ACTV_5_Annual_Currency_Used=2,SUPERVISION!K$22,SUPERVISION!K$22*TOP_ACTV_5_Exchange_Rate),IF(DD_TOP_ACTV_5_Annual_Currency_Used=2,SUPERVISION!K$27,SUPERVISION!K$27*TOP_ACTV_5_Exchange_Rate))</f>
        <v>0</v>
      </c>
      <c r="L772" s="108">
        <f>IF(DD_TOP_ACTV_5_Input_Detail_or_Freeform=1,IF(DD_TOP_ACTV_5_Annual_Currency_Used=2,SUPERVISION!L$22,SUPERVISION!L$22*TOP_ACTV_5_Exchange_Rate),IF(DD_TOP_ACTV_5_Annual_Currency_Used=2,SUPERVISION!L$27,SUPERVISION!L$27*TOP_ACTV_5_Exchange_Rate))</f>
        <v>0</v>
      </c>
      <c r="M772" s="108">
        <f>IF(DD_TOP_ACTV_5_Input_Detail_or_Freeform=1,IF(DD_TOP_ACTV_5_Annual_Currency_Used=2,SUPERVISION!M$22,SUPERVISION!M$22*TOP_ACTV_5_Exchange_Rate),IF(DD_TOP_ACTV_5_Annual_Currency_Used=2,SUPERVISION!M$27,SUPERVISION!M$27*TOP_ACTV_5_Exchange_Rate))</f>
        <v>0</v>
      </c>
      <c r="N772" s="108">
        <f>IF(DD_TOP_ACTV_5_Input_Detail_or_Freeform=1,IF(DD_TOP_ACTV_5_Annual_Currency_Used=2,SUPERVISION!N$22,SUPERVISION!N$22*TOP_ACTV_5_Exchange_Rate),IF(DD_TOP_ACTV_5_Annual_Currency_Used=2,SUPERVISION!N$27,SUPERVISION!N$27*TOP_ACTV_5_Exchange_Rate))</f>
        <v>0</v>
      </c>
    </row>
    <row r="773" spans="1:14" s="10" customFormat="1" outlineLevel="1" x14ac:dyDescent="0.2"/>
    <row r="774" spans="1:14" s="10" customFormat="1" outlineLevel="1" x14ac:dyDescent="0.2">
      <c r="D774" s="76" t="str">
        <f>Lang_GoTo&amp;" "&amp;HL_TOP_ACTV_5_Single_Activity_Cost_Assumptions_Annual</f>
        <v>Go to SME Activity #1 (Not in Use) Single Activity Cost - Annual Assumptions (Projected or Retrospective)</v>
      </c>
    </row>
    <row r="775" spans="1:14" s="10" customFormat="1" x14ac:dyDescent="0.2"/>
    <row r="776" spans="1:14" s="10" customFormat="1" x14ac:dyDescent="0.2">
      <c r="A776" s="12" t="s">
        <v>127</v>
      </c>
      <c r="B776" s="13" t="str">
        <f>B777&amp;" "&amp;Lang_Single_Activity_Cost_Outputs_Annual&amp;" ("&amp;Lang_Local_Currency_Econ&amp;")"</f>
        <v>SME Activity #1 (Not in Use) Single Activity Cost Outputs - Annual (Local Currency - Economic)</v>
      </c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</row>
    <row r="777" spans="1:14" s="10" customFormat="1" outlineLevel="1" x14ac:dyDescent="0.2">
      <c r="B777" s="49" t="str">
        <f>HL_TOP_ACTV_5_Name</f>
        <v>SME Activity #1 (Not in Use)</v>
      </c>
    </row>
    <row r="778" spans="1:14" s="10" customFormat="1" outlineLevel="1" x14ac:dyDescent="0.2">
      <c r="B778" s="65" t="str">
        <f>SUPV_Lu!$D$33&amp;" ("&amp;SUPV_Lu!$D$13&amp;")"</f>
        <v>Economic (LCU)</v>
      </c>
    </row>
    <row r="779" spans="1:14" s="10" customFormat="1" outlineLevel="1" x14ac:dyDescent="0.2"/>
    <row r="780" spans="1:14" s="10" customFormat="1" outlineLevel="1" x14ac:dyDescent="0.2">
      <c r="D780" s="49" t="str">
        <f>SUPERVISION!D12</f>
        <v>SME Activity #1 (Not in Use)</v>
      </c>
      <c r="E780" s="53" t="str">
        <f>"("&amp;IF(DD_TOP_ACTV_5_Input_Detail_or_Freeform=1,SUPERVISION!$D$20,SUPERVISION!$D$26)&amp;")"</f>
        <v>(Detailed Costing Worksheet Estimate)</v>
      </c>
      <c r="J780" s="108">
        <f>IF(DD_TOP_ACTV_5_Input_Detail_or_Freeform=1,IF(DD_TOP_ACTV_5_Annual_Currency_Used=2,SUPERVISION!J$23,SUPERVISION!J$23*TOP_ACTV_5_Exchange_Rate),IF(DD_TOP_ACTV_5_Annual_Currency_Used=2,SUPERVISION!J$28,SUPERVISION!J$28*TOP_ACTV_5_Exchange_Rate))</f>
        <v>0</v>
      </c>
      <c r="K780" s="108">
        <f>IF(DD_TOP_ACTV_5_Input_Detail_or_Freeform=1,IF(DD_TOP_ACTV_5_Annual_Currency_Used=2,SUPERVISION!K$23,SUPERVISION!K$23*TOP_ACTV_5_Exchange_Rate),IF(DD_TOP_ACTV_5_Annual_Currency_Used=2,SUPERVISION!K$28,SUPERVISION!K$28*TOP_ACTV_5_Exchange_Rate))</f>
        <v>0</v>
      </c>
      <c r="L780" s="108">
        <f>IF(DD_TOP_ACTV_5_Input_Detail_or_Freeform=1,IF(DD_TOP_ACTV_5_Annual_Currency_Used=2,SUPERVISION!L$23,SUPERVISION!L$23*TOP_ACTV_5_Exchange_Rate),IF(DD_TOP_ACTV_5_Annual_Currency_Used=2,SUPERVISION!L$28,SUPERVISION!L$28*TOP_ACTV_5_Exchange_Rate))</f>
        <v>0</v>
      </c>
      <c r="M780" s="108">
        <f>IF(DD_TOP_ACTV_5_Input_Detail_or_Freeform=1,IF(DD_TOP_ACTV_5_Annual_Currency_Used=2,SUPERVISION!M$23,SUPERVISION!M$23*TOP_ACTV_5_Exchange_Rate),IF(DD_TOP_ACTV_5_Annual_Currency_Used=2,SUPERVISION!M$28,SUPERVISION!M$28*TOP_ACTV_5_Exchange_Rate))</f>
        <v>0</v>
      </c>
      <c r="N780" s="108">
        <f>IF(DD_TOP_ACTV_5_Input_Detail_or_Freeform=1,IF(DD_TOP_ACTV_5_Annual_Currency_Used=2,SUPERVISION!N$23,SUPERVISION!N$23*TOP_ACTV_5_Exchange_Rate),IF(DD_TOP_ACTV_5_Annual_Currency_Used=2,SUPERVISION!N$28,SUPERVISION!N$28*TOP_ACTV_5_Exchange_Rate))</f>
        <v>0</v>
      </c>
    </row>
    <row r="781" spans="1:14" s="10" customFormat="1" outlineLevel="1" x14ac:dyDescent="0.2"/>
    <row r="782" spans="1:14" s="10" customFormat="1" outlineLevel="1" x14ac:dyDescent="0.2">
      <c r="D782" s="76" t="str">
        <f>Lang_GoTo&amp;" "&amp;HL_TOP_ACTV_5_Single_Activity_Cost_Assumptions_Annual</f>
        <v>Go to SME Activity #1 (Not in Use) Single Activity Cost - Annual Assumptions (Projected or Retrospective)</v>
      </c>
    </row>
    <row r="783" spans="1:14" s="10" customFormat="1" x14ac:dyDescent="0.2"/>
    <row r="784" spans="1:14" s="10" customFormat="1" x14ac:dyDescent="0.2">
      <c r="A784" s="12" t="s">
        <v>127</v>
      </c>
      <c r="B784" s="13" t="str">
        <f>B785&amp;" "&amp;Lang_Single_Activity_Cost_Outputs_Annual&amp;" ("&amp;Lang_International_Currency_Fin&amp;")"</f>
        <v>SME Activity #1 (Not in Use) Single Activity Cost Outputs - Annual (International Currency - Financial)</v>
      </c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</row>
    <row r="785" spans="1:14" s="10" customFormat="1" outlineLevel="1" x14ac:dyDescent="0.2">
      <c r="B785" s="49" t="str">
        <f>HL_TOP_ACTV_5_Name</f>
        <v>SME Activity #1 (Not in Use)</v>
      </c>
    </row>
    <row r="786" spans="1:14" s="10" customFormat="1" outlineLevel="1" x14ac:dyDescent="0.2">
      <c r="B786" s="65" t="str">
        <f>SUPV_Lu!$D$32&amp;" ("&amp;SUPV_Lu!$D$12&amp;")"</f>
        <v>Financial (USD)</v>
      </c>
    </row>
    <row r="787" spans="1:14" s="10" customFormat="1" outlineLevel="1" x14ac:dyDescent="0.2"/>
    <row r="788" spans="1:14" s="10" customFormat="1" outlineLevel="1" x14ac:dyDescent="0.2">
      <c r="D788" s="49" t="str">
        <f>SUPERVISION!D12</f>
        <v>SME Activity #1 (Not in Use)</v>
      </c>
      <c r="E788" s="53" t="str">
        <f>"("&amp;IF(DD_TOP_ACTV_5_Input_Detail_or_Freeform=1,SUPERVISION!$D$20,SUPERVISION!$D$26)&amp;")"</f>
        <v>(Detailed Costing Worksheet Estimate)</v>
      </c>
      <c r="J788" s="119">
        <f>J772/TOP_ACTV_5_Exchange_Rate</f>
        <v>0</v>
      </c>
      <c r="K788" s="119">
        <f>K772/TOP_ACTV_5_Exchange_Rate</f>
        <v>0</v>
      </c>
      <c r="L788" s="119">
        <f>L772/TOP_ACTV_5_Exchange_Rate</f>
        <v>0</v>
      </c>
      <c r="M788" s="119">
        <f>M772/TOP_ACTV_5_Exchange_Rate</f>
        <v>0</v>
      </c>
      <c r="N788" s="119">
        <f>N772/TOP_ACTV_5_Exchange_Rate</f>
        <v>0</v>
      </c>
    </row>
    <row r="789" spans="1:14" s="10" customFormat="1" outlineLevel="1" x14ac:dyDescent="0.2"/>
    <row r="790" spans="1:14" s="10" customFormat="1" outlineLevel="1" x14ac:dyDescent="0.2">
      <c r="D790" s="76" t="str">
        <f>Lang_GoTo&amp;" "&amp;HL_TOP_ACTV_5_Single_Activity_Cost_Assumptions_Annual</f>
        <v>Go to SME Activity #1 (Not in Use) Single Activity Cost - Annual Assumptions (Projected or Retrospective)</v>
      </c>
    </row>
    <row r="791" spans="1:14" s="10" customFormat="1" x14ac:dyDescent="0.2"/>
    <row r="792" spans="1:14" s="10" customFormat="1" x14ac:dyDescent="0.2">
      <c r="A792" s="12" t="s">
        <v>127</v>
      </c>
      <c r="B792" s="13" t="str">
        <f>B793&amp;" "&amp;Lang_Single_Activity_Cost_Outputs_Annual&amp;" ("&amp;Lang_International_Currency_Econ&amp;")"</f>
        <v>SME Activity #1 (Not in Use) Single Activity Cost Outputs - Annual (International Currency - Economic)</v>
      </c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</row>
    <row r="793" spans="1:14" s="10" customFormat="1" outlineLevel="1" x14ac:dyDescent="0.2">
      <c r="B793" s="49" t="str">
        <f>HL_TOP_ACTV_5_Name</f>
        <v>SME Activity #1 (Not in Use)</v>
      </c>
    </row>
    <row r="794" spans="1:14" s="10" customFormat="1" outlineLevel="1" x14ac:dyDescent="0.2">
      <c r="B794" s="65" t="str">
        <f>SUPV_Lu!$D$33&amp;" ("&amp;SUPV_Lu!$D$12&amp;")"</f>
        <v>Economic (USD)</v>
      </c>
    </row>
    <row r="795" spans="1:14" s="10" customFormat="1" outlineLevel="1" x14ac:dyDescent="0.2"/>
    <row r="796" spans="1:14" s="10" customFormat="1" outlineLevel="1" x14ac:dyDescent="0.2">
      <c r="D796" s="49" t="str">
        <f>SUPERVISION!D12</f>
        <v>SME Activity #1 (Not in Use)</v>
      </c>
      <c r="E796" s="53" t="str">
        <f>"("&amp;IF(DD_TOP_ACTV_5_Input_Detail_or_Freeform=1,SUPERVISION!$D$20,SUPERVISION!$D$26)&amp;")"</f>
        <v>(Detailed Costing Worksheet Estimate)</v>
      </c>
      <c r="J796" s="119">
        <f>J780/TOP_ACTV_5_Exchange_Rate</f>
        <v>0</v>
      </c>
      <c r="K796" s="119">
        <f>K780/TOP_ACTV_5_Exchange_Rate</f>
        <v>0</v>
      </c>
      <c r="L796" s="119">
        <f>L780/TOP_ACTV_5_Exchange_Rate</f>
        <v>0</v>
      </c>
      <c r="M796" s="119">
        <f>M780/TOP_ACTV_5_Exchange_Rate</f>
        <v>0</v>
      </c>
      <c r="N796" s="119">
        <f>N780/TOP_ACTV_5_Exchange_Rate</f>
        <v>0</v>
      </c>
    </row>
    <row r="797" spans="1:14" s="10" customFormat="1" outlineLevel="1" x14ac:dyDescent="0.2"/>
    <row r="798" spans="1:14" s="10" customFormat="1" outlineLevel="1" x14ac:dyDescent="0.2">
      <c r="D798" s="76" t="str">
        <f>Lang_GoTo&amp;" "&amp;HL_TOP_ACTV_5_Single_Activity_Cost_Assumptions_Annual</f>
        <v>Go to SME Activity #1 (Not in Use) Single Activity Cost - Annual Assumptions (Projected or Retrospective)</v>
      </c>
    </row>
    <row r="799" spans="1:14" s="10" customFormat="1" x14ac:dyDescent="0.2"/>
    <row r="800" spans="1:14" s="10" customFormat="1" x14ac:dyDescent="0.2">
      <c r="A800" s="12" t="s">
        <v>127</v>
      </c>
      <c r="B800" s="13" t="str">
        <f>B801&amp;" "&amp;Lang_Single_Activity_Cost_Outputs_Annual&amp;" ("&amp;Lang_Local_Currency_Fin&amp;")"</f>
        <v>SME Activity #2 (Not in Use) Single Activity Cost Outputs - Annual (Local Currency - Financial)</v>
      </c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</row>
    <row r="801" spans="1:14" s="10" customFormat="1" outlineLevel="1" x14ac:dyDescent="0.2">
      <c r="B801" s="49" t="str">
        <f>HL_TOP_ACTV_17_Name</f>
        <v>SME Activity #2 (Not in Use)</v>
      </c>
    </row>
    <row r="802" spans="1:14" s="10" customFormat="1" outlineLevel="1" x14ac:dyDescent="0.2">
      <c r="B802" s="65" t="str">
        <f>SUPV_Lu!$D$67&amp;" ("&amp;SUPV_Lu!$D$48&amp;")"</f>
        <v>Financial (LCU)</v>
      </c>
    </row>
    <row r="803" spans="1:14" s="10" customFormat="1" outlineLevel="1" x14ac:dyDescent="0.2"/>
    <row r="804" spans="1:14" s="10" customFormat="1" outlineLevel="1" x14ac:dyDescent="0.2">
      <c r="D804" s="49" t="str">
        <f>SUPERVISION!D49</f>
        <v>SME Activity #2 (Not in Use)</v>
      </c>
      <c r="E804" s="53" t="str">
        <f>"("&amp;IF(DD_TOP_ACTV_17_Input_Detail_or_Freeform=1,SUPERVISION!$D$57,SUPERVISION!$D$63)&amp;")"</f>
        <v>(Direct User Entry Cost Estimate)</v>
      </c>
      <c r="J804" s="108">
        <f>IF(DD_TOP_ACTV_17_Input_Detail_or_Freeform=1,IF(DD_TOP_ACTV_17_Annual_Currency_Used=2,SUPERVISION!J$59,SUPERVISION!J$59*TOP_ACTV_17_Exchange_Rate),IF(DD_TOP_ACTV_17_Annual_Currency_Used=2,SUPERVISION!J$64,SUPERVISION!J$64*TOP_ACTV_17_Exchange_Rate))</f>
        <v>0</v>
      </c>
      <c r="K804" s="108">
        <f>IF(DD_TOP_ACTV_17_Input_Detail_or_Freeform=1,IF(DD_TOP_ACTV_17_Annual_Currency_Used=2,SUPERVISION!K$59,SUPERVISION!K$59*TOP_ACTV_17_Exchange_Rate),IF(DD_TOP_ACTV_17_Annual_Currency_Used=2,SUPERVISION!K$64,SUPERVISION!K$64*TOP_ACTV_17_Exchange_Rate))</f>
        <v>0</v>
      </c>
      <c r="L804" s="108">
        <f>IF(DD_TOP_ACTV_17_Input_Detail_or_Freeform=1,IF(DD_TOP_ACTV_17_Annual_Currency_Used=2,SUPERVISION!L$59,SUPERVISION!L$59*TOP_ACTV_17_Exchange_Rate),IF(DD_TOP_ACTV_17_Annual_Currency_Used=2,SUPERVISION!L$64,SUPERVISION!L$64*TOP_ACTV_17_Exchange_Rate))</f>
        <v>0</v>
      </c>
      <c r="M804" s="108">
        <f>IF(DD_TOP_ACTV_17_Input_Detail_or_Freeform=1,IF(DD_TOP_ACTV_17_Annual_Currency_Used=2,SUPERVISION!M$59,SUPERVISION!M$59*TOP_ACTV_17_Exchange_Rate),IF(DD_TOP_ACTV_17_Annual_Currency_Used=2,SUPERVISION!M$64,SUPERVISION!M$64*TOP_ACTV_17_Exchange_Rate))</f>
        <v>0</v>
      </c>
      <c r="N804" s="108">
        <f>IF(DD_TOP_ACTV_17_Input_Detail_or_Freeform=1,IF(DD_TOP_ACTV_17_Annual_Currency_Used=2,SUPERVISION!N$59,SUPERVISION!N$59*TOP_ACTV_17_Exchange_Rate),IF(DD_TOP_ACTV_17_Annual_Currency_Used=2,SUPERVISION!N$64,SUPERVISION!N$64*TOP_ACTV_17_Exchange_Rate))</f>
        <v>0</v>
      </c>
    </row>
    <row r="805" spans="1:14" s="10" customFormat="1" outlineLevel="1" x14ac:dyDescent="0.2"/>
    <row r="806" spans="1:14" s="10" customFormat="1" outlineLevel="1" x14ac:dyDescent="0.2">
      <c r="D806" s="76" t="str">
        <f>Lang_GoTo&amp;" "&amp;HL_TOP_ACTV_17_Single_Activity_Cost_Assumptions_Annual</f>
        <v>Go to SME Activity #2 (Not in Use) Single Activity Cost - Annual Assumptions (Projected or Retrospective)</v>
      </c>
    </row>
    <row r="807" spans="1:14" s="10" customFormat="1" x14ac:dyDescent="0.2"/>
    <row r="808" spans="1:14" s="10" customFormat="1" x14ac:dyDescent="0.2">
      <c r="A808" s="12" t="s">
        <v>127</v>
      </c>
      <c r="B808" s="13" t="str">
        <f>B809&amp;" "&amp;Lang_Single_Activity_Cost_Outputs_Annual&amp;" ("&amp;Lang_Local_Currency_Econ&amp;")"</f>
        <v>SME Activity #2 (Not in Use) Single Activity Cost Outputs - Annual (Local Currency - Economic)</v>
      </c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</row>
    <row r="809" spans="1:14" s="10" customFormat="1" outlineLevel="1" x14ac:dyDescent="0.2">
      <c r="B809" s="49" t="str">
        <f>HL_TOP_ACTV_17_Name</f>
        <v>SME Activity #2 (Not in Use)</v>
      </c>
    </row>
    <row r="810" spans="1:14" s="10" customFormat="1" outlineLevel="1" x14ac:dyDescent="0.2">
      <c r="B810" s="65" t="str">
        <f>SUPV_Lu!$D$68&amp;" ("&amp;SUPV_Lu!$D$48&amp;")"</f>
        <v>Economic (LCU)</v>
      </c>
    </row>
    <row r="811" spans="1:14" s="10" customFormat="1" outlineLevel="1" x14ac:dyDescent="0.2"/>
    <row r="812" spans="1:14" s="10" customFormat="1" outlineLevel="1" x14ac:dyDescent="0.2">
      <c r="D812" s="49" t="str">
        <f>SUPERVISION!D49</f>
        <v>SME Activity #2 (Not in Use)</v>
      </c>
      <c r="E812" s="53" t="str">
        <f>"("&amp;IF(DD_TOP_ACTV_17_Input_Detail_or_Freeform=1,SUPERVISION!$D$57,SUPERVISION!$D$63)&amp;")"</f>
        <v>(Direct User Entry Cost Estimate)</v>
      </c>
      <c r="J812" s="108">
        <f>IF(DD_TOP_ACTV_17_Input_Detail_or_Freeform=1,IF(DD_TOP_ACTV_17_Annual_Currency_Used=2,SUPERVISION!J$60,SUPERVISION!J$60*TOP_ACTV_17_Exchange_Rate),IF(DD_TOP_ACTV_17_Annual_Currency_Used=2,SUPERVISION!J$65,SUPERVISION!J$65*TOP_ACTV_17_Exchange_Rate))</f>
        <v>0</v>
      </c>
      <c r="K812" s="108">
        <f>IF(DD_TOP_ACTV_17_Input_Detail_or_Freeform=1,IF(DD_TOP_ACTV_17_Annual_Currency_Used=2,SUPERVISION!K$60,SUPERVISION!K$60*TOP_ACTV_17_Exchange_Rate),IF(DD_TOP_ACTV_17_Annual_Currency_Used=2,SUPERVISION!K$65,SUPERVISION!K$65*TOP_ACTV_17_Exchange_Rate))</f>
        <v>0</v>
      </c>
      <c r="L812" s="108">
        <f>IF(DD_TOP_ACTV_17_Input_Detail_or_Freeform=1,IF(DD_TOP_ACTV_17_Annual_Currency_Used=2,SUPERVISION!L$60,SUPERVISION!L$60*TOP_ACTV_17_Exchange_Rate),IF(DD_TOP_ACTV_17_Annual_Currency_Used=2,SUPERVISION!L$65,SUPERVISION!L$65*TOP_ACTV_17_Exchange_Rate))</f>
        <v>0</v>
      </c>
      <c r="M812" s="108">
        <f>IF(DD_TOP_ACTV_17_Input_Detail_or_Freeform=1,IF(DD_TOP_ACTV_17_Annual_Currency_Used=2,SUPERVISION!M$60,SUPERVISION!M$60*TOP_ACTV_17_Exchange_Rate),IF(DD_TOP_ACTV_17_Annual_Currency_Used=2,SUPERVISION!M$65,SUPERVISION!M$65*TOP_ACTV_17_Exchange_Rate))</f>
        <v>0</v>
      </c>
      <c r="N812" s="108">
        <f>IF(DD_TOP_ACTV_17_Input_Detail_or_Freeform=1,IF(DD_TOP_ACTV_17_Annual_Currency_Used=2,SUPERVISION!N$60,SUPERVISION!N$60*TOP_ACTV_17_Exchange_Rate),IF(DD_TOP_ACTV_17_Annual_Currency_Used=2,SUPERVISION!N$65,SUPERVISION!N$65*TOP_ACTV_17_Exchange_Rate))</f>
        <v>0</v>
      </c>
    </row>
    <row r="813" spans="1:14" s="10" customFormat="1" outlineLevel="1" x14ac:dyDescent="0.2"/>
    <row r="814" spans="1:14" s="10" customFormat="1" outlineLevel="1" x14ac:dyDescent="0.2">
      <c r="D814" s="76" t="str">
        <f>Lang_GoTo&amp;" "&amp;HL_TOP_ACTV_17_Single_Activity_Cost_Assumptions_Annual</f>
        <v>Go to SME Activity #2 (Not in Use) Single Activity Cost - Annual Assumptions (Projected or Retrospective)</v>
      </c>
    </row>
    <row r="815" spans="1:14" s="10" customFormat="1" x14ac:dyDescent="0.2"/>
    <row r="816" spans="1:14" s="10" customFormat="1" x14ac:dyDescent="0.2">
      <c r="A816" s="12" t="s">
        <v>127</v>
      </c>
      <c r="B816" s="13" t="str">
        <f>B817&amp;" "&amp;Lang_Single_Activity_Cost_Outputs_Annual&amp;" ("&amp;Lang_International_Currency_Fin&amp;")"</f>
        <v>SME Activity #2 (Not in Use) Single Activity Cost Outputs - Annual (International Currency - Financial)</v>
      </c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</row>
    <row r="817" spans="1:14" s="10" customFormat="1" outlineLevel="1" x14ac:dyDescent="0.2">
      <c r="B817" s="49" t="str">
        <f>HL_TOP_ACTV_17_Name</f>
        <v>SME Activity #2 (Not in Use)</v>
      </c>
    </row>
    <row r="818" spans="1:14" s="10" customFormat="1" outlineLevel="1" x14ac:dyDescent="0.2">
      <c r="B818" s="65" t="str">
        <f>SUPV_Lu!$D$67&amp;" ("&amp;SUPV_Lu!$D$47&amp;")"</f>
        <v>Financial (USD)</v>
      </c>
    </row>
    <row r="819" spans="1:14" s="10" customFormat="1" outlineLevel="1" x14ac:dyDescent="0.2"/>
    <row r="820" spans="1:14" s="10" customFormat="1" outlineLevel="1" x14ac:dyDescent="0.2">
      <c r="D820" s="49" t="str">
        <f>SUPERVISION!D49</f>
        <v>SME Activity #2 (Not in Use)</v>
      </c>
      <c r="E820" s="53" t="str">
        <f>"("&amp;IF(DD_TOP_ACTV_17_Input_Detail_or_Freeform=1,SUPERVISION!$D$57,SUPERVISION!$D$63)&amp;")"</f>
        <v>(Direct User Entry Cost Estimate)</v>
      </c>
      <c r="J820" s="119">
        <f>J804/TOP_ACTV_17_Exchange_Rate</f>
        <v>0</v>
      </c>
      <c r="K820" s="119">
        <f>K804/TOP_ACTV_17_Exchange_Rate</f>
        <v>0</v>
      </c>
      <c r="L820" s="119">
        <f>L804/TOP_ACTV_17_Exchange_Rate</f>
        <v>0</v>
      </c>
      <c r="M820" s="119">
        <f>M804/TOP_ACTV_17_Exchange_Rate</f>
        <v>0</v>
      </c>
      <c r="N820" s="119">
        <f>N804/TOP_ACTV_17_Exchange_Rate</f>
        <v>0</v>
      </c>
    </row>
    <row r="821" spans="1:14" s="10" customFormat="1" outlineLevel="1" x14ac:dyDescent="0.2"/>
    <row r="822" spans="1:14" s="10" customFormat="1" outlineLevel="1" x14ac:dyDescent="0.2">
      <c r="D822" s="76" t="str">
        <f>Lang_GoTo&amp;" "&amp;HL_TOP_ACTV_17_Single_Activity_Cost_Assumptions_Annual</f>
        <v>Go to SME Activity #2 (Not in Use) Single Activity Cost - Annual Assumptions (Projected or Retrospective)</v>
      </c>
    </row>
    <row r="823" spans="1:14" s="10" customFormat="1" x14ac:dyDescent="0.2"/>
    <row r="824" spans="1:14" s="10" customFormat="1" x14ac:dyDescent="0.2">
      <c r="A824" s="12" t="s">
        <v>127</v>
      </c>
      <c r="B824" s="13" t="str">
        <f>B825&amp;" "&amp;Lang_Single_Activity_Cost_Outputs_Annual&amp;" ("&amp;Lang_International_Currency_Econ&amp;")"</f>
        <v>SME Activity #2 (Not in Use) Single Activity Cost Outputs - Annual (International Currency - Economic)</v>
      </c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</row>
    <row r="825" spans="1:14" s="10" customFormat="1" outlineLevel="1" x14ac:dyDescent="0.2">
      <c r="B825" s="49" t="str">
        <f>HL_TOP_ACTV_17_Name</f>
        <v>SME Activity #2 (Not in Use)</v>
      </c>
    </row>
    <row r="826" spans="1:14" s="10" customFormat="1" outlineLevel="1" x14ac:dyDescent="0.2">
      <c r="B826" s="65" t="str">
        <f>SUPV_Lu!$D$68&amp;" ("&amp;SUPV_Lu!$D$47&amp;")"</f>
        <v>Economic (USD)</v>
      </c>
    </row>
    <row r="827" spans="1:14" s="10" customFormat="1" outlineLevel="1" x14ac:dyDescent="0.2"/>
    <row r="828" spans="1:14" s="10" customFormat="1" outlineLevel="1" x14ac:dyDescent="0.2">
      <c r="D828" s="49" t="str">
        <f>SUPERVISION!D49</f>
        <v>SME Activity #2 (Not in Use)</v>
      </c>
      <c r="E828" s="53" t="str">
        <f>"("&amp;IF(DD_TOP_ACTV_17_Input_Detail_or_Freeform=1,SUPERVISION!$D$57,SUPERVISION!$D$63)&amp;")"</f>
        <v>(Direct User Entry Cost Estimate)</v>
      </c>
      <c r="J828" s="119">
        <f>J812/TOP_ACTV_17_Exchange_Rate</f>
        <v>0</v>
      </c>
      <c r="K828" s="119">
        <f>K812/TOP_ACTV_17_Exchange_Rate</f>
        <v>0</v>
      </c>
      <c r="L828" s="119">
        <f>L812/TOP_ACTV_17_Exchange_Rate</f>
        <v>0</v>
      </c>
      <c r="M828" s="119">
        <f>M812/TOP_ACTV_17_Exchange_Rate</f>
        <v>0</v>
      </c>
      <c r="N828" s="119">
        <f>N812/TOP_ACTV_17_Exchange_Rate</f>
        <v>0</v>
      </c>
    </row>
    <row r="829" spans="1:14" s="10" customFormat="1" outlineLevel="1" x14ac:dyDescent="0.2"/>
    <row r="830" spans="1:14" s="10" customFormat="1" outlineLevel="1" x14ac:dyDescent="0.2">
      <c r="D830" s="76" t="str">
        <f>Lang_GoTo&amp;" "&amp;HL_TOP_ACTV_17_Single_Activity_Cost_Assumptions_Annual</f>
        <v>Go to SME Activity #2 (Not in Use) Single Activity Cost - Annual Assumptions (Projected or Retrospective)</v>
      </c>
    </row>
    <row r="831" spans="1:14" s="10" customFormat="1" x14ac:dyDescent="0.2"/>
    <row r="832" spans="1:14" s="10" customFormat="1" x14ac:dyDescent="0.2">
      <c r="A832" s="12" t="s">
        <v>127</v>
      </c>
      <c r="B832" s="13" t="str">
        <f>B833&amp;" "&amp;Lang_Single_Activity_Cost_Outputs_Annual&amp;" ("&amp;Lang_Local_Currency_Fin&amp;")"</f>
        <v>SME Activity #3 (Not in Use) Single Activity Cost Outputs - Annual (Local Currency - Financial)</v>
      </c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</row>
    <row r="833" spans="1:14" s="10" customFormat="1" outlineLevel="1" x14ac:dyDescent="0.2">
      <c r="B833" s="49" t="str">
        <f>HL_TOP_ACTV_18_Name</f>
        <v>SME Activity #3 (Not in Use)</v>
      </c>
    </row>
    <row r="834" spans="1:14" s="10" customFormat="1" outlineLevel="1" x14ac:dyDescent="0.2">
      <c r="B834" s="65" t="str">
        <f>SUPV_Lu!$D$102&amp;" ("&amp;SUPV_Lu!$D$83&amp;")"</f>
        <v>Financial (LCU)</v>
      </c>
    </row>
    <row r="835" spans="1:14" s="10" customFormat="1" outlineLevel="1" x14ac:dyDescent="0.2"/>
    <row r="836" spans="1:14" s="10" customFormat="1" outlineLevel="1" x14ac:dyDescent="0.2">
      <c r="D836" s="49" t="str">
        <f>SUPERVISION!D86</f>
        <v>SME Activity #3 (Not in Use)</v>
      </c>
      <c r="E836" s="53" t="str">
        <f>"("&amp;IF(DD_TOP_ACTV_18_Input_Detail_or_Freeform=1,SUPERVISION!$D$94,SUPERVISION!$D$100)&amp;")"</f>
        <v>(Direct User Entry Cost Estimate)</v>
      </c>
      <c r="J836" s="108">
        <f>IF(DD_TOP_ACTV_18_Input_Detail_or_Freeform=1,IF(DD_TOP_ACTV_18_Annual_Currency_Used=2,SUPERVISION!J$96,SUPERVISION!J$96*TOP_ACTV_18_Exchange_Rate),IF(DD_TOP_ACTV_18_Annual_Currency_Used=2,SUPERVISION!J$101,SUPERVISION!J$101*TOP_ACTV_18_Exchange_Rate))</f>
        <v>0</v>
      </c>
      <c r="K836" s="108">
        <f>IF(DD_TOP_ACTV_18_Input_Detail_or_Freeform=1,IF(DD_TOP_ACTV_18_Annual_Currency_Used=2,SUPERVISION!K$96,SUPERVISION!K$96*TOP_ACTV_18_Exchange_Rate),IF(DD_TOP_ACTV_18_Annual_Currency_Used=2,SUPERVISION!K$101,SUPERVISION!K$101*TOP_ACTV_18_Exchange_Rate))</f>
        <v>0</v>
      </c>
      <c r="L836" s="108">
        <f>IF(DD_TOP_ACTV_18_Input_Detail_or_Freeform=1,IF(DD_TOP_ACTV_18_Annual_Currency_Used=2,SUPERVISION!L$96,SUPERVISION!L$96*TOP_ACTV_18_Exchange_Rate),IF(DD_TOP_ACTV_18_Annual_Currency_Used=2,SUPERVISION!L$101,SUPERVISION!L$101*TOP_ACTV_18_Exchange_Rate))</f>
        <v>0</v>
      </c>
      <c r="M836" s="108">
        <f>IF(DD_TOP_ACTV_18_Input_Detail_or_Freeform=1,IF(DD_TOP_ACTV_18_Annual_Currency_Used=2,SUPERVISION!M$96,SUPERVISION!M$96*TOP_ACTV_18_Exchange_Rate),IF(DD_TOP_ACTV_18_Annual_Currency_Used=2,SUPERVISION!M$101,SUPERVISION!M$101*TOP_ACTV_18_Exchange_Rate))</f>
        <v>0</v>
      </c>
      <c r="N836" s="108">
        <f>IF(DD_TOP_ACTV_18_Input_Detail_or_Freeform=1,IF(DD_TOP_ACTV_18_Annual_Currency_Used=2,SUPERVISION!N$96,SUPERVISION!N$96*TOP_ACTV_18_Exchange_Rate),IF(DD_TOP_ACTV_18_Annual_Currency_Used=2,SUPERVISION!N$101,SUPERVISION!N$101*TOP_ACTV_18_Exchange_Rate))</f>
        <v>0</v>
      </c>
    </row>
    <row r="837" spans="1:14" s="10" customFormat="1" outlineLevel="1" x14ac:dyDescent="0.2"/>
    <row r="838" spans="1:14" s="10" customFormat="1" outlineLevel="1" x14ac:dyDescent="0.2">
      <c r="D838" s="76" t="str">
        <f>Lang_GoTo&amp;" "&amp;HL_TOP_ACTV_18_Single_Activity_Cost_Assumptions_Annual</f>
        <v>Go to SME Activity #3 (Not in Use) Single Activity Cost - Annual Assumptions (Projected or Retrospective)</v>
      </c>
    </row>
    <row r="839" spans="1:14" s="10" customFormat="1" x14ac:dyDescent="0.2"/>
    <row r="840" spans="1:14" s="10" customFormat="1" x14ac:dyDescent="0.2">
      <c r="A840" s="12" t="s">
        <v>127</v>
      </c>
      <c r="B840" s="13" t="str">
        <f>B841&amp;" "&amp;Lang_Single_Activity_Cost_Outputs_Annual&amp;" ("&amp;Lang_Local_Currency_Econ&amp;")"</f>
        <v>SME Activity #3 (Not in Use) Single Activity Cost Outputs - Annual (Local Currency - Economic)</v>
      </c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</row>
    <row r="841" spans="1:14" s="10" customFormat="1" outlineLevel="1" x14ac:dyDescent="0.2">
      <c r="B841" s="49" t="str">
        <f>HL_TOP_ACTV_18_Name</f>
        <v>SME Activity #3 (Not in Use)</v>
      </c>
    </row>
    <row r="842" spans="1:14" s="10" customFormat="1" outlineLevel="1" x14ac:dyDescent="0.2">
      <c r="B842" s="65" t="str">
        <f>SUPV_Lu!$D$103&amp;" ("&amp;SUPV_Lu!$D$83&amp;")"</f>
        <v>Economic (LCU)</v>
      </c>
    </row>
    <row r="843" spans="1:14" s="10" customFormat="1" outlineLevel="1" x14ac:dyDescent="0.2"/>
    <row r="844" spans="1:14" s="10" customFormat="1" outlineLevel="1" x14ac:dyDescent="0.2">
      <c r="D844" s="49" t="str">
        <f>SUPERVISION!D86</f>
        <v>SME Activity #3 (Not in Use)</v>
      </c>
      <c r="E844" s="53" t="str">
        <f>"("&amp;IF(DD_TOP_ACTV_18_Input_Detail_or_Freeform=1,SUPERVISION!$D$94,SUPERVISION!$D$100)&amp;")"</f>
        <v>(Direct User Entry Cost Estimate)</v>
      </c>
      <c r="J844" s="108">
        <f>IF(DD_TOP_ACTV_18_Input_Detail_or_Freeform=1,IF(DD_TOP_ACTV_18_Annual_Currency_Used=2,SUPERVISION!J$97,SUPERVISION!J$97*TOP_ACTV_18_Exchange_Rate),IF(DD_TOP_ACTV_18_Annual_Currency_Used=2,SUPERVISION!J$102,SUPERVISION!J$102*TOP_ACTV_18_Exchange_Rate))</f>
        <v>0</v>
      </c>
      <c r="K844" s="108">
        <f>IF(DD_TOP_ACTV_18_Input_Detail_or_Freeform=1,IF(DD_TOP_ACTV_18_Annual_Currency_Used=2,SUPERVISION!K$97,SUPERVISION!K$97*TOP_ACTV_18_Exchange_Rate),IF(DD_TOP_ACTV_18_Annual_Currency_Used=2,SUPERVISION!K$102,SUPERVISION!K$102*TOP_ACTV_18_Exchange_Rate))</f>
        <v>0</v>
      </c>
      <c r="L844" s="108">
        <f>IF(DD_TOP_ACTV_18_Input_Detail_or_Freeform=1,IF(DD_TOP_ACTV_18_Annual_Currency_Used=2,SUPERVISION!L$97,SUPERVISION!L$97*TOP_ACTV_18_Exchange_Rate),IF(DD_TOP_ACTV_18_Annual_Currency_Used=2,SUPERVISION!L$102,SUPERVISION!L$102*TOP_ACTV_18_Exchange_Rate))</f>
        <v>0</v>
      </c>
      <c r="M844" s="108">
        <f>IF(DD_TOP_ACTV_18_Input_Detail_or_Freeform=1,IF(DD_TOP_ACTV_18_Annual_Currency_Used=2,SUPERVISION!M$97,SUPERVISION!M$97*TOP_ACTV_18_Exchange_Rate),IF(DD_TOP_ACTV_18_Annual_Currency_Used=2,SUPERVISION!M$102,SUPERVISION!M$102*TOP_ACTV_18_Exchange_Rate))</f>
        <v>0</v>
      </c>
      <c r="N844" s="108">
        <f>IF(DD_TOP_ACTV_18_Input_Detail_or_Freeform=1,IF(DD_TOP_ACTV_18_Annual_Currency_Used=2,SUPERVISION!N$97,SUPERVISION!N$97*TOP_ACTV_18_Exchange_Rate),IF(DD_TOP_ACTV_18_Annual_Currency_Used=2,SUPERVISION!N$102,SUPERVISION!N$102*TOP_ACTV_18_Exchange_Rate))</f>
        <v>0</v>
      </c>
    </row>
    <row r="845" spans="1:14" s="10" customFormat="1" outlineLevel="1" x14ac:dyDescent="0.2"/>
    <row r="846" spans="1:14" s="10" customFormat="1" outlineLevel="1" x14ac:dyDescent="0.2">
      <c r="D846" s="76" t="str">
        <f>Lang_GoTo&amp;" "&amp;HL_TOP_ACTV_18_Single_Activity_Cost_Assumptions_Annual</f>
        <v>Go to SME Activity #3 (Not in Use) Single Activity Cost - Annual Assumptions (Projected or Retrospective)</v>
      </c>
    </row>
    <row r="847" spans="1:14" s="10" customFormat="1" x14ac:dyDescent="0.2"/>
    <row r="848" spans="1:14" s="10" customFormat="1" x14ac:dyDescent="0.2">
      <c r="A848" s="12" t="s">
        <v>127</v>
      </c>
      <c r="B848" s="13" t="str">
        <f>B849&amp;" "&amp;Lang_Single_Activity_Cost_Outputs_Annual&amp;" ("&amp;Lang_International_Currency_Fin&amp;")"</f>
        <v>SME Activity #3 (Not in Use) Single Activity Cost Outputs - Annual (International Currency - Financial)</v>
      </c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</row>
    <row r="849" spans="1:14" s="10" customFormat="1" outlineLevel="1" x14ac:dyDescent="0.2">
      <c r="B849" s="49" t="str">
        <f>HL_TOP_ACTV_18_Name</f>
        <v>SME Activity #3 (Not in Use)</v>
      </c>
    </row>
    <row r="850" spans="1:14" s="10" customFormat="1" outlineLevel="1" x14ac:dyDescent="0.2">
      <c r="B850" s="65" t="str">
        <f>SUPV_Lu!$D$102&amp;" ("&amp;SUPV_Lu!$D$82&amp;")"</f>
        <v>Financial (USD)</v>
      </c>
    </row>
    <row r="851" spans="1:14" s="10" customFormat="1" outlineLevel="1" x14ac:dyDescent="0.2"/>
    <row r="852" spans="1:14" s="10" customFormat="1" outlineLevel="1" x14ac:dyDescent="0.2">
      <c r="D852" s="49" t="str">
        <f>SUPERVISION!D86</f>
        <v>SME Activity #3 (Not in Use)</v>
      </c>
      <c r="E852" s="53" t="str">
        <f>"("&amp;IF(DD_TOP_ACTV_18_Input_Detail_or_Freeform=1,SUPERVISION!$D$94,SUPERVISION!$D$100)&amp;")"</f>
        <v>(Direct User Entry Cost Estimate)</v>
      </c>
      <c r="J852" s="119">
        <f>J836/TOP_ACTV_18_Exchange_Rate</f>
        <v>0</v>
      </c>
      <c r="K852" s="119">
        <f>K836/TOP_ACTV_18_Exchange_Rate</f>
        <v>0</v>
      </c>
      <c r="L852" s="119">
        <f>L836/TOP_ACTV_18_Exchange_Rate</f>
        <v>0</v>
      </c>
      <c r="M852" s="119">
        <f>M836/TOP_ACTV_18_Exchange_Rate</f>
        <v>0</v>
      </c>
      <c r="N852" s="119">
        <f>N836/TOP_ACTV_18_Exchange_Rate</f>
        <v>0</v>
      </c>
    </row>
    <row r="853" spans="1:14" s="10" customFormat="1" outlineLevel="1" x14ac:dyDescent="0.2"/>
    <row r="854" spans="1:14" s="10" customFormat="1" outlineLevel="1" x14ac:dyDescent="0.2">
      <c r="D854" s="76" t="str">
        <f>Lang_GoTo&amp;" "&amp;HL_TOP_ACTV_18_Single_Activity_Cost_Assumptions_Annual</f>
        <v>Go to SME Activity #3 (Not in Use) Single Activity Cost - Annual Assumptions (Projected or Retrospective)</v>
      </c>
    </row>
    <row r="855" spans="1:14" s="10" customFormat="1" x14ac:dyDescent="0.2"/>
    <row r="856" spans="1:14" s="10" customFormat="1" x14ac:dyDescent="0.2">
      <c r="A856" s="12" t="s">
        <v>127</v>
      </c>
      <c r="B856" s="13" t="str">
        <f>B857&amp;" "&amp;Lang_Single_Activity_Cost_Outputs_Annual&amp;" ("&amp;Lang_International_Currency_Econ&amp;")"</f>
        <v>SME Activity #3 (Not in Use) Single Activity Cost Outputs - Annual (International Currency - Economic)</v>
      </c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</row>
    <row r="857" spans="1:14" s="10" customFormat="1" outlineLevel="1" x14ac:dyDescent="0.2">
      <c r="B857" s="49" t="str">
        <f>HL_TOP_ACTV_18_Name</f>
        <v>SME Activity #3 (Not in Use)</v>
      </c>
    </row>
    <row r="858" spans="1:14" s="10" customFormat="1" outlineLevel="1" x14ac:dyDescent="0.2">
      <c r="B858" s="65" t="str">
        <f>SUPV_Lu!$D$103&amp;" ("&amp;SUPV_Lu!$D$82&amp;")"</f>
        <v>Economic (USD)</v>
      </c>
    </row>
    <row r="859" spans="1:14" s="10" customFormat="1" outlineLevel="1" x14ac:dyDescent="0.2"/>
    <row r="860" spans="1:14" s="10" customFormat="1" outlineLevel="1" x14ac:dyDescent="0.2">
      <c r="D860" s="49" t="str">
        <f>SUPERVISION!D86</f>
        <v>SME Activity #3 (Not in Use)</v>
      </c>
      <c r="E860" s="53" t="str">
        <f>"("&amp;IF(DD_TOP_ACTV_18_Input_Detail_or_Freeform=1,SUPERVISION!$D$94,SUPERVISION!$D$100)&amp;")"</f>
        <v>(Direct User Entry Cost Estimate)</v>
      </c>
      <c r="J860" s="119">
        <f>J844/TOP_ACTV_18_Exchange_Rate</f>
        <v>0</v>
      </c>
      <c r="K860" s="119">
        <f>K844/TOP_ACTV_18_Exchange_Rate</f>
        <v>0</v>
      </c>
      <c r="L860" s="119">
        <f>L844/TOP_ACTV_18_Exchange_Rate</f>
        <v>0</v>
      </c>
      <c r="M860" s="119">
        <f>M844/TOP_ACTV_18_Exchange_Rate</f>
        <v>0</v>
      </c>
      <c r="N860" s="119">
        <f>N844/TOP_ACTV_18_Exchange_Rate</f>
        <v>0</v>
      </c>
    </row>
    <row r="861" spans="1:14" s="10" customFormat="1" outlineLevel="1" x14ac:dyDescent="0.2"/>
    <row r="862" spans="1:14" s="10" customFormat="1" outlineLevel="1" x14ac:dyDescent="0.2">
      <c r="D862" s="76" t="str">
        <f>Lang_GoTo&amp;" "&amp;HL_TOP_ACTV_18_Single_Activity_Cost_Assumptions_Annual</f>
        <v>Go to SME Activity #3 (Not in Use) Single Activity Cost - Annual Assumptions (Projected or Retrospective)</v>
      </c>
    </row>
    <row r="863" spans="1:14" s="10" customFormat="1" x14ac:dyDescent="0.2"/>
    <row r="864" spans="1:14" s="10" customFormat="1" x14ac:dyDescent="0.2">
      <c r="A864" s="12" t="s">
        <v>127</v>
      </c>
      <c r="B864" s="13" t="str">
        <f>B865&amp;" "&amp;Lang_Single_Activity_Cost_Outputs_Annual&amp;" ("&amp;Lang_Local_Currency_Fin&amp;")"</f>
        <v>SME Activity #4 (Not in Use) Single Activity Cost Outputs - Annual (Local Currency - Financial)</v>
      </c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</row>
    <row r="865" spans="1:14" s="10" customFormat="1" outlineLevel="1" x14ac:dyDescent="0.2">
      <c r="B865" s="49" t="str">
        <f>HL_TOP_ACTV_8_Name</f>
        <v>SME Activity #4 (Not in Use)</v>
      </c>
    </row>
    <row r="866" spans="1:14" s="10" customFormat="1" outlineLevel="1" x14ac:dyDescent="0.2">
      <c r="B866" s="65" t="str">
        <f>SUPV_Lu!$D$137&amp;" ("&amp;SUPV_Lu!$D$118&amp;")"</f>
        <v>Financial (LCU)</v>
      </c>
    </row>
    <row r="867" spans="1:14" s="10" customFormat="1" outlineLevel="1" x14ac:dyDescent="0.2"/>
    <row r="868" spans="1:14" s="10" customFormat="1" outlineLevel="1" x14ac:dyDescent="0.2">
      <c r="D868" s="49" t="str">
        <f>SUPERVISION!D123</f>
        <v>SME Activity #4 (Not in Use)</v>
      </c>
      <c r="E868" s="53" t="str">
        <f>"("&amp;IF(DD_TOP_ACTV_8_Input_Detail_or_Freeform=1,SUPERVISION!$D$131,SUPERVISION!$D$137)&amp;")"</f>
        <v>(Direct User Entry Cost Estimate)</v>
      </c>
      <c r="J868" s="108">
        <f>IF(DD_TOP_ACTV_8_Input_Detail_or_Freeform=1,IF(DD_TOP_ACTV_8_Annual_Currency_Used=2,SUPERVISION!J$133,SUPERVISION!J$133*TOP_ACTV_8_Exchange_Rate),IF(DD_TOP_ACTV_8_Annual_Currency_Used=2,SUPERVISION!J$138,SUPERVISION!J$138*TOP_ACTV_8_Exchange_Rate))</f>
        <v>0</v>
      </c>
      <c r="K868" s="108">
        <f>IF(DD_TOP_ACTV_8_Input_Detail_or_Freeform=1,IF(DD_TOP_ACTV_8_Annual_Currency_Used=2,SUPERVISION!K$133,SUPERVISION!K$133*TOP_ACTV_8_Exchange_Rate),IF(DD_TOP_ACTV_8_Annual_Currency_Used=2,SUPERVISION!K$138,SUPERVISION!K$138*TOP_ACTV_8_Exchange_Rate))</f>
        <v>0</v>
      </c>
      <c r="L868" s="108">
        <f>IF(DD_TOP_ACTV_8_Input_Detail_or_Freeform=1,IF(DD_TOP_ACTV_8_Annual_Currency_Used=2,SUPERVISION!L$133,SUPERVISION!L$133*TOP_ACTV_8_Exchange_Rate),IF(DD_TOP_ACTV_8_Annual_Currency_Used=2,SUPERVISION!L$138,SUPERVISION!L$138*TOP_ACTV_8_Exchange_Rate))</f>
        <v>0</v>
      </c>
      <c r="M868" s="108">
        <f>IF(DD_TOP_ACTV_8_Input_Detail_or_Freeform=1,IF(DD_TOP_ACTV_8_Annual_Currency_Used=2,SUPERVISION!M$133,SUPERVISION!M$133*TOP_ACTV_8_Exchange_Rate),IF(DD_TOP_ACTV_8_Annual_Currency_Used=2,SUPERVISION!M$138,SUPERVISION!M$138*TOP_ACTV_8_Exchange_Rate))</f>
        <v>0</v>
      </c>
      <c r="N868" s="108">
        <f>IF(DD_TOP_ACTV_8_Input_Detail_or_Freeform=1,IF(DD_TOP_ACTV_8_Annual_Currency_Used=2,SUPERVISION!N$133,SUPERVISION!N$133*TOP_ACTV_8_Exchange_Rate),IF(DD_TOP_ACTV_8_Annual_Currency_Used=2,SUPERVISION!N$138,SUPERVISION!N$138*TOP_ACTV_8_Exchange_Rate))</f>
        <v>0</v>
      </c>
    </row>
    <row r="869" spans="1:14" s="10" customFormat="1" outlineLevel="1" x14ac:dyDescent="0.2"/>
    <row r="870" spans="1:14" s="10" customFormat="1" outlineLevel="1" x14ac:dyDescent="0.2">
      <c r="D870" s="76" t="str">
        <f>Lang_GoTo&amp;" "&amp;HL_TOP_ACTV_8_Single_Activity_Cost_Assumptions_Annual</f>
        <v>Go to SME Activity #4 (Not in Use) Single Activity Cost - Annual Assumptions (Projected or Retrospective)</v>
      </c>
    </row>
    <row r="871" spans="1:14" s="10" customFormat="1" x14ac:dyDescent="0.2"/>
    <row r="872" spans="1:14" s="10" customFormat="1" x14ac:dyDescent="0.2">
      <c r="A872" s="12" t="s">
        <v>127</v>
      </c>
      <c r="B872" s="13" t="str">
        <f>B873&amp;" "&amp;Lang_Single_Activity_Cost_Outputs_Annual&amp;" ("&amp;Lang_Local_Currency_Econ&amp;")"</f>
        <v>SME Activity #4 (Not in Use) Single Activity Cost Outputs - Annual (Local Currency - Economic)</v>
      </c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</row>
    <row r="873" spans="1:14" s="10" customFormat="1" outlineLevel="1" x14ac:dyDescent="0.2">
      <c r="B873" s="49" t="str">
        <f>HL_TOP_ACTV_8_Name</f>
        <v>SME Activity #4 (Not in Use)</v>
      </c>
    </row>
    <row r="874" spans="1:14" s="10" customFormat="1" outlineLevel="1" x14ac:dyDescent="0.2">
      <c r="B874" s="65" t="str">
        <f>SUPV_Lu!$D$138&amp;" ("&amp;SUPV_Lu!$D$118&amp;")"</f>
        <v>Economic (LCU)</v>
      </c>
    </row>
    <row r="875" spans="1:14" s="10" customFormat="1" outlineLevel="1" x14ac:dyDescent="0.2"/>
    <row r="876" spans="1:14" s="10" customFormat="1" outlineLevel="1" x14ac:dyDescent="0.2">
      <c r="D876" s="49" t="str">
        <f>SUPERVISION!D123</f>
        <v>SME Activity #4 (Not in Use)</v>
      </c>
      <c r="E876" s="53" t="str">
        <f>"("&amp;IF(DD_TOP_ACTV_8_Input_Detail_or_Freeform=1,SUPERVISION!$D$131,SUPERVISION!$D$137)&amp;")"</f>
        <v>(Direct User Entry Cost Estimate)</v>
      </c>
      <c r="J876" s="108">
        <f>IF(DD_TOP_ACTV_8_Input_Detail_or_Freeform=1,IF(DD_TOP_ACTV_8_Annual_Currency_Used=2,SUPERVISION!J$134,SUPERVISION!J$134*TOP_ACTV_8_Exchange_Rate),IF(DD_TOP_ACTV_8_Annual_Currency_Used=2,SUPERVISION!J$139,SUPERVISION!J$139*TOP_ACTV_8_Exchange_Rate))</f>
        <v>0</v>
      </c>
      <c r="K876" s="108">
        <f>IF(DD_TOP_ACTV_8_Input_Detail_or_Freeform=1,IF(DD_TOP_ACTV_8_Annual_Currency_Used=2,SUPERVISION!K$134,SUPERVISION!K$134*TOP_ACTV_8_Exchange_Rate),IF(DD_TOP_ACTV_8_Annual_Currency_Used=2,SUPERVISION!K$139,SUPERVISION!K$139*TOP_ACTV_8_Exchange_Rate))</f>
        <v>0</v>
      </c>
      <c r="L876" s="108">
        <f>IF(DD_TOP_ACTV_8_Input_Detail_or_Freeform=1,IF(DD_TOP_ACTV_8_Annual_Currency_Used=2,SUPERVISION!L$134,SUPERVISION!L$134*TOP_ACTV_8_Exchange_Rate),IF(DD_TOP_ACTV_8_Annual_Currency_Used=2,SUPERVISION!L$139,SUPERVISION!L$139*TOP_ACTV_8_Exchange_Rate))</f>
        <v>0</v>
      </c>
      <c r="M876" s="108">
        <f>IF(DD_TOP_ACTV_8_Input_Detail_or_Freeform=1,IF(DD_TOP_ACTV_8_Annual_Currency_Used=2,SUPERVISION!M$134,SUPERVISION!M$134*TOP_ACTV_8_Exchange_Rate),IF(DD_TOP_ACTV_8_Annual_Currency_Used=2,SUPERVISION!M$139,SUPERVISION!M$139*TOP_ACTV_8_Exchange_Rate))</f>
        <v>0</v>
      </c>
      <c r="N876" s="108">
        <f>IF(DD_TOP_ACTV_8_Input_Detail_or_Freeform=1,IF(DD_TOP_ACTV_8_Annual_Currency_Used=2,SUPERVISION!N$134,SUPERVISION!N$134*TOP_ACTV_8_Exchange_Rate),IF(DD_TOP_ACTV_8_Annual_Currency_Used=2,SUPERVISION!N$139,SUPERVISION!N$139*TOP_ACTV_8_Exchange_Rate))</f>
        <v>0</v>
      </c>
    </row>
    <row r="877" spans="1:14" s="10" customFormat="1" outlineLevel="1" x14ac:dyDescent="0.2"/>
    <row r="878" spans="1:14" s="10" customFormat="1" outlineLevel="1" x14ac:dyDescent="0.2">
      <c r="D878" s="76" t="str">
        <f>Lang_GoTo&amp;" "&amp;HL_TOP_ACTV_8_Single_Activity_Cost_Assumptions_Annual</f>
        <v>Go to SME Activity #4 (Not in Use) Single Activity Cost - Annual Assumptions (Projected or Retrospective)</v>
      </c>
    </row>
    <row r="879" spans="1:14" s="10" customFormat="1" x14ac:dyDescent="0.2"/>
    <row r="880" spans="1:14" s="10" customFormat="1" x14ac:dyDescent="0.2">
      <c r="A880" s="12" t="s">
        <v>127</v>
      </c>
      <c r="B880" s="13" t="str">
        <f>B881&amp;" "&amp;Lang_Single_Activity_Cost_Outputs_Annual&amp;" ("&amp;Lang_International_Currency_Fin&amp;")"</f>
        <v>SME Activity #4 (Not in Use) Single Activity Cost Outputs - Annual (International Currency - Financial)</v>
      </c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</row>
    <row r="881" spans="1:14" s="10" customFormat="1" outlineLevel="1" x14ac:dyDescent="0.2">
      <c r="B881" s="49" t="str">
        <f>HL_TOP_ACTV_8_Name</f>
        <v>SME Activity #4 (Not in Use)</v>
      </c>
    </row>
    <row r="882" spans="1:14" s="10" customFormat="1" outlineLevel="1" x14ac:dyDescent="0.2">
      <c r="B882" s="65" t="str">
        <f>SUPV_Lu!$D$137&amp;" ("&amp;SUPV_Lu!$D$117&amp;")"</f>
        <v>Financial (USD)</v>
      </c>
    </row>
    <row r="883" spans="1:14" s="10" customFormat="1" outlineLevel="1" x14ac:dyDescent="0.2"/>
    <row r="884" spans="1:14" s="10" customFormat="1" outlineLevel="1" x14ac:dyDescent="0.2">
      <c r="D884" s="49" t="str">
        <f>SUPERVISION!D123</f>
        <v>SME Activity #4 (Not in Use)</v>
      </c>
      <c r="E884" s="53" t="str">
        <f>"("&amp;IF(DD_TOP_ACTV_8_Input_Detail_or_Freeform=1,SUPERVISION!$D$131,SUPERVISION!$D$137)&amp;")"</f>
        <v>(Direct User Entry Cost Estimate)</v>
      </c>
      <c r="J884" s="119">
        <f>J868/TOP_ACTV_8_Exchange_Rate</f>
        <v>0</v>
      </c>
      <c r="K884" s="119">
        <f>K868/TOP_ACTV_8_Exchange_Rate</f>
        <v>0</v>
      </c>
      <c r="L884" s="119">
        <f>L868/TOP_ACTV_8_Exchange_Rate</f>
        <v>0</v>
      </c>
      <c r="M884" s="119">
        <f>M868/TOP_ACTV_8_Exchange_Rate</f>
        <v>0</v>
      </c>
      <c r="N884" s="119">
        <f>N868/TOP_ACTV_8_Exchange_Rate</f>
        <v>0</v>
      </c>
    </row>
    <row r="885" spans="1:14" s="10" customFormat="1" outlineLevel="1" x14ac:dyDescent="0.2"/>
    <row r="886" spans="1:14" s="10" customFormat="1" outlineLevel="1" x14ac:dyDescent="0.2">
      <c r="D886" s="76" t="str">
        <f>Lang_GoTo&amp;" "&amp;HL_TOP_ACTV_8_Single_Activity_Cost_Assumptions_Annual</f>
        <v>Go to SME Activity #4 (Not in Use) Single Activity Cost - Annual Assumptions (Projected or Retrospective)</v>
      </c>
    </row>
    <row r="887" spans="1:14" s="10" customFormat="1" x14ac:dyDescent="0.2"/>
    <row r="888" spans="1:14" s="10" customFormat="1" x14ac:dyDescent="0.2">
      <c r="A888" s="12" t="s">
        <v>127</v>
      </c>
      <c r="B888" s="13" t="str">
        <f>B889&amp;" "&amp;Lang_Single_Activity_Cost_Outputs_Annual&amp;" ("&amp;Lang_International_Currency_Econ&amp;")"</f>
        <v>SME Activity #4 (Not in Use) Single Activity Cost Outputs - Annual (International Currency - Economic)</v>
      </c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</row>
    <row r="889" spans="1:14" s="10" customFormat="1" outlineLevel="1" x14ac:dyDescent="0.2">
      <c r="B889" s="49" t="str">
        <f>HL_TOP_ACTV_8_Name</f>
        <v>SME Activity #4 (Not in Use)</v>
      </c>
    </row>
    <row r="890" spans="1:14" s="10" customFormat="1" outlineLevel="1" x14ac:dyDescent="0.2">
      <c r="B890" s="65" t="str">
        <f>SUPV_Lu!$D$138&amp;" ("&amp;SUPV_Lu!$D$117&amp;")"</f>
        <v>Economic (USD)</v>
      </c>
    </row>
    <row r="891" spans="1:14" s="10" customFormat="1" outlineLevel="1" x14ac:dyDescent="0.2"/>
    <row r="892" spans="1:14" s="10" customFormat="1" outlineLevel="1" x14ac:dyDescent="0.2">
      <c r="D892" s="49" t="str">
        <f>SUPERVISION!D123</f>
        <v>SME Activity #4 (Not in Use)</v>
      </c>
      <c r="E892" s="53" t="str">
        <f>"("&amp;IF(DD_TOP_ACTV_8_Input_Detail_or_Freeform=1,SUPERVISION!$D$131,SUPERVISION!$D$137)&amp;")"</f>
        <v>(Direct User Entry Cost Estimate)</v>
      </c>
      <c r="J892" s="119">
        <f>J876/TOP_ACTV_8_Exchange_Rate</f>
        <v>0</v>
      </c>
      <c r="K892" s="119">
        <f>K876/TOP_ACTV_8_Exchange_Rate</f>
        <v>0</v>
      </c>
      <c r="L892" s="119">
        <f>L876/TOP_ACTV_8_Exchange_Rate</f>
        <v>0</v>
      </c>
      <c r="M892" s="119">
        <f>M876/TOP_ACTV_8_Exchange_Rate</f>
        <v>0</v>
      </c>
      <c r="N892" s="119">
        <f>N876/TOP_ACTV_8_Exchange_Rate</f>
        <v>0</v>
      </c>
    </row>
    <row r="893" spans="1:14" s="10" customFormat="1" outlineLevel="1" x14ac:dyDescent="0.2"/>
    <row r="894" spans="1:14" s="10" customFormat="1" outlineLevel="1" x14ac:dyDescent="0.2">
      <c r="D894" s="76" t="str">
        <f>Lang_GoTo&amp;" "&amp;HL_TOP_ACTV_8_Single_Activity_Cost_Assumptions_Annual</f>
        <v>Go to SME Activity #4 (Not in Use) Single Activity Cost - Annual Assumptions (Projected or Retrospective)</v>
      </c>
    </row>
    <row r="895" spans="1:14" s="10" customFormat="1" x14ac:dyDescent="0.2"/>
    <row r="896" spans="1:14" s="10" customFormat="1" x14ac:dyDescent="0.2">
      <c r="A896" s="12" t="s">
        <v>127</v>
      </c>
      <c r="B896" s="13" t="str">
        <f>B897&amp;" "&amp;Lang_Single_Activity_Cost_Outputs_Annual&amp;" ("&amp;Lang_Local_Currency_Fin&amp;")"</f>
        <v>SME Activity #5 (Not in Use) Single Activity Cost Outputs - Annual (Local Currency - Financial)</v>
      </c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</row>
    <row r="897" spans="1:14" s="10" customFormat="1" outlineLevel="1" x14ac:dyDescent="0.2">
      <c r="B897" s="10" t="str">
        <f>HL_LVL2_ACTV_5_Name</f>
        <v>SME Activity #5 (Not in Use)</v>
      </c>
    </row>
    <row r="898" spans="1:14" s="10" customFormat="1" outlineLevel="1" x14ac:dyDescent="0.2">
      <c r="B898" s="65" t="str">
        <f>SUPV_Lu!$D$172&amp;" ("&amp;SUPV_Lu!$D$153&amp;")"</f>
        <v>Financial (LCU)</v>
      </c>
      <c r="E898" s="53" t="str">
        <f>"("&amp;IF(DD_LVL2_ACTV_5_Input_Detail_or_Freeform=1,SUPERVISION!$D$170,SUPERVISION!$D$176)&amp;")"</f>
        <v>(Direct User Entry Cost Estimate)</v>
      </c>
    </row>
    <row r="899" spans="1:14" s="10" customFormat="1" outlineLevel="1" x14ac:dyDescent="0.2"/>
    <row r="900" spans="1:14" s="10" customFormat="1" outlineLevel="1" x14ac:dyDescent="0.2">
      <c r="D900" s="49" t="str">
        <f>HL_LVL2_ACTV_5_Name</f>
        <v>SME Activity #5 (Not in Use)</v>
      </c>
      <c r="J900" s="141">
        <f>IF(DD_LVL2_ACTV_5_Input_Detail_or_Freeform=1,IF(DD_LVL2_ACTV_5_Annual_Currency_Select=2,SUPERVISION!J$172,SUPERVISION!J$172*LVL2_ACTV_5_Exchange_Rate),IF(DD_LVL2_ACTV_5_Annual_Currency_Select=2,SUPERVISION!J$177,SUPERVISION!J$177*LVL2_ACTV_5_Exchange_Rate))</f>
        <v>0</v>
      </c>
      <c r="K900" s="141">
        <f>IF(DD_LVL2_ACTV_5_Input_Detail_or_Freeform=1,IF(DD_LVL2_ACTV_5_Annual_Currency_Select=2,SUPERVISION!K$172,SUPERVISION!K$172*LVL2_ACTV_5_Exchange_Rate),IF(DD_LVL2_ACTV_5_Annual_Currency_Select=2,SUPERVISION!K$177,SUPERVISION!K$177*LVL2_ACTV_5_Exchange_Rate))</f>
        <v>0</v>
      </c>
      <c r="L900" s="141">
        <f>IF(DD_LVL2_ACTV_5_Input_Detail_or_Freeform=1,IF(DD_LVL2_ACTV_5_Annual_Currency_Select=2,SUPERVISION!L$172,SUPERVISION!L$172*LVL2_ACTV_5_Exchange_Rate),IF(DD_LVL2_ACTV_5_Annual_Currency_Select=2,SUPERVISION!L$177,SUPERVISION!L$177*LVL2_ACTV_5_Exchange_Rate))</f>
        <v>0</v>
      </c>
      <c r="M900" s="141">
        <f>IF(DD_LVL2_ACTV_5_Input_Detail_or_Freeform=1,IF(DD_LVL2_ACTV_5_Annual_Currency_Select=2,SUPERVISION!M$172,SUPERVISION!M$172*LVL2_ACTV_5_Exchange_Rate),IF(DD_LVL2_ACTV_5_Annual_Currency_Select=2,SUPERVISION!M$177,SUPERVISION!M$177*LVL2_ACTV_5_Exchange_Rate))</f>
        <v>0</v>
      </c>
      <c r="N900" s="141">
        <f>IF(DD_LVL2_ACTV_5_Input_Detail_or_Freeform=1,IF(DD_LVL2_ACTV_5_Annual_Currency_Select=2,SUPERVISION!N$172,SUPERVISION!N$172*LVL2_ACTV_5_Exchange_Rate),IF(DD_LVL2_ACTV_5_Annual_Currency_Select=2,SUPERVISION!N$177,SUPERVISION!N$177*LVL2_ACTV_5_Exchange_Rate))</f>
        <v>0</v>
      </c>
    </row>
    <row r="901" spans="1:14" s="10" customFormat="1" outlineLevel="1" x14ac:dyDescent="0.2">
      <c r="D901" s="114" t="str">
        <f>HL_LVL2_ACTV_5_Name</f>
        <v>SME Activity #5 (Not in Use)</v>
      </c>
      <c r="J901" s="142">
        <f>SUM(J900:J900)</f>
        <v>0</v>
      </c>
      <c r="K901" s="142">
        <f>SUM(K900:K900)</f>
        <v>0</v>
      </c>
      <c r="L901" s="142">
        <f>SUM(L900:L900)</f>
        <v>0</v>
      </c>
      <c r="M901" s="142">
        <f>SUM(M900:M900)</f>
        <v>0</v>
      </c>
      <c r="N901" s="142">
        <f>SUM(N900:N900)</f>
        <v>0</v>
      </c>
    </row>
    <row r="902" spans="1:14" s="10" customFormat="1" outlineLevel="1" x14ac:dyDescent="0.2"/>
    <row r="903" spans="1:14" s="10" customFormat="1" outlineLevel="1" x14ac:dyDescent="0.2">
      <c r="D903" s="76" t="str">
        <f>Lang_GoTo&amp;" "&amp;HL_LVL2_ACTV_5_Single_Activity_Cost_Assumptions_Annual</f>
        <v>Go to SME Activity #5 (Not in Use) Single Activity Cost - Annual Assumptions (Projected or Retrospective)</v>
      </c>
    </row>
    <row r="904" spans="1:14" s="10" customFormat="1" x14ac:dyDescent="0.2"/>
    <row r="905" spans="1:14" s="10" customFormat="1" x14ac:dyDescent="0.2">
      <c r="A905" s="12" t="s">
        <v>127</v>
      </c>
      <c r="B905" s="13" t="str">
        <f>B906&amp;" "&amp;Lang_Single_Activity_Cost_Outputs_Annual&amp;" ("&amp;Lang_Local_Currency_Econ&amp;")"</f>
        <v>SME Activity #5 (Not in Use) Single Activity Cost Outputs - Annual (Local Currency - Economic)</v>
      </c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</row>
    <row r="906" spans="1:14" s="10" customFormat="1" outlineLevel="1" x14ac:dyDescent="0.2">
      <c r="B906" s="10" t="str">
        <f>HL_LVL2_ACTV_5_Name</f>
        <v>SME Activity #5 (Not in Use)</v>
      </c>
    </row>
    <row r="907" spans="1:14" s="10" customFormat="1" outlineLevel="1" x14ac:dyDescent="0.2">
      <c r="B907" s="65" t="str">
        <f>SUPV_Lu!$D$173&amp;" ("&amp;SUPV_Lu!$D$153&amp;")"</f>
        <v>Economic (LCU)</v>
      </c>
      <c r="E907" s="53" t="str">
        <f>"("&amp;IF(DD_LVL2_ACTV_5_Input_Detail_or_Freeform=1,SUPERVISION!$D$170,SUPERVISION!$D$176)&amp;")"</f>
        <v>(Direct User Entry Cost Estimate)</v>
      </c>
    </row>
    <row r="908" spans="1:14" s="10" customFormat="1" outlineLevel="1" x14ac:dyDescent="0.2"/>
    <row r="909" spans="1:14" s="10" customFormat="1" outlineLevel="1" x14ac:dyDescent="0.2">
      <c r="D909" s="49" t="str">
        <f>HL_LVL2_ACTV_5_Name</f>
        <v>SME Activity #5 (Not in Use)</v>
      </c>
      <c r="J909" s="141">
        <f>IF(DD_LVL2_ACTV_5_Input_Detail_or_Freeform=1,IF(DD_LVL2_ACTV_5_Annual_Currency_Select=2,SUPERVISION!J$173,SUPERVISION!J$173*LVL2_ACTV_5_Exchange_Rate),IF(DD_LVL2_ACTV_5_Annual_Currency_Select=2,SUPERVISION!J$178,SUPERVISION!J$178*LVL2_ACTV_5_Exchange_Rate))</f>
        <v>0</v>
      </c>
      <c r="K909" s="141">
        <f>IF(DD_LVL2_ACTV_5_Input_Detail_or_Freeform=1,IF(DD_LVL2_ACTV_5_Annual_Currency_Select=2,SUPERVISION!K$173,SUPERVISION!K$173*LVL2_ACTV_5_Exchange_Rate),IF(DD_LVL2_ACTV_5_Annual_Currency_Select=2,SUPERVISION!K$178,SUPERVISION!K$178*LVL2_ACTV_5_Exchange_Rate))</f>
        <v>0</v>
      </c>
      <c r="L909" s="141">
        <f>IF(DD_LVL2_ACTV_5_Input_Detail_or_Freeform=1,IF(DD_LVL2_ACTV_5_Annual_Currency_Select=2,SUPERVISION!L$173,SUPERVISION!L$173*LVL2_ACTV_5_Exchange_Rate),IF(DD_LVL2_ACTV_5_Annual_Currency_Select=2,SUPERVISION!L$178,SUPERVISION!L$178*LVL2_ACTV_5_Exchange_Rate))</f>
        <v>0</v>
      </c>
      <c r="M909" s="141">
        <f>IF(DD_LVL2_ACTV_5_Input_Detail_or_Freeform=1,IF(DD_LVL2_ACTV_5_Annual_Currency_Select=2,SUPERVISION!M$173,SUPERVISION!M$173*LVL2_ACTV_5_Exchange_Rate),IF(DD_LVL2_ACTV_5_Annual_Currency_Select=2,SUPERVISION!M$178,SUPERVISION!M$178*LVL2_ACTV_5_Exchange_Rate))</f>
        <v>0</v>
      </c>
      <c r="N909" s="141">
        <f>IF(DD_LVL2_ACTV_5_Input_Detail_or_Freeform=1,IF(DD_LVL2_ACTV_5_Annual_Currency_Select=2,SUPERVISION!N$173,SUPERVISION!N$173*LVL2_ACTV_5_Exchange_Rate),IF(DD_LVL2_ACTV_5_Annual_Currency_Select=2,SUPERVISION!N$178,SUPERVISION!N$178*LVL2_ACTV_5_Exchange_Rate))</f>
        <v>0</v>
      </c>
    </row>
    <row r="910" spans="1:14" s="10" customFormat="1" outlineLevel="1" x14ac:dyDescent="0.2">
      <c r="D910" s="114" t="str">
        <f>HL_LVL2_ACTV_5_Name</f>
        <v>SME Activity #5 (Not in Use)</v>
      </c>
      <c r="J910" s="142">
        <f>SUM(J909:J909)</f>
        <v>0</v>
      </c>
      <c r="K910" s="142">
        <f>SUM(K909:K909)</f>
        <v>0</v>
      </c>
      <c r="L910" s="142">
        <f>SUM(L909:L909)</f>
        <v>0</v>
      </c>
      <c r="M910" s="142">
        <f>SUM(M909:M909)</f>
        <v>0</v>
      </c>
      <c r="N910" s="142">
        <f>SUM(N909:N909)</f>
        <v>0</v>
      </c>
    </row>
    <row r="911" spans="1:14" s="10" customFormat="1" outlineLevel="1" x14ac:dyDescent="0.2"/>
    <row r="912" spans="1:14" s="10" customFormat="1" outlineLevel="1" x14ac:dyDescent="0.2">
      <c r="D912" s="76" t="str">
        <f>Lang_GoTo&amp;" "&amp;HL_LVL2_ACTV_5_Single_Activity_Cost_Assumptions_Annual</f>
        <v>Go to SME Activity #5 (Not in Use) Single Activity Cost - Annual Assumptions (Projected or Retrospective)</v>
      </c>
    </row>
    <row r="913" spans="1:14" s="10" customFormat="1" x14ac:dyDescent="0.2"/>
    <row r="914" spans="1:14" s="10" customFormat="1" x14ac:dyDescent="0.2">
      <c r="A914" s="12" t="s">
        <v>127</v>
      </c>
      <c r="B914" s="13" t="str">
        <f>B915&amp;" "&amp;Lang_Single_Activity_Cost_Outputs_Annual&amp;" ("&amp;Lang_International_Currency_Fin&amp;")"</f>
        <v>SME Activity #5 (Not in Use) Single Activity Cost Outputs - Annual (International Currency - Financial)</v>
      </c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</row>
    <row r="915" spans="1:14" s="10" customFormat="1" outlineLevel="1" x14ac:dyDescent="0.2">
      <c r="B915" s="10" t="str">
        <f>HL_LVL2_ACTV_5_Name</f>
        <v>SME Activity #5 (Not in Use)</v>
      </c>
    </row>
    <row r="916" spans="1:14" s="10" customFormat="1" outlineLevel="1" x14ac:dyDescent="0.2">
      <c r="B916" s="65" t="str">
        <f>SUPV_Lu!$D$172&amp;" ("&amp;SUPV_Lu!$D$152&amp;")"</f>
        <v>Financial (USD)</v>
      </c>
      <c r="E916" s="53" t="str">
        <f>"("&amp;IF(DD_LVL2_ACTV_5_Input_Detail_or_Freeform=1,SUPERVISION!$D$170,SUPERVISION!$D$176)&amp;")"</f>
        <v>(Direct User Entry Cost Estimate)</v>
      </c>
    </row>
    <row r="917" spans="1:14" s="10" customFormat="1" outlineLevel="1" x14ac:dyDescent="0.2"/>
    <row r="918" spans="1:14" s="10" customFormat="1" outlineLevel="1" x14ac:dyDescent="0.2">
      <c r="D918" s="49" t="str">
        <f>HL_LVL2_ACTV_5_Name</f>
        <v>SME Activity #5 (Not in Use)</v>
      </c>
      <c r="J918" s="119">
        <f>J900/LVL2_ACTV_5_Exchange_Rate</f>
        <v>0</v>
      </c>
      <c r="K918" s="119">
        <f>K900/LVL2_ACTV_5_Exchange_Rate</f>
        <v>0</v>
      </c>
      <c r="L918" s="119">
        <f>L900/LVL2_ACTV_5_Exchange_Rate</f>
        <v>0</v>
      </c>
      <c r="M918" s="119">
        <f>M900/LVL2_ACTV_5_Exchange_Rate</f>
        <v>0</v>
      </c>
      <c r="N918" s="119">
        <f>N900/LVL2_ACTV_5_Exchange_Rate</f>
        <v>0</v>
      </c>
    </row>
    <row r="919" spans="1:14" s="10" customFormat="1" outlineLevel="1" x14ac:dyDescent="0.2">
      <c r="D919" s="114" t="str">
        <f>HL_LVL2_ACTV_5_Name</f>
        <v>SME Activity #5 (Not in Use)</v>
      </c>
      <c r="J919" s="245">
        <f>SUM(J918:J918)</f>
        <v>0</v>
      </c>
      <c r="K919" s="245">
        <f>SUM(K918:K918)</f>
        <v>0</v>
      </c>
      <c r="L919" s="245">
        <f>SUM(L918:L918)</f>
        <v>0</v>
      </c>
      <c r="M919" s="245">
        <f>SUM(M918:M918)</f>
        <v>0</v>
      </c>
      <c r="N919" s="245">
        <f>SUM(N918:N918)</f>
        <v>0</v>
      </c>
    </row>
    <row r="920" spans="1:14" s="10" customFormat="1" outlineLevel="1" x14ac:dyDescent="0.2"/>
    <row r="921" spans="1:14" s="10" customFormat="1" outlineLevel="1" x14ac:dyDescent="0.2">
      <c r="D921" s="76" t="str">
        <f>Lang_GoTo&amp;" "&amp;HL_LVL2_ACTV_5_Single_Activity_Cost_Assumptions_Annual</f>
        <v>Go to SME Activity #5 (Not in Use) Single Activity Cost - Annual Assumptions (Projected or Retrospective)</v>
      </c>
    </row>
    <row r="922" spans="1:14" s="10" customFormat="1" x14ac:dyDescent="0.2"/>
    <row r="923" spans="1:14" s="10" customFormat="1" x14ac:dyDescent="0.2">
      <c r="A923" s="12" t="s">
        <v>127</v>
      </c>
      <c r="B923" s="13" t="str">
        <f>B924&amp;" "&amp;Lang_Single_Activity_Cost_Outputs_Annual&amp;" ("&amp;Lang_International_Currency_Econ&amp;")"</f>
        <v>SME Activity #5 (Not in Use) Single Activity Cost Outputs - Annual (International Currency - Economic)</v>
      </c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</row>
    <row r="924" spans="1:14" s="10" customFormat="1" outlineLevel="1" x14ac:dyDescent="0.2">
      <c r="B924" s="10" t="str">
        <f>HL_LVL2_ACTV_5_Name</f>
        <v>SME Activity #5 (Not in Use)</v>
      </c>
    </row>
    <row r="925" spans="1:14" s="10" customFormat="1" outlineLevel="1" x14ac:dyDescent="0.2">
      <c r="B925" s="65" t="str">
        <f>SUPV_Lu!$D$173&amp;" ("&amp;SUPV_Lu!$D$152&amp;")"</f>
        <v>Economic (USD)</v>
      </c>
      <c r="E925" s="53" t="str">
        <f>"("&amp;IF(DD_LVL2_ACTV_5_Input_Detail_or_Freeform=1,SUPERVISION!$D$170,SUPERVISION!$D$176)&amp;")"</f>
        <v>(Direct User Entry Cost Estimate)</v>
      </c>
    </row>
    <row r="926" spans="1:14" s="10" customFormat="1" outlineLevel="1" x14ac:dyDescent="0.2"/>
    <row r="927" spans="1:14" s="10" customFormat="1" outlineLevel="1" x14ac:dyDescent="0.2">
      <c r="D927" s="49" t="str">
        <f>HL_LVL2_ACTV_5_Name</f>
        <v>SME Activity #5 (Not in Use)</v>
      </c>
      <c r="J927" s="119">
        <f>J909/LVL2_ACTV_5_Exchange_Rate</f>
        <v>0</v>
      </c>
      <c r="K927" s="119">
        <f>K909/LVL2_ACTV_5_Exchange_Rate</f>
        <v>0</v>
      </c>
      <c r="L927" s="119">
        <f>L909/LVL2_ACTV_5_Exchange_Rate</f>
        <v>0</v>
      </c>
      <c r="M927" s="119">
        <f>M909/LVL2_ACTV_5_Exchange_Rate</f>
        <v>0</v>
      </c>
      <c r="N927" s="119">
        <f>N909/LVL2_ACTV_5_Exchange_Rate</f>
        <v>0</v>
      </c>
    </row>
    <row r="928" spans="1:14" s="10" customFormat="1" outlineLevel="1" x14ac:dyDescent="0.2">
      <c r="D928" s="114" t="str">
        <f>HL_LVL2_ACTV_5_Name</f>
        <v>SME Activity #5 (Not in Use)</v>
      </c>
      <c r="J928" s="245">
        <f>SUM(J927:J927)</f>
        <v>0</v>
      </c>
      <c r="K928" s="245">
        <f>SUM(K927:K927)</f>
        <v>0</v>
      </c>
      <c r="L928" s="245">
        <f>SUM(L927:L927)</f>
        <v>0</v>
      </c>
      <c r="M928" s="245">
        <f>SUM(M927:M927)</f>
        <v>0</v>
      </c>
      <c r="N928" s="245">
        <f>SUM(N927:N927)</f>
        <v>0</v>
      </c>
    </row>
    <row r="929" spans="1:14" s="10" customFormat="1" outlineLevel="1" x14ac:dyDescent="0.2"/>
    <row r="930" spans="1:14" s="10" customFormat="1" outlineLevel="1" x14ac:dyDescent="0.2">
      <c r="D930" s="76" t="str">
        <f>Lang_GoTo&amp;" "&amp;HL_LVL2_ACTV_5_Single_Activity_Cost_Assumptions_Annual</f>
        <v>Go to SME Activity #5 (Not in Use) Single Activity Cost - Annual Assumptions (Projected or Retrospective)</v>
      </c>
    </row>
    <row r="931" spans="1:14" s="10" customFormat="1" x14ac:dyDescent="0.2"/>
    <row r="932" spans="1:14" s="10" customFormat="1" x14ac:dyDescent="0.2">
      <c r="A932" s="12" t="s">
        <v>127</v>
      </c>
      <c r="B932" s="13" t="str">
        <f>B933&amp;" "&amp;Lang_Single_Activity_Cost_Outputs_Annual&amp;" ("&amp;Lang_Local_Currency_Fin&amp;")"</f>
        <v>SME Activity #6 (Not in Use) Single Activity Cost Outputs - Annual (Local Currency - Financial)</v>
      </c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</row>
    <row r="933" spans="1:14" s="10" customFormat="1" outlineLevel="1" x14ac:dyDescent="0.2">
      <c r="B933" s="10" t="str">
        <f>HL_LVL2_ACTV_14_Name</f>
        <v>SME Activity #6 (Not in Use)</v>
      </c>
    </row>
    <row r="934" spans="1:14" s="10" customFormat="1" outlineLevel="1" x14ac:dyDescent="0.2">
      <c r="B934" s="65" t="str">
        <f>SUPV_Lu!$D$207&amp;" ("&amp;SUPV_Lu!$D$188&amp;")"</f>
        <v>Financial (LCU)</v>
      </c>
      <c r="E934" s="53" t="str">
        <f>"("&amp;IF(DD_LVL2_ACTV_14_Input_Detail_or_Freeform=1,SUPERVISION!$D$213,SUPERVISION!$D$219)&amp;")"</f>
        <v>(Direct User Entry Cost Estimate)</v>
      </c>
    </row>
    <row r="935" spans="1:14" s="10" customFormat="1" outlineLevel="1" x14ac:dyDescent="0.2"/>
    <row r="936" spans="1:14" s="10" customFormat="1" outlineLevel="1" x14ac:dyDescent="0.2">
      <c r="D936" s="49" t="str">
        <f>HL_LVL2_ACTV_14_Name</f>
        <v>SME Activity #6 (Not in Use)</v>
      </c>
      <c r="J936" s="141">
        <f>IF(DD_LVL2_ACTV_14_Input_Detail_or_Freeform=1,IF(DD_LVL2_ACTV_14_Annual_Currency_Select=2,SUPERVISION!J$215,SUPERVISION!J$215*LVL2_ACTV_14_Exchange_Rate),IF(DD_LVL2_ACTV_14_Annual_Currency_Select=2,SUPERVISION!J$220,SUPERVISION!J$220*LVL2_ACTV_14_Exchange_Rate))</f>
        <v>0</v>
      </c>
      <c r="K936" s="141">
        <f>IF(DD_LVL2_ACTV_14_Input_Detail_or_Freeform=1,IF(DD_LVL2_ACTV_14_Annual_Currency_Select=2,SUPERVISION!K$215,SUPERVISION!K$215*LVL2_ACTV_14_Exchange_Rate),IF(DD_LVL2_ACTV_14_Annual_Currency_Select=2,SUPERVISION!K$220,SUPERVISION!K$220*LVL2_ACTV_14_Exchange_Rate))</f>
        <v>0</v>
      </c>
      <c r="L936" s="141">
        <f>IF(DD_LVL2_ACTV_14_Input_Detail_or_Freeform=1,IF(DD_LVL2_ACTV_14_Annual_Currency_Select=2,SUPERVISION!L$215,SUPERVISION!L$215*LVL2_ACTV_14_Exchange_Rate),IF(DD_LVL2_ACTV_14_Annual_Currency_Select=2,SUPERVISION!L$220,SUPERVISION!L$220*LVL2_ACTV_14_Exchange_Rate))</f>
        <v>0</v>
      </c>
      <c r="M936" s="141">
        <f>IF(DD_LVL2_ACTV_14_Input_Detail_or_Freeform=1,IF(DD_LVL2_ACTV_14_Annual_Currency_Select=2,SUPERVISION!M$215,SUPERVISION!M$215*LVL2_ACTV_14_Exchange_Rate),IF(DD_LVL2_ACTV_14_Annual_Currency_Select=2,SUPERVISION!M$220,SUPERVISION!M$220*LVL2_ACTV_14_Exchange_Rate))</f>
        <v>0</v>
      </c>
      <c r="N936" s="141">
        <f>IF(DD_LVL2_ACTV_14_Input_Detail_or_Freeform=1,IF(DD_LVL2_ACTV_14_Annual_Currency_Select=2,SUPERVISION!N$215,SUPERVISION!N$215*LVL2_ACTV_14_Exchange_Rate),IF(DD_LVL2_ACTV_14_Annual_Currency_Select=2,SUPERVISION!N$220,SUPERVISION!N$220*LVL2_ACTV_14_Exchange_Rate))</f>
        <v>0</v>
      </c>
    </row>
    <row r="937" spans="1:14" s="10" customFormat="1" outlineLevel="1" x14ac:dyDescent="0.2">
      <c r="D937" s="114" t="str">
        <f>HL_LVL2_ACTV_14_Name</f>
        <v>SME Activity #6 (Not in Use)</v>
      </c>
      <c r="J937" s="142">
        <f>SUM(J936:J936)</f>
        <v>0</v>
      </c>
      <c r="K937" s="142">
        <f>SUM(K936:K936)</f>
        <v>0</v>
      </c>
      <c r="L937" s="142">
        <f>SUM(L936:L936)</f>
        <v>0</v>
      </c>
      <c r="M937" s="142">
        <f>SUM(M936:M936)</f>
        <v>0</v>
      </c>
      <c r="N937" s="142">
        <f>SUM(N936:N936)</f>
        <v>0</v>
      </c>
    </row>
    <row r="938" spans="1:14" s="10" customFormat="1" outlineLevel="1" x14ac:dyDescent="0.2"/>
    <row r="939" spans="1:14" s="10" customFormat="1" outlineLevel="1" x14ac:dyDescent="0.2">
      <c r="D939" s="76" t="str">
        <f>Lang_GoTo&amp;" "&amp;HL_LVL2_ACTV_14_Single_Activity_Cost_Assumptions_Annual</f>
        <v>Go to SME Activity #6 (Not in Use) Single Activity Cost - Annual Assumptions (Projected or Retrospective)</v>
      </c>
    </row>
    <row r="940" spans="1:14" s="10" customFormat="1" x14ac:dyDescent="0.2"/>
    <row r="941" spans="1:14" s="10" customFormat="1" x14ac:dyDescent="0.2">
      <c r="A941" s="12" t="s">
        <v>127</v>
      </c>
      <c r="B941" s="13" t="str">
        <f>B942&amp;" "&amp;Lang_Single_Activity_Cost_Outputs_Annual&amp;" ("&amp;Lang_Local_Currency_Econ&amp;")"</f>
        <v>SME Activity #6 (Not in Use) Single Activity Cost Outputs - Annual (Local Currency - Economic)</v>
      </c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</row>
    <row r="942" spans="1:14" s="10" customFormat="1" outlineLevel="1" x14ac:dyDescent="0.2">
      <c r="B942" s="10" t="str">
        <f>HL_LVL2_ACTV_14_Name</f>
        <v>SME Activity #6 (Not in Use)</v>
      </c>
    </row>
    <row r="943" spans="1:14" s="10" customFormat="1" outlineLevel="1" x14ac:dyDescent="0.2">
      <c r="B943" s="65" t="str">
        <f>SUPV_Lu!$D$208&amp;" ("&amp;SUPV_Lu!$D$188&amp;")"</f>
        <v>Economic (LCU)</v>
      </c>
      <c r="E943" s="53" t="str">
        <f>"("&amp;IF(DD_LVL2_ACTV_14_Input_Detail_or_Freeform=1,SUPERVISION!$D$213,SUPERVISION!$D$219)&amp;")"</f>
        <v>(Direct User Entry Cost Estimate)</v>
      </c>
    </row>
    <row r="944" spans="1:14" s="10" customFormat="1" outlineLevel="1" x14ac:dyDescent="0.2"/>
    <row r="945" spans="1:14" s="10" customFormat="1" outlineLevel="1" x14ac:dyDescent="0.2">
      <c r="D945" s="49" t="str">
        <f>HL_LVL2_ACTV_14_Name</f>
        <v>SME Activity #6 (Not in Use)</v>
      </c>
      <c r="J945" s="141">
        <f>IF(DD_LVL2_ACTV_14_Input_Detail_or_Freeform=1,IF(DD_LVL2_ACTV_14_Annual_Currency_Select=2,SUPERVISION!J$216,SUPERVISION!J$216*LVL2_ACTV_14_Exchange_Rate),IF(DD_LVL2_ACTV_14_Annual_Currency_Select=2,SUPERVISION!J$221,SUPERVISION!J$221*LVL2_ACTV_14_Exchange_Rate))</f>
        <v>0</v>
      </c>
      <c r="K945" s="141">
        <f>IF(DD_LVL2_ACTV_14_Input_Detail_or_Freeform=1,IF(DD_LVL2_ACTV_14_Annual_Currency_Select=2,SUPERVISION!K$216,SUPERVISION!K$216*LVL2_ACTV_14_Exchange_Rate),IF(DD_LVL2_ACTV_14_Annual_Currency_Select=2,SUPERVISION!K$221,SUPERVISION!K$221*LVL2_ACTV_14_Exchange_Rate))</f>
        <v>0</v>
      </c>
      <c r="L945" s="141">
        <f>IF(DD_LVL2_ACTV_14_Input_Detail_or_Freeform=1,IF(DD_LVL2_ACTV_14_Annual_Currency_Select=2,SUPERVISION!L$216,SUPERVISION!L$216*LVL2_ACTV_14_Exchange_Rate),IF(DD_LVL2_ACTV_14_Annual_Currency_Select=2,SUPERVISION!L$221,SUPERVISION!L$221*LVL2_ACTV_14_Exchange_Rate))</f>
        <v>0</v>
      </c>
      <c r="M945" s="141">
        <f>IF(DD_LVL2_ACTV_14_Input_Detail_or_Freeform=1,IF(DD_LVL2_ACTV_14_Annual_Currency_Select=2,SUPERVISION!M$216,SUPERVISION!M$216*LVL2_ACTV_14_Exchange_Rate),IF(DD_LVL2_ACTV_14_Annual_Currency_Select=2,SUPERVISION!M$221,SUPERVISION!M$221*LVL2_ACTV_14_Exchange_Rate))</f>
        <v>0</v>
      </c>
      <c r="N945" s="141">
        <f>IF(DD_LVL2_ACTV_14_Input_Detail_or_Freeform=1,IF(DD_LVL2_ACTV_14_Annual_Currency_Select=2,SUPERVISION!N$216,SUPERVISION!N$216*LVL2_ACTV_14_Exchange_Rate),IF(DD_LVL2_ACTV_14_Annual_Currency_Select=2,SUPERVISION!N$221,SUPERVISION!N$221*LVL2_ACTV_14_Exchange_Rate))</f>
        <v>0</v>
      </c>
    </row>
    <row r="946" spans="1:14" s="10" customFormat="1" outlineLevel="1" x14ac:dyDescent="0.2">
      <c r="D946" s="114" t="str">
        <f>HL_LVL2_ACTV_14_Name</f>
        <v>SME Activity #6 (Not in Use)</v>
      </c>
      <c r="J946" s="142">
        <f>SUM(J945:J945)</f>
        <v>0</v>
      </c>
      <c r="K946" s="142">
        <f>SUM(K945:K945)</f>
        <v>0</v>
      </c>
      <c r="L946" s="142">
        <f>SUM(L945:L945)</f>
        <v>0</v>
      </c>
      <c r="M946" s="142">
        <f>SUM(M945:M945)</f>
        <v>0</v>
      </c>
      <c r="N946" s="142">
        <f>SUM(N945:N945)</f>
        <v>0</v>
      </c>
    </row>
    <row r="947" spans="1:14" s="10" customFormat="1" outlineLevel="1" x14ac:dyDescent="0.2"/>
    <row r="948" spans="1:14" s="10" customFormat="1" outlineLevel="1" x14ac:dyDescent="0.2">
      <c r="D948" s="76" t="str">
        <f>Lang_GoTo&amp;" "&amp;HL_LVL2_ACTV_14_Single_Activity_Cost_Assumptions_Annual</f>
        <v>Go to SME Activity #6 (Not in Use) Single Activity Cost - Annual Assumptions (Projected or Retrospective)</v>
      </c>
    </row>
    <row r="949" spans="1:14" s="10" customFormat="1" x14ac:dyDescent="0.2"/>
    <row r="950" spans="1:14" s="10" customFormat="1" x14ac:dyDescent="0.2">
      <c r="A950" s="12" t="s">
        <v>127</v>
      </c>
      <c r="B950" s="13" t="str">
        <f>B951&amp;" "&amp;Lang_Single_Activity_Cost_Outputs_Annual&amp;" ("&amp;Lang_International_Currency_Fin&amp;")"</f>
        <v>SME Activity #6 (Not in Use) Single Activity Cost Outputs - Annual (International Currency - Financial)</v>
      </c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</row>
    <row r="951" spans="1:14" s="10" customFormat="1" outlineLevel="1" x14ac:dyDescent="0.2">
      <c r="B951" s="10" t="str">
        <f>HL_LVL2_ACTV_14_Name</f>
        <v>SME Activity #6 (Not in Use)</v>
      </c>
    </row>
    <row r="952" spans="1:14" s="10" customFormat="1" outlineLevel="1" x14ac:dyDescent="0.2">
      <c r="B952" s="65" t="str">
        <f>SUPV_Lu!$D$207&amp;" ("&amp;SUPV_Lu!$D$187&amp;")"</f>
        <v>Financial (USD)</v>
      </c>
      <c r="E952" s="53" t="str">
        <f>"("&amp;IF(DD_LVL2_ACTV_14_Input_Detail_or_Freeform=1,SUPERVISION!$D$213,SUPERVISION!$D$219)&amp;")"</f>
        <v>(Direct User Entry Cost Estimate)</v>
      </c>
    </row>
    <row r="953" spans="1:14" s="10" customFormat="1" outlineLevel="1" x14ac:dyDescent="0.2"/>
    <row r="954" spans="1:14" s="10" customFormat="1" outlineLevel="1" x14ac:dyDescent="0.2">
      <c r="D954" s="49" t="str">
        <f>HL_LVL2_ACTV_14_Name</f>
        <v>SME Activity #6 (Not in Use)</v>
      </c>
      <c r="J954" s="119">
        <f>J936/LVL2_ACTV_14_Exchange_Rate</f>
        <v>0</v>
      </c>
      <c r="K954" s="119">
        <f>K936/LVL2_ACTV_14_Exchange_Rate</f>
        <v>0</v>
      </c>
      <c r="L954" s="119">
        <f>L936/LVL2_ACTV_14_Exchange_Rate</f>
        <v>0</v>
      </c>
      <c r="M954" s="119">
        <f>M936/LVL2_ACTV_14_Exchange_Rate</f>
        <v>0</v>
      </c>
      <c r="N954" s="119">
        <f>N936/LVL2_ACTV_14_Exchange_Rate</f>
        <v>0</v>
      </c>
    </row>
    <row r="955" spans="1:14" s="10" customFormat="1" outlineLevel="1" x14ac:dyDescent="0.2">
      <c r="D955" s="114" t="str">
        <f>HL_LVL2_ACTV_14_Name</f>
        <v>SME Activity #6 (Not in Use)</v>
      </c>
      <c r="J955" s="245">
        <f>SUM(J954:J954)</f>
        <v>0</v>
      </c>
      <c r="K955" s="245">
        <f>SUM(K954:K954)</f>
        <v>0</v>
      </c>
      <c r="L955" s="245">
        <f>SUM(L954:L954)</f>
        <v>0</v>
      </c>
      <c r="M955" s="245">
        <f>SUM(M954:M954)</f>
        <v>0</v>
      </c>
      <c r="N955" s="245">
        <f>SUM(N954:N954)</f>
        <v>0</v>
      </c>
    </row>
    <row r="956" spans="1:14" s="10" customFormat="1" outlineLevel="1" x14ac:dyDescent="0.2"/>
    <row r="957" spans="1:14" s="10" customFormat="1" outlineLevel="1" x14ac:dyDescent="0.2">
      <c r="D957" s="76" t="str">
        <f>Lang_GoTo&amp;" "&amp;HL_LVL2_ACTV_14_Single_Activity_Cost_Assumptions_Annual</f>
        <v>Go to SME Activity #6 (Not in Use) Single Activity Cost - Annual Assumptions (Projected or Retrospective)</v>
      </c>
    </row>
    <row r="958" spans="1:14" s="10" customFormat="1" x14ac:dyDescent="0.2"/>
    <row r="959" spans="1:14" s="10" customFormat="1" x14ac:dyDescent="0.2">
      <c r="A959" s="12" t="s">
        <v>127</v>
      </c>
      <c r="B959" s="13" t="str">
        <f>B960&amp;" "&amp;Lang_Single_Activity_Cost_Outputs_Annual&amp;" ("&amp;Lang_International_Currency_Econ&amp;")"</f>
        <v>SME Activity #6 (Not in Use) Single Activity Cost Outputs - Annual (International Currency - Economic)</v>
      </c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</row>
    <row r="960" spans="1:14" s="10" customFormat="1" outlineLevel="1" x14ac:dyDescent="0.2">
      <c r="B960" s="10" t="str">
        <f>HL_LVL2_ACTV_14_Name</f>
        <v>SME Activity #6 (Not in Use)</v>
      </c>
    </row>
    <row r="961" spans="1:14" s="10" customFormat="1" outlineLevel="1" x14ac:dyDescent="0.2">
      <c r="B961" s="65" t="str">
        <f>SUPV_Lu!$D$208&amp;" ("&amp;SUPV_Lu!$D$187&amp;")"</f>
        <v>Economic (USD)</v>
      </c>
      <c r="E961" s="53" t="str">
        <f>"("&amp;IF(DD_LVL2_ACTV_14_Input_Detail_or_Freeform=1,SUPERVISION!$D$213,SUPERVISION!$D$219)&amp;")"</f>
        <v>(Direct User Entry Cost Estimate)</v>
      </c>
    </row>
    <row r="962" spans="1:14" s="10" customFormat="1" outlineLevel="1" x14ac:dyDescent="0.2"/>
    <row r="963" spans="1:14" s="10" customFormat="1" outlineLevel="1" x14ac:dyDescent="0.2">
      <c r="D963" s="49" t="str">
        <f>HL_LVL2_ACTV_14_Name</f>
        <v>SME Activity #6 (Not in Use)</v>
      </c>
      <c r="J963" s="138">
        <f>J945/LVL2_ACTV_14_Exchange_Rate</f>
        <v>0</v>
      </c>
      <c r="K963" s="138">
        <f>K945/LVL2_ACTV_14_Exchange_Rate</f>
        <v>0</v>
      </c>
      <c r="L963" s="138">
        <f>L945/LVL2_ACTV_14_Exchange_Rate</f>
        <v>0</v>
      </c>
      <c r="M963" s="138">
        <f>M945/LVL2_ACTV_14_Exchange_Rate</f>
        <v>0</v>
      </c>
      <c r="N963" s="138">
        <f>N945/LVL2_ACTV_14_Exchange_Rate</f>
        <v>0</v>
      </c>
    </row>
    <row r="964" spans="1:14" s="10" customFormat="1" outlineLevel="1" x14ac:dyDescent="0.2">
      <c r="D964" s="114" t="str">
        <f>HL_LVL2_ACTV_14_Name</f>
        <v>SME Activity #6 (Not in Use)</v>
      </c>
      <c r="J964" s="143">
        <f>SUM(J963:J963)</f>
        <v>0</v>
      </c>
      <c r="K964" s="143">
        <f>SUM(K963:K963)</f>
        <v>0</v>
      </c>
      <c r="L964" s="143">
        <f>SUM(L963:L963)</f>
        <v>0</v>
      </c>
      <c r="M964" s="143">
        <f>SUM(M963:M963)</f>
        <v>0</v>
      </c>
      <c r="N964" s="143">
        <f>SUM(N963:N963)</f>
        <v>0</v>
      </c>
    </row>
    <row r="965" spans="1:14" s="10" customFormat="1" outlineLevel="1" x14ac:dyDescent="0.2"/>
    <row r="966" spans="1:14" s="10" customFormat="1" outlineLevel="1" x14ac:dyDescent="0.2">
      <c r="D966" s="76" t="str">
        <f>Lang_GoTo&amp;" "&amp;HL_LVL2_ACTV_14_Single_Activity_Cost_Assumptions_Annual</f>
        <v>Go to SME Activity #6 (Not in Use) Single Activity Cost - Annual Assumptions (Projected or Retrospective)</v>
      </c>
    </row>
    <row r="967" spans="1:14" s="10" customFormat="1" x14ac:dyDescent="0.2"/>
    <row r="968" spans="1:14" s="10" customFormat="1" x14ac:dyDescent="0.2">
      <c r="A968" s="12" t="s">
        <v>127</v>
      </c>
      <c r="B968" s="13" t="str">
        <f>B969&amp;" "&amp;Lang_Single_Activity_Cost_Outputs_Annual&amp;" ("&amp;Lang_Local_Currency_Fin&amp;")"</f>
        <v>SME Activity #7 (Not in Use) Single Activity Cost Outputs - Annual (Local Currency - Financial)</v>
      </c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</row>
    <row r="969" spans="1:14" s="10" customFormat="1" outlineLevel="1" x14ac:dyDescent="0.2">
      <c r="B969" s="10" t="str">
        <f>HL_LVL2_ACTV_15_Name</f>
        <v>SME Activity #7 (Not in Use)</v>
      </c>
    </row>
    <row r="970" spans="1:14" s="10" customFormat="1" outlineLevel="1" x14ac:dyDescent="0.2">
      <c r="B970" s="65" t="str">
        <f>SUPV_Lu!$D$242&amp;" ("&amp;SUPV_Lu!$D$223&amp;")"</f>
        <v>Financial (LCU)</v>
      </c>
      <c r="E970" s="53" t="str">
        <f>"("&amp;IF(DD_LVL2_ACTV_15_Input_Detail_or_Freeform=1,SUPERVISION!$D$256,SUPERVISION!$D$262)&amp;")"</f>
        <v>(Direct User Entry Cost Estimate)</v>
      </c>
    </row>
    <row r="971" spans="1:14" s="10" customFormat="1" outlineLevel="1" x14ac:dyDescent="0.2"/>
    <row r="972" spans="1:14" s="10" customFormat="1" outlineLevel="1" x14ac:dyDescent="0.2">
      <c r="D972" s="49" t="str">
        <f>HL_LVL2_ACTV_15_Name</f>
        <v>SME Activity #7 (Not in Use)</v>
      </c>
      <c r="J972" s="141">
        <f>IF(DD_LVL2_ACTV_15_Input_Detail_or_Freeform=1,IF(DD_LVL2_ACTV_15_Annual_Currency_Select=2,SUPERVISION!J$258,SUPERVISION!J$258*LVL2_ACTV_15_Exchange_Rate),IF(DD_LVL2_ACTV_15_Annual_Currency_Select=2,SUPERVISION!J$263,SUPERVISION!J$263*LVL2_ACTV_15_Exchange_Rate))</f>
        <v>0</v>
      </c>
      <c r="K972" s="141">
        <f>IF(DD_LVL2_ACTV_15_Input_Detail_or_Freeform=1,IF(DD_LVL2_ACTV_15_Annual_Currency_Select=2,SUPERVISION!K$258,SUPERVISION!K$258*LVL2_ACTV_15_Exchange_Rate),IF(DD_LVL2_ACTV_15_Annual_Currency_Select=2,SUPERVISION!K$263,SUPERVISION!K$263*LVL2_ACTV_15_Exchange_Rate))</f>
        <v>0</v>
      </c>
      <c r="L972" s="141">
        <f>IF(DD_LVL2_ACTV_15_Input_Detail_or_Freeform=1,IF(DD_LVL2_ACTV_15_Annual_Currency_Select=2,SUPERVISION!L$258,SUPERVISION!L$258*LVL2_ACTV_15_Exchange_Rate),IF(DD_LVL2_ACTV_15_Annual_Currency_Select=2,SUPERVISION!L$263,SUPERVISION!L$263*LVL2_ACTV_15_Exchange_Rate))</f>
        <v>0</v>
      </c>
      <c r="M972" s="141">
        <f>IF(DD_LVL2_ACTV_15_Input_Detail_or_Freeform=1,IF(DD_LVL2_ACTV_15_Annual_Currency_Select=2,SUPERVISION!M$258,SUPERVISION!M$258*LVL2_ACTV_15_Exchange_Rate),IF(DD_LVL2_ACTV_15_Annual_Currency_Select=2,SUPERVISION!M$263,SUPERVISION!M$263*LVL2_ACTV_15_Exchange_Rate))</f>
        <v>0</v>
      </c>
      <c r="N972" s="141">
        <f>IF(DD_LVL2_ACTV_15_Input_Detail_or_Freeform=1,IF(DD_LVL2_ACTV_15_Annual_Currency_Select=2,SUPERVISION!N$258,SUPERVISION!N$258*LVL2_ACTV_15_Exchange_Rate),IF(DD_LVL2_ACTV_15_Annual_Currency_Select=2,SUPERVISION!N$263,SUPERVISION!N$263*LVL2_ACTV_15_Exchange_Rate))</f>
        <v>0</v>
      </c>
    </row>
    <row r="973" spans="1:14" s="10" customFormat="1" outlineLevel="1" x14ac:dyDescent="0.2">
      <c r="D973" s="114" t="str">
        <f>HL_LVL2_ACTV_15_Name</f>
        <v>SME Activity #7 (Not in Use)</v>
      </c>
      <c r="J973" s="142">
        <f>SUM(J972:J972)</f>
        <v>0</v>
      </c>
      <c r="K973" s="142">
        <f>SUM(K972:K972)</f>
        <v>0</v>
      </c>
      <c r="L973" s="142">
        <f>SUM(L972:L972)</f>
        <v>0</v>
      </c>
      <c r="M973" s="142">
        <f>SUM(M972:M972)</f>
        <v>0</v>
      </c>
      <c r="N973" s="142">
        <f>SUM(N972:N972)</f>
        <v>0</v>
      </c>
    </row>
    <row r="974" spans="1:14" s="10" customFormat="1" outlineLevel="1" x14ac:dyDescent="0.2"/>
    <row r="975" spans="1:14" s="10" customFormat="1" outlineLevel="1" x14ac:dyDescent="0.2"/>
    <row r="976" spans="1:14" s="10" customFormat="1" outlineLevel="1" x14ac:dyDescent="0.2">
      <c r="D976" s="76" t="str">
        <f>Lang_GoTo&amp;" "&amp;HL_LVL2_ACTV_15_Single_Activity_Cost_Assumptions_Annual</f>
        <v>Go to SME Activity #7 (Not in Use) Single Activity Cost - Annual Assumptions (Projected or Retrospective)</v>
      </c>
    </row>
    <row r="977" spans="1:14" s="10" customFormat="1" x14ac:dyDescent="0.2"/>
    <row r="978" spans="1:14" s="10" customFormat="1" x14ac:dyDescent="0.2">
      <c r="A978" s="12" t="s">
        <v>127</v>
      </c>
      <c r="B978" s="13" t="str">
        <f>B979&amp;" "&amp;Lang_Single_Activity_Cost_Outputs_Annual&amp;" ("&amp;Lang_Local_Currency_Econ&amp;")"</f>
        <v>SME Activity #7 (Not in Use) Single Activity Cost Outputs - Annual (Local Currency - Economic)</v>
      </c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</row>
    <row r="979" spans="1:14" s="10" customFormat="1" outlineLevel="1" x14ac:dyDescent="0.2">
      <c r="B979" s="10" t="str">
        <f>HL_LVL2_ACTV_15_Name</f>
        <v>SME Activity #7 (Not in Use)</v>
      </c>
    </row>
    <row r="980" spans="1:14" s="10" customFormat="1" outlineLevel="1" x14ac:dyDescent="0.2">
      <c r="B980" s="65" t="str">
        <f>SUPV_Lu!$D$243&amp;" ("&amp;SUPV_Lu!$D$223&amp;")"</f>
        <v>Economic (LCU)</v>
      </c>
      <c r="E980" s="53" t="str">
        <f>"("&amp;IF(DD_LVL2_ACTV_15_Input_Detail_or_Freeform=1,SUPERVISION!$D$256,SUPERVISION!$D$262)&amp;")"</f>
        <v>(Direct User Entry Cost Estimate)</v>
      </c>
    </row>
    <row r="981" spans="1:14" s="10" customFormat="1" outlineLevel="1" x14ac:dyDescent="0.2"/>
    <row r="982" spans="1:14" s="10" customFormat="1" outlineLevel="1" x14ac:dyDescent="0.2">
      <c r="D982" s="49" t="str">
        <f>HL_LVL2_ACTV_15_Name</f>
        <v>SME Activity #7 (Not in Use)</v>
      </c>
      <c r="J982" s="362">
        <f>IF(DD_LVL2_ACTV_15_Input_Detail_or_Freeform=1,IF(DD_LVL2_ACTV_15_Annual_Currency_Select=2,SUPERVISION!J$259,SUPERVISION!J$259*LVL2_ACTV_15_Exchange_Rate),IF(DD_LVL2_ACTV_15_Annual_Currency_Select=2,SUPERVISION!J$264,SUPERVISION!J$264*LVL2_ACTV_15_Exchange_Rate))</f>
        <v>0</v>
      </c>
      <c r="K982" s="362">
        <f>IF(DD_LVL2_ACTV_15_Input_Detail_or_Freeform=1,IF(DD_LVL2_ACTV_15_Annual_Currency_Select=2,SUPERVISION!K$259,SUPERVISION!K$259*LVL2_ACTV_15_Exchange_Rate),IF(DD_LVL2_ACTV_15_Annual_Currency_Select=2,SUPERVISION!K$264,SUPERVISION!K$264*LVL2_ACTV_15_Exchange_Rate))</f>
        <v>0</v>
      </c>
      <c r="L982" s="362">
        <f>IF(DD_LVL2_ACTV_15_Input_Detail_or_Freeform=1,IF(DD_LVL2_ACTV_15_Annual_Currency_Select=2,SUPERVISION!L$259,SUPERVISION!L$259*LVL2_ACTV_15_Exchange_Rate),IF(DD_LVL2_ACTV_15_Annual_Currency_Select=2,SUPERVISION!L$264,SUPERVISION!L$264*LVL2_ACTV_15_Exchange_Rate))</f>
        <v>0</v>
      </c>
      <c r="M982" s="362">
        <f>IF(DD_LVL2_ACTV_15_Input_Detail_or_Freeform=1,IF(DD_LVL2_ACTV_15_Annual_Currency_Select=2,SUPERVISION!M$259,SUPERVISION!M$259*LVL2_ACTV_15_Exchange_Rate),IF(DD_LVL2_ACTV_15_Annual_Currency_Select=2,SUPERVISION!M$264,SUPERVISION!M$264*LVL2_ACTV_15_Exchange_Rate))</f>
        <v>0</v>
      </c>
      <c r="N982" s="362">
        <f>IF(DD_LVL2_ACTV_15_Input_Detail_or_Freeform=1,IF(DD_LVL2_ACTV_15_Annual_Currency_Select=2,SUPERVISION!N$259,SUPERVISION!N$259*LVL2_ACTV_15_Exchange_Rate),IF(DD_LVL2_ACTV_15_Annual_Currency_Select=2,SUPERVISION!N$264,SUPERVISION!N$264*LVL2_ACTV_15_Exchange_Rate))</f>
        <v>0</v>
      </c>
    </row>
    <row r="983" spans="1:14" s="10" customFormat="1" outlineLevel="1" x14ac:dyDescent="0.2">
      <c r="D983" s="114" t="str">
        <f>HL_LVL2_ACTV_15_Name</f>
        <v>SME Activity #7 (Not in Use)</v>
      </c>
      <c r="J983" s="43">
        <f>SUM(J982:J982)</f>
        <v>0</v>
      </c>
      <c r="K983" s="43">
        <f>SUM(K982:K982)</f>
        <v>0</v>
      </c>
      <c r="L983" s="43">
        <f>SUM(L982:L982)</f>
        <v>0</v>
      </c>
      <c r="M983" s="43">
        <f>SUM(M982:M982)</f>
        <v>0</v>
      </c>
      <c r="N983" s="43">
        <f>SUM(N982:N982)</f>
        <v>0</v>
      </c>
    </row>
    <row r="984" spans="1:14" s="10" customFormat="1" outlineLevel="1" x14ac:dyDescent="0.2"/>
    <row r="985" spans="1:14" s="10" customFormat="1" outlineLevel="1" x14ac:dyDescent="0.2">
      <c r="D985" s="76" t="str">
        <f>Lang_GoTo&amp;" "&amp;HL_LVL2_ACTV_15_Single_Activity_Cost_Assumptions_Annual</f>
        <v>Go to SME Activity #7 (Not in Use) Single Activity Cost - Annual Assumptions (Projected or Retrospective)</v>
      </c>
    </row>
    <row r="986" spans="1:14" s="10" customFormat="1" x14ac:dyDescent="0.2"/>
    <row r="987" spans="1:14" s="10" customFormat="1" x14ac:dyDescent="0.2">
      <c r="A987" s="12" t="s">
        <v>127</v>
      </c>
      <c r="B987" s="13" t="str">
        <f>B988&amp;" "&amp;Lang_Single_Activity_Cost_Outputs_Annual&amp;" ("&amp;Lang_International_Currency_Fin&amp;")"</f>
        <v>SME Activity #7 (Not in Use) Single Activity Cost Outputs - Annual (International Currency - Financial)</v>
      </c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</row>
    <row r="988" spans="1:14" s="10" customFormat="1" outlineLevel="1" x14ac:dyDescent="0.2">
      <c r="B988" s="10" t="str">
        <f>HL_LVL2_ACTV_15_Name</f>
        <v>SME Activity #7 (Not in Use)</v>
      </c>
    </row>
    <row r="989" spans="1:14" s="10" customFormat="1" outlineLevel="1" x14ac:dyDescent="0.2">
      <c r="B989" s="65" t="str">
        <f>SUPV_Lu!$D$242&amp;" ("&amp;SUPV_Lu!$D$222&amp;")"</f>
        <v>Financial (USD)</v>
      </c>
      <c r="E989" s="53" t="str">
        <f>"("&amp;IF(DD_LVL2_ACTV_15_Input_Detail_or_Freeform=1,SUPERVISION!$D$256,SUPERVISION!$D$262)&amp;")"</f>
        <v>(Direct User Entry Cost Estimate)</v>
      </c>
    </row>
    <row r="990" spans="1:14" s="10" customFormat="1" outlineLevel="1" x14ac:dyDescent="0.2"/>
    <row r="991" spans="1:14" s="10" customFormat="1" outlineLevel="1" x14ac:dyDescent="0.2">
      <c r="D991" s="49" t="str">
        <f>HL_LVL2_ACTV_15_Name</f>
        <v>SME Activity #7 (Not in Use)</v>
      </c>
      <c r="J991" s="119">
        <f>J972/LVL2_ACTV_15_Exchange_Rate</f>
        <v>0</v>
      </c>
      <c r="K991" s="119">
        <f>K972/LVL2_ACTV_15_Exchange_Rate</f>
        <v>0</v>
      </c>
      <c r="L991" s="119">
        <f>L972/LVL2_ACTV_15_Exchange_Rate</f>
        <v>0</v>
      </c>
      <c r="M991" s="119">
        <f>M972/LVL2_ACTV_15_Exchange_Rate</f>
        <v>0</v>
      </c>
      <c r="N991" s="119">
        <f>N972/LVL2_ACTV_15_Exchange_Rate</f>
        <v>0</v>
      </c>
    </row>
    <row r="992" spans="1:14" s="10" customFormat="1" outlineLevel="1" x14ac:dyDescent="0.2">
      <c r="D992" s="114" t="str">
        <f>HL_LVL2_ACTV_15_Name</f>
        <v>SME Activity #7 (Not in Use)</v>
      </c>
      <c r="J992" s="360">
        <f>SUM(J991:J991)</f>
        <v>0</v>
      </c>
      <c r="K992" s="360">
        <f>SUM(K991:K991)</f>
        <v>0</v>
      </c>
      <c r="L992" s="360">
        <f>SUM(L991:L991)</f>
        <v>0</v>
      </c>
      <c r="M992" s="360">
        <f>SUM(M991:M991)</f>
        <v>0</v>
      </c>
      <c r="N992" s="360">
        <f>SUM(N991:N991)</f>
        <v>0</v>
      </c>
    </row>
    <row r="993" spans="1:14" s="10" customFormat="1" outlineLevel="1" x14ac:dyDescent="0.2"/>
    <row r="994" spans="1:14" s="10" customFormat="1" outlineLevel="1" x14ac:dyDescent="0.2">
      <c r="D994" s="76" t="str">
        <f>Lang_GoTo&amp;" "&amp;HL_LVL2_ACTV_15_Single_Activity_Cost_Assumptions_Annual</f>
        <v>Go to SME Activity #7 (Not in Use) Single Activity Cost - Annual Assumptions (Projected or Retrospective)</v>
      </c>
    </row>
    <row r="995" spans="1:14" s="10" customFormat="1" x14ac:dyDescent="0.2"/>
    <row r="996" spans="1:14" s="10" customFormat="1" x14ac:dyDescent="0.2">
      <c r="A996" s="12" t="s">
        <v>127</v>
      </c>
      <c r="B996" s="13" t="str">
        <f>B997&amp;" "&amp;Lang_Single_Activity_Cost_Outputs_Annual&amp;" ("&amp;Lang_International_Currency_Econ&amp;")"</f>
        <v>SME Activity #7 (Not in Use) Single Activity Cost Outputs - Annual (International Currency - Economic)</v>
      </c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</row>
    <row r="997" spans="1:14" s="10" customFormat="1" outlineLevel="1" x14ac:dyDescent="0.2">
      <c r="B997" s="10" t="str">
        <f>HL_LVL2_ACTV_15_Name</f>
        <v>SME Activity #7 (Not in Use)</v>
      </c>
    </row>
    <row r="998" spans="1:14" s="10" customFormat="1" outlineLevel="1" x14ac:dyDescent="0.2">
      <c r="B998" s="65" t="str">
        <f>SUPV_Lu!$D$243&amp;" ("&amp;SUPV_Lu!$D$222&amp;")"</f>
        <v>Economic (USD)</v>
      </c>
      <c r="E998" s="53" t="str">
        <f>"("&amp;IF(DD_LVL2_ACTV_15_Input_Detail_or_Freeform=1,SUPERVISION!$D$256,SUPERVISION!$D$262)&amp;")"</f>
        <v>(Direct User Entry Cost Estimate)</v>
      </c>
    </row>
    <row r="999" spans="1:14" s="10" customFormat="1" outlineLevel="1" x14ac:dyDescent="0.2"/>
    <row r="1000" spans="1:14" s="10" customFormat="1" outlineLevel="1" x14ac:dyDescent="0.2">
      <c r="D1000" s="49" t="str">
        <f>HL_LVL2_ACTV_15_Name</f>
        <v>SME Activity #7 (Not in Use)</v>
      </c>
      <c r="J1000" s="119">
        <f>J982/LVL2_ACTV_15_Exchange_Rate</f>
        <v>0</v>
      </c>
      <c r="K1000" s="119">
        <f>K982/LVL2_ACTV_15_Exchange_Rate</f>
        <v>0</v>
      </c>
      <c r="L1000" s="119">
        <f>L982/LVL2_ACTV_15_Exchange_Rate</f>
        <v>0</v>
      </c>
      <c r="M1000" s="119">
        <f>M982/LVL2_ACTV_15_Exchange_Rate</f>
        <v>0</v>
      </c>
      <c r="N1000" s="119">
        <f>N982/LVL2_ACTV_15_Exchange_Rate</f>
        <v>0</v>
      </c>
    </row>
    <row r="1001" spans="1:14" s="10" customFormat="1" outlineLevel="1" x14ac:dyDescent="0.2">
      <c r="D1001" s="114" t="str">
        <f>HL_LVL2_ACTV_15_Name</f>
        <v>SME Activity #7 (Not in Use)</v>
      </c>
      <c r="J1001" s="360">
        <f>SUM(J1000:J1000)</f>
        <v>0</v>
      </c>
      <c r="K1001" s="360">
        <f>SUM(K1000:K1000)</f>
        <v>0</v>
      </c>
      <c r="L1001" s="360">
        <f>SUM(L1000:L1000)</f>
        <v>0</v>
      </c>
      <c r="M1001" s="360">
        <f>SUM(M1000:M1000)</f>
        <v>0</v>
      </c>
      <c r="N1001" s="360">
        <f>SUM(N1000:N1000)</f>
        <v>0</v>
      </c>
    </row>
    <row r="1002" spans="1:14" s="10" customFormat="1" outlineLevel="1" x14ac:dyDescent="0.2"/>
    <row r="1003" spans="1:14" s="10" customFormat="1" outlineLevel="1" x14ac:dyDescent="0.2">
      <c r="D1003" s="76" t="str">
        <f>Lang_GoTo&amp;" "&amp;HL_LVL2_ACTV_15_Single_Activity_Cost_Assumptions_Annual</f>
        <v>Go to SME Activity #7 (Not in Use) Single Activity Cost - Annual Assumptions (Projected or Retrospective)</v>
      </c>
    </row>
    <row r="1004" spans="1:14" s="10" customFormat="1" x14ac:dyDescent="0.2"/>
    <row r="1005" spans="1:14" s="10" customFormat="1" x14ac:dyDescent="0.2">
      <c r="A1005" s="12" t="s">
        <v>127</v>
      </c>
      <c r="B1005" s="13" t="str">
        <f>B1006&amp;" "&amp;Lang_Single_Activity_Cost_Outputs_Annual&amp;" ("&amp;Lang_Local_Currency_Fin&amp;")"</f>
        <v>Single Vaccination Service Delivery Type 1 Single Activity Cost Outputs - Annual (Local Currency - Financial)</v>
      </c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</row>
    <row r="1006" spans="1:14" s="10" customFormat="1" outlineLevel="1" x14ac:dyDescent="0.2">
      <c r="B1006" s="10" t="str">
        <f>HL_LVL2_ACTV_6_Name</f>
        <v>Single Vaccination Service Delivery Type 1</v>
      </c>
    </row>
    <row r="1007" spans="1:14" s="10" customFormat="1" outlineLevel="1" x14ac:dyDescent="0.2">
      <c r="B1007" s="65" t="str">
        <f>SD_Lu!$D$32&amp;" ("&amp;SD_Lu!$D$13&amp;")"</f>
        <v>Financial (LCU)</v>
      </c>
      <c r="E1007" s="53" t="str">
        <f>"("&amp;IF(DD_LVL2_ACTV_6_Input_Detail_or_Freeform=1,SERVICE_DELIVERY!$D$248,SERVICE_DELIVERY!$D$254)&amp;")"</f>
        <v>(Detailed Costing Worksheet Estimate)</v>
      </c>
    </row>
    <row r="1008" spans="1:14" s="10" customFormat="1" outlineLevel="1" x14ac:dyDescent="0.2"/>
    <row r="1009" spans="1:14" s="10" customFormat="1" outlineLevel="1" x14ac:dyDescent="0.2">
      <c r="D1009" s="49" t="str">
        <f>HL_LVL2_ACTV_6_Name</f>
        <v>Single Vaccination Service Delivery Type 1</v>
      </c>
      <c r="J1009" s="362">
        <f>IF(DD_LVL2_ACTV_6_Input_Detail_or_Freeform=1,IF(DD_LVL2_ACTV_6_Annual_Currency_Select=2,SERVICE_DELIVERY!J$250,SERVICE_DELIVERY!J$250*LVL2_ACTV_6_Exchange_Rate),IF(DD_LVL2_ACTV_6_Annual_Currency_Select=2,SERVICE_DELIVERY!J$255,SERVICE_DELIVERY!J$255*LVL2_ACTV_6_Exchange_Rate))</f>
        <v>0</v>
      </c>
      <c r="K1009" s="362">
        <f>IF(DD_LVL2_ACTV_6_Input_Detail_or_Freeform=1,IF(DD_LVL2_ACTV_6_Annual_Currency_Select=2,SERVICE_DELIVERY!K$250,SERVICE_DELIVERY!K$250*LVL2_ACTV_6_Exchange_Rate),IF(DD_LVL2_ACTV_6_Annual_Currency_Select=2,SERVICE_DELIVERY!K$255,SERVICE_DELIVERY!K$255*LVL2_ACTV_6_Exchange_Rate))</f>
        <v>0</v>
      </c>
      <c r="L1009" s="362">
        <f>IF(DD_LVL2_ACTV_6_Input_Detail_or_Freeform=1,IF(DD_LVL2_ACTV_6_Annual_Currency_Select=2,SERVICE_DELIVERY!L$250,SERVICE_DELIVERY!L$250*LVL2_ACTV_6_Exchange_Rate),IF(DD_LVL2_ACTV_6_Annual_Currency_Select=2,SERVICE_DELIVERY!L$255,SERVICE_DELIVERY!L$255*LVL2_ACTV_6_Exchange_Rate))</f>
        <v>0</v>
      </c>
      <c r="M1009" s="362">
        <f>IF(DD_LVL2_ACTV_6_Input_Detail_or_Freeform=1,IF(DD_LVL2_ACTV_6_Annual_Currency_Select=2,SERVICE_DELIVERY!M$250,SERVICE_DELIVERY!M$250*LVL2_ACTV_6_Exchange_Rate),IF(DD_LVL2_ACTV_6_Annual_Currency_Select=2,SERVICE_DELIVERY!M$255,SERVICE_DELIVERY!M$255*LVL2_ACTV_6_Exchange_Rate))</f>
        <v>0</v>
      </c>
      <c r="N1009" s="362">
        <f>IF(DD_LVL2_ACTV_6_Input_Detail_or_Freeform=1,IF(DD_LVL2_ACTV_6_Annual_Currency_Select=2,SERVICE_DELIVERY!N$250,SERVICE_DELIVERY!N$250*LVL2_ACTV_6_Exchange_Rate),IF(DD_LVL2_ACTV_6_Annual_Currency_Select=2,SERVICE_DELIVERY!N$255,SERVICE_DELIVERY!N$255*LVL2_ACTV_6_Exchange_Rate))</f>
        <v>0</v>
      </c>
    </row>
    <row r="1010" spans="1:14" s="10" customFormat="1" outlineLevel="1" x14ac:dyDescent="0.2">
      <c r="D1010" s="114" t="str">
        <f>HL_LVL2_ACTV_6_Name</f>
        <v>Single Vaccination Service Delivery Type 1</v>
      </c>
      <c r="J1010" s="43">
        <f>SUM(J1009:J1009)</f>
        <v>0</v>
      </c>
      <c r="K1010" s="43">
        <f>SUM(K1009:K1009)</f>
        <v>0</v>
      </c>
      <c r="L1010" s="43">
        <f>SUM(L1009:L1009)</f>
        <v>0</v>
      </c>
      <c r="M1010" s="43">
        <f>SUM(M1009:M1009)</f>
        <v>0</v>
      </c>
      <c r="N1010" s="43">
        <f>SUM(N1009:N1009)</f>
        <v>0</v>
      </c>
    </row>
    <row r="1011" spans="1:14" s="10" customFormat="1" outlineLevel="1" x14ac:dyDescent="0.2"/>
    <row r="1012" spans="1:14" s="10" customFormat="1" outlineLevel="1" x14ac:dyDescent="0.2">
      <c r="D1012" s="76" t="str">
        <f>Lang_GoTo&amp;" "&amp;HL_LVL2_ACTV_6_Single_Activity_Cost_Assumptions_Annual</f>
        <v>Go to Single Vaccination Service Delivery Type 1 Single Activity Cost - Annual Assumptions</v>
      </c>
    </row>
    <row r="1013" spans="1:14" s="10" customFormat="1" x14ac:dyDescent="0.2"/>
    <row r="1014" spans="1:14" s="10" customFormat="1" x14ac:dyDescent="0.2">
      <c r="A1014" s="12" t="s">
        <v>127</v>
      </c>
      <c r="B1014" s="13" t="str">
        <f>B1015&amp;" "&amp;Lang_Single_Activity_Cost_Outputs_Annual&amp;" ("&amp;Lang_Local_Currency_Econ&amp;")"</f>
        <v>Single Vaccination Service Delivery Type 1 Single Activity Cost Outputs - Annual (Local Currency - Economic)</v>
      </c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</row>
    <row r="1015" spans="1:14" s="10" customFormat="1" outlineLevel="1" x14ac:dyDescent="0.2">
      <c r="B1015" s="10" t="str">
        <f>HL_LVL2_ACTV_6_Name</f>
        <v>Single Vaccination Service Delivery Type 1</v>
      </c>
    </row>
    <row r="1016" spans="1:14" s="10" customFormat="1" outlineLevel="1" x14ac:dyDescent="0.2">
      <c r="B1016" s="65" t="str">
        <f>SD_Lu!$D$33&amp;" ("&amp;SD_Lu!$D$13&amp;")"</f>
        <v>Economic (LCU)</v>
      </c>
      <c r="E1016" s="53" t="str">
        <f>"("&amp;IF(DD_LVL2_ACTV_6_Input_Detail_or_Freeform=1,SERVICE_DELIVERY!$D$248,SERVICE_DELIVERY!$D$254)&amp;")"</f>
        <v>(Detailed Costing Worksheet Estimate)</v>
      </c>
    </row>
    <row r="1017" spans="1:14" s="10" customFormat="1" outlineLevel="1" x14ac:dyDescent="0.2"/>
    <row r="1018" spans="1:14" s="10" customFormat="1" outlineLevel="1" x14ac:dyDescent="0.2">
      <c r="D1018" s="49" t="str">
        <f>HL_LVL2_ACTV_6_Name</f>
        <v>Single Vaccination Service Delivery Type 1</v>
      </c>
      <c r="J1018" s="362">
        <f>IF(DD_LVL2_ACTV_6_Input_Detail_or_Freeform=1,IF(DD_LVL2_ACTV_6_Annual_Currency_Select=2,SERVICE_DELIVERY!J$251,SERVICE_DELIVERY!J$251*LVL2_ACTV_6_Exchange_Rate),IF(DD_LVL2_ACTV_6_Annual_Currency_Select=2,SERVICE_DELIVERY!J$256,SERVICE_DELIVERY!J$256*LVL2_ACTV_6_Exchange_Rate))</f>
        <v>0</v>
      </c>
      <c r="K1018" s="362">
        <f>IF(DD_LVL2_ACTV_6_Input_Detail_or_Freeform=1,IF(DD_LVL2_ACTV_6_Annual_Currency_Select=2,SERVICE_DELIVERY!K$251,SERVICE_DELIVERY!K$251*LVL2_ACTV_6_Exchange_Rate),IF(DD_LVL2_ACTV_6_Annual_Currency_Select=2,SERVICE_DELIVERY!K$256,SERVICE_DELIVERY!K$256*LVL2_ACTV_6_Exchange_Rate))</f>
        <v>0</v>
      </c>
      <c r="L1018" s="362">
        <f>IF(DD_LVL2_ACTV_6_Input_Detail_or_Freeform=1,IF(DD_LVL2_ACTV_6_Annual_Currency_Select=2,SERVICE_DELIVERY!L$251,SERVICE_DELIVERY!L$251*LVL2_ACTV_6_Exchange_Rate),IF(DD_LVL2_ACTV_6_Annual_Currency_Select=2,SERVICE_DELIVERY!L$256,SERVICE_DELIVERY!L$256*LVL2_ACTV_6_Exchange_Rate))</f>
        <v>0</v>
      </c>
      <c r="M1018" s="362">
        <f>IF(DD_LVL2_ACTV_6_Input_Detail_or_Freeform=1,IF(DD_LVL2_ACTV_6_Annual_Currency_Select=2,SERVICE_DELIVERY!M$251,SERVICE_DELIVERY!M$251*LVL2_ACTV_6_Exchange_Rate),IF(DD_LVL2_ACTV_6_Annual_Currency_Select=2,SERVICE_DELIVERY!M$256,SERVICE_DELIVERY!M$256*LVL2_ACTV_6_Exchange_Rate))</f>
        <v>0</v>
      </c>
      <c r="N1018" s="362">
        <f>IF(DD_LVL2_ACTV_6_Input_Detail_or_Freeform=1,IF(DD_LVL2_ACTV_6_Annual_Currency_Select=2,SERVICE_DELIVERY!N$251,SERVICE_DELIVERY!N$251*LVL2_ACTV_6_Exchange_Rate),IF(DD_LVL2_ACTV_6_Annual_Currency_Select=2,SERVICE_DELIVERY!N$256,SERVICE_DELIVERY!N$256*LVL2_ACTV_6_Exchange_Rate))</f>
        <v>0</v>
      </c>
    </row>
    <row r="1019" spans="1:14" s="10" customFormat="1" outlineLevel="1" x14ac:dyDescent="0.2">
      <c r="D1019" s="114" t="str">
        <f>HL_LVL2_ACTV_6_Name</f>
        <v>Single Vaccination Service Delivery Type 1</v>
      </c>
      <c r="J1019" s="43">
        <f>SUM(J1018:J1018)</f>
        <v>0</v>
      </c>
      <c r="K1019" s="43">
        <f>SUM(K1018:K1018)</f>
        <v>0</v>
      </c>
      <c r="L1019" s="43">
        <f>SUM(L1018:L1018)</f>
        <v>0</v>
      </c>
      <c r="M1019" s="43">
        <f>SUM(M1018:M1018)</f>
        <v>0</v>
      </c>
      <c r="N1019" s="43">
        <f>SUM(N1018:N1018)</f>
        <v>0</v>
      </c>
    </row>
    <row r="1020" spans="1:14" s="10" customFormat="1" outlineLevel="1" x14ac:dyDescent="0.2"/>
    <row r="1021" spans="1:14" s="10" customFormat="1" outlineLevel="1" x14ac:dyDescent="0.2">
      <c r="D1021" s="76" t="str">
        <f>Lang_GoTo&amp;" "&amp;HL_LVL2_ACTV_6_Single_Activity_Cost_Assumptions_Annual</f>
        <v>Go to Single Vaccination Service Delivery Type 1 Single Activity Cost - Annual Assumptions</v>
      </c>
    </row>
    <row r="1022" spans="1:14" s="10" customFormat="1" x14ac:dyDescent="0.2"/>
    <row r="1023" spans="1:14" s="10" customFormat="1" x14ac:dyDescent="0.2">
      <c r="A1023" s="12" t="s">
        <v>127</v>
      </c>
      <c r="B1023" s="13" t="str">
        <f>B1024&amp;" "&amp;Lang_Single_Activity_Cost_Outputs_Annual&amp;" ("&amp;Lang_International_Currency_Fin&amp;")"</f>
        <v>Single Vaccination Service Delivery Type 1 Single Activity Cost Outputs - Annual (International Currency - Financial)</v>
      </c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</row>
    <row r="1024" spans="1:14" s="10" customFormat="1" outlineLevel="1" x14ac:dyDescent="0.2">
      <c r="B1024" s="10" t="str">
        <f>HL_LVL2_ACTV_6_Name</f>
        <v>Single Vaccination Service Delivery Type 1</v>
      </c>
    </row>
    <row r="1025" spans="1:14" s="10" customFormat="1" outlineLevel="1" x14ac:dyDescent="0.2">
      <c r="B1025" s="65" t="str">
        <f>SD_Lu!$D$32&amp;" ("&amp;SD_Lu!$D$12&amp;")"</f>
        <v>Financial (USD)</v>
      </c>
      <c r="E1025" s="53" t="str">
        <f>"("&amp;IF(DD_LVL2_ACTV_6_Input_Detail_or_Freeform=1,SERVICE_DELIVERY!$D$248,SERVICE_DELIVERY!$D$254)&amp;")"</f>
        <v>(Detailed Costing Worksheet Estimate)</v>
      </c>
    </row>
    <row r="1026" spans="1:14" s="10" customFormat="1" outlineLevel="1" x14ac:dyDescent="0.2"/>
    <row r="1027" spans="1:14" s="10" customFormat="1" outlineLevel="1" x14ac:dyDescent="0.2"/>
    <row r="1028" spans="1:14" s="10" customFormat="1" outlineLevel="1" x14ac:dyDescent="0.2"/>
    <row r="1029" spans="1:14" s="10" customFormat="1" outlineLevel="1" x14ac:dyDescent="0.2">
      <c r="D1029" s="49" t="str">
        <f>HL_LVL2_ACTV_6_Name</f>
        <v>Single Vaccination Service Delivery Type 1</v>
      </c>
      <c r="J1029" s="138">
        <f>J1009/LVL2_ACTV_6_Exchange_Rate</f>
        <v>0</v>
      </c>
      <c r="K1029" s="138">
        <f>K1009/LVL2_ACTV_6_Exchange_Rate</f>
        <v>0</v>
      </c>
      <c r="L1029" s="138">
        <f>L1009/LVL2_ACTV_6_Exchange_Rate</f>
        <v>0</v>
      </c>
      <c r="M1029" s="138">
        <f>M1009/LVL2_ACTV_6_Exchange_Rate</f>
        <v>0</v>
      </c>
      <c r="N1029" s="138">
        <f>N1009/LVL2_ACTV_6_Exchange_Rate</f>
        <v>0</v>
      </c>
    </row>
    <row r="1030" spans="1:14" s="10" customFormat="1" outlineLevel="1" x14ac:dyDescent="0.2">
      <c r="D1030" s="114" t="str">
        <f>HL_LVL2_ACTV_6_Name</f>
        <v>Single Vaccination Service Delivery Type 1</v>
      </c>
      <c r="J1030" s="119">
        <f>SUM(J1029:J1029)</f>
        <v>0</v>
      </c>
      <c r="K1030" s="119">
        <f>SUM(K1029:K1029)</f>
        <v>0</v>
      </c>
      <c r="L1030" s="119">
        <f>SUM(L1029:L1029)</f>
        <v>0</v>
      </c>
      <c r="M1030" s="119">
        <f>SUM(M1029:M1029)</f>
        <v>0</v>
      </c>
      <c r="N1030" s="119">
        <f>SUM(N1029:N1029)</f>
        <v>0</v>
      </c>
    </row>
    <row r="1031" spans="1:14" s="10" customFormat="1" outlineLevel="1" x14ac:dyDescent="0.2"/>
    <row r="1032" spans="1:14" s="10" customFormat="1" outlineLevel="1" x14ac:dyDescent="0.2">
      <c r="D1032" s="76" t="str">
        <f>Lang_GoTo&amp;" "&amp;HL_LVL2_ACTV_6_Single_Activity_Cost_Assumptions_Annual</f>
        <v>Go to Single Vaccination Service Delivery Type 1 Single Activity Cost - Annual Assumptions</v>
      </c>
    </row>
    <row r="1033" spans="1:14" s="10" customFormat="1" x14ac:dyDescent="0.2"/>
    <row r="1034" spans="1:14" s="10" customFormat="1" x14ac:dyDescent="0.2">
      <c r="A1034" s="12" t="s">
        <v>127</v>
      </c>
      <c r="B1034" s="13" t="str">
        <f>B1035&amp;" "&amp;Lang_Single_Activity_Cost_Outputs_Annual&amp;" ("&amp;Lang_International_Currency_Econ&amp;")"</f>
        <v>Single Vaccination Service Delivery Type 1 Single Activity Cost Outputs - Annual (International Currency - Economic)</v>
      </c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</row>
    <row r="1035" spans="1:14" s="10" customFormat="1" outlineLevel="1" x14ac:dyDescent="0.2">
      <c r="B1035" s="10" t="str">
        <f>HL_LVL2_ACTV_6_Name</f>
        <v>Single Vaccination Service Delivery Type 1</v>
      </c>
    </row>
    <row r="1036" spans="1:14" s="10" customFormat="1" outlineLevel="1" x14ac:dyDescent="0.2">
      <c r="B1036" s="65" t="str">
        <f>SD_Lu!$D$33&amp;" ("&amp;SD_Lu!$D$12&amp;")"</f>
        <v>Economic (USD)</v>
      </c>
      <c r="E1036" s="53" t="str">
        <f>"("&amp;IF(DD_LVL2_ACTV_6_Input_Detail_or_Freeform=1,SERVICE_DELIVERY!$D$248,SERVICE_DELIVERY!$D$254)&amp;")"</f>
        <v>(Detailed Costing Worksheet Estimate)</v>
      </c>
    </row>
    <row r="1037" spans="1:14" s="10" customFormat="1" outlineLevel="1" x14ac:dyDescent="0.2"/>
    <row r="1038" spans="1:14" s="10" customFormat="1" outlineLevel="1" x14ac:dyDescent="0.2">
      <c r="D1038" s="49" t="str">
        <f>HL_LVL2_ACTV_6_Name</f>
        <v>Single Vaccination Service Delivery Type 1</v>
      </c>
      <c r="J1038" s="359">
        <f>J1018/LVL2_ACTV_6_Exchange_Rate</f>
        <v>0</v>
      </c>
      <c r="K1038" s="359">
        <f>K1018/LVL2_ACTV_6_Exchange_Rate</f>
        <v>0</v>
      </c>
      <c r="L1038" s="359">
        <f>L1018/LVL2_ACTV_6_Exchange_Rate</f>
        <v>0</v>
      </c>
      <c r="M1038" s="359">
        <f>M1018/LVL2_ACTV_6_Exchange_Rate</f>
        <v>0</v>
      </c>
      <c r="N1038" s="359">
        <f>N1018/LVL2_ACTV_6_Exchange_Rate</f>
        <v>0</v>
      </c>
    </row>
    <row r="1039" spans="1:14" s="10" customFormat="1" outlineLevel="1" x14ac:dyDescent="0.2">
      <c r="D1039" s="114" t="str">
        <f>HL_LVL2_ACTV_6_Name</f>
        <v>Single Vaccination Service Delivery Type 1</v>
      </c>
      <c r="J1039" s="116">
        <f>SUM(J1038:J1038)</f>
        <v>0</v>
      </c>
      <c r="K1039" s="116">
        <f>SUM(K1038:K1038)</f>
        <v>0</v>
      </c>
      <c r="L1039" s="116">
        <f>SUM(L1038:L1038)</f>
        <v>0</v>
      </c>
      <c r="M1039" s="116">
        <f>SUM(M1038:M1038)</f>
        <v>0</v>
      </c>
      <c r="N1039" s="116">
        <f>SUM(N1038:N1038)</f>
        <v>0</v>
      </c>
    </row>
    <row r="1040" spans="1:14" s="10" customFormat="1" outlineLevel="1" x14ac:dyDescent="0.2"/>
    <row r="1041" spans="1:14" s="10" customFormat="1" outlineLevel="1" x14ac:dyDescent="0.2">
      <c r="D1041" s="76" t="str">
        <f>Lang_GoTo&amp;" "&amp;HL_LVL2_ACTV_6_Single_Activity_Cost_Assumptions_Annual</f>
        <v>Go to Single Vaccination Service Delivery Type 1 Single Activity Cost - Annual Assumptions</v>
      </c>
    </row>
    <row r="1042" spans="1:14" s="10" customFormat="1" x14ac:dyDescent="0.2"/>
    <row r="1043" spans="1:14" s="10" customFormat="1" x14ac:dyDescent="0.2">
      <c r="A1043" s="12" t="s">
        <v>127</v>
      </c>
      <c r="B1043" s="13" t="str">
        <f>B1044&amp;" "&amp;Lang_Single_Activity_Cost_Outputs_Annual&amp;" ("&amp;Lang_Local_Currency_Fin&amp;")"</f>
        <v>Single Vaccination Service Delivery Type 2 Single Activity Cost Outputs - Annual (Local Currency - Financial)</v>
      </c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</row>
    <row r="1044" spans="1:14" s="10" customFormat="1" outlineLevel="1" x14ac:dyDescent="0.2">
      <c r="B1044" s="10" t="str">
        <f>HL_LVL2_ACTV_12_Name</f>
        <v>Single Vaccination Service Delivery Type 2</v>
      </c>
    </row>
    <row r="1045" spans="1:14" s="10" customFormat="1" outlineLevel="1" x14ac:dyDescent="0.2">
      <c r="B1045" s="65" t="str">
        <f>SD_Lu!$D$67&amp;" ("&amp;SD_Lu!$D$48&amp;")"</f>
        <v>Financial (LCU)</v>
      </c>
      <c r="E1045" s="53" t="str">
        <f>"("&amp;IF(DD_LVL2_ACTV_12_Input_Detail_or_Freeform=1,SERVICE_DELIVERY!$D$272,SERVICE_DELIVERY!$D$278)&amp;")"</f>
        <v>(Detailed Costing Worksheet Estimate)</v>
      </c>
    </row>
    <row r="1046" spans="1:14" s="10" customFormat="1" outlineLevel="1" x14ac:dyDescent="0.2"/>
    <row r="1047" spans="1:14" s="10" customFormat="1" outlineLevel="1" x14ac:dyDescent="0.2">
      <c r="D1047" s="49" t="str">
        <f>HL_LVL2_ACTV_12_Name</f>
        <v>Single Vaccination Service Delivery Type 2</v>
      </c>
      <c r="J1047" s="362">
        <f>IF(DD_LVL2_ACTV_12_Input_Detail_or_Freeform=1,IF(DD_LVL2_ACTV_12_Annual_Currency_Select=2,SERVICE_DELIVERY!J$274,SERVICE_DELIVERY!J$274*LVL2_ACTV_12_Exchange_Rate),IF(DD_LVL2_ACTV_12_Annual_Currency_Select=2,SERVICE_DELIVERY!J$279,SERVICE_DELIVERY!J$279*LVL2_ACTV_12_Exchange_Rate))</f>
        <v>0</v>
      </c>
      <c r="K1047" s="362">
        <f>IF(DD_LVL2_ACTV_12_Input_Detail_or_Freeform=1,IF(DD_LVL2_ACTV_12_Annual_Currency_Select=2,SERVICE_DELIVERY!K$274,SERVICE_DELIVERY!K$274*LVL2_ACTV_12_Exchange_Rate),IF(DD_LVL2_ACTV_12_Annual_Currency_Select=2,SERVICE_DELIVERY!K$279,SERVICE_DELIVERY!K$279*LVL2_ACTV_12_Exchange_Rate))</f>
        <v>0</v>
      </c>
      <c r="L1047" s="362">
        <f>IF(DD_LVL2_ACTV_12_Input_Detail_or_Freeform=1,IF(DD_LVL2_ACTV_12_Annual_Currency_Select=2,SERVICE_DELIVERY!L$274,SERVICE_DELIVERY!L$274*LVL2_ACTV_12_Exchange_Rate),IF(DD_LVL2_ACTV_12_Annual_Currency_Select=2,SERVICE_DELIVERY!L$279,SERVICE_DELIVERY!L$279*LVL2_ACTV_12_Exchange_Rate))</f>
        <v>0</v>
      </c>
      <c r="M1047" s="362">
        <f>IF(DD_LVL2_ACTV_12_Input_Detail_or_Freeform=1,IF(DD_LVL2_ACTV_12_Annual_Currency_Select=2,SERVICE_DELIVERY!M$274,SERVICE_DELIVERY!M$274*LVL2_ACTV_12_Exchange_Rate),IF(DD_LVL2_ACTV_12_Annual_Currency_Select=2,SERVICE_DELIVERY!M$279,SERVICE_DELIVERY!M$279*LVL2_ACTV_12_Exchange_Rate))</f>
        <v>0</v>
      </c>
      <c r="N1047" s="362">
        <f>IF(DD_LVL2_ACTV_12_Input_Detail_or_Freeform=1,IF(DD_LVL2_ACTV_12_Annual_Currency_Select=2,SERVICE_DELIVERY!N$274,SERVICE_DELIVERY!N$274*LVL2_ACTV_12_Exchange_Rate),IF(DD_LVL2_ACTV_12_Annual_Currency_Select=2,SERVICE_DELIVERY!N$279,SERVICE_DELIVERY!N$279*LVL2_ACTV_12_Exchange_Rate))</f>
        <v>0</v>
      </c>
    </row>
    <row r="1048" spans="1:14" s="10" customFormat="1" outlineLevel="1" x14ac:dyDescent="0.2">
      <c r="D1048" s="114" t="str">
        <f>HL_LVL2_ACTV_12_Name</f>
        <v>Single Vaccination Service Delivery Type 2</v>
      </c>
      <c r="J1048" s="43">
        <f>SUM(J1047:J1047)</f>
        <v>0</v>
      </c>
      <c r="K1048" s="43">
        <f>SUM(K1047:K1047)</f>
        <v>0</v>
      </c>
      <c r="L1048" s="43">
        <f>SUM(L1047:L1047)</f>
        <v>0</v>
      </c>
      <c r="M1048" s="43">
        <f>SUM(M1047:M1047)</f>
        <v>0</v>
      </c>
      <c r="N1048" s="43">
        <f>SUM(N1047:N1047)</f>
        <v>0</v>
      </c>
    </row>
    <row r="1049" spans="1:14" s="10" customFormat="1" outlineLevel="1" x14ac:dyDescent="0.2">
      <c r="J1049"/>
    </row>
    <row r="1050" spans="1:14" s="10" customFormat="1" outlineLevel="1" x14ac:dyDescent="0.2">
      <c r="D1050" s="76" t="str">
        <f>Lang_GoTo&amp;" "&amp;HL_LVL2_ACTV_12_Single_Activity_Cost_Assumptions_Annual</f>
        <v>Go to Single Vaccination Service Delivery Type 2 Single Activity Cost - Annual Assumptions</v>
      </c>
    </row>
    <row r="1051" spans="1:14" s="10" customFormat="1" x14ac:dyDescent="0.2"/>
    <row r="1052" spans="1:14" s="10" customFormat="1" x14ac:dyDescent="0.2">
      <c r="A1052" s="12" t="s">
        <v>127</v>
      </c>
      <c r="B1052" s="13" t="str">
        <f>B1053&amp;" "&amp;Lang_Single_Activity_Cost_Outputs_Annual&amp;" ("&amp;Lang_Local_Currency_Econ&amp;")"</f>
        <v>Single Vaccination Service Delivery Type 2 Single Activity Cost Outputs - Annual (Local Currency - Economic)</v>
      </c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</row>
    <row r="1053" spans="1:14" s="10" customFormat="1" outlineLevel="1" x14ac:dyDescent="0.2">
      <c r="B1053" s="10" t="str">
        <f>HL_LVL2_ACTV_12_Name</f>
        <v>Single Vaccination Service Delivery Type 2</v>
      </c>
    </row>
    <row r="1054" spans="1:14" s="10" customFormat="1" outlineLevel="1" x14ac:dyDescent="0.2">
      <c r="B1054" s="65" t="str">
        <f>SD_Lu!$D$68&amp;" ("&amp;SD_Lu!$D$48&amp;")"</f>
        <v>Economic (LCU)</v>
      </c>
      <c r="E1054" s="53" t="str">
        <f>"("&amp;IF(DD_LVL2_ACTV_12_Input_Detail_or_Freeform=1,SERVICE_DELIVERY!$D$272,SERVICE_DELIVERY!$D$278)&amp;")"</f>
        <v>(Detailed Costing Worksheet Estimate)</v>
      </c>
    </row>
    <row r="1055" spans="1:14" s="10" customFormat="1" outlineLevel="1" x14ac:dyDescent="0.2"/>
    <row r="1056" spans="1:14" s="10" customFormat="1" outlineLevel="1" x14ac:dyDescent="0.2">
      <c r="D1056" s="49" t="str">
        <f>HL_LVL2_ACTV_12_Name</f>
        <v>Single Vaccination Service Delivery Type 2</v>
      </c>
      <c r="J1056" s="362">
        <f>IF(DD_LVL2_ACTV_12_Input_Detail_or_Freeform=1,IF(DD_LVL2_ACTV_12_Annual_Currency_Select=2,SERVICE_DELIVERY!J$275,SERVICE_DELIVERY!J$275*LVL2_ACTV_12_Exchange_Rate),IF(DD_LVL2_ACTV_12_Annual_Currency_Select=2,SERVICE_DELIVERY!J$280,SERVICE_DELIVERY!J$280*LVL2_ACTV_12_Exchange_Rate))</f>
        <v>0</v>
      </c>
      <c r="K1056" s="362">
        <f>IF(DD_LVL2_ACTV_12_Input_Detail_or_Freeform=1,IF(DD_LVL2_ACTV_12_Annual_Currency_Select=2,SERVICE_DELIVERY!K$275,SERVICE_DELIVERY!K$275*LVL2_ACTV_12_Exchange_Rate),IF(DD_LVL2_ACTV_12_Annual_Currency_Select=2,SERVICE_DELIVERY!K$280,SERVICE_DELIVERY!K$280*LVL2_ACTV_12_Exchange_Rate))</f>
        <v>0</v>
      </c>
      <c r="L1056" s="362">
        <f>IF(DD_LVL2_ACTV_12_Input_Detail_or_Freeform=1,IF(DD_LVL2_ACTV_12_Annual_Currency_Select=2,SERVICE_DELIVERY!L$275,SERVICE_DELIVERY!L$275*LVL2_ACTV_12_Exchange_Rate),IF(DD_LVL2_ACTV_12_Annual_Currency_Select=2,SERVICE_DELIVERY!L$280,SERVICE_DELIVERY!L$280*LVL2_ACTV_12_Exchange_Rate))</f>
        <v>0</v>
      </c>
      <c r="M1056" s="362">
        <f>IF(DD_LVL2_ACTV_12_Input_Detail_or_Freeform=1,IF(DD_LVL2_ACTV_12_Annual_Currency_Select=2,SERVICE_DELIVERY!M$275,SERVICE_DELIVERY!M$275*LVL2_ACTV_12_Exchange_Rate),IF(DD_LVL2_ACTV_12_Annual_Currency_Select=2,SERVICE_DELIVERY!M$280,SERVICE_DELIVERY!M$280*LVL2_ACTV_12_Exchange_Rate))</f>
        <v>0</v>
      </c>
      <c r="N1056" s="362">
        <f>IF(DD_LVL2_ACTV_12_Input_Detail_or_Freeform=1,IF(DD_LVL2_ACTV_12_Annual_Currency_Select=2,SERVICE_DELIVERY!N$275,SERVICE_DELIVERY!N$275*LVL2_ACTV_12_Exchange_Rate),IF(DD_LVL2_ACTV_12_Annual_Currency_Select=2,SERVICE_DELIVERY!N$280,SERVICE_DELIVERY!N$280*LVL2_ACTV_12_Exchange_Rate))</f>
        <v>0</v>
      </c>
    </row>
    <row r="1057" spans="1:14" s="10" customFormat="1" outlineLevel="1" x14ac:dyDescent="0.2">
      <c r="D1057" s="114" t="str">
        <f>HL_LVL2_ACTV_12_Name</f>
        <v>Single Vaccination Service Delivery Type 2</v>
      </c>
      <c r="J1057" s="43">
        <f>SUM(J1056:J1056)</f>
        <v>0</v>
      </c>
      <c r="K1057" s="43">
        <f>SUM(K1056:K1056)</f>
        <v>0</v>
      </c>
      <c r="L1057" s="43">
        <f>SUM(L1056:L1056)</f>
        <v>0</v>
      </c>
      <c r="M1057" s="43">
        <f>SUM(M1056:M1056)</f>
        <v>0</v>
      </c>
      <c r="N1057" s="43">
        <f>SUM(N1056:N1056)</f>
        <v>0</v>
      </c>
    </row>
    <row r="1058" spans="1:14" s="10" customFormat="1" outlineLevel="1" x14ac:dyDescent="0.2"/>
    <row r="1059" spans="1:14" s="10" customFormat="1" outlineLevel="1" x14ac:dyDescent="0.2">
      <c r="D1059" s="76" t="str">
        <f>Lang_GoTo&amp;" "&amp;HL_LVL2_ACTV_12_Single_Activity_Cost_Assumptions_Annual</f>
        <v>Go to Single Vaccination Service Delivery Type 2 Single Activity Cost - Annual Assumptions</v>
      </c>
    </row>
    <row r="1060" spans="1:14" s="10" customFormat="1" x14ac:dyDescent="0.2"/>
    <row r="1061" spans="1:14" s="10" customFormat="1" x14ac:dyDescent="0.2">
      <c r="A1061" s="12" t="s">
        <v>127</v>
      </c>
      <c r="B1061" s="13" t="str">
        <f>B1062&amp;" "&amp;Lang_Single_Activity_Cost_Outputs_Annual&amp;" ("&amp;Lang_International_Currency_Fin&amp;")"</f>
        <v>Single Vaccination Service Delivery Type 2 Single Activity Cost Outputs - Annual (International Currency - Financial)</v>
      </c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</row>
    <row r="1062" spans="1:14" s="10" customFormat="1" outlineLevel="1" x14ac:dyDescent="0.2">
      <c r="B1062" s="10" t="str">
        <f>HL_LVL2_ACTV_12_Name</f>
        <v>Single Vaccination Service Delivery Type 2</v>
      </c>
    </row>
    <row r="1063" spans="1:14" s="10" customFormat="1" outlineLevel="1" x14ac:dyDescent="0.2">
      <c r="B1063" s="65" t="str">
        <f>SD_Lu!$D$67&amp;" ("&amp;SD_Lu!$D$47&amp;")"</f>
        <v>Financial (USD)</v>
      </c>
      <c r="E1063" s="53" t="str">
        <f>"("&amp;IF(DD_LVL2_ACTV_12_Input_Detail_or_Freeform=1,SERVICE_DELIVERY!$D$272,SERVICE_DELIVERY!$D$278)&amp;")"</f>
        <v>(Detailed Costing Worksheet Estimate)</v>
      </c>
    </row>
    <row r="1064" spans="1:14" s="10" customFormat="1" outlineLevel="1" x14ac:dyDescent="0.2"/>
    <row r="1065" spans="1:14" s="10" customFormat="1" outlineLevel="1" x14ac:dyDescent="0.2">
      <c r="D1065" s="49" t="str">
        <f>HL_LVL2_ACTV_12_Name</f>
        <v>Single Vaccination Service Delivery Type 2</v>
      </c>
      <c r="J1065" s="138">
        <f>J1047/LVL2_ACTV_12_Exchange_Rate</f>
        <v>0</v>
      </c>
      <c r="K1065" s="138">
        <f>K1047/LVL2_ACTV_12_Exchange_Rate</f>
        <v>0</v>
      </c>
      <c r="L1065" s="138">
        <f>L1047/LVL2_ACTV_12_Exchange_Rate</f>
        <v>0</v>
      </c>
      <c r="M1065" s="138">
        <f>M1047/LVL2_ACTV_12_Exchange_Rate</f>
        <v>0</v>
      </c>
      <c r="N1065" s="138">
        <f>N1047/LVL2_ACTV_12_Exchange_Rate</f>
        <v>0</v>
      </c>
    </row>
    <row r="1066" spans="1:14" s="10" customFormat="1" outlineLevel="1" x14ac:dyDescent="0.2">
      <c r="D1066" s="114" t="str">
        <f>HL_LVL2_ACTV_12_Name</f>
        <v>Single Vaccination Service Delivery Type 2</v>
      </c>
      <c r="J1066" s="143">
        <f>SUM(J1065:J1065)</f>
        <v>0</v>
      </c>
      <c r="K1066" s="143">
        <f>SUM(K1065:K1065)</f>
        <v>0</v>
      </c>
      <c r="L1066" s="143">
        <f>SUM(L1065:L1065)</f>
        <v>0</v>
      </c>
      <c r="M1066" s="143">
        <f>SUM(M1065:M1065)</f>
        <v>0</v>
      </c>
      <c r="N1066" s="143">
        <f>SUM(N1065:N1065)</f>
        <v>0</v>
      </c>
    </row>
    <row r="1067" spans="1:14" s="10" customFormat="1" outlineLevel="1" x14ac:dyDescent="0.2"/>
    <row r="1068" spans="1:14" s="10" customFormat="1" outlineLevel="1" x14ac:dyDescent="0.2">
      <c r="D1068" s="76" t="str">
        <f>Lang_GoTo&amp;" "&amp;HL_LVL2_ACTV_12_Single_Activity_Cost_Assumptions_Annual</f>
        <v>Go to Single Vaccination Service Delivery Type 2 Single Activity Cost - Annual Assumptions</v>
      </c>
    </row>
    <row r="1069" spans="1:14" s="10" customFormat="1" x14ac:dyDescent="0.2"/>
    <row r="1070" spans="1:14" s="10" customFormat="1" x14ac:dyDescent="0.2">
      <c r="A1070" s="12" t="s">
        <v>127</v>
      </c>
      <c r="B1070" s="13" t="str">
        <f>B1071&amp;" "&amp;Lang_Single_Activity_Cost_Outputs_Annual&amp;" ("&amp;Lang_International_Currency_Econ&amp;")"</f>
        <v>Single Vaccination Service Delivery Type 2 Single Activity Cost Outputs - Annual (International Currency - Economic)</v>
      </c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</row>
    <row r="1071" spans="1:14" s="10" customFormat="1" outlineLevel="1" x14ac:dyDescent="0.2">
      <c r="B1071" s="10" t="str">
        <f>HL_LVL2_ACTV_12_Name</f>
        <v>Single Vaccination Service Delivery Type 2</v>
      </c>
    </row>
    <row r="1072" spans="1:14" s="10" customFormat="1" outlineLevel="1" x14ac:dyDescent="0.2">
      <c r="B1072" s="65" t="str">
        <f>SD_Lu!$D$68&amp;" ("&amp;SD_Lu!$D$47&amp;")"</f>
        <v>Economic (USD)</v>
      </c>
      <c r="E1072" s="53" t="str">
        <f>"("&amp;IF(DD_LVL2_ACTV_12_Input_Detail_or_Freeform=1,SERVICE_DELIVERY!$D$272,SERVICE_DELIVERY!$D$278)&amp;")"</f>
        <v>(Detailed Costing Worksheet Estimate)</v>
      </c>
    </row>
    <row r="1073" spans="1:14" s="10" customFormat="1" outlineLevel="1" x14ac:dyDescent="0.2"/>
    <row r="1074" spans="1:14" s="10" customFormat="1" outlineLevel="1" x14ac:dyDescent="0.2">
      <c r="D1074" s="49" t="str">
        <f>HL_LVL2_ACTV_12_Name</f>
        <v>Single Vaccination Service Delivery Type 2</v>
      </c>
      <c r="J1074" s="138">
        <f>J1056/LVL2_ACTV_12_Exchange_Rate</f>
        <v>0</v>
      </c>
      <c r="K1074" s="138">
        <f>K1056/LVL2_ACTV_12_Exchange_Rate</f>
        <v>0</v>
      </c>
      <c r="L1074" s="138">
        <f>L1056/LVL2_ACTV_12_Exchange_Rate</f>
        <v>0</v>
      </c>
      <c r="M1074" s="138">
        <f>M1056/LVL2_ACTV_12_Exchange_Rate</f>
        <v>0</v>
      </c>
      <c r="N1074" s="138">
        <f>N1056/LVL2_ACTV_12_Exchange_Rate</f>
        <v>0</v>
      </c>
    </row>
    <row r="1075" spans="1:14" s="10" customFormat="1" outlineLevel="1" x14ac:dyDescent="0.2">
      <c r="D1075" s="114" t="str">
        <f>HL_LVL2_ACTV_12_Name</f>
        <v>Single Vaccination Service Delivery Type 2</v>
      </c>
      <c r="J1075" s="143">
        <f>SUM(J1074:J1074)</f>
        <v>0</v>
      </c>
      <c r="K1075" s="143">
        <f>SUM(K1074:K1074)</f>
        <v>0</v>
      </c>
      <c r="L1075" s="143">
        <f>SUM(L1074:L1074)</f>
        <v>0</v>
      </c>
      <c r="M1075" s="143">
        <f>SUM(M1074:M1074)</f>
        <v>0</v>
      </c>
      <c r="N1075" s="143">
        <f>SUM(N1074:N1074)</f>
        <v>0</v>
      </c>
    </row>
    <row r="1076" spans="1:14" s="10" customFormat="1" outlineLevel="1" x14ac:dyDescent="0.2"/>
    <row r="1077" spans="1:14" s="10" customFormat="1" outlineLevel="1" x14ac:dyDescent="0.2">
      <c r="D1077" s="76" t="str">
        <f>Lang_GoTo&amp;" "&amp;HL_LVL2_ACTV_12_Single_Activity_Cost_Assumptions_Annual</f>
        <v>Go to Single Vaccination Service Delivery Type 2 Single Activity Cost - Annual Assumptions</v>
      </c>
    </row>
    <row r="1078" spans="1:14" s="10" customFormat="1" x14ac:dyDescent="0.2"/>
    <row r="1079" spans="1:14" s="10" customFormat="1" x14ac:dyDescent="0.2">
      <c r="A1079" s="12" t="s">
        <v>127</v>
      </c>
      <c r="B1079" s="13" t="str">
        <f>B1080&amp;" "&amp;Lang_Single_Activity_Cost_Outputs_Annual&amp;" ("&amp;Lang_Local_Currency_Fin&amp;")"</f>
        <v>Small Group Vaccination Activity (30 people vaccinated) Single Activity Cost Outputs - Annual (Local Currency - Financial)</v>
      </c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</row>
    <row r="1080" spans="1:14" s="10" customFormat="1" outlineLevel="1" x14ac:dyDescent="0.2">
      <c r="B1080" s="10" t="str">
        <f>HL_LVL2_ACTV_13_Name</f>
        <v>Small Group Vaccination Activity (30 people vaccinated)</v>
      </c>
    </row>
    <row r="1081" spans="1:14" s="10" customFormat="1" outlineLevel="1" x14ac:dyDescent="0.2">
      <c r="B1081" s="65" t="str">
        <f>SD_Lu!$D$102&amp;" ("&amp;SD_Lu!$D$83&amp;")"</f>
        <v>Financial (LCU)</v>
      </c>
      <c r="E1081" s="53" t="str">
        <f>"("&amp;IF(DD_LVL2_ACTV_13_Input_Detail_or_Freeform=1,SERVICE_DELIVERY!$D$296,SERVICE_DELIVERY!$D$302)&amp;")"</f>
        <v>(Detailed Costing Worksheet Estimate)</v>
      </c>
    </row>
    <row r="1082" spans="1:14" s="10" customFormat="1" outlineLevel="1" x14ac:dyDescent="0.2"/>
    <row r="1083" spans="1:14" s="10" customFormat="1" outlineLevel="1" x14ac:dyDescent="0.2">
      <c r="D1083" s="49" t="str">
        <f>SERVICE_DELIVERY!D298</f>
        <v>Financial Cost of a Single Small Group Vaccination Activity (30 people vaccinated) Activity</v>
      </c>
      <c r="J1083" s="108">
        <f>IF(DD_LVL2_ACTV_13_Input_Detail_or_Freeform=1,IF(DD_LVL2_ACTV_13_Annual_Currency_Select=2,SERVICE_DELIVERY!J$298,SERVICE_DELIVERY!J$298*LVL2_ACTV_13_Exchange_Rate),IF(DD_LVL2_ACTV_13_Annual_Currency_Select=2,SERVICE_DELIVERY!J$303,SERVICE_DELIVERY!J$303*LVL2_ACTV_13_Exchange_Rate))</f>
        <v>0</v>
      </c>
      <c r="K1083" s="108">
        <f>IF(DD_LVL2_ACTV_13_Input_Detail_or_Freeform=1,IF(DD_LVL2_ACTV_13_Annual_Currency_Select=2,SERVICE_DELIVERY!K$298,SERVICE_DELIVERY!K$298*LVL2_ACTV_13_Exchange_Rate),IF(DD_LVL2_ACTV_13_Annual_Currency_Select=2,SERVICE_DELIVERY!K$303,SERVICE_DELIVERY!K$303*LVL2_ACTV_13_Exchange_Rate))</f>
        <v>0</v>
      </c>
      <c r="L1083" s="108">
        <f>IF(DD_LVL2_ACTV_13_Input_Detail_or_Freeform=1,IF(DD_LVL2_ACTV_13_Annual_Currency_Select=2,SERVICE_DELIVERY!L$298,SERVICE_DELIVERY!L$298*LVL2_ACTV_13_Exchange_Rate),IF(DD_LVL2_ACTV_13_Annual_Currency_Select=2,SERVICE_DELIVERY!L$303,SERVICE_DELIVERY!L$303*LVL2_ACTV_13_Exchange_Rate))</f>
        <v>0</v>
      </c>
      <c r="M1083" s="108">
        <f>IF(DD_LVL2_ACTV_13_Input_Detail_or_Freeform=1,IF(DD_LVL2_ACTV_13_Annual_Currency_Select=2,SERVICE_DELIVERY!M$298,SERVICE_DELIVERY!M$298*LVL2_ACTV_13_Exchange_Rate),IF(DD_LVL2_ACTV_13_Annual_Currency_Select=2,SERVICE_DELIVERY!M$303,SERVICE_DELIVERY!M$303*LVL2_ACTV_13_Exchange_Rate))</f>
        <v>0</v>
      </c>
      <c r="N1083" s="108">
        <f>IF(DD_LVL2_ACTV_13_Input_Detail_or_Freeform=1,IF(DD_LVL2_ACTV_13_Annual_Currency_Select=2,SERVICE_DELIVERY!N$298,SERVICE_DELIVERY!N$298*LVL2_ACTV_13_Exchange_Rate),IF(DD_LVL2_ACTV_13_Annual_Currency_Select=2,SERVICE_DELIVERY!N$303,SERVICE_DELIVERY!N$303*LVL2_ACTV_13_Exchange_Rate))</f>
        <v>0</v>
      </c>
    </row>
    <row r="1084" spans="1:14" s="10" customFormat="1" outlineLevel="1" x14ac:dyDescent="0.2"/>
    <row r="1085" spans="1:14" s="10" customFormat="1" outlineLevel="1" x14ac:dyDescent="0.2">
      <c r="D1085" s="76" t="str">
        <f>Lang_GoTo&amp;" "&amp;HL_LVL2_ACTV_13_Single_Activity_Cost_Assumptions_Annual</f>
        <v>Go to Small Group Vaccination Activity (30 people vaccinated) Single Activity Cost - Annual Assumptions</v>
      </c>
    </row>
    <row r="1086" spans="1:14" s="10" customFormat="1" x14ac:dyDescent="0.2"/>
    <row r="1087" spans="1:14" s="10" customFormat="1" x14ac:dyDescent="0.2">
      <c r="A1087" s="12" t="s">
        <v>127</v>
      </c>
      <c r="B1087" s="13" t="str">
        <f>B1088&amp;" "&amp;Lang_Single_Activity_Cost_Outputs_Annual&amp;" ("&amp;Lang_Local_Currency_Econ&amp;")"</f>
        <v>Small Group Vaccination Activity (30 people vaccinated) Single Activity Cost Outputs - Annual (Local Currency - Economic)</v>
      </c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</row>
    <row r="1088" spans="1:14" s="10" customFormat="1" outlineLevel="1" x14ac:dyDescent="0.2">
      <c r="B1088" s="10" t="str">
        <f>HL_LVL2_ACTV_13_Name</f>
        <v>Small Group Vaccination Activity (30 people vaccinated)</v>
      </c>
    </row>
    <row r="1089" spans="1:14" s="10" customFormat="1" outlineLevel="1" x14ac:dyDescent="0.2">
      <c r="B1089" s="65" t="str">
        <f>SD_Lu!$D$103&amp;" ("&amp;SD_Lu!$D$83&amp;")"</f>
        <v>Economic (LCU)</v>
      </c>
      <c r="E1089" s="53" t="str">
        <f>"("&amp;IF(DD_LVL2_ACTV_13_Input_Detail_or_Freeform=1,SERVICE_DELIVERY!$D$296,SERVICE_DELIVERY!$D$302)&amp;")"</f>
        <v>(Detailed Costing Worksheet Estimate)</v>
      </c>
    </row>
    <row r="1090" spans="1:14" s="10" customFormat="1" outlineLevel="1" x14ac:dyDescent="0.2"/>
    <row r="1091" spans="1:14" s="10" customFormat="1" outlineLevel="1" x14ac:dyDescent="0.2">
      <c r="D1091" s="49" t="str">
        <f>SERVICE_DELIVERY!D299</f>
        <v>Economic Cost of a Single Small Group Vaccination Activity (30 people vaccinated) Activity</v>
      </c>
      <c r="J1091" s="108">
        <f>IF(DD_LVL2_ACTV_13_Input_Detail_or_Freeform=1,IF(DD_LVL2_ACTV_13_Annual_Currency_Select=2,SERVICE_DELIVERY!J$299,SERVICE_DELIVERY!J$299*LVL2_ACTV_13_Exchange_Rate),IF(DD_LVL2_ACTV_13_Annual_Currency_Select=2,SERVICE_DELIVERY!J$304,SERVICE_DELIVERY!J$304*LVL2_ACTV_13_Exchange_Rate))</f>
        <v>0</v>
      </c>
      <c r="K1091" s="108">
        <f>IF(DD_LVL2_ACTV_13_Input_Detail_or_Freeform=1,IF(DD_LVL2_ACTV_13_Annual_Currency_Select=2,SERVICE_DELIVERY!K$299,SERVICE_DELIVERY!K$299*LVL2_ACTV_13_Exchange_Rate),IF(DD_LVL2_ACTV_13_Annual_Currency_Select=2,SERVICE_DELIVERY!K$304,SERVICE_DELIVERY!K$304*LVL2_ACTV_13_Exchange_Rate))</f>
        <v>0</v>
      </c>
      <c r="L1091" s="108">
        <f>IF(DD_LVL2_ACTV_13_Input_Detail_or_Freeform=1,IF(DD_LVL2_ACTV_13_Annual_Currency_Select=2,SERVICE_DELIVERY!L$299,SERVICE_DELIVERY!L$299*LVL2_ACTV_13_Exchange_Rate),IF(DD_LVL2_ACTV_13_Annual_Currency_Select=2,SERVICE_DELIVERY!L$304,SERVICE_DELIVERY!L$304*LVL2_ACTV_13_Exchange_Rate))</f>
        <v>0</v>
      </c>
      <c r="M1091" s="108">
        <f>IF(DD_LVL2_ACTV_13_Input_Detail_or_Freeform=1,IF(DD_LVL2_ACTV_13_Annual_Currency_Select=2,SERVICE_DELIVERY!M$299,SERVICE_DELIVERY!M$299*LVL2_ACTV_13_Exchange_Rate),IF(DD_LVL2_ACTV_13_Annual_Currency_Select=2,SERVICE_DELIVERY!M$304,SERVICE_DELIVERY!M$304*LVL2_ACTV_13_Exchange_Rate))</f>
        <v>0</v>
      </c>
      <c r="N1091" s="108">
        <f>IF(DD_LVL2_ACTV_13_Input_Detail_or_Freeform=1,IF(DD_LVL2_ACTV_13_Annual_Currency_Select=2,SERVICE_DELIVERY!N$299,SERVICE_DELIVERY!N$299*LVL2_ACTV_13_Exchange_Rate),IF(DD_LVL2_ACTV_13_Annual_Currency_Select=2,SERVICE_DELIVERY!N$304,SERVICE_DELIVERY!N$304*LVL2_ACTV_13_Exchange_Rate))</f>
        <v>0</v>
      </c>
    </row>
    <row r="1092" spans="1:14" s="10" customFormat="1" outlineLevel="1" x14ac:dyDescent="0.2"/>
    <row r="1093" spans="1:14" s="10" customFormat="1" outlineLevel="1" x14ac:dyDescent="0.2">
      <c r="D1093" s="76" t="str">
        <f>Lang_GoTo&amp;" "&amp;HL_LVL2_ACTV_13_Single_Activity_Cost_Assumptions_Annual</f>
        <v>Go to Small Group Vaccination Activity (30 people vaccinated) Single Activity Cost - Annual Assumptions</v>
      </c>
    </row>
    <row r="1094" spans="1:14" s="10" customFormat="1" x14ac:dyDescent="0.2"/>
    <row r="1095" spans="1:14" s="10" customFormat="1" x14ac:dyDescent="0.2">
      <c r="A1095" s="12" t="s">
        <v>127</v>
      </c>
      <c r="B1095" s="13" t="str">
        <f>B1096&amp;" "&amp;Lang_Single_Activity_Cost_Outputs_Annual&amp;" ("&amp;Lang_International_Currency_Fin&amp;")"</f>
        <v>Small Group Vaccination Activity (30 people vaccinated) Single Activity Cost Outputs - Annual (International Currency - Financial)</v>
      </c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</row>
    <row r="1096" spans="1:14" s="10" customFormat="1" outlineLevel="1" x14ac:dyDescent="0.2">
      <c r="B1096" s="10" t="str">
        <f>HL_LVL2_ACTV_13_Name</f>
        <v>Small Group Vaccination Activity (30 people vaccinated)</v>
      </c>
    </row>
    <row r="1097" spans="1:14" s="10" customFormat="1" outlineLevel="1" x14ac:dyDescent="0.2">
      <c r="B1097" s="65" t="str">
        <f>SD_Lu!$D$102&amp;" ("&amp;SD_Lu!$D$82&amp;")"</f>
        <v>Financial (USD)</v>
      </c>
      <c r="E1097" s="53" t="str">
        <f>"("&amp;IF(DD_LVL2_ACTV_13_Input_Detail_or_Freeform=1,SERVICE_DELIVERY!$D$296,SERVICE_DELIVERY!$D$302)&amp;")"</f>
        <v>(Detailed Costing Worksheet Estimate)</v>
      </c>
    </row>
    <row r="1098" spans="1:14" outlineLevel="1" x14ac:dyDescent="0.2"/>
    <row r="1099" spans="1:14" s="10" customFormat="1" outlineLevel="1" x14ac:dyDescent="0.2">
      <c r="D1099" s="49" t="str">
        <f>SERVICE_DELIVERY!D298</f>
        <v>Financial Cost of a Single Small Group Vaccination Activity (30 people vaccinated) Activity</v>
      </c>
      <c r="J1099" s="116">
        <f>J1083/LVL2_ACTV_13_Exchange_Rate</f>
        <v>0</v>
      </c>
      <c r="K1099" s="116">
        <f>K1083/LVL2_ACTV_13_Exchange_Rate</f>
        <v>0</v>
      </c>
      <c r="L1099" s="116">
        <f>L1083/LVL2_ACTV_13_Exchange_Rate</f>
        <v>0</v>
      </c>
      <c r="M1099" s="116">
        <f>M1083/LVL2_ACTV_13_Exchange_Rate</f>
        <v>0</v>
      </c>
      <c r="N1099" s="116">
        <f>N1083/LVL2_ACTV_13_Exchange_Rate</f>
        <v>0</v>
      </c>
    </row>
    <row r="1100" spans="1:14" s="10" customFormat="1" outlineLevel="1" x14ac:dyDescent="0.2"/>
    <row r="1101" spans="1:14" s="10" customFormat="1" outlineLevel="1" x14ac:dyDescent="0.2">
      <c r="D1101" s="76" t="str">
        <f>Lang_GoTo&amp;" "&amp;HL_LVL2_ACTV_13_Single_Activity_Cost_Assumptions_Annual</f>
        <v>Go to Small Group Vaccination Activity (30 people vaccinated) Single Activity Cost - Annual Assumptions</v>
      </c>
    </row>
    <row r="1102" spans="1:14" s="10" customFormat="1" x14ac:dyDescent="0.2"/>
    <row r="1103" spans="1:14" s="10" customFormat="1" x14ac:dyDescent="0.2">
      <c r="A1103" s="12" t="s">
        <v>127</v>
      </c>
      <c r="B1103" s="13" t="str">
        <f>B1104&amp;" "&amp;Lang_Single_Activity_Cost_Outputs_Annual&amp;" ("&amp;Lang_International_Currency_Econ&amp;")"</f>
        <v>Small Group Vaccination Activity (30 people vaccinated) Single Activity Cost Outputs - Annual (International Currency - Economic)</v>
      </c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</row>
    <row r="1104" spans="1:14" s="10" customFormat="1" outlineLevel="1" x14ac:dyDescent="0.2">
      <c r="B1104" s="10" t="str">
        <f>HL_LVL2_ACTV_13_Name</f>
        <v>Small Group Vaccination Activity (30 people vaccinated)</v>
      </c>
    </row>
    <row r="1105" spans="1:14" s="10" customFormat="1" outlineLevel="1" x14ac:dyDescent="0.2">
      <c r="B1105" s="65" t="str">
        <f>SD_Lu!$D$103&amp;" ("&amp;SD_Lu!$D$82&amp;")"</f>
        <v>Economic (USD)</v>
      </c>
      <c r="E1105" s="53" t="str">
        <f>"("&amp;IF(DD_LVL2_ACTV_13_Input_Detail_or_Freeform=1,SERVICE_DELIVERY!$D$296,SERVICE_DELIVERY!$D$302)&amp;")"</f>
        <v>(Detailed Costing Worksheet Estimate)</v>
      </c>
    </row>
    <row r="1106" spans="1:14" outlineLevel="1" x14ac:dyDescent="0.2"/>
    <row r="1107" spans="1:14" s="10" customFormat="1" outlineLevel="1" x14ac:dyDescent="0.2">
      <c r="D1107" s="49" t="str">
        <f>SERVICE_DELIVERY!D299</f>
        <v>Economic Cost of a Single Small Group Vaccination Activity (30 people vaccinated) Activity</v>
      </c>
      <c r="J1107" s="116">
        <f>J1091/LVL2_ACTV_13_Exchange_Rate</f>
        <v>0</v>
      </c>
      <c r="K1107" s="116">
        <f>K1091/LVL2_ACTV_13_Exchange_Rate</f>
        <v>0</v>
      </c>
      <c r="L1107" s="116">
        <f>L1091/LVL2_ACTV_13_Exchange_Rate</f>
        <v>0</v>
      </c>
      <c r="M1107" s="116">
        <f>M1091/LVL2_ACTV_13_Exchange_Rate</f>
        <v>0</v>
      </c>
      <c r="N1107" s="116">
        <f>N1091/LVL2_ACTV_13_Exchange_Rate</f>
        <v>0</v>
      </c>
    </row>
    <row r="1108" spans="1:14" s="10" customFormat="1" outlineLevel="1" x14ac:dyDescent="0.2"/>
    <row r="1109" spans="1:14" s="10" customFormat="1" outlineLevel="1" x14ac:dyDescent="0.2">
      <c r="D1109" s="76" t="str">
        <f>Lang_GoTo&amp;" "&amp;HL_LVL2_ACTV_13_Single_Activity_Cost_Assumptions_Annual</f>
        <v>Go to Small Group Vaccination Activity (30 people vaccinated) Single Activity Cost - Annual Assumptions</v>
      </c>
    </row>
    <row r="1110" spans="1:14" s="10" customFormat="1" x14ac:dyDescent="0.2"/>
    <row r="1111" spans="1:14" s="10" customFormat="1" x14ac:dyDescent="0.2">
      <c r="A1111" s="12" t="s">
        <v>127</v>
      </c>
      <c r="B1111" s="13" t="str">
        <f>B1112&amp;" "&amp;Lang_Single_Activity_Cost_Outputs_Annual&amp;" ("&amp;Lang_Local_Currency_Fin&amp;")"</f>
        <v>Large Group Vaccination Activity (100 people vaccinated) Single Activity Cost Outputs - Annual (Local Currency - Financial)</v>
      </c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</row>
    <row r="1112" spans="1:14" s="10" customFormat="1" outlineLevel="1" x14ac:dyDescent="0.2">
      <c r="B1112" s="10" t="str">
        <f>HL_LVL2_ACTV_9_Name</f>
        <v>Large Group Vaccination Activity (100 people vaccinated)</v>
      </c>
    </row>
    <row r="1113" spans="1:14" s="10" customFormat="1" outlineLevel="1" x14ac:dyDescent="0.2">
      <c r="B1113" s="65" t="str">
        <f>SD_Lu!$D$137&amp;" ("&amp;SD_Lu!$D$118&amp;")"</f>
        <v>Financial (LCU)</v>
      </c>
      <c r="E1113" s="53" t="str">
        <f>"("&amp;IF(DD_LVL2_ACTV_9_Input_Detail_or_Freeform=1,SERVICE_DELIVERY!$D$321,SERVICE_DELIVERY!$D$327)&amp;")"</f>
        <v>(Detailed Costing Worksheet Estimate)</v>
      </c>
    </row>
    <row r="1114" spans="1:14" s="10" customFormat="1" outlineLevel="1" x14ac:dyDescent="0.2"/>
    <row r="1115" spans="1:14" s="10" customFormat="1" outlineLevel="1" x14ac:dyDescent="0.2">
      <c r="D1115" s="49" t="str">
        <f>SERVICE_DELIVERY!D323</f>
        <v>Financial Cost of a Single Large Group Vaccination Activity (100 people vaccinated) Activity</v>
      </c>
      <c r="J1115" s="108">
        <f>IF(DD_LVL2_ACTV_9_Input_Detail_or_Freeform=1,IF(DD_LVL2_ACTV_9_Annual_Currency_Select=2,SERVICE_DELIVERY!J$323,SERVICE_DELIVERY!J$323*LVL2_ACTV_9_Exchange_Rate),IF(DD_LVL2_ACTV_9_Annual_Currency_Select=2,SERVICE_DELIVERY!J$328,SERVICE_DELIVERY!J$328*LVL2_ACTV_9_Exchange_Rate))</f>
        <v>0</v>
      </c>
      <c r="K1115" s="108">
        <f>IF(DD_LVL2_ACTV_9_Input_Detail_or_Freeform=1,IF(DD_LVL2_ACTV_9_Annual_Currency_Select=2,SERVICE_DELIVERY!K$323,SERVICE_DELIVERY!K$323*LVL2_ACTV_9_Exchange_Rate),IF(DD_LVL2_ACTV_9_Annual_Currency_Select=2,SERVICE_DELIVERY!K$328,SERVICE_DELIVERY!K$328*LVL2_ACTV_9_Exchange_Rate))</f>
        <v>0</v>
      </c>
      <c r="L1115" s="108">
        <f>IF(DD_LVL2_ACTV_9_Input_Detail_or_Freeform=1,IF(DD_LVL2_ACTV_9_Annual_Currency_Select=2,SERVICE_DELIVERY!L$323,SERVICE_DELIVERY!L$323*LVL2_ACTV_9_Exchange_Rate),IF(DD_LVL2_ACTV_9_Annual_Currency_Select=2,SERVICE_DELIVERY!L$328,SERVICE_DELIVERY!L$328*LVL2_ACTV_9_Exchange_Rate))</f>
        <v>0</v>
      </c>
      <c r="M1115" s="108">
        <f>IF(DD_LVL2_ACTV_9_Input_Detail_or_Freeform=1,IF(DD_LVL2_ACTV_9_Annual_Currency_Select=2,SERVICE_DELIVERY!M$323,SERVICE_DELIVERY!M$323*LVL2_ACTV_9_Exchange_Rate),IF(DD_LVL2_ACTV_9_Annual_Currency_Select=2,SERVICE_DELIVERY!M$328,SERVICE_DELIVERY!M$328*LVL2_ACTV_9_Exchange_Rate))</f>
        <v>0</v>
      </c>
      <c r="N1115" s="108">
        <f>IF(DD_LVL2_ACTV_9_Input_Detail_or_Freeform=1,IF(DD_LVL2_ACTV_9_Annual_Currency_Select=2,SERVICE_DELIVERY!N$323,SERVICE_DELIVERY!N$323*LVL2_ACTV_9_Exchange_Rate),IF(DD_LVL2_ACTV_9_Annual_Currency_Select=2,SERVICE_DELIVERY!N$328,SERVICE_DELIVERY!N$328*LVL2_ACTV_9_Exchange_Rate))</f>
        <v>0</v>
      </c>
    </row>
    <row r="1116" spans="1:14" s="10" customFormat="1" outlineLevel="1" x14ac:dyDescent="0.2"/>
    <row r="1117" spans="1:14" s="10" customFormat="1" outlineLevel="1" x14ac:dyDescent="0.2">
      <c r="D1117" s="76" t="str">
        <f>Lang_GoTo&amp;" "&amp;HL_LVL2_ACTV_9_Single_Activity_Cost_Assumptions_Annual</f>
        <v>Go to Large Group Vaccination Activity (100 people vaccinated) Single Activity Cost - Annual Assumptions</v>
      </c>
    </row>
    <row r="1118" spans="1:14" s="10" customFormat="1" x14ac:dyDescent="0.2"/>
    <row r="1119" spans="1:14" s="10" customFormat="1" x14ac:dyDescent="0.2">
      <c r="A1119" s="12" t="s">
        <v>127</v>
      </c>
      <c r="B1119" s="13" t="str">
        <f>B1120&amp;" "&amp;Lang_Single_Activity_Cost_Outputs_Annual&amp;" ("&amp;Lang_Local_Currency_Econ&amp;")"</f>
        <v>Large Group Vaccination Activity (100 people vaccinated) Single Activity Cost Outputs - Annual (Local Currency - Economic)</v>
      </c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</row>
    <row r="1120" spans="1:14" s="10" customFormat="1" outlineLevel="1" x14ac:dyDescent="0.2">
      <c r="B1120" s="10" t="str">
        <f>HL_LVL2_ACTV_9_Name</f>
        <v>Large Group Vaccination Activity (100 people vaccinated)</v>
      </c>
    </row>
    <row r="1121" spans="1:14" s="10" customFormat="1" outlineLevel="1" x14ac:dyDescent="0.2">
      <c r="B1121" s="65" t="str">
        <f>SD_Lu!$D$138&amp;" ("&amp;SD_Lu!$D$118&amp;")"</f>
        <v>Economic (LCU)</v>
      </c>
      <c r="E1121" s="53" t="str">
        <f>"("&amp;IF(DD_LVL2_ACTV_9_Input_Detail_or_Freeform=1,SERVICE_DELIVERY!$D$321,SERVICE_DELIVERY!$D$327)&amp;")"</f>
        <v>(Detailed Costing Worksheet Estimate)</v>
      </c>
    </row>
    <row r="1122" spans="1:14" s="10" customFormat="1" outlineLevel="1" x14ac:dyDescent="0.2"/>
    <row r="1123" spans="1:14" s="10" customFormat="1" outlineLevel="1" x14ac:dyDescent="0.2">
      <c r="D1123" s="49" t="str">
        <f>SERVICE_DELIVERY!D324</f>
        <v>Economic Cost of a Single Large Group Vaccination Activity (100 people vaccinated) Activity</v>
      </c>
      <c r="J1123" s="108">
        <f>IF(DD_LVL2_ACTV_9_Input_Detail_or_Freeform=1,IF(DD_LVL2_ACTV_9_Annual_Currency_Select=2,SERVICE_DELIVERY!J$324,SERVICE_DELIVERY!J$324*LVL2_ACTV_9_Exchange_Rate),IF(DD_LVL2_ACTV_9_Annual_Currency_Select=2,SERVICE_DELIVERY!J$329,SERVICE_DELIVERY!J$329*LVL2_ACTV_9_Exchange_Rate))</f>
        <v>0</v>
      </c>
      <c r="K1123" s="108">
        <f>IF(DD_LVL2_ACTV_9_Input_Detail_or_Freeform=1,IF(DD_LVL2_ACTV_9_Annual_Currency_Select=2,SERVICE_DELIVERY!K$324,SERVICE_DELIVERY!K$324*LVL2_ACTV_9_Exchange_Rate),IF(DD_LVL2_ACTV_9_Annual_Currency_Select=2,SERVICE_DELIVERY!K$329,SERVICE_DELIVERY!K$329*LVL2_ACTV_9_Exchange_Rate))</f>
        <v>0</v>
      </c>
      <c r="L1123" s="108">
        <f>IF(DD_LVL2_ACTV_9_Input_Detail_or_Freeform=1,IF(DD_LVL2_ACTV_9_Annual_Currency_Select=2,SERVICE_DELIVERY!L$324,SERVICE_DELIVERY!L$324*LVL2_ACTV_9_Exchange_Rate),IF(DD_LVL2_ACTV_9_Annual_Currency_Select=2,SERVICE_DELIVERY!L$329,SERVICE_DELIVERY!L$329*LVL2_ACTV_9_Exchange_Rate))</f>
        <v>0</v>
      </c>
      <c r="M1123" s="108">
        <f>IF(DD_LVL2_ACTV_9_Input_Detail_or_Freeform=1,IF(DD_LVL2_ACTV_9_Annual_Currency_Select=2,SERVICE_DELIVERY!M$324,SERVICE_DELIVERY!M$324*LVL2_ACTV_9_Exchange_Rate),IF(DD_LVL2_ACTV_9_Annual_Currency_Select=2,SERVICE_DELIVERY!M$329,SERVICE_DELIVERY!M$329*LVL2_ACTV_9_Exchange_Rate))</f>
        <v>0</v>
      </c>
      <c r="N1123" s="108">
        <f>IF(DD_LVL2_ACTV_9_Input_Detail_or_Freeform=1,IF(DD_LVL2_ACTV_9_Annual_Currency_Select=2,SERVICE_DELIVERY!N$324,SERVICE_DELIVERY!N$324*LVL2_ACTV_9_Exchange_Rate),IF(DD_LVL2_ACTV_9_Annual_Currency_Select=2,SERVICE_DELIVERY!N$329,SERVICE_DELIVERY!N$329*LVL2_ACTV_9_Exchange_Rate))</f>
        <v>0</v>
      </c>
    </row>
    <row r="1124" spans="1:14" s="10" customFormat="1" outlineLevel="1" x14ac:dyDescent="0.2">
      <c r="J1124"/>
    </row>
    <row r="1125" spans="1:14" s="10" customFormat="1" outlineLevel="1" x14ac:dyDescent="0.2">
      <c r="D1125" s="76" t="str">
        <f>Lang_GoTo&amp;" "&amp;HL_LVL2_ACTV_9_Single_Activity_Cost_Assumptions_Annual</f>
        <v>Go to Large Group Vaccination Activity (100 people vaccinated) Single Activity Cost - Annual Assumptions</v>
      </c>
    </row>
    <row r="1126" spans="1:14" s="10" customFormat="1" x14ac:dyDescent="0.2"/>
    <row r="1127" spans="1:14" s="10" customFormat="1" x14ac:dyDescent="0.2">
      <c r="A1127" s="12" t="s">
        <v>127</v>
      </c>
      <c r="B1127" s="13" t="str">
        <f>B1128&amp;" "&amp;Lang_Single_Activity_Cost_Outputs_Annual&amp;" ("&amp;Lang_International_Currency_Fin&amp;")"</f>
        <v>Large Group Vaccination Activity (100 people vaccinated) Single Activity Cost Outputs - Annual (International Currency - Financial)</v>
      </c>
      <c r="C1127" s="13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</row>
    <row r="1128" spans="1:14" s="10" customFormat="1" outlineLevel="1" x14ac:dyDescent="0.2">
      <c r="B1128" s="10" t="str">
        <f>HL_LVL2_ACTV_9_Name</f>
        <v>Large Group Vaccination Activity (100 people vaccinated)</v>
      </c>
    </row>
    <row r="1129" spans="1:14" s="10" customFormat="1" outlineLevel="1" x14ac:dyDescent="0.2">
      <c r="B1129" s="65" t="str">
        <f>SD_Lu!$D$137&amp;" ("&amp;SD_Lu!$D$117&amp;")"</f>
        <v>Financial (USD)</v>
      </c>
      <c r="E1129" s="53" t="str">
        <f>"("&amp;IF(DD_LVL2_ACTV_9_Input_Detail_or_Freeform=1,SERVICE_DELIVERY!$D$321,SERVICE_DELIVERY!$D$327)&amp;")"</f>
        <v>(Detailed Costing Worksheet Estimate)</v>
      </c>
    </row>
    <row r="1130" spans="1:14" outlineLevel="1" x14ac:dyDescent="0.2"/>
    <row r="1131" spans="1:14" outlineLevel="1" x14ac:dyDescent="0.2">
      <c r="D1131" s="49" t="str">
        <f>SERVICE_DELIVERY!D323</f>
        <v>Financial Cost of a Single Large Group Vaccination Activity (100 people vaccinated) Activity</v>
      </c>
      <c r="J1131" s="116">
        <f>J1115/LVL2_ACTV_9_Exchange_Rate</f>
        <v>0</v>
      </c>
      <c r="K1131" s="116">
        <f>K1115/LVL2_ACTV_9_Exchange_Rate</f>
        <v>0</v>
      </c>
      <c r="L1131" s="116">
        <f>L1115/LVL2_ACTV_9_Exchange_Rate</f>
        <v>0</v>
      </c>
      <c r="M1131" s="116">
        <f>M1115/LVL2_ACTV_9_Exchange_Rate</f>
        <v>0</v>
      </c>
      <c r="N1131" s="116">
        <f>N1115/LVL2_ACTV_9_Exchange_Rate</f>
        <v>0</v>
      </c>
    </row>
    <row r="1132" spans="1:14" s="10" customFormat="1" outlineLevel="1" x14ac:dyDescent="0.2"/>
    <row r="1133" spans="1:14" s="10" customFormat="1" outlineLevel="1" x14ac:dyDescent="0.2"/>
    <row r="1134" spans="1:14" s="10" customFormat="1" outlineLevel="1" x14ac:dyDescent="0.2">
      <c r="D1134" s="76" t="str">
        <f>Lang_GoTo&amp;" "&amp;HL_LVL2_ACTV_9_Single_Activity_Cost_Assumptions_Annual</f>
        <v>Go to Large Group Vaccination Activity (100 people vaccinated) Single Activity Cost - Annual Assumptions</v>
      </c>
    </row>
    <row r="1135" spans="1:14" s="10" customFormat="1" x14ac:dyDescent="0.2"/>
    <row r="1136" spans="1:14" s="10" customFormat="1" x14ac:dyDescent="0.2">
      <c r="A1136" s="12" t="s">
        <v>127</v>
      </c>
      <c r="B1136" s="13" t="str">
        <f>B1137&amp;" "&amp;Lang_Single_Activity_Cost_Outputs_Annual&amp;" ("&amp;Lang_International_Currency_Econ&amp;")"</f>
        <v>Large Group Vaccination Activity (100 people vaccinated) Single Activity Cost Outputs - Annual (International Currency - Economic)</v>
      </c>
      <c r="C1136" s="13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</row>
    <row r="1137" spans="1:14" s="10" customFormat="1" outlineLevel="1" x14ac:dyDescent="0.2">
      <c r="B1137" s="10" t="str">
        <f>HL_LVL2_ACTV_9_Name</f>
        <v>Large Group Vaccination Activity (100 people vaccinated)</v>
      </c>
    </row>
    <row r="1138" spans="1:14" s="10" customFormat="1" outlineLevel="1" x14ac:dyDescent="0.2">
      <c r="B1138" s="65" t="str">
        <f>SD_Lu!$D$138&amp;" ("&amp;SD_Lu!$D$117&amp;")"</f>
        <v>Economic (USD)</v>
      </c>
      <c r="E1138" s="53" t="str">
        <f>"("&amp;IF(DD_LVL2_ACTV_9_Input_Detail_or_Freeform=1,SERVICE_DELIVERY!$D$321,SERVICE_DELIVERY!$D$327)&amp;")"</f>
        <v>(Detailed Costing Worksheet Estimate)</v>
      </c>
    </row>
    <row r="1139" spans="1:14" s="10" customFormat="1" outlineLevel="1" x14ac:dyDescent="0.2"/>
    <row r="1140" spans="1:14" s="10" customFormat="1" outlineLevel="1" x14ac:dyDescent="0.2">
      <c r="D1140" s="49" t="str">
        <f>SERVICE_DELIVERY!D324</f>
        <v>Economic Cost of a Single Large Group Vaccination Activity (100 people vaccinated) Activity</v>
      </c>
      <c r="J1140" s="116">
        <f>J1123/LVL2_ACTV_9_Exchange_Rate</f>
        <v>0</v>
      </c>
      <c r="K1140" s="116">
        <f>K1123/LVL2_ACTV_9_Exchange_Rate</f>
        <v>0</v>
      </c>
      <c r="L1140" s="116">
        <f>L1123/LVL2_ACTV_9_Exchange_Rate</f>
        <v>0</v>
      </c>
      <c r="M1140" s="116">
        <f>M1123/LVL2_ACTV_9_Exchange_Rate</f>
        <v>0</v>
      </c>
      <c r="N1140" s="116">
        <f>N1123/LVL2_ACTV_9_Exchange_Rate</f>
        <v>0</v>
      </c>
    </row>
    <row r="1141" spans="1:14" s="10" customFormat="1" outlineLevel="1" x14ac:dyDescent="0.2"/>
    <row r="1142" spans="1:14" s="10" customFormat="1" outlineLevel="1" x14ac:dyDescent="0.2"/>
    <row r="1143" spans="1:14" s="10" customFormat="1" outlineLevel="1" x14ac:dyDescent="0.2">
      <c r="D1143" s="76" t="str">
        <f>Lang_GoTo&amp;" "&amp;HL_LVL2_ACTV_9_Single_Activity_Cost_Assumptions_Annual</f>
        <v>Go to Large Group Vaccination Activity (100 people vaccinated) Single Activity Cost - Annual Assumptions</v>
      </c>
    </row>
    <row r="1144" spans="1:14" s="10" customFormat="1" x14ac:dyDescent="0.2"/>
    <row r="1145" spans="1:14" s="10" customFormat="1" x14ac:dyDescent="0.2">
      <c r="A1145" s="12" t="s">
        <v>127</v>
      </c>
      <c r="B1145" s="13" t="str">
        <f>B1146&amp;" "&amp;Lang_Single_Activity_Cost_Outputs_Annual&amp;" ("&amp;Lang_Local_Currency_Fin&amp;")"</f>
        <v>Other Activity #1 - (Recurrent Costs Only) (Not in Use) Single Activity Cost Outputs - Annual (Local Currency - Financial)</v>
      </c>
      <c r="C1145" s="13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</row>
    <row r="1146" spans="1:14" s="10" customFormat="1" outlineLevel="1" x14ac:dyDescent="0.2">
      <c r="B1146" s="49" t="str">
        <f>HL_TOP_ACTV_6_Name</f>
        <v>Other Activity #1 - (Recurrent Costs Only) (Not in Use)</v>
      </c>
    </row>
    <row r="1147" spans="1:14" s="10" customFormat="1" outlineLevel="1" x14ac:dyDescent="0.2">
      <c r="B1147" s="65" t="str">
        <f>OTHER_Lu!$D$32&amp;" ("&amp;OTHER_Lu!$D$13&amp;")"</f>
        <v>Financial (LCU)</v>
      </c>
    </row>
    <row r="1148" spans="1:14" s="10" customFormat="1" outlineLevel="1" x14ac:dyDescent="0.2"/>
    <row r="1149" spans="1:14" s="10" customFormat="1" outlineLevel="1" x14ac:dyDescent="0.2">
      <c r="D1149" s="49" t="str">
        <f>OTHER!D12</f>
        <v>Other Activity #1 - (Recurrent Costs Only) (Not in Use)</v>
      </c>
      <c r="E1149" s="53" t="str">
        <f>"("&amp;IF(DD_TOP_ACTV_6_Input_Detail_or_Freeform=1,OTHER!$D$20,OTHER!$D$26)&amp;")"</f>
        <v>(Direct User Entry Cost Estimate)</v>
      </c>
      <c r="J1149" s="79">
        <f>IF(DD_TOP_ACTV_6_Input_Detail_or_Freeform=1,IF(DD_TOP_ACTV_6_Annual_Currency_Used=2,OTHER!J$22,OTHER!J$22*TOP_ACTV_6_Exchange_Rate),IF(DD_TOP_ACTV_6_Annual_Currency_Used=2,OTHER!J$27,OTHER!J$27*TOP_ACTV_6_Exchange_Rate))</f>
        <v>0</v>
      </c>
      <c r="K1149" s="79">
        <f>IF(DD_TOP_ACTV_6_Input_Detail_or_Freeform=1,IF(DD_TOP_ACTV_6_Annual_Currency_Used=2,OTHER!K$22,OTHER!K$22*TOP_ACTV_6_Exchange_Rate),IF(DD_TOP_ACTV_6_Annual_Currency_Used=2,OTHER!K$27,OTHER!K$27*TOP_ACTV_6_Exchange_Rate))</f>
        <v>0</v>
      </c>
      <c r="L1149" s="79">
        <f>IF(DD_TOP_ACTV_6_Input_Detail_or_Freeform=1,IF(DD_TOP_ACTV_6_Annual_Currency_Used=2,OTHER!L$22,OTHER!L$22*TOP_ACTV_6_Exchange_Rate),IF(DD_TOP_ACTV_6_Annual_Currency_Used=2,OTHER!L$27,OTHER!L$27*TOP_ACTV_6_Exchange_Rate))</f>
        <v>0</v>
      </c>
      <c r="M1149" s="79">
        <f>IF(DD_TOP_ACTV_6_Input_Detail_or_Freeform=1,IF(DD_TOP_ACTV_6_Annual_Currency_Used=2,OTHER!M$22,OTHER!M$22*TOP_ACTV_6_Exchange_Rate),IF(DD_TOP_ACTV_6_Annual_Currency_Used=2,OTHER!M$27,OTHER!M$27*TOP_ACTV_6_Exchange_Rate))</f>
        <v>0</v>
      </c>
      <c r="N1149" s="79">
        <f>IF(DD_TOP_ACTV_6_Input_Detail_or_Freeform=1,IF(DD_TOP_ACTV_6_Annual_Currency_Used=2,OTHER!N$22,OTHER!N$22*TOP_ACTV_6_Exchange_Rate),IF(DD_TOP_ACTV_6_Annual_Currency_Used=2,OTHER!N$27,OTHER!N$27*TOP_ACTV_6_Exchange_Rate))</f>
        <v>0</v>
      </c>
    </row>
    <row r="1150" spans="1:14" s="10" customFormat="1" outlineLevel="1" x14ac:dyDescent="0.2"/>
    <row r="1151" spans="1:14" s="10" customFormat="1" outlineLevel="1" x14ac:dyDescent="0.2">
      <c r="D1151" s="76" t="str">
        <f>Lang_GoTo&amp;" "&amp;HL_TOP_ACTV_6_Single_Activity_Cost_Assumptions_Annual</f>
        <v>Go to Other Activity #1 - (Recurrent Costs Only) (Not in Use) Single Activity Cost - Annual Assumptions (Projected or Retrospective)</v>
      </c>
    </row>
    <row r="1152" spans="1:14" s="10" customFormat="1" x14ac:dyDescent="0.2"/>
    <row r="1153" spans="1:14" s="10" customFormat="1" x14ac:dyDescent="0.2">
      <c r="A1153" s="12" t="s">
        <v>127</v>
      </c>
      <c r="B1153" s="13" t="str">
        <f>B1154&amp;" "&amp;Lang_Single_Activity_Cost_Outputs_Annual&amp;" ("&amp;Lang_Local_Currency_Econ&amp;")"</f>
        <v>Other Activity #1 - (Recurrent Costs Only) (Not in Use) Single Activity Cost Outputs - Annual (Local Currency - Economic)</v>
      </c>
      <c r="C1153" s="13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</row>
    <row r="1154" spans="1:14" s="10" customFormat="1" outlineLevel="1" x14ac:dyDescent="0.2">
      <c r="B1154" s="49" t="str">
        <f>HL_TOP_ACTV_6_Name</f>
        <v>Other Activity #1 - (Recurrent Costs Only) (Not in Use)</v>
      </c>
    </row>
    <row r="1155" spans="1:14" s="10" customFormat="1" outlineLevel="1" x14ac:dyDescent="0.2">
      <c r="B1155" s="65" t="str">
        <f>OTHER_Lu!$D$33&amp;" ("&amp;OTHER_Lu!$D$13&amp;")"</f>
        <v>Economic (LCU)</v>
      </c>
    </row>
    <row r="1156" spans="1:14" s="10" customFormat="1" outlineLevel="1" x14ac:dyDescent="0.2"/>
    <row r="1157" spans="1:14" s="10" customFormat="1" outlineLevel="1" x14ac:dyDescent="0.2">
      <c r="D1157" s="49" t="str">
        <f>OTHER!D12</f>
        <v>Other Activity #1 - (Recurrent Costs Only) (Not in Use)</v>
      </c>
      <c r="E1157" s="53" t="str">
        <f>"("&amp;IF(DD_TOP_ACTV_6_Input_Detail_or_Freeform=1,OTHER!$D$20,OTHER!$D$26)&amp;")"</f>
        <v>(Direct User Entry Cost Estimate)</v>
      </c>
      <c r="J1157" s="79">
        <f>IF(DD_TOP_ACTV_6_Input_Detail_or_Freeform=1,IF(DD_TOP_ACTV_6_Annual_Currency_Used=2,OTHER!J$23,OTHER!J$23*TOP_ACTV_6_Exchange_Rate),IF(DD_TOP_ACTV_6_Annual_Currency_Used=2,OTHER!J$28,OTHER!J$28*TOP_ACTV_6_Exchange_Rate))</f>
        <v>0</v>
      </c>
      <c r="K1157" s="79">
        <f>IF(DD_TOP_ACTV_6_Input_Detail_or_Freeform=1,IF(DD_TOP_ACTV_6_Annual_Currency_Used=2,OTHER!K$23,OTHER!K$23*TOP_ACTV_6_Exchange_Rate),IF(DD_TOP_ACTV_6_Annual_Currency_Used=2,OTHER!K$28,OTHER!K$28*TOP_ACTV_6_Exchange_Rate))</f>
        <v>0</v>
      </c>
      <c r="L1157" s="79">
        <f>IF(DD_TOP_ACTV_6_Input_Detail_or_Freeform=1,IF(DD_TOP_ACTV_6_Annual_Currency_Used=2,OTHER!L$23,OTHER!L$23*TOP_ACTV_6_Exchange_Rate),IF(DD_TOP_ACTV_6_Annual_Currency_Used=2,OTHER!L$28,OTHER!L$28*TOP_ACTV_6_Exchange_Rate))</f>
        <v>0</v>
      </c>
      <c r="M1157" s="79">
        <f>IF(DD_TOP_ACTV_6_Input_Detail_or_Freeform=1,IF(DD_TOP_ACTV_6_Annual_Currency_Used=2,OTHER!M$23,OTHER!M$23*TOP_ACTV_6_Exchange_Rate),IF(DD_TOP_ACTV_6_Annual_Currency_Used=2,OTHER!M$28,OTHER!M$28*TOP_ACTV_6_Exchange_Rate))</f>
        <v>0</v>
      </c>
      <c r="N1157" s="79">
        <f>IF(DD_TOP_ACTV_6_Input_Detail_or_Freeform=1,IF(DD_TOP_ACTV_6_Annual_Currency_Used=2,OTHER!N$23,OTHER!N$23*TOP_ACTV_6_Exchange_Rate),IF(DD_TOP_ACTV_6_Annual_Currency_Used=2,OTHER!N$28,OTHER!N$28*TOP_ACTV_6_Exchange_Rate))</f>
        <v>0</v>
      </c>
    </row>
    <row r="1158" spans="1:14" s="10" customFormat="1" outlineLevel="1" x14ac:dyDescent="0.2"/>
    <row r="1159" spans="1:14" s="10" customFormat="1" outlineLevel="1" x14ac:dyDescent="0.2">
      <c r="D1159" s="76" t="str">
        <f>Lang_GoTo&amp;" "&amp;HL_TOP_ACTV_6_Single_Activity_Cost_Assumptions_Annual</f>
        <v>Go to Other Activity #1 - (Recurrent Costs Only) (Not in Use) Single Activity Cost - Annual Assumptions (Projected or Retrospective)</v>
      </c>
    </row>
    <row r="1160" spans="1:14" s="10" customFormat="1" x14ac:dyDescent="0.2"/>
    <row r="1161" spans="1:14" s="10" customFormat="1" x14ac:dyDescent="0.2">
      <c r="A1161" s="12" t="s">
        <v>127</v>
      </c>
      <c r="B1161" s="13" t="str">
        <f>B1162&amp;" "&amp;Lang_Single_Activity_Cost_Outputs_Annual&amp;" ("&amp;Lang_International_Currency_Fin&amp;")"</f>
        <v>Other Activity #1 - (Recurrent Costs Only) (Not in Use) Single Activity Cost Outputs - Annual (International Currency - Financial)</v>
      </c>
      <c r="C1161" s="13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</row>
    <row r="1162" spans="1:14" s="10" customFormat="1" outlineLevel="1" x14ac:dyDescent="0.2">
      <c r="B1162" s="49" t="str">
        <f>HL_TOP_ACTV_6_Name</f>
        <v>Other Activity #1 - (Recurrent Costs Only) (Not in Use)</v>
      </c>
    </row>
    <row r="1163" spans="1:14" s="10" customFormat="1" outlineLevel="1" x14ac:dyDescent="0.2">
      <c r="B1163" s="65" t="str">
        <f>OTHER_Lu!$D$32&amp;" ("&amp;OTHER_Lu!$D$12&amp;")"</f>
        <v>Financial (USD)</v>
      </c>
    </row>
    <row r="1164" spans="1:14" s="10" customFormat="1" outlineLevel="1" x14ac:dyDescent="0.2"/>
    <row r="1165" spans="1:14" s="10" customFormat="1" outlineLevel="1" x14ac:dyDescent="0.2">
      <c r="D1165" s="49" t="str">
        <f>OTHER!D12</f>
        <v>Other Activity #1 - (Recurrent Costs Only) (Not in Use)</v>
      </c>
      <c r="E1165" s="53" t="str">
        <f>"("&amp;IF(DD_TOP_ACTV_6_Input_Detail_or_Freeform=1,OTHER!$D$20,OTHER!$D$26)&amp;")"</f>
        <v>(Direct User Entry Cost Estimate)</v>
      </c>
      <c r="J1165" s="119">
        <f>J1149/TOP_ACTV_6_Exchange_Rate</f>
        <v>0</v>
      </c>
      <c r="K1165" s="119">
        <f>K1149/TOP_ACTV_6_Exchange_Rate</f>
        <v>0</v>
      </c>
      <c r="L1165" s="119">
        <f>L1149/TOP_ACTV_6_Exchange_Rate</f>
        <v>0</v>
      </c>
      <c r="M1165" s="119">
        <f>M1149/TOP_ACTV_6_Exchange_Rate</f>
        <v>0</v>
      </c>
      <c r="N1165" s="119">
        <f>N1149/TOP_ACTV_6_Exchange_Rate</f>
        <v>0</v>
      </c>
    </row>
    <row r="1166" spans="1:14" s="10" customFormat="1" outlineLevel="1" x14ac:dyDescent="0.2"/>
    <row r="1167" spans="1:14" s="10" customFormat="1" outlineLevel="1" x14ac:dyDescent="0.2">
      <c r="D1167" s="76" t="str">
        <f>Lang_GoTo&amp;" "&amp;HL_TOP_ACTV_6_Single_Activity_Cost_Assumptions_Annual</f>
        <v>Go to Other Activity #1 - (Recurrent Costs Only) (Not in Use) Single Activity Cost - Annual Assumptions (Projected or Retrospective)</v>
      </c>
    </row>
    <row r="1168" spans="1:14" s="10" customFormat="1" x14ac:dyDescent="0.2"/>
    <row r="1169" spans="1:14" s="10" customFormat="1" x14ac:dyDescent="0.2">
      <c r="A1169" s="12" t="s">
        <v>127</v>
      </c>
      <c r="B1169" s="13" t="str">
        <f>B1170&amp;" "&amp;Lang_Single_Activity_Cost_Outputs_Annual&amp;" ("&amp;Lang_International_Currency_Econ&amp;")"</f>
        <v>Other Activity #1 - (Recurrent Costs Only) (Not in Use) Single Activity Cost Outputs - Annual (International Currency - Economic)</v>
      </c>
      <c r="C1169" s="13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</row>
    <row r="1170" spans="1:14" s="10" customFormat="1" outlineLevel="1" x14ac:dyDescent="0.2">
      <c r="B1170" s="49" t="str">
        <f>HL_TOP_ACTV_6_Name</f>
        <v>Other Activity #1 - (Recurrent Costs Only) (Not in Use)</v>
      </c>
    </row>
    <row r="1171" spans="1:14" s="10" customFormat="1" outlineLevel="1" x14ac:dyDescent="0.2">
      <c r="B1171" s="65" t="str">
        <f>OTHER_Lu!$D$33&amp;" ("&amp;OTHER_Lu!$D$12&amp;")"</f>
        <v>Economic (USD)</v>
      </c>
    </row>
    <row r="1172" spans="1:14" s="10" customFormat="1" outlineLevel="1" x14ac:dyDescent="0.2"/>
    <row r="1173" spans="1:14" s="10" customFormat="1" outlineLevel="1" x14ac:dyDescent="0.2">
      <c r="D1173" s="49" t="str">
        <f>OTHER!D12</f>
        <v>Other Activity #1 - (Recurrent Costs Only) (Not in Use)</v>
      </c>
      <c r="E1173" s="53" t="str">
        <f>"("&amp;IF(DD_TOP_ACTV_6_Input_Detail_or_Freeform=1,OTHER!$D$20,OTHER!$D$26)&amp;")"</f>
        <v>(Direct User Entry Cost Estimate)</v>
      </c>
      <c r="J1173" s="119">
        <f>J1157/TOP_ACTV_6_Exchange_Rate</f>
        <v>0</v>
      </c>
      <c r="K1173" s="119">
        <f>K1157/TOP_ACTV_6_Exchange_Rate</f>
        <v>0</v>
      </c>
      <c r="L1173" s="119">
        <f>L1157/TOP_ACTV_6_Exchange_Rate</f>
        <v>0</v>
      </c>
      <c r="M1173" s="119">
        <f>M1157/TOP_ACTV_6_Exchange_Rate</f>
        <v>0</v>
      </c>
      <c r="N1173" s="119">
        <f>N1157/TOP_ACTV_6_Exchange_Rate</f>
        <v>0</v>
      </c>
    </row>
    <row r="1174" spans="1:14" s="10" customFormat="1" outlineLevel="1" x14ac:dyDescent="0.2"/>
    <row r="1175" spans="1:14" s="10" customFormat="1" outlineLevel="1" x14ac:dyDescent="0.2">
      <c r="D1175" s="76" t="str">
        <f>Lang_GoTo&amp;" "&amp;HL_TOP_ACTV_6_Single_Activity_Cost_Assumptions_Annual</f>
        <v>Go to Other Activity #1 - (Recurrent Costs Only) (Not in Use) Single Activity Cost - Annual Assumptions (Projected or Retrospective)</v>
      </c>
    </row>
    <row r="1176" spans="1:14" s="10" customFormat="1" x14ac:dyDescent="0.2"/>
    <row r="1177" spans="1:14" s="10" customFormat="1" x14ac:dyDescent="0.2">
      <c r="A1177" s="12" t="s">
        <v>127</v>
      </c>
      <c r="B1177" s="13" t="str">
        <f>B1178&amp;" "&amp;Lang_Single_Activity_Cost_Outputs_Annual&amp;" ("&amp;Lang_Local_Currency_Fin&amp;")"</f>
        <v>Other Activity #2 - (Recurrent Costs Only) (Not in Use) Single Activity Cost Outputs - Annual (Local Currency - Financial)</v>
      </c>
      <c r="C1177" s="13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</row>
    <row r="1178" spans="1:14" s="10" customFormat="1" outlineLevel="1" x14ac:dyDescent="0.2">
      <c r="B1178" s="49" t="str">
        <f>HL_TOP_ACTV_20_Name</f>
        <v>Other Activity #2 - (Recurrent Costs Only) (Not in Use)</v>
      </c>
    </row>
    <row r="1179" spans="1:14" s="10" customFormat="1" outlineLevel="1" x14ac:dyDescent="0.2">
      <c r="B1179" s="65" t="str">
        <f>OTHER_Lu!$D$67&amp;" ("&amp;OTHER_Lu!$D$48&amp;")"</f>
        <v>Financial (LCU)</v>
      </c>
    </row>
    <row r="1180" spans="1:14" s="10" customFormat="1" outlineLevel="1" x14ac:dyDescent="0.2"/>
    <row r="1181" spans="1:14" s="10" customFormat="1" outlineLevel="1" x14ac:dyDescent="0.2">
      <c r="D1181" s="49" t="str">
        <f>OTHER!D46</f>
        <v>Other Activity #2 - (Recurrent Costs Only) (Not in Use)</v>
      </c>
      <c r="E1181" s="53" t="str">
        <f>"("&amp;IF(DD_TOP_ACTV_20_Input_Detail_or_Freeform=1,OTHER!$D$54,OTHER!$D$60)&amp;")"</f>
        <v>(Direct User Entry Cost Estimate)</v>
      </c>
      <c r="J1181" s="79">
        <f>IF(DD_TOP_ACTV_20_Input_Detail_or_Freeform=1,IF(DD_TOP_ACTV_20_Annual_Currency_Used=2,OTHER!J$56,OTHER!J$56*TOP_ACTV_20_Exchange_Rate),IF(DD_TOP_ACTV_20_Annual_Currency_Used=2,OTHER!J$61,OTHER!J$61*TOP_ACTV_20_Exchange_Rate))</f>
        <v>0</v>
      </c>
      <c r="K1181" s="79">
        <f>IF(DD_TOP_ACTV_20_Input_Detail_or_Freeform=1,IF(DD_TOP_ACTV_20_Annual_Currency_Used=2,OTHER!K$56,OTHER!K$56*TOP_ACTV_20_Exchange_Rate),IF(DD_TOP_ACTV_20_Annual_Currency_Used=2,OTHER!K$61,OTHER!K$61*TOP_ACTV_20_Exchange_Rate))</f>
        <v>0</v>
      </c>
      <c r="L1181" s="79">
        <f>IF(DD_TOP_ACTV_20_Input_Detail_or_Freeform=1,IF(DD_TOP_ACTV_20_Annual_Currency_Used=2,OTHER!L$56,OTHER!L$56*TOP_ACTV_20_Exchange_Rate),IF(DD_TOP_ACTV_20_Annual_Currency_Used=2,OTHER!L$61,OTHER!L$61*TOP_ACTV_20_Exchange_Rate))</f>
        <v>0</v>
      </c>
      <c r="M1181" s="79">
        <f>IF(DD_TOP_ACTV_20_Input_Detail_or_Freeform=1,IF(DD_TOP_ACTV_20_Annual_Currency_Used=2,OTHER!M$56,OTHER!M$56*TOP_ACTV_20_Exchange_Rate),IF(DD_TOP_ACTV_20_Annual_Currency_Used=2,OTHER!M$61,OTHER!M$61*TOP_ACTV_20_Exchange_Rate))</f>
        <v>0</v>
      </c>
      <c r="N1181" s="79">
        <f>IF(DD_TOP_ACTV_20_Input_Detail_or_Freeform=1,IF(DD_TOP_ACTV_20_Annual_Currency_Used=2,OTHER!N$56,OTHER!N$56*TOP_ACTV_20_Exchange_Rate),IF(DD_TOP_ACTV_20_Annual_Currency_Used=2,OTHER!N$61,OTHER!N$61*TOP_ACTV_20_Exchange_Rate))</f>
        <v>0</v>
      </c>
    </row>
    <row r="1182" spans="1:14" s="10" customFormat="1" outlineLevel="1" x14ac:dyDescent="0.2"/>
    <row r="1183" spans="1:14" s="10" customFormat="1" outlineLevel="1" x14ac:dyDescent="0.2">
      <c r="D1183" s="76" t="str">
        <f>Lang_GoTo&amp;" "&amp;HL_TOP_ACTV_20_Single_Activity_Cost_Assumptions_Annual</f>
        <v>Go to Other Activity #2 - (Recurrent Costs Only) (Not in Use) Single Activity Cost - Annual Assumptions (Projected or Retrospective)</v>
      </c>
    </row>
    <row r="1184" spans="1:14" s="10" customFormat="1" x14ac:dyDescent="0.2"/>
    <row r="1185" spans="1:14" s="10" customFormat="1" x14ac:dyDescent="0.2">
      <c r="A1185" s="12" t="s">
        <v>127</v>
      </c>
      <c r="B1185" s="13" t="str">
        <f>B1186&amp;" "&amp;Lang_Single_Activity_Cost_Outputs_Annual&amp;" ("&amp;Lang_Local_Currency_Econ&amp;")"</f>
        <v>Other Activity #2 - (Recurrent Costs Only) (Not in Use) Single Activity Cost Outputs - Annual (Local Currency - Economic)</v>
      </c>
      <c r="C1185" s="13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</row>
    <row r="1186" spans="1:14" s="10" customFormat="1" outlineLevel="1" x14ac:dyDescent="0.2">
      <c r="B1186" s="49" t="str">
        <f>HL_TOP_ACTV_20_Name</f>
        <v>Other Activity #2 - (Recurrent Costs Only) (Not in Use)</v>
      </c>
    </row>
    <row r="1187" spans="1:14" s="10" customFormat="1" outlineLevel="1" x14ac:dyDescent="0.2">
      <c r="B1187" s="65" t="str">
        <f>OTHER_Lu!$D$68&amp;" ("&amp;OTHER_Lu!$D$48&amp;")"</f>
        <v>Economic (LCU)</v>
      </c>
    </row>
    <row r="1188" spans="1:14" s="10" customFormat="1" outlineLevel="1" x14ac:dyDescent="0.2"/>
    <row r="1189" spans="1:14" s="10" customFormat="1" outlineLevel="1" x14ac:dyDescent="0.2">
      <c r="D1189" s="49" t="str">
        <f>OTHER!D46</f>
        <v>Other Activity #2 - (Recurrent Costs Only) (Not in Use)</v>
      </c>
      <c r="E1189" s="53" t="str">
        <f>"("&amp;IF(DD_TOP_ACTV_20_Input_Detail_or_Freeform=1,OTHER!$D$54,OTHER!$D$60)&amp;")"</f>
        <v>(Direct User Entry Cost Estimate)</v>
      </c>
      <c r="J1189" s="79">
        <f>IF(DD_TOP_ACTV_20_Input_Detail_or_Freeform=1,IF(DD_TOP_ACTV_20_Annual_Currency_Used=2,OTHER!J$57,OTHER!J$57*TOP_ACTV_20_Exchange_Rate),IF(DD_TOP_ACTV_20_Annual_Currency_Used=2,OTHER!J$62,OTHER!J$62*TOP_ACTV_20_Exchange_Rate))</f>
        <v>0</v>
      </c>
      <c r="K1189" s="79">
        <f>IF(DD_TOP_ACTV_20_Input_Detail_or_Freeform=1,IF(DD_TOP_ACTV_20_Annual_Currency_Used=2,OTHER!K$57,OTHER!K$57*TOP_ACTV_20_Exchange_Rate),IF(DD_TOP_ACTV_20_Annual_Currency_Used=2,OTHER!K$62,OTHER!K$62*TOP_ACTV_20_Exchange_Rate))</f>
        <v>0</v>
      </c>
      <c r="L1189" s="79">
        <f>IF(DD_TOP_ACTV_20_Input_Detail_or_Freeform=1,IF(DD_TOP_ACTV_20_Annual_Currency_Used=2,OTHER!L$57,OTHER!L$57*TOP_ACTV_20_Exchange_Rate),IF(DD_TOP_ACTV_20_Annual_Currency_Used=2,OTHER!L$62,OTHER!L$62*TOP_ACTV_20_Exchange_Rate))</f>
        <v>0</v>
      </c>
      <c r="M1189" s="79">
        <f>IF(DD_TOP_ACTV_20_Input_Detail_or_Freeform=1,IF(DD_TOP_ACTV_20_Annual_Currency_Used=2,OTHER!M$57,OTHER!M$57*TOP_ACTV_20_Exchange_Rate),IF(DD_TOP_ACTV_20_Annual_Currency_Used=2,OTHER!M$62,OTHER!M$62*TOP_ACTV_20_Exchange_Rate))</f>
        <v>0</v>
      </c>
      <c r="N1189" s="79">
        <f>IF(DD_TOP_ACTV_20_Input_Detail_or_Freeform=1,IF(DD_TOP_ACTV_20_Annual_Currency_Used=2,OTHER!N$57,OTHER!N$57*TOP_ACTV_20_Exchange_Rate),IF(DD_TOP_ACTV_20_Annual_Currency_Used=2,OTHER!N$62,OTHER!N$62*TOP_ACTV_20_Exchange_Rate))</f>
        <v>0</v>
      </c>
    </row>
    <row r="1190" spans="1:14" s="10" customFormat="1" outlineLevel="1" x14ac:dyDescent="0.2"/>
    <row r="1191" spans="1:14" s="10" customFormat="1" outlineLevel="1" x14ac:dyDescent="0.2">
      <c r="D1191" s="76" t="str">
        <f>Lang_GoTo&amp;" "&amp;HL_TOP_ACTV_20_Single_Activity_Cost_Assumptions_Annual</f>
        <v>Go to Other Activity #2 - (Recurrent Costs Only) (Not in Use) Single Activity Cost - Annual Assumptions (Projected or Retrospective)</v>
      </c>
    </row>
    <row r="1192" spans="1:14" s="10" customFormat="1" x14ac:dyDescent="0.2"/>
    <row r="1193" spans="1:14" s="10" customFormat="1" x14ac:dyDescent="0.2">
      <c r="A1193" s="12" t="s">
        <v>127</v>
      </c>
      <c r="B1193" s="13" t="str">
        <f>B1194&amp;" "&amp;Lang_Single_Activity_Cost_Outputs_Annual&amp;" ("&amp;Lang_International_Currency_Fin&amp;")"</f>
        <v>Other Activity #2 - (Recurrent Costs Only) (Not in Use) Single Activity Cost Outputs - Annual (International Currency - Financial)</v>
      </c>
      <c r="C1193" s="13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</row>
    <row r="1194" spans="1:14" s="10" customFormat="1" outlineLevel="1" x14ac:dyDescent="0.2">
      <c r="B1194" s="49" t="str">
        <f>HL_TOP_ACTV_20_Name</f>
        <v>Other Activity #2 - (Recurrent Costs Only) (Not in Use)</v>
      </c>
    </row>
    <row r="1195" spans="1:14" s="10" customFormat="1" outlineLevel="1" x14ac:dyDescent="0.2">
      <c r="B1195" s="65" t="str">
        <f>OTHER_Lu!$D$67&amp;" ("&amp;OTHER_Lu!$D$47&amp;")"</f>
        <v>Financial (USD)</v>
      </c>
    </row>
    <row r="1196" spans="1:14" s="10" customFormat="1" outlineLevel="1" x14ac:dyDescent="0.2"/>
    <row r="1197" spans="1:14" s="10" customFormat="1" outlineLevel="1" x14ac:dyDescent="0.2">
      <c r="D1197" s="49" t="str">
        <f>OTHER!D46</f>
        <v>Other Activity #2 - (Recurrent Costs Only) (Not in Use)</v>
      </c>
      <c r="E1197" s="53" t="str">
        <f>"("&amp;IF(DD_TOP_ACTV_20_Input_Detail_or_Freeform=1,OTHER!$D$54,OTHER!$D$60)&amp;")"</f>
        <v>(Direct User Entry Cost Estimate)</v>
      </c>
      <c r="J1197" s="119">
        <f>J1181/TOP_ACTV_20_Exchange_Rate</f>
        <v>0</v>
      </c>
      <c r="K1197" s="119">
        <f>K1181/TOP_ACTV_20_Exchange_Rate</f>
        <v>0</v>
      </c>
      <c r="L1197" s="119">
        <f>L1181/TOP_ACTV_20_Exchange_Rate</f>
        <v>0</v>
      </c>
      <c r="M1197" s="119">
        <f>M1181/TOP_ACTV_20_Exchange_Rate</f>
        <v>0</v>
      </c>
      <c r="N1197" s="119">
        <f>N1181/TOP_ACTV_20_Exchange_Rate</f>
        <v>0</v>
      </c>
    </row>
    <row r="1198" spans="1:14" s="10" customFormat="1" outlineLevel="1" x14ac:dyDescent="0.2"/>
    <row r="1199" spans="1:14" s="10" customFormat="1" outlineLevel="1" x14ac:dyDescent="0.2">
      <c r="D1199" s="76" t="str">
        <f>Lang_GoTo&amp;" "&amp;HL_TOP_ACTV_20_Single_Activity_Cost_Assumptions_Annual</f>
        <v>Go to Other Activity #2 - (Recurrent Costs Only) (Not in Use) Single Activity Cost - Annual Assumptions (Projected or Retrospective)</v>
      </c>
    </row>
    <row r="1200" spans="1:14" s="10" customFormat="1" x14ac:dyDescent="0.2"/>
    <row r="1201" spans="1:14" s="10" customFormat="1" x14ac:dyDescent="0.2">
      <c r="A1201" s="12" t="s">
        <v>127</v>
      </c>
      <c r="B1201" s="13" t="str">
        <f>B1202&amp;" "&amp;Lang_Single_Activity_Cost_Outputs_Annual&amp;" ("&amp;Lang_International_Currency_Econ&amp;")"</f>
        <v>Other Activity #2 - (Recurrent Costs Only) (Not in Use) Single Activity Cost Outputs - Annual (International Currency - Economic)</v>
      </c>
      <c r="C1201" s="13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</row>
    <row r="1202" spans="1:14" s="10" customFormat="1" outlineLevel="1" x14ac:dyDescent="0.2">
      <c r="B1202" s="49" t="str">
        <f>HL_TOP_ACTV_20_Name</f>
        <v>Other Activity #2 - (Recurrent Costs Only) (Not in Use)</v>
      </c>
    </row>
    <row r="1203" spans="1:14" s="10" customFormat="1" outlineLevel="1" x14ac:dyDescent="0.2">
      <c r="B1203" s="65" t="str">
        <f>OTHER_Lu!$D$68&amp;" ("&amp;OTHER_Lu!$D$47&amp;")"</f>
        <v>Economic (USD)</v>
      </c>
    </row>
    <row r="1204" spans="1:14" s="10" customFormat="1" outlineLevel="1" x14ac:dyDescent="0.2"/>
    <row r="1205" spans="1:14" s="10" customFormat="1" outlineLevel="1" x14ac:dyDescent="0.2">
      <c r="D1205" s="49" t="str">
        <f>OTHER!D46</f>
        <v>Other Activity #2 - (Recurrent Costs Only) (Not in Use)</v>
      </c>
      <c r="E1205" s="53" t="str">
        <f>"("&amp;IF(DD_TOP_ACTV_20_Input_Detail_or_Freeform=1,OTHER!$D$54,OTHER!$D$60)&amp;")"</f>
        <v>(Direct User Entry Cost Estimate)</v>
      </c>
      <c r="J1205" s="119">
        <f>J1189/TOP_ACTV_20_Exchange_Rate</f>
        <v>0</v>
      </c>
      <c r="K1205" s="119">
        <f>K1189/TOP_ACTV_20_Exchange_Rate</f>
        <v>0</v>
      </c>
      <c r="L1205" s="119">
        <f>L1189/TOP_ACTV_20_Exchange_Rate</f>
        <v>0</v>
      </c>
      <c r="M1205" s="119">
        <f>M1189/TOP_ACTV_20_Exchange_Rate</f>
        <v>0</v>
      </c>
      <c r="N1205" s="119">
        <f>N1189/TOP_ACTV_20_Exchange_Rate</f>
        <v>0</v>
      </c>
    </row>
    <row r="1206" spans="1:14" s="10" customFormat="1" outlineLevel="1" x14ac:dyDescent="0.2"/>
    <row r="1207" spans="1:14" s="10" customFormat="1" outlineLevel="1" x14ac:dyDescent="0.2">
      <c r="D1207" s="76" t="str">
        <f>Lang_GoTo&amp;" "&amp;HL_TOP_ACTV_20_Single_Activity_Cost_Assumptions_Annual</f>
        <v>Go to Other Activity #2 - (Recurrent Costs Only) (Not in Use) Single Activity Cost - Annual Assumptions (Projected or Retrospective)</v>
      </c>
    </row>
    <row r="1208" spans="1:14" s="10" customFormat="1" x14ac:dyDescent="0.2"/>
    <row r="1209" spans="1:14" s="10" customFormat="1" x14ac:dyDescent="0.2">
      <c r="A1209" s="12" t="s">
        <v>127</v>
      </c>
      <c r="B1209" s="13" t="str">
        <f>B1210&amp;" "&amp;Lang_Single_Activity_Cost_Outputs_Annual&amp;" ("&amp;Lang_Local_Currency_Fin&amp;")"</f>
        <v>Other Activity #3 - (Recurrent Costs Only) (Not in Use) Single Activity Cost Outputs - Annual (Local Currency - Financial)</v>
      </c>
      <c r="C1209" s="13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</row>
    <row r="1210" spans="1:14" s="10" customFormat="1" outlineLevel="1" x14ac:dyDescent="0.2">
      <c r="B1210" s="49" t="str">
        <f>HL_TOP_ACTV_19_Name</f>
        <v>Other Activity #3 - (Recurrent Costs Only) (Not in Use)</v>
      </c>
    </row>
    <row r="1211" spans="1:14" s="10" customFormat="1" outlineLevel="1" x14ac:dyDescent="0.2">
      <c r="B1211" s="65" t="str">
        <f>OTHER_Lu!$D$102&amp;" ("&amp;OTHER_Lu!$D$83&amp;")"</f>
        <v>Financial (LCU)</v>
      </c>
    </row>
    <row r="1212" spans="1:14" s="10" customFormat="1" outlineLevel="1" x14ac:dyDescent="0.2"/>
    <row r="1213" spans="1:14" s="10" customFormat="1" outlineLevel="1" x14ac:dyDescent="0.2">
      <c r="D1213" s="49" t="str">
        <f>OTHER!D81</f>
        <v>Other Activity #3 - (Recurrent Costs Only) (Not in Use)</v>
      </c>
      <c r="E1213" s="53" t="str">
        <f>"("&amp;IF(DD_TOP_ACTV_19_Input_Detail_or_Freeform=1,OTHER!$D$89,OTHER!$D$95)&amp;")"</f>
        <v>(Direct User Entry Cost Estimate)</v>
      </c>
      <c r="J1213" s="79">
        <f>IF(DD_TOP_ACTV_19_Input_Detail_or_Freeform=1,IF(DD_TOP_ACTV_19_Annual_Currency_Used=2,OTHER!J$91,OTHER!J$91*TOP_ACTV_19_Exchange_Rate),IF(DD_TOP_ACTV_19_Annual_Currency_Used=2,OTHER!J$96,OTHER!J$96*TOP_ACTV_19_Exchange_Rate))</f>
        <v>0</v>
      </c>
      <c r="K1213" s="79">
        <f>IF(DD_TOP_ACTV_19_Input_Detail_or_Freeform=1,IF(DD_TOP_ACTV_19_Annual_Currency_Used=2,OTHER!K$91,OTHER!K$91*TOP_ACTV_19_Exchange_Rate),IF(DD_TOP_ACTV_19_Annual_Currency_Used=2,OTHER!K$96,OTHER!K$96*TOP_ACTV_19_Exchange_Rate))</f>
        <v>0</v>
      </c>
      <c r="L1213" s="79">
        <f>IF(DD_TOP_ACTV_19_Input_Detail_or_Freeform=1,IF(DD_TOP_ACTV_19_Annual_Currency_Used=2,OTHER!L$91,OTHER!L$91*TOP_ACTV_19_Exchange_Rate),IF(DD_TOP_ACTV_19_Annual_Currency_Used=2,OTHER!L$96,OTHER!L$96*TOP_ACTV_19_Exchange_Rate))</f>
        <v>0</v>
      </c>
      <c r="M1213" s="79">
        <f>IF(DD_TOP_ACTV_19_Input_Detail_or_Freeform=1,IF(DD_TOP_ACTV_19_Annual_Currency_Used=2,OTHER!M$91,OTHER!M$91*TOP_ACTV_19_Exchange_Rate),IF(DD_TOP_ACTV_19_Annual_Currency_Used=2,OTHER!M$96,OTHER!M$96*TOP_ACTV_19_Exchange_Rate))</f>
        <v>0</v>
      </c>
      <c r="N1213" s="79">
        <f>IF(DD_TOP_ACTV_19_Input_Detail_or_Freeform=1,IF(DD_TOP_ACTV_19_Annual_Currency_Used=2,OTHER!N$91,OTHER!N$91*TOP_ACTV_19_Exchange_Rate),IF(DD_TOP_ACTV_19_Annual_Currency_Used=2,OTHER!N$96,OTHER!N$96*TOP_ACTV_19_Exchange_Rate))</f>
        <v>0</v>
      </c>
    </row>
    <row r="1214" spans="1:14" s="10" customFormat="1" outlineLevel="1" x14ac:dyDescent="0.2"/>
    <row r="1215" spans="1:14" s="10" customFormat="1" outlineLevel="1" x14ac:dyDescent="0.2">
      <c r="D1215" s="76" t="str">
        <f>Lang_GoTo&amp;" "&amp;HL_TOP_ACTV_19_Single_Activity_Cost_Assumptions_Annual</f>
        <v>Go to Other Activity #3 - (Recurrent Costs Only) (Not in Use) Single Activity Cost - Annual Assumptions (Projected or Retrospective)</v>
      </c>
    </row>
    <row r="1216" spans="1:14" s="10" customFormat="1" x14ac:dyDescent="0.2"/>
    <row r="1217" spans="1:14" s="10" customFormat="1" x14ac:dyDescent="0.2">
      <c r="A1217" s="12" t="s">
        <v>127</v>
      </c>
      <c r="B1217" s="13" t="str">
        <f>B1218&amp;" "&amp;Lang_Single_Activity_Cost_Outputs_Annual&amp;" ("&amp;Lang_Local_Currency_Econ&amp;")"</f>
        <v>Other Activity #3 - (Recurrent Costs Only) (Not in Use) Single Activity Cost Outputs - Annual (Local Currency - Economic)</v>
      </c>
      <c r="C1217" s="13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</row>
    <row r="1218" spans="1:14" s="10" customFormat="1" outlineLevel="1" x14ac:dyDescent="0.2">
      <c r="B1218" s="49" t="str">
        <f>HL_TOP_ACTV_19_Name</f>
        <v>Other Activity #3 - (Recurrent Costs Only) (Not in Use)</v>
      </c>
    </row>
    <row r="1219" spans="1:14" s="10" customFormat="1" outlineLevel="1" x14ac:dyDescent="0.2">
      <c r="B1219" s="65" t="str">
        <f>OTHER_Lu!$D$103&amp;" ("&amp;OTHER_Lu!$D$83&amp;")"</f>
        <v>Economic (LCU)</v>
      </c>
    </row>
    <row r="1220" spans="1:14" s="10" customFormat="1" outlineLevel="1" x14ac:dyDescent="0.2"/>
    <row r="1221" spans="1:14" s="10" customFormat="1" outlineLevel="1" x14ac:dyDescent="0.2">
      <c r="D1221" s="49" t="str">
        <f>OTHER!D81</f>
        <v>Other Activity #3 - (Recurrent Costs Only) (Not in Use)</v>
      </c>
      <c r="E1221" s="53" t="str">
        <f>"("&amp;IF(DD_TOP_ACTV_19_Input_Detail_or_Freeform=1,OTHER!$D$89,OTHER!$D$95)&amp;")"</f>
        <v>(Direct User Entry Cost Estimate)</v>
      </c>
      <c r="J1221" s="79">
        <f>IF(DD_TOP_ACTV_19_Input_Detail_or_Freeform=1,IF(DD_TOP_ACTV_19_Annual_Currency_Used=2,OTHER!J$92,OTHER!J$92*TOP_ACTV_19_Exchange_Rate),IF(DD_TOP_ACTV_19_Annual_Currency_Used=2,OTHER!J$97,OTHER!J$97*TOP_ACTV_19_Exchange_Rate))</f>
        <v>0</v>
      </c>
      <c r="K1221" s="79">
        <f>IF(DD_TOP_ACTV_19_Input_Detail_or_Freeform=1,IF(DD_TOP_ACTV_19_Annual_Currency_Used=2,OTHER!K$92,OTHER!K$92*TOP_ACTV_19_Exchange_Rate),IF(DD_TOP_ACTV_19_Annual_Currency_Used=2,OTHER!K$97,OTHER!K$97*TOP_ACTV_19_Exchange_Rate))</f>
        <v>0</v>
      </c>
      <c r="L1221" s="79">
        <f>IF(DD_TOP_ACTV_19_Input_Detail_or_Freeform=1,IF(DD_TOP_ACTV_19_Annual_Currency_Used=2,OTHER!L$92,OTHER!L$92*TOP_ACTV_19_Exchange_Rate),IF(DD_TOP_ACTV_19_Annual_Currency_Used=2,OTHER!L$97,OTHER!L$97*TOP_ACTV_19_Exchange_Rate))</f>
        <v>0</v>
      </c>
      <c r="M1221" s="79">
        <f>IF(DD_TOP_ACTV_19_Input_Detail_or_Freeform=1,IF(DD_TOP_ACTV_19_Annual_Currency_Used=2,OTHER!M$92,OTHER!M$92*TOP_ACTV_19_Exchange_Rate),IF(DD_TOP_ACTV_19_Annual_Currency_Used=2,OTHER!M$97,OTHER!M$97*TOP_ACTV_19_Exchange_Rate))</f>
        <v>0</v>
      </c>
      <c r="N1221" s="79">
        <f>IF(DD_TOP_ACTV_19_Input_Detail_or_Freeform=1,IF(DD_TOP_ACTV_19_Annual_Currency_Used=2,OTHER!N$92,OTHER!N$92*TOP_ACTV_19_Exchange_Rate),IF(DD_TOP_ACTV_19_Annual_Currency_Used=2,OTHER!N$97,OTHER!N$97*TOP_ACTV_19_Exchange_Rate))</f>
        <v>0</v>
      </c>
    </row>
    <row r="1222" spans="1:14" s="10" customFormat="1" outlineLevel="1" x14ac:dyDescent="0.2"/>
    <row r="1223" spans="1:14" s="10" customFormat="1" outlineLevel="1" x14ac:dyDescent="0.2">
      <c r="D1223" s="76" t="str">
        <f>Lang_GoTo&amp;" "&amp;HL_TOP_ACTV_19_Single_Activity_Cost_Assumptions_Annual</f>
        <v>Go to Other Activity #3 - (Recurrent Costs Only) (Not in Use) Single Activity Cost - Annual Assumptions (Projected or Retrospective)</v>
      </c>
    </row>
    <row r="1224" spans="1:14" s="10" customFormat="1" x14ac:dyDescent="0.2"/>
    <row r="1225" spans="1:14" s="10" customFormat="1" x14ac:dyDescent="0.2">
      <c r="A1225" s="12" t="s">
        <v>127</v>
      </c>
      <c r="B1225" s="13" t="str">
        <f>B1226&amp;" "&amp;Lang_Single_Activity_Cost_Outputs_Annual&amp;" ("&amp;Lang_International_Currency_Fin&amp;")"</f>
        <v>Other Activity #3 - (Recurrent Costs Only) (Not in Use) Single Activity Cost Outputs - Annual (International Currency - Financial)</v>
      </c>
      <c r="C1225" s="13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</row>
    <row r="1226" spans="1:14" s="10" customFormat="1" outlineLevel="1" x14ac:dyDescent="0.2">
      <c r="B1226" s="49" t="str">
        <f>HL_TOP_ACTV_19_Name</f>
        <v>Other Activity #3 - (Recurrent Costs Only) (Not in Use)</v>
      </c>
    </row>
    <row r="1227" spans="1:14" s="10" customFormat="1" outlineLevel="1" x14ac:dyDescent="0.2">
      <c r="B1227" s="65" t="str">
        <f>OTHER_Lu!$D$102&amp;" ("&amp;OTHER_Lu!$D$82&amp;")"</f>
        <v>Financial (USD)</v>
      </c>
    </row>
    <row r="1228" spans="1:14" s="10" customFormat="1" outlineLevel="1" x14ac:dyDescent="0.2"/>
    <row r="1229" spans="1:14" s="10" customFormat="1" outlineLevel="1" x14ac:dyDescent="0.2">
      <c r="D1229" s="49" t="str">
        <f>OTHER!D81</f>
        <v>Other Activity #3 - (Recurrent Costs Only) (Not in Use)</v>
      </c>
      <c r="E1229" s="53" t="str">
        <f>"("&amp;IF(DD_TOP_ACTV_19_Input_Detail_or_Freeform=1,OTHER!$D$89,OTHER!$D$95)&amp;")"</f>
        <v>(Direct User Entry Cost Estimate)</v>
      </c>
      <c r="J1229" s="143">
        <f>J1213/TOP_ACTV_19_Exchange_Rate</f>
        <v>0</v>
      </c>
      <c r="K1229" s="143">
        <f>K1213/TOP_ACTV_19_Exchange_Rate</f>
        <v>0</v>
      </c>
      <c r="L1229" s="143">
        <f>L1213/TOP_ACTV_19_Exchange_Rate</f>
        <v>0</v>
      </c>
      <c r="M1229" s="143">
        <f>M1213/TOP_ACTV_19_Exchange_Rate</f>
        <v>0</v>
      </c>
      <c r="N1229" s="143">
        <f>N1213/TOP_ACTV_19_Exchange_Rate</f>
        <v>0</v>
      </c>
    </row>
    <row r="1230" spans="1:14" s="10" customFormat="1" outlineLevel="1" x14ac:dyDescent="0.2"/>
    <row r="1231" spans="1:14" s="10" customFormat="1" outlineLevel="1" x14ac:dyDescent="0.2">
      <c r="D1231" s="76" t="str">
        <f>Lang_GoTo&amp;" "&amp;HL_TOP_ACTV_19_Single_Activity_Cost_Assumptions_Annual</f>
        <v>Go to Other Activity #3 - (Recurrent Costs Only) (Not in Use) Single Activity Cost - Annual Assumptions (Projected or Retrospective)</v>
      </c>
    </row>
    <row r="1232" spans="1:14" s="10" customFormat="1" x14ac:dyDescent="0.2"/>
    <row r="1233" spans="1:14" s="10" customFormat="1" x14ac:dyDescent="0.2">
      <c r="A1233" s="12" t="s">
        <v>127</v>
      </c>
      <c r="B1233" s="13" t="str">
        <f>B1234&amp;" "&amp;Lang_Single_Activity_Cost_Outputs_Annual&amp;" ("&amp;Lang_International_Currency_Econ&amp;")"</f>
        <v>Other Activity #3 - (Recurrent Costs Only) (Not in Use) Single Activity Cost Outputs - Annual (International Currency - Economic)</v>
      </c>
      <c r="C1233" s="13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</row>
    <row r="1234" spans="1:14" s="10" customFormat="1" outlineLevel="1" x14ac:dyDescent="0.2">
      <c r="B1234" s="49" t="str">
        <f>HL_TOP_ACTV_19_Name</f>
        <v>Other Activity #3 - (Recurrent Costs Only) (Not in Use)</v>
      </c>
    </row>
    <row r="1235" spans="1:14" s="10" customFormat="1" outlineLevel="1" x14ac:dyDescent="0.2">
      <c r="B1235" s="65" t="str">
        <f>OTHER_Lu!$D$103&amp;" ("&amp;OTHER_Lu!$D$82&amp;")"</f>
        <v>Economic (USD)</v>
      </c>
    </row>
    <row r="1236" spans="1:14" s="10" customFormat="1" outlineLevel="1" x14ac:dyDescent="0.2"/>
    <row r="1237" spans="1:14" s="10" customFormat="1" outlineLevel="1" x14ac:dyDescent="0.2">
      <c r="D1237" s="49" t="str">
        <f>OTHER!D81</f>
        <v>Other Activity #3 - (Recurrent Costs Only) (Not in Use)</v>
      </c>
      <c r="E1237" s="53" t="str">
        <f>"("&amp;IF(DD_TOP_ACTV_19_Input_Detail_or_Freeform=1,OTHER!$D$89,OTHER!$D$95)&amp;")"</f>
        <v>(Direct User Entry Cost Estimate)</v>
      </c>
      <c r="J1237" s="143">
        <f>J1221/TOP_ACTV_19_Exchange_Rate</f>
        <v>0</v>
      </c>
      <c r="K1237" s="143">
        <f>K1221/TOP_ACTV_19_Exchange_Rate</f>
        <v>0</v>
      </c>
      <c r="L1237" s="143">
        <f>L1221/TOP_ACTV_19_Exchange_Rate</f>
        <v>0</v>
      </c>
      <c r="M1237" s="143">
        <f>M1221/TOP_ACTV_19_Exchange_Rate</f>
        <v>0</v>
      </c>
      <c r="N1237" s="143">
        <f>N1221/TOP_ACTV_19_Exchange_Rate</f>
        <v>0</v>
      </c>
    </row>
    <row r="1238" spans="1:14" s="10" customFormat="1" outlineLevel="1" x14ac:dyDescent="0.2"/>
    <row r="1239" spans="1:14" s="10" customFormat="1" outlineLevel="1" x14ac:dyDescent="0.2">
      <c r="D1239" s="76" t="str">
        <f>Lang_GoTo&amp;" "&amp;HL_TOP_ACTV_19_Single_Activity_Cost_Assumptions_Annual</f>
        <v>Go to Other Activity #3 - (Recurrent Costs Only) (Not in Use) Single Activity Cost - Annual Assumptions (Projected or Retrospective)</v>
      </c>
    </row>
    <row r="1240" spans="1:14" s="10" customFormat="1" x14ac:dyDescent="0.2"/>
    <row r="1241" spans="1:14" s="10" customFormat="1" x14ac:dyDescent="0.2">
      <c r="A1241" s="12" t="s">
        <v>127</v>
      </c>
      <c r="B1241" s="13" t="str">
        <f>B1242&amp;" "&amp;Lang_Single_Activity_Cost_Outputs_Annual&amp;" ("&amp;Lang_Local_Currency_Fin&amp;")"</f>
        <v>Other Activity #4 - (Recurrent Costs Only) (Not in Use) Single Activity Cost Outputs - Annual (Local Currency - Financial)</v>
      </c>
      <c r="C1241" s="13"/>
      <c r="D1241" s="13"/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</row>
    <row r="1242" spans="1:14" s="10" customFormat="1" outlineLevel="1" x14ac:dyDescent="0.2">
      <c r="B1242" s="10" t="str">
        <f>HL_LVL2_ACTV_7_Name</f>
        <v>Other Activity #4 - (Recurrent Costs Only) (Not in Use)</v>
      </c>
    </row>
    <row r="1243" spans="1:14" s="10" customFormat="1" outlineLevel="1" x14ac:dyDescent="0.2">
      <c r="B1243" s="65" t="str">
        <f>OTHER_Lu!$D$137&amp;" ("&amp;OTHER_Lu!$D$118&amp;")"</f>
        <v>Financial (LCU)</v>
      </c>
      <c r="E1243" s="53" t="str">
        <f>"("&amp;IF(DD_LVL2_ACTV_7_Input_Detail_or_Freeform=1,OTHER!$D$126,OTHER!$D$132)&amp;")"</f>
        <v>(Direct User Entry Cost Estimate)</v>
      </c>
    </row>
    <row r="1244" spans="1:14" s="10" customFormat="1" outlineLevel="1" x14ac:dyDescent="0.2"/>
    <row r="1245" spans="1:14" s="10" customFormat="1" outlineLevel="1" x14ac:dyDescent="0.2">
      <c r="D1245" s="49" t="str">
        <f>HL_LVL2_ACTV_7_Name</f>
        <v>Other Activity #4 - (Recurrent Costs Only) (Not in Use)</v>
      </c>
      <c r="J1245" s="141">
        <f>IF(DD_LVL2_ACTV_7_Input_Detail_or_Freeform=1,IF(DD_LVL2_ACTV_7_Annual_Currency_Select=2,OTHER!J$128,OTHER!J$128*LVL2_ACTV_7_Exchange_Rate),IF(DD_LVL2_ACTV_7_Annual_Currency_Select=2,OTHER!J$133,OTHER!J$133*LVL2_ACTV_7_Exchange_Rate))</f>
        <v>0</v>
      </c>
      <c r="K1245" s="141">
        <f>IF(DD_LVL2_ACTV_7_Input_Detail_or_Freeform=1,IF(DD_LVL2_ACTV_7_Annual_Currency_Select=2,OTHER!K$128,OTHER!K$128*LVL2_ACTV_7_Exchange_Rate),IF(DD_LVL2_ACTV_7_Annual_Currency_Select=2,OTHER!K$133,OTHER!K$133*LVL2_ACTV_7_Exchange_Rate))</f>
        <v>0</v>
      </c>
      <c r="L1245" s="141">
        <f>IF(DD_LVL2_ACTV_7_Input_Detail_or_Freeform=1,IF(DD_LVL2_ACTV_7_Annual_Currency_Select=2,OTHER!L$128,OTHER!L$128*LVL2_ACTV_7_Exchange_Rate),IF(DD_LVL2_ACTV_7_Annual_Currency_Select=2,OTHER!L$133,OTHER!L$133*LVL2_ACTV_7_Exchange_Rate))</f>
        <v>0</v>
      </c>
      <c r="M1245" s="141">
        <f>IF(DD_LVL2_ACTV_7_Input_Detail_or_Freeform=1,IF(DD_LVL2_ACTV_7_Annual_Currency_Select=2,OTHER!M$128,OTHER!M$128*LVL2_ACTV_7_Exchange_Rate),IF(DD_LVL2_ACTV_7_Annual_Currency_Select=2,OTHER!M$133,OTHER!M$133*LVL2_ACTV_7_Exchange_Rate))</f>
        <v>0</v>
      </c>
      <c r="N1245" s="141">
        <f>IF(DD_LVL2_ACTV_7_Input_Detail_or_Freeform=1,IF(DD_LVL2_ACTV_7_Annual_Currency_Select=2,OTHER!N$128,OTHER!N$128*LVL2_ACTV_7_Exchange_Rate),IF(DD_LVL2_ACTV_7_Annual_Currency_Select=2,OTHER!N$133,OTHER!N$133*LVL2_ACTV_7_Exchange_Rate))</f>
        <v>0</v>
      </c>
    </row>
    <row r="1246" spans="1:14" s="10" customFormat="1" outlineLevel="1" x14ac:dyDescent="0.2">
      <c r="D1246" s="114" t="str">
        <f>HL_LVL2_ACTV_7_Name</f>
        <v>Other Activity #4 - (Recurrent Costs Only) (Not in Use)</v>
      </c>
      <c r="J1246" s="142">
        <f>SUM(J1245:J1245)</f>
        <v>0</v>
      </c>
      <c r="K1246" s="142">
        <f>SUM(K1245:K1245)</f>
        <v>0</v>
      </c>
      <c r="L1246" s="142">
        <f>SUM(L1245:L1245)</f>
        <v>0</v>
      </c>
      <c r="M1246" s="142">
        <f>SUM(M1245:M1245)</f>
        <v>0</v>
      </c>
      <c r="N1246" s="142">
        <f>SUM(N1245:N1245)</f>
        <v>0</v>
      </c>
    </row>
    <row r="1247" spans="1:14" s="10" customFormat="1" outlineLevel="1" x14ac:dyDescent="0.2"/>
    <row r="1248" spans="1:14" s="10" customFormat="1" outlineLevel="1" x14ac:dyDescent="0.2"/>
    <row r="1249" spans="1:14" s="10" customFormat="1" outlineLevel="1" x14ac:dyDescent="0.2">
      <c r="D1249" s="76" t="str">
        <f>Lang_GoTo&amp;" "&amp;HL_LVL2_ACTV_7_Single_Activity_Cost_Assumptions_Annual</f>
        <v>Go to Other Activity #4 - (Recurrent Costs Only) (Not in Use) Single Activity Cost - Annual Assumptions (Projected or Retrospective)</v>
      </c>
    </row>
    <row r="1250" spans="1:14" s="10" customFormat="1" x14ac:dyDescent="0.2"/>
    <row r="1251" spans="1:14" s="10" customFormat="1" x14ac:dyDescent="0.2">
      <c r="A1251" s="12" t="s">
        <v>127</v>
      </c>
      <c r="B1251" s="13" t="str">
        <f>B1252&amp;" "&amp;Lang_Single_Activity_Cost_Outputs_Annual&amp;" ("&amp;Lang_Local_Currency_Econ&amp;")"</f>
        <v>Other Activity #4 - (Recurrent Costs Only) (Not in Use) Single Activity Cost Outputs - Annual (Local Currency - Economic)</v>
      </c>
      <c r="C1251" s="13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</row>
    <row r="1252" spans="1:14" s="10" customFormat="1" outlineLevel="1" x14ac:dyDescent="0.2">
      <c r="B1252" s="10" t="str">
        <f>HL_LVL2_ACTV_7_Name</f>
        <v>Other Activity #4 - (Recurrent Costs Only) (Not in Use)</v>
      </c>
    </row>
    <row r="1253" spans="1:14" s="10" customFormat="1" outlineLevel="1" x14ac:dyDescent="0.2">
      <c r="B1253" s="65" t="str">
        <f>OTHER_Lu!$D$138&amp;" ("&amp;OTHER_Lu!$D$118&amp;")"</f>
        <v>Economic (LCU)</v>
      </c>
      <c r="E1253" s="53" t="str">
        <f>"("&amp;IF(DD_LVL2_ACTV_7_Input_Detail_or_Freeform=1,OTHER!$D$126,OTHER!$D$132)&amp;")"</f>
        <v>(Direct User Entry Cost Estimate)</v>
      </c>
    </row>
    <row r="1254" spans="1:14" s="10" customFormat="1" outlineLevel="1" x14ac:dyDescent="0.2"/>
    <row r="1255" spans="1:14" s="10" customFormat="1" outlineLevel="1" x14ac:dyDescent="0.2">
      <c r="D1255" s="49" t="str">
        <f>HL_LVL2_ACTV_7_Name</f>
        <v>Other Activity #4 - (Recurrent Costs Only) (Not in Use)</v>
      </c>
      <c r="J1255" s="141">
        <f>IF(DD_LVL2_ACTV_7_Input_Detail_or_Freeform=1,IF(DD_LVL2_ACTV_7_Annual_Currency_Select=2,OTHER!J$129,OTHER!J$129*LVL2_ACTV_7_Exchange_Rate),IF(DD_LVL2_ACTV_7_Annual_Currency_Select=2,OTHER!J$134,OTHER!J$134*LVL2_ACTV_7_Exchange_Rate))</f>
        <v>0</v>
      </c>
      <c r="K1255" s="141">
        <f>IF(DD_LVL2_ACTV_7_Input_Detail_or_Freeform=1,IF(DD_LVL2_ACTV_7_Annual_Currency_Select=2,OTHER!K$129,OTHER!K$129*LVL2_ACTV_7_Exchange_Rate),IF(DD_LVL2_ACTV_7_Annual_Currency_Select=2,OTHER!K$134,OTHER!K$134*LVL2_ACTV_7_Exchange_Rate))</f>
        <v>0</v>
      </c>
      <c r="L1255" s="141">
        <f>IF(DD_LVL2_ACTV_7_Input_Detail_or_Freeform=1,IF(DD_LVL2_ACTV_7_Annual_Currency_Select=2,OTHER!L$129,OTHER!L$129*LVL2_ACTV_7_Exchange_Rate),IF(DD_LVL2_ACTV_7_Annual_Currency_Select=2,OTHER!L$134,OTHER!L$134*LVL2_ACTV_7_Exchange_Rate))</f>
        <v>0</v>
      </c>
      <c r="M1255" s="141">
        <f>IF(DD_LVL2_ACTV_7_Input_Detail_or_Freeform=1,IF(DD_LVL2_ACTV_7_Annual_Currency_Select=2,OTHER!M$129,OTHER!M$129*LVL2_ACTV_7_Exchange_Rate),IF(DD_LVL2_ACTV_7_Annual_Currency_Select=2,OTHER!M$134,OTHER!M$134*LVL2_ACTV_7_Exchange_Rate))</f>
        <v>0</v>
      </c>
      <c r="N1255" s="141">
        <f>IF(DD_LVL2_ACTV_7_Input_Detail_or_Freeform=1,IF(DD_LVL2_ACTV_7_Annual_Currency_Select=2,OTHER!N$129,OTHER!N$129*LVL2_ACTV_7_Exchange_Rate),IF(DD_LVL2_ACTV_7_Annual_Currency_Select=2,OTHER!N$134,OTHER!N$134*LVL2_ACTV_7_Exchange_Rate))</f>
        <v>0</v>
      </c>
    </row>
    <row r="1256" spans="1:14" s="10" customFormat="1" outlineLevel="1" x14ac:dyDescent="0.2">
      <c r="D1256" s="114" t="str">
        <f>HL_LVL2_ACTV_7_Name</f>
        <v>Other Activity #4 - (Recurrent Costs Only) (Not in Use)</v>
      </c>
      <c r="J1256" s="142">
        <f>SUM(J1255:J1255)</f>
        <v>0</v>
      </c>
      <c r="K1256" s="142">
        <f>SUM(K1255:K1255)</f>
        <v>0</v>
      </c>
      <c r="L1256" s="142">
        <f>SUM(L1255:L1255)</f>
        <v>0</v>
      </c>
      <c r="M1256" s="142">
        <f>SUM(M1255:M1255)</f>
        <v>0</v>
      </c>
      <c r="N1256" s="142">
        <f>SUM(N1255:N1255)</f>
        <v>0</v>
      </c>
    </row>
    <row r="1257" spans="1:14" s="10" customFormat="1" outlineLevel="1" x14ac:dyDescent="0.2"/>
    <row r="1258" spans="1:14" s="10" customFormat="1" outlineLevel="1" x14ac:dyDescent="0.2">
      <c r="D1258" s="76" t="str">
        <f>Lang_GoTo&amp;" "&amp;HL_LVL2_ACTV_7_Single_Activity_Cost_Assumptions_Annual</f>
        <v>Go to Other Activity #4 - (Recurrent Costs Only) (Not in Use) Single Activity Cost - Annual Assumptions (Projected or Retrospective)</v>
      </c>
    </row>
    <row r="1259" spans="1:14" s="10" customFormat="1" x14ac:dyDescent="0.2"/>
    <row r="1260" spans="1:14" s="10" customFormat="1" x14ac:dyDescent="0.2">
      <c r="A1260" s="12" t="s">
        <v>127</v>
      </c>
      <c r="B1260" s="13" t="str">
        <f>B1261&amp;" "&amp;Lang_Single_Activity_Cost_Outputs_Annual&amp;" ("&amp;Lang_International_Currency_Fin&amp;")"</f>
        <v>Other Activity #4 - (Recurrent Costs Only) (Not in Use) Single Activity Cost Outputs - Annual (International Currency - Financial)</v>
      </c>
      <c r="C1260" s="13"/>
      <c r="D1260" s="13"/>
      <c r="E1260" s="13"/>
      <c r="F1260" s="13"/>
      <c r="G1260" s="13"/>
      <c r="H1260" s="13"/>
      <c r="I1260" s="13"/>
      <c r="J1260" s="13"/>
      <c r="K1260" s="13"/>
      <c r="L1260" s="13"/>
      <c r="M1260" s="13"/>
      <c r="N1260" s="13"/>
    </row>
    <row r="1261" spans="1:14" s="10" customFormat="1" outlineLevel="1" x14ac:dyDescent="0.2">
      <c r="B1261" s="10" t="str">
        <f>HL_LVL2_ACTV_7_Name</f>
        <v>Other Activity #4 - (Recurrent Costs Only) (Not in Use)</v>
      </c>
    </row>
    <row r="1262" spans="1:14" s="10" customFormat="1" outlineLevel="1" x14ac:dyDescent="0.2">
      <c r="B1262" s="65" t="str">
        <f>OTHER_Lu!$D$137&amp;" ("&amp;OTHER_Lu!$D$117&amp;")"</f>
        <v>Financial (USD)</v>
      </c>
      <c r="E1262" s="53" t="str">
        <f>"("&amp;IF(DD_LVL2_ACTV_7_Input_Detail_or_Freeform=1,OTHER!$D$126,OTHER!$D$132)&amp;")"</f>
        <v>(Direct User Entry Cost Estimate)</v>
      </c>
    </row>
    <row r="1263" spans="1:14" s="10" customFormat="1" outlineLevel="1" x14ac:dyDescent="0.2"/>
    <row r="1264" spans="1:14" s="10" customFormat="1" outlineLevel="1" x14ac:dyDescent="0.2">
      <c r="D1264" s="49" t="str">
        <f>HL_LVL2_ACTV_7_Name</f>
        <v>Other Activity #4 - (Recurrent Costs Only) (Not in Use)</v>
      </c>
      <c r="J1264" s="138">
        <f>J1245/LVL2_ACTV_7_Exchange_Rate</f>
        <v>0</v>
      </c>
      <c r="K1264" s="138">
        <f>K1245/LVL2_ACTV_7_Exchange_Rate</f>
        <v>0</v>
      </c>
      <c r="L1264" s="138">
        <f>L1245/LVL2_ACTV_7_Exchange_Rate</f>
        <v>0</v>
      </c>
      <c r="M1264" s="138">
        <f>M1245/LVL2_ACTV_7_Exchange_Rate</f>
        <v>0</v>
      </c>
      <c r="N1264" s="138">
        <f>N1245/LVL2_ACTV_7_Exchange_Rate</f>
        <v>0</v>
      </c>
    </row>
    <row r="1265" spans="1:14" s="10" customFormat="1" outlineLevel="1" x14ac:dyDescent="0.2">
      <c r="D1265" s="114" t="str">
        <f>HL_LVL2_ACTV_7_Name</f>
        <v>Other Activity #4 - (Recurrent Costs Only) (Not in Use)</v>
      </c>
      <c r="J1265" s="143">
        <f>SUM(J1264:J1264)</f>
        <v>0</v>
      </c>
      <c r="K1265" s="143">
        <f>SUM(K1264:K1264)</f>
        <v>0</v>
      </c>
      <c r="L1265" s="143">
        <f>SUM(L1264:L1264)</f>
        <v>0</v>
      </c>
      <c r="M1265" s="143">
        <f>SUM(M1264:M1264)</f>
        <v>0</v>
      </c>
      <c r="N1265" s="143">
        <f>SUM(N1264:N1264)</f>
        <v>0</v>
      </c>
    </row>
    <row r="1266" spans="1:14" s="10" customFormat="1" outlineLevel="1" x14ac:dyDescent="0.2"/>
    <row r="1267" spans="1:14" s="10" customFormat="1" outlineLevel="1" x14ac:dyDescent="0.2">
      <c r="D1267" s="76" t="str">
        <f>Lang_GoTo&amp;" "&amp;HL_LVL2_ACTV_7_Single_Activity_Cost_Assumptions_Annual</f>
        <v>Go to Other Activity #4 - (Recurrent Costs Only) (Not in Use) Single Activity Cost - Annual Assumptions (Projected or Retrospective)</v>
      </c>
    </row>
    <row r="1268" spans="1:14" s="10" customFormat="1" x14ac:dyDescent="0.2"/>
    <row r="1269" spans="1:14" s="10" customFormat="1" x14ac:dyDescent="0.2">
      <c r="A1269" s="12" t="s">
        <v>127</v>
      </c>
      <c r="B1269" s="13" t="str">
        <f>B1270&amp;" "&amp;Lang_Single_Activity_Cost_Outputs_Annual&amp;" ("&amp;Lang_International_Currency_Econ&amp;")"</f>
        <v>Other Activity #4 - (Recurrent Costs Only) (Not in Use) Single Activity Cost Outputs - Annual (International Currency - Economic)</v>
      </c>
      <c r="C1269" s="13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</row>
    <row r="1270" spans="1:14" s="10" customFormat="1" outlineLevel="1" x14ac:dyDescent="0.2">
      <c r="B1270" s="10" t="str">
        <f>HL_LVL2_ACTV_7_Name</f>
        <v>Other Activity #4 - (Recurrent Costs Only) (Not in Use)</v>
      </c>
    </row>
    <row r="1271" spans="1:14" s="10" customFormat="1" outlineLevel="1" x14ac:dyDescent="0.2">
      <c r="B1271" s="65" t="str">
        <f>OTHER_Lu!$D$138&amp;" ("&amp;OTHER_Lu!$D$117&amp;")"</f>
        <v>Economic (USD)</v>
      </c>
      <c r="E1271" s="53" t="str">
        <f>"("&amp;IF(DD_LVL2_ACTV_7_Input_Detail_or_Freeform=1,OTHER!$D$126,OTHER!$D$132)&amp;")"</f>
        <v>(Direct User Entry Cost Estimate)</v>
      </c>
    </row>
    <row r="1272" spans="1:14" s="10" customFormat="1" outlineLevel="1" x14ac:dyDescent="0.2"/>
    <row r="1273" spans="1:14" s="10" customFormat="1" outlineLevel="1" x14ac:dyDescent="0.2">
      <c r="D1273" s="49" t="str">
        <f>HL_LVL2_ACTV_7_Name</f>
        <v>Other Activity #4 - (Recurrent Costs Only) (Not in Use)</v>
      </c>
      <c r="J1273" s="138">
        <f>J1255/LVL2_ACTV_7_Exchange_Rate</f>
        <v>0</v>
      </c>
      <c r="K1273" s="138">
        <f>K1255/LVL2_ACTV_7_Exchange_Rate</f>
        <v>0</v>
      </c>
      <c r="L1273" s="138">
        <f>L1255/LVL2_ACTV_7_Exchange_Rate</f>
        <v>0</v>
      </c>
      <c r="M1273" s="138">
        <f>M1255/LVL2_ACTV_7_Exchange_Rate</f>
        <v>0</v>
      </c>
      <c r="N1273" s="138">
        <f>N1255/LVL2_ACTV_7_Exchange_Rate</f>
        <v>0</v>
      </c>
    </row>
    <row r="1274" spans="1:14" s="10" customFormat="1" outlineLevel="1" x14ac:dyDescent="0.2">
      <c r="D1274" s="114" t="str">
        <f>HL_LVL2_ACTV_7_Name</f>
        <v>Other Activity #4 - (Recurrent Costs Only) (Not in Use)</v>
      </c>
      <c r="J1274" s="143">
        <f>SUM(J1273:J1273)</f>
        <v>0</v>
      </c>
      <c r="K1274" s="143">
        <f>SUM(K1273:K1273)</f>
        <v>0</v>
      </c>
      <c r="L1274" s="143">
        <f>SUM(L1273:L1273)</f>
        <v>0</v>
      </c>
      <c r="M1274" s="143">
        <f>SUM(M1273:M1273)</f>
        <v>0</v>
      </c>
      <c r="N1274" s="143">
        <f>SUM(N1273:N1273)</f>
        <v>0</v>
      </c>
    </row>
    <row r="1275" spans="1:14" s="10" customFormat="1" outlineLevel="1" x14ac:dyDescent="0.2"/>
    <row r="1276" spans="1:14" s="10" customFormat="1" outlineLevel="1" x14ac:dyDescent="0.2">
      <c r="D1276" s="76" t="str">
        <f>Lang_GoTo&amp;" "&amp;HL_LVL2_ACTV_7_Single_Activity_Cost_Assumptions_Annual</f>
        <v>Go to Other Activity #4 - (Recurrent Costs Only) (Not in Use) Single Activity Cost - Annual Assumptions (Projected or Retrospective)</v>
      </c>
    </row>
    <row r="1277" spans="1:14" s="10" customFormat="1" x14ac:dyDescent="0.2"/>
    <row r="1278" spans="1:14" s="10" customFormat="1" x14ac:dyDescent="0.2">
      <c r="A1278" s="12" t="s">
        <v>127</v>
      </c>
      <c r="B1278" s="13" t="str">
        <f>B1279&amp;" "&amp;Lang_Single_Activity_Cost_Outputs_Annual&amp;" ("&amp;Lang_Local_Currency_Fin&amp;")"</f>
        <v>Other Activity #5 - (Recurrent Costs Only) (Not in Use) Single Activity Cost Outputs - Annual (Local Currency - Financial)</v>
      </c>
      <c r="C1278" s="13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</row>
    <row r="1279" spans="1:14" s="10" customFormat="1" outlineLevel="1" x14ac:dyDescent="0.2">
      <c r="B1279" s="10" t="str">
        <f>HL_LVL2_ACTV_16_Name</f>
        <v>Other Activity #5 - (Recurrent Costs Only) (Not in Use)</v>
      </c>
    </row>
    <row r="1280" spans="1:14" s="10" customFormat="1" outlineLevel="1" x14ac:dyDescent="0.2">
      <c r="B1280" s="65" t="str">
        <f>OTHER_Lu!$D$172&amp;" ("&amp;OTHER_Lu!$D$153&amp;")"</f>
        <v>Financial (LCU)</v>
      </c>
      <c r="E1280" s="53" t="str">
        <f>"("&amp;IF(DD_LVL2_ACTV_16_Input_Detail_or_Freeform=1,OTHER!$D$167,OTHER!$D$173)&amp;")"</f>
        <v>(Direct User Entry Cost Estimate)</v>
      </c>
    </row>
    <row r="1281" spans="1:14" s="10" customFormat="1" outlineLevel="1" x14ac:dyDescent="0.2"/>
    <row r="1282" spans="1:14" s="10" customFormat="1" outlineLevel="1" x14ac:dyDescent="0.2">
      <c r="D1282" s="49" t="str">
        <f>HL_LVL2_ACTV_16_Name</f>
        <v>Other Activity #5 - (Recurrent Costs Only) (Not in Use)</v>
      </c>
      <c r="J1282" s="141">
        <f>IF(DD_LVL2_ACTV_16_Input_Detail_or_Freeform=1,IF(DD_LVL2_ACTV_16_Annual_Currency_Select=2,OTHER!J$169,OTHER!J$169*LVL2_ACTV_16_Exchange_Rate),IF(DD_LVL2_ACTV_16_Annual_Currency_Select=2,OTHER!J$174,OTHER!J$174*LVL2_ACTV_16_Exchange_Rate))</f>
        <v>0</v>
      </c>
      <c r="K1282" s="141">
        <f>IF(DD_LVL2_ACTV_16_Input_Detail_or_Freeform=1,IF(DD_LVL2_ACTV_16_Annual_Currency_Select=2,OTHER!K$169,OTHER!K$169*LVL2_ACTV_16_Exchange_Rate),IF(DD_LVL2_ACTV_16_Annual_Currency_Select=2,OTHER!K$174,OTHER!K$174*LVL2_ACTV_16_Exchange_Rate))</f>
        <v>0</v>
      </c>
      <c r="L1282" s="141">
        <f>IF(DD_LVL2_ACTV_16_Input_Detail_or_Freeform=1,IF(DD_LVL2_ACTV_16_Annual_Currency_Select=2,OTHER!L$169,OTHER!L$169*LVL2_ACTV_16_Exchange_Rate),IF(DD_LVL2_ACTV_16_Annual_Currency_Select=2,OTHER!L$174,OTHER!L$174*LVL2_ACTV_16_Exchange_Rate))</f>
        <v>0</v>
      </c>
      <c r="M1282" s="141">
        <f>IF(DD_LVL2_ACTV_16_Input_Detail_or_Freeform=1,IF(DD_LVL2_ACTV_16_Annual_Currency_Select=2,OTHER!M$169,OTHER!M$169*LVL2_ACTV_16_Exchange_Rate),IF(DD_LVL2_ACTV_16_Annual_Currency_Select=2,OTHER!M$174,OTHER!M$174*LVL2_ACTV_16_Exchange_Rate))</f>
        <v>0</v>
      </c>
      <c r="N1282" s="141">
        <f>IF(DD_LVL2_ACTV_16_Input_Detail_or_Freeform=1,IF(DD_LVL2_ACTV_16_Annual_Currency_Select=2,OTHER!N$169,OTHER!N$169*LVL2_ACTV_16_Exchange_Rate),IF(DD_LVL2_ACTV_16_Annual_Currency_Select=2,OTHER!N$174,OTHER!N$174*LVL2_ACTV_16_Exchange_Rate))</f>
        <v>0</v>
      </c>
    </row>
    <row r="1283" spans="1:14" s="10" customFormat="1" outlineLevel="1" x14ac:dyDescent="0.2">
      <c r="D1283" s="114" t="str">
        <f>HL_LVL2_ACTV_16_Name</f>
        <v>Other Activity #5 - (Recurrent Costs Only) (Not in Use)</v>
      </c>
      <c r="J1283" s="142">
        <f>SUM(J1282:J1282)</f>
        <v>0</v>
      </c>
      <c r="K1283" s="142">
        <f>SUM(K1282:K1282)</f>
        <v>0</v>
      </c>
      <c r="L1283" s="142">
        <f>SUM(L1282:L1282)</f>
        <v>0</v>
      </c>
      <c r="M1283" s="142">
        <f>SUM(M1282:M1282)</f>
        <v>0</v>
      </c>
      <c r="N1283" s="142">
        <f>SUM(N1282:N1282)</f>
        <v>0</v>
      </c>
    </row>
    <row r="1284" spans="1:14" s="10" customFormat="1" outlineLevel="1" x14ac:dyDescent="0.2"/>
    <row r="1285" spans="1:14" s="10" customFormat="1" outlineLevel="1" x14ac:dyDescent="0.2"/>
    <row r="1286" spans="1:14" s="10" customFormat="1" outlineLevel="1" x14ac:dyDescent="0.2">
      <c r="D1286" s="76" t="str">
        <f>Lang_GoTo&amp;" "&amp;HL_LVL2_ACTV_16_Single_Activity_Cost_Assumptions_Annual</f>
        <v>Go to Other Activity #5 - (Recurrent Costs Only) (Not in Use) Single Activity Cost - Annual Assumptions (Projected or Retrospective)</v>
      </c>
    </row>
    <row r="1287" spans="1:14" s="10" customFormat="1" x14ac:dyDescent="0.2"/>
    <row r="1288" spans="1:14" s="10" customFormat="1" x14ac:dyDescent="0.2">
      <c r="A1288" s="12" t="s">
        <v>127</v>
      </c>
      <c r="B1288" s="13" t="str">
        <f>B1289&amp;" "&amp;Lang_Single_Activity_Cost_Outputs_Annual&amp;" ("&amp;Lang_Local_Currency_Econ&amp;")"</f>
        <v>Other Activity #5 - (Recurrent Costs Only) (Not in Use) Single Activity Cost Outputs - Annual (Local Currency - Economic)</v>
      </c>
      <c r="C1288" s="13"/>
      <c r="D1288" s="13"/>
      <c r="E1288" s="13"/>
      <c r="F1288" s="13"/>
      <c r="G1288" s="13"/>
      <c r="H1288" s="13"/>
      <c r="I1288" s="13"/>
      <c r="J1288" s="13"/>
      <c r="K1288" s="13"/>
      <c r="L1288" s="13"/>
      <c r="M1288" s="13"/>
      <c r="N1288" s="13"/>
    </row>
    <row r="1289" spans="1:14" s="10" customFormat="1" outlineLevel="1" x14ac:dyDescent="0.2">
      <c r="B1289" s="10" t="str">
        <f>HL_LVL2_ACTV_16_Name</f>
        <v>Other Activity #5 - (Recurrent Costs Only) (Not in Use)</v>
      </c>
    </row>
    <row r="1290" spans="1:14" s="10" customFormat="1" outlineLevel="1" x14ac:dyDescent="0.2">
      <c r="B1290" s="65" t="str">
        <f>OTHER_Lu!$D$173&amp;" ("&amp;OTHER_Lu!$D$153&amp;")"</f>
        <v>Economic (LCU)</v>
      </c>
      <c r="E1290" s="53" t="str">
        <f>"("&amp;IF(DD_LVL2_ACTV_16_Input_Detail_or_Freeform=1,OTHER!$D$167,OTHER!$D$173)&amp;")"</f>
        <v>(Direct User Entry Cost Estimate)</v>
      </c>
    </row>
    <row r="1291" spans="1:14" s="10" customFormat="1" outlineLevel="1" x14ac:dyDescent="0.2"/>
    <row r="1292" spans="1:14" s="10" customFormat="1" outlineLevel="1" x14ac:dyDescent="0.2">
      <c r="D1292" s="49" t="str">
        <f>HL_LVL2_ACTV_16_Name</f>
        <v>Other Activity #5 - (Recurrent Costs Only) (Not in Use)</v>
      </c>
      <c r="J1292" s="141">
        <f>IF(DD_LVL2_ACTV_16_Input_Detail_or_Freeform=1,IF(DD_LVL2_ACTV_16_Annual_Currency_Select=2,OTHER!J$170,OTHER!J$170*LVL2_ACTV_16_Exchange_Rate),IF(DD_LVL2_ACTV_16_Annual_Currency_Select=2,OTHER!J$175,OTHER!J$175*LVL2_ACTV_16_Exchange_Rate))</f>
        <v>0</v>
      </c>
      <c r="K1292" s="141">
        <f>IF(DD_LVL2_ACTV_16_Input_Detail_or_Freeform=1,IF(DD_LVL2_ACTV_16_Annual_Currency_Select=2,OTHER!K$170,OTHER!K$170*LVL2_ACTV_16_Exchange_Rate),IF(DD_LVL2_ACTV_16_Annual_Currency_Select=2,OTHER!K$175,OTHER!K$175*LVL2_ACTV_16_Exchange_Rate))</f>
        <v>0</v>
      </c>
      <c r="L1292" s="141">
        <f>IF(DD_LVL2_ACTV_16_Input_Detail_or_Freeform=1,IF(DD_LVL2_ACTV_16_Annual_Currency_Select=2,OTHER!L$170,OTHER!L$170*LVL2_ACTV_16_Exchange_Rate),IF(DD_LVL2_ACTV_16_Annual_Currency_Select=2,OTHER!L$175,OTHER!L$175*LVL2_ACTV_16_Exchange_Rate))</f>
        <v>0</v>
      </c>
      <c r="M1292" s="141">
        <f>IF(DD_LVL2_ACTV_16_Input_Detail_or_Freeform=1,IF(DD_LVL2_ACTV_16_Annual_Currency_Select=2,OTHER!M$170,OTHER!M$170*LVL2_ACTV_16_Exchange_Rate),IF(DD_LVL2_ACTV_16_Annual_Currency_Select=2,OTHER!M$175,OTHER!M$175*LVL2_ACTV_16_Exchange_Rate))</f>
        <v>0</v>
      </c>
      <c r="N1292" s="141">
        <f>IF(DD_LVL2_ACTV_16_Input_Detail_or_Freeform=1,IF(DD_LVL2_ACTV_16_Annual_Currency_Select=2,OTHER!N$170,OTHER!N$170*LVL2_ACTV_16_Exchange_Rate),IF(DD_LVL2_ACTV_16_Annual_Currency_Select=2,OTHER!N$175,OTHER!N$175*LVL2_ACTV_16_Exchange_Rate))</f>
        <v>0</v>
      </c>
    </row>
    <row r="1293" spans="1:14" s="10" customFormat="1" outlineLevel="1" x14ac:dyDescent="0.2">
      <c r="D1293" s="114" t="str">
        <f>HL_LVL2_ACTV_16_Name</f>
        <v>Other Activity #5 - (Recurrent Costs Only) (Not in Use)</v>
      </c>
      <c r="J1293" s="142">
        <f>SUM(J1292:J1292)</f>
        <v>0</v>
      </c>
      <c r="K1293" s="142">
        <f>SUM(K1292:K1292)</f>
        <v>0</v>
      </c>
      <c r="L1293" s="142">
        <f>SUM(L1292:L1292)</f>
        <v>0</v>
      </c>
      <c r="M1293" s="142">
        <f>SUM(M1292:M1292)</f>
        <v>0</v>
      </c>
      <c r="N1293" s="142">
        <f>SUM(N1292:N1292)</f>
        <v>0</v>
      </c>
    </row>
    <row r="1294" spans="1:14" s="10" customFormat="1" outlineLevel="1" x14ac:dyDescent="0.2"/>
    <row r="1295" spans="1:14" s="10" customFormat="1" outlineLevel="1" x14ac:dyDescent="0.2">
      <c r="D1295" s="76" t="str">
        <f>Lang_GoTo&amp;" "&amp;HL_LVL2_ACTV_16_Single_Activity_Cost_Assumptions_Annual</f>
        <v>Go to Other Activity #5 - (Recurrent Costs Only) (Not in Use) Single Activity Cost - Annual Assumptions (Projected or Retrospective)</v>
      </c>
    </row>
    <row r="1296" spans="1:14" s="10" customFormat="1" x14ac:dyDescent="0.2"/>
    <row r="1297" spans="1:14" s="10" customFormat="1" x14ac:dyDescent="0.2">
      <c r="A1297" s="12" t="s">
        <v>127</v>
      </c>
      <c r="B1297" s="13" t="str">
        <f>B1298&amp;" "&amp;Lang_Single_Activity_Cost_Outputs_Annual&amp;" ("&amp;Lang_International_Currency_Fin&amp;")"</f>
        <v>Other Activity #5 - (Recurrent Costs Only) (Not in Use) Single Activity Cost Outputs - Annual (International Currency - Financial)</v>
      </c>
      <c r="C1297" s="13"/>
      <c r="D1297" s="13"/>
      <c r="E1297" s="13"/>
      <c r="F1297" s="13"/>
      <c r="G1297" s="13"/>
      <c r="H1297" s="13"/>
      <c r="I1297" s="13"/>
      <c r="J1297" s="13"/>
      <c r="K1297" s="13"/>
      <c r="L1297" s="13"/>
      <c r="M1297" s="13"/>
      <c r="N1297" s="13"/>
    </row>
    <row r="1298" spans="1:14" s="10" customFormat="1" outlineLevel="1" x14ac:dyDescent="0.2">
      <c r="B1298" s="10" t="str">
        <f>HL_LVL2_ACTV_16_Name</f>
        <v>Other Activity #5 - (Recurrent Costs Only) (Not in Use)</v>
      </c>
    </row>
    <row r="1299" spans="1:14" s="10" customFormat="1" outlineLevel="1" x14ac:dyDescent="0.2">
      <c r="B1299" s="65" t="str">
        <f>OTHER_Lu!$D$172&amp;" ("&amp;OTHER_Lu!$D$152&amp;")"</f>
        <v>Financial (USD)</v>
      </c>
      <c r="E1299" s="53" t="str">
        <f>"("&amp;IF(DD_LVL2_ACTV_16_Input_Detail_or_Freeform=1,OTHER!$D$167,OTHER!$D$173)&amp;")"</f>
        <v>(Direct User Entry Cost Estimate)</v>
      </c>
    </row>
    <row r="1300" spans="1:14" s="10" customFormat="1" outlineLevel="1" x14ac:dyDescent="0.2"/>
    <row r="1301" spans="1:14" s="10" customFormat="1" outlineLevel="1" x14ac:dyDescent="0.2">
      <c r="D1301" s="49" t="str">
        <f>HL_LVL2_ACTV_16_Name</f>
        <v>Other Activity #5 - (Recurrent Costs Only) (Not in Use)</v>
      </c>
      <c r="J1301" s="138">
        <f>J1282/LVL2_ACTV_16_Exchange_Rate</f>
        <v>0</v>
      </c>
      <c r="K1301" s="138">
        <f>K1282/LVL2_ACTV_16_Exchange_Rate</f>
        <v>0</v>
      </c>
      <c r="L1301" s="138">
        <f>L1282/LVL2_ACTV_16_Exchange_Rate</f>
        <v>0</v>
      </c>
      <c r="M1301" s="138">
        <f>M1282/LVL2_ACTV_16_Exchange_Rate</f>
        <v>0</v>
      </c>
      <c r="N1301" s="138">
        <f>N1282/LVL2_ACTV_16_Exchange_Rate</f>
        <v>0</v>
      </c>
    </row>
    <row r="1302" spans="1:14" s="10" customFormat="1" outlineLevel="1" x14ac:dyDescent="0.2">
      <c r="D1302" s="114" t="str">
        <f>HL_LVL2_ACTV_16_Name</f>
        <v>Other Activity #5 - (Recurrent Costs Only) (Not in Use)</v>
      </c>
      <c r="J1302" s="143">
        <f>SUM(J1301:J1301)</f>
        <v>0</v>
      </c>
      <c r="K1302" s="143">
        <f>SUM(K1301:K1301)</f>
        <v>0</v>
      </c>
      <c r="L1302" s="143">
        <f>SUM(L1301:L1301)</f>
        <v>0</v>
      </c>
      <c r="M1302" s="143">
        <f>SUM(M1301:M1301)</f>
        <v>0</v>
      </c>
      <c r="N1302" s="143">
        <f>SUM(N1301:N1301)</f>
        <v>0</v>
      </c>
    </row>
    <row r="1303" spans="1:14" s="10" customFormat="1" outlineLevel="1" x14ac:dyDescent="0.2"/>
    <row r="1304" spans="1:14" s="10" customFormat="1" outlineLevel="1" x14ac:dyDescent="0.2">
      <c r="D1304" s="76" t="str">
        <f>Lang_GoTo&amp;" "&amp;HL_LVL2_ACTV_16_Single_Activity_Cost_Assumptions_Annual</f>
        <v>Go to Other Activity #5 - (Recurrent Costs Only) (Not in Use) Single Activity Cost - Annual Assumptions (Projected or Retrospective)</v>
      </c>
    </row>
    <row r="1305" spans="1:14" s="10" customFormat="1" x14ac:dyDescent="0.2"/>
    <row r="1306" spans="1:14" s="10" customFormat="1" x14ac:dyDescent="0.2">
      <c r="A1306" s="12" t="s">
        <v>127</v>
      </c>
      <c r="B1306" s="13" t="str">
        <f>B1307&amp;" "&amp;Lang_Single_Activity_Cost_Outputs_Annual&amp;" ("&amp;Lang_International_Currency_Econ&amp;")"</f>
        <v>Other Activity #5 - (Recurrent Costs Only) (Not in Use) Single Activity Cost Outputs - Annual (International Currency - Economic)</v>
      </c>
      <c r="C1306" s="13"/>
      <c r="D1306" s="13"/>
      <c r="E1306" s="13"/>
      <c r="F1306" s="13"/>
      <c r="G1306" s="13"/>
      <c r="H1306" s="13"/>
      <c r="I1306" s="13"/>
      <c r="J1306" s="13"/>
      <c r="K1306" s="13"/>
      <c r="L1306" s="13"/>
      <c r="M1306" s="13"/>
      <c r="N1306" s="13"/>
    </row>
    <row r="1307" spans="1:14" s="10" customFormat="1" outlineLevel="1" x14ac:dyDescent="0.2">
      <c r="B1307" s="10" t="str">
        <f>HL_LVL2_ACTV_16_Name</f>
        <v>Other Activity #5 - (Recurrent Costs Only) (Not in Use)</v>
      </c>
    </row>
    <row r="1308" spans="1:14" s="10" customFormat="1" outlineLevel="1" x14ac:dyDescent="0.2">
      <c r="B1308" s="65" t="str">
        <f>OTHER_Lu!$D$173&amp;" ("&amp;OTHER_Lu!$D$152&amp;")"</f>
        <v>Economic (USD)</v>
      </c>
      <c r="E1308" s="53" t="str">
        <f>"("&amp;IF(DD_LVL2_ACTV_16_Input_Detail_or_Freeform=1,OTHER!$D$167,OTHER!$D$173)&amp;")"</f>
        <v>(Direct User Entry Cost Estimate)</v>
      </c>
    </row>
    <row r="1309" spans="1:14" s="10" customFormat="1" outlineLevel="1" x14ac:dyDescent="0.2"/>
    <row r="1310" spans="1:14" s="10" customFormat="1" outlineLevel="1" x14ac:dyDescent="0.2">
      <c r="D1310" s="49" t="str">
        <f>HL_LVL2_ACTV_16_Name</f>
        <v>Other Activity #5 - (Recurrent Costs Only) (Not in Use)</v>
      </c>
      <c r="J1310" s="138">
        <f>J1292/LVL2_ACTV_16_Exchange_Rate</f>
        <v>0</v>
      </c>
      <c r="K1310" s="138">
        <f>K1292/LVL2_ACTV_16_Exchange_Rate</f>
        <v>0</v>
      </c>
      <c r="L1310" s="138">
        <f>L1292/LVL2_ACTV_16_Exchange_Rate</f>
        <v>0</v>
      </c>
      <c r="M1310" s="138">
        <f>M1292/LVL2_ACTV_16_Exchange_Rate</f>
        <v>0</v>
      </c>
      <c r="N1310" s="138">
        <f>N1292/LVL2_ACTV_16_Exchange_Rate</f>
        <v>0</v>
      </c>
    </row>
    <row r="1311" spans="1:14" s="10" customFormat="1" outlineLevel="1" x14ac:dyDescent="0.2">
      <c r="D1311" s="114" t="str">
        <f>HL_LVL2_ACTV_16_Name</f>
        <v>Other Activity #5 - (Recurrent Costs Only) (Not in Use)</v>
      </c>
      <c r="J1311" s="143">
        <f>SUM(J1310:J1310)</f>
        <v>0</v>
      </c>
      <c r="K1311" s="143">
        <f>SUM(K1310:K1310)</f>
        <v>0</v>
      </c>
      <c r="L1311" s="143">
        <f>SUM(L1310:L1310)</f>
        <v>0</v>
      </c>
      <c r="M1311" s="143">
        <f>SUM(M1310:M1310)</f>
        <v>0</v>
      </c>
      <c r="N1311" s="143">
        <f>SUM(N1310:N1310)</f>
        <v>0</v>
      </c>
    </row>
    <row r="1312" spans="1:14" s="10" customFormat="1" outlineLevel="1" x14ac:dyDescent="0.2"/>
    <row r="1313" spans="4:4" s="10" customFormat="1" outlineLevel="1" x14ac:dyDescent="0.2">
      <c r="D1313" s="76" t="str">
        <f>Lang_GoTo&amp;" "&amp;HL_LVL2_ACTV_16_Single_Activity_Cost_Assumptions_Annual</f>
        <v>Go to Other Activity #5 - (Recurrent Costs Only) (Not in Use) Single Activity Cost - Annual Assumptions (Projected or Retrospective)</v>
      </c>
    </row>
  </sheetData>
  <hyperlinks>
    <hyperlink ref="A1" location="HL_Home" tooltip="Go to Table of Contents" display="HL_Home" xr:uid="{00000000-0004-0000-2B00-000000000000}"/>
    <hyperlink ref="D15" location="HL_TOP_ACTV_Single_Activity_Cost_Assumptions_Annual" tooltip="Click to follow hyperlink." display="HL_TOP_ACTV_Single_Activity_Cost_Assumptions_Annual" xr:uid="{00000000-0004-0000-2B00-000001000000}"/>
    <hyperlink ref="D23" location="HL_TOP_ACTV_Single_Activity_Cost_Assumptions_Annual" tooltip="Click to follow hyperlink." display="HL_TOP_ACTV_Single_Activity_Cost_Assumptions_Annual" xr:uid="{00000000-0004-0000-2B00-000002000000}"/>
    <hyperlink ref="D31" location="HL_TOP_ACTV_Single_Activity_Cost_Assumptions_Annual" tooltip="Click to follow hyperlink." display="HL_TOP_ACTV_Single_Activity_Cost_Assumptions_Annual" xr:uid="{00000000-0004-0000-2B00-000003000000}"/>
    <hyperlink ref="D39" location="HL_TOP_ACTV_Single_Activity_Cost_Assumptions_Annual" tooltip="Click to follow hyperlink." display="HL_TOP_ACTV_Single_Activity_Cost_Assumptions_Annual" xr:uid="{00000000-0004-0000-2B00-000004000000}"/>
    <hyperlink ref="D153" location="HL_TOP_ACTV_2_Single_Activity_Cost_Assumptions_Annual" tooltip="Click to follow hyperlink." display="HL_TOP_ACTV_2_Single_Activity_Cost_Assumptions_Annual" xr:uid="{00000000-0004-0000-2B00-000005000000}"/>
    <hyperlink ref="D161" location="HL_TOP_ACTV_2_Single_Activity_Cost_Assumptions_Annual" tooltip="Click to follow hyperlink." display="HL_TOP_ACTV_2_Single_Activity_Cost_Assumptions_Annual" xr:uid="{00000000-0004-0000-2B00-000006000000}"/>
    <hyperlink ref="D169" location="HL_TOP_ACTV_2_Single_Activity_Cost_Assumptions_Annual" tooltip="Click to follow hyperlink." display="HL_TOP_ACTV_2_Single_Activity_Cost_Assumptions_Annual" xr:uid="{00000000-0004-0000-2B00-000007000000}"/>
    <hyperlink ref="D177" location="HL_TOP_ACTV_2_Single_Activity_Cost_Assumptions_Annual" tooltip="Click to follow hyperlink." display="HL_TOP_ACTV_2_Single_Activity_Cost_Assumptions_Annual" xr:uid="{00000000-0004-0000-2B00-000008000000}"/>
    <hyperlink ref="D286" location="HL_TOP_ACTV_3_Single_Activity_Cost_Assumptions_Annual" tooltip="Click to follow hyperlink." display="HL_TOP_ACTV_3_Single_Activity_Cost_Assumptions_Annual" xr:uid="{00000000-0004-0000-2B00-000009000000}"/>
    <hyperlink ref="D294" location="HL_TOP_ACTV_3_Single_Activity_Cost_Assumptions_Annual" tooltip="Click to follow hyperlink." display="HL_TOP_ACTV_3_Single_Activity_Cost_Assumptions_Annual" xr:uid="{00000000-0004-0000-2B00-00000A000000}"/>
    <hyperlink ref="D302" location="HL_TOP_ACTV_3_Single_Activity_Cost_Assumptions_Annual" tooltip="Click to follow hyperlink." display="HL_TOP_ACTV_3_Single_Activity_Cost_Assumptions_Annual" xr:uid="{00000000-0004-0000-2B00-00000B000000}"/>
    <hyperlink ref="D310" location="HL_TOP_ACTV_3_Single_Activity_Cost_Assumptions_Annual" tooltip="Click to follow hyperlink." display="HL_TOP_ACTV_3_Single_Activity_Cost_Assumptions_Annual" xr:uid="{00000000-0004-0000-2B00-00000C000000}"/>
    <hyperlink ref="D493" location="HL_TOP_ACTV_4_Single_Activity_Cost_Assumptions_Annual" tooltip="Click to follow hyperlink." display="HL_TOP_ACTV_4_Single_Activity_Cost_Assumptions_Annual" xr:uid="{00000000-0004-0000-2B00-00000D000000}"/>
    <hyperlink ref="D501" location="HL_TOP_ACTV_4_Single_Activity_Cost_Assumptions_Annual" tooltip="Click to follow hyperlink." display="HL_TOP_ACTV_4_Single_Activity_Cost_Assumptions_Annual" xr:uid="{00000000-0004-0000-2B00-00000E000000}"/>
    <hyperlink ref="D509" location="HL_TOP_ACTV_4_Single_Activity_Cost_Assumptions_Annual" tooltip="Click to follow hyperlink." display="HL_TOP_ACTV_4_Single_Activity_Cost_Assumptions_Annual" xr:uid="{00000000-0004-0000-2B00-00000F000000}"/>
    <hyperlink ref="D517" location="HL_TOP_ACTV_4_Single_Activity_Cost_Assumptions_Annual" tooltip="Click to follow hyperlink." display="HL_TOP_ACTV_4_Single_Activity_Cost_Assumptions_Annual" xr:uid="{00000000-0004-0000-2B00-000010000000}"/>
    <hyperlink ref="D774" location="HL_TOP_ACTV_5_Single_Activity_Cost_Assumptions_Annual" tooltip="Click to follow hyperlink." display="HL_TOP_ACTV_5_Single_Activity_Cost_Assumptions_Annual" xr:uid="{00000000-0004-0000-2B00-000011000000}"/>
    <hyperlink ref="D782" location="HL_TOP_ACTV_5_Single_Activity_Cost_Assumptions_Annual" tooltip="Click to follow hyperlink." display="HL_TOP_ACTV_5_Single_Activity_Cost_Assumptions_Annual" xr:uid="{00000000-0004-0000-2B00-000012000000}"/>
    <hyperlink ref="D790" location="HL_TOP_ACTV_5_Single_Activity_Cost_Assumptions_Annual" tooltip="Click to follow hyperlink." display="HL_TOP_ACTV_5_Single_Activity_Cost_Assumptions_Annual" xr:uid="{00000000-0004-0000-2B00-000013000000}"/>
    <hyperlink ref="D798" location="HL_TOP_ACTV_5_Single_Activity_Cost_Assumptions_Annual" tooltip="Click to follow hyperlink." display="HL_TOP_ACTV_5_Single_Activity_Cost_Assumptions_Annual" xr:uid="{00000000-0004-0000-2B00-000014000000}"/>
    <hyperlink ref="D1151" location="HL_TOP_ACTV_6_Single_Activity_Cost_Assumptions_Annual" tooltip="Click to follow hyperlink." display="HL_TOP_ACTV_6_Single_Activity_Cost_Assumptions_Annual" xr:uid="{00000000-0004-0000-2B00-000015000000}"/>
    <hyperlink ref="D1159" location="HL_TOP_ACTV_6_Single_Activity_Cost_Assumptions_Annual" tooltip="Click to follow hyperlink." display="HL_TOP_ACTV_6_Single_Activity_Cost_Assumptions_Annual" xr:uid="{00000000-0004-0000-2B00-000016000000}"/>
    <hyperlink ref="D1167" location="HL_TOP_ACTV_6_Single_Activity_Cost_Assumptions_Annual" tooltip="Click to follow hyperlink." display="HL_TOP_ACTV_6_Single_Activity_Cost_Assumptions_Annual" xr:uid="{00000000-0004-0000-2B00-000017000000}"/>
    <hyperlink ref="D1175" location="HL_TOP_ACTV_6_Single_Activity_Cost_Assumptions_Annual" tooltip="Click to follow hyperlink." display="HL_TOP_ACTV_6_Single_Activity_Cost_Assumptions_Annual" xr:uid="{00000000-0004-0000-2B00-000018000000}"/>
    <hyperlink ref="D47" location="HL_TOP_ACTV_7_Single_Activity_Cost_Assumptions_Annual" tooltip="Click to follow hyperlink." display="HL_TOP_ACTV_7_Single_Activity_Cost_Assumptions_Annual" xr:uid="{00000000-0004-0000-2B00-000019000000}"/>
    <hyperlink ref="D55" location="HL_TOP_ACTV_7_Single_Activity_Cost_Assumptions_Annual" tooltip="Click to follow hyperlink." display="HL_TOP_ACTV_7_Single_Activity_Cost_Assumptions_Annual" xr:uid="{00000000-0004-0000-2B00-00001A000000}"/>
    <hyperlink ref="D63" location="HL_TOP_ACTV_7_Single_Activity_Cost_Assumptions_Annual" tooltip="Click to follow hyperlink." display="HL_TOP_ACTV_7_Single_Activity_Cost_Assumptions_Annual" xr:uid="{00000000-0004-0000-2B00-00001B000000}"/>
    <hyperlink ref="D71" location="HL_TOP_ACTV_7_Single_Activity_Cost_Assumptions_Annual" tooltip="Click to follow hyperlink." display="HL_TOP_ACTV_7_Single_Activity_Cost_Assumptions_Annual" xr:uid="{00000000-0004-0000-2B00-00001C000000}"/>
    <hyperlink ref="D318" location="HL_TOP_ACTV_10_Single_Activity_Cost_Assumptions_Annual" tooltip="Click to follow hyperlink." display="HL_TOP_ACTV_10_Single_Activity_Cost_Assumptions_Annual" xr:uid="{00000000-0004-0000-2B00-00001D000000}"/>
    <hyperlink ref="D326" location="HL_TOP_ACTV_10_Single_Activity_Cost_Assumptions_Annual" tooltip="Click to follow hyperlink." display="HL_TOP_ACTV_10_Single_Activity_Cost_Assumptions_Annual" xr:uid="{00000000-0004-0000-2B00-00001E000000}"/>
    <hyperlink ref="D334" location="HL_TOP_ACTV_10_Single_Activity_Cost_Assumptions_Annual" tooltip="Click to follow hyperlink." display="HL_TOP_ACTV_10_Single_Activity_Cost_Assumptions_Annual" xr:uid="{00000000-0004-0000-2B00-00001F000000}"/>
    <hyperlink ref="D342" location="HL_TOP_ACTV_10_Single_Activity_Cost_Assumptions_Annual" tooltip="Click to follow hyperlink." display="HL_TOP_ACTV_10_Single_Activity_Cost_Assumptions_Annual" xr:uid="{00000000-0004-0000-2B00-000020000000}"/>
    <hyperlink ref="D350" location="HL_TOP_ACTV_11_Single_Activity_Cost_Assumptions_Annual" tooltip="Click to follow hyperlink." display="HL_TOP_ACTV_11_Single_Activity_Cost_Assumptions_Annual" xr:uid="{00000000-0004-0000-2B00-000021000000}"/>
    <hyperlink ref="D358" location="HL_TOP_ACTV_11_Single_Activity_Cost_Assumptions_Annual" tooltip="Click to follow hyperlink." display="HL_TOP_ACTV_11_Single_Activity_Cost_Assumptions_Annual" xr:uid="{00000000-0004-0000-2B00-000022000000}"/>
    <hyperlink ref="D366" location="HL_TOP_ACTV_11_Single_Activity_Cost_Assumptions_Annual" tooltip="Click to follow hyperlink." display="HL_TOP_ACTV_11_Single_Activity_Cost_Assumptions_Annual" xr:uid="{00000000-0004-0000-2B00-000023000000}"/>
    <hyperlink ref="D374" location="HL_TOP_ACTV_11_Single_Activity_Cost_Assumptions_Annual" tooltip="Click to follow hyperlink." display="HL_TOP_ACTV_11_Single_Activity_Cost_Assumptions_Annual" xr:uid="{00000000-0004-0000-2B00-000024000000}"/>
    <hyperlink ref="D185" location="HL_TOP_ACTV_13_Single_Activity_Cost_Assumptions_Annual" tooltip="Click to follow hyperlink." display="HL_TOP_ACTV_13_Single_Activity_Cost_Assumptions_Annual" xr:uid="{00000000-0004-0000-2B00-000025000000}"/>
    <hyperlink ref="D193" location="HL_TOP_ACTV_13_Single_Activity_Cost_Assumptions_Annual" tooltip="Click to follow hyperlink." display="HL_TOP_ACTV_13_Single_Activity_Cost_Assumptions_Annual" xr:uid="{00000000-0004-0000-2B00-000026000000}"/>
    <hyperlink ref="D201" location="HL_TOP_ACTV_13_Single_Activity_Cost_Assumptions_Annual" tooltip="Click to follow hyperlink." display="HL_TOP_ACTV_13_Single_Activity_Cost_Assumptions_Annual" xr:uid="{00000000-0004-0000-2B00-000027000000}"/>
    <hyperlink ref="D209" location="HL_TOP_ACTV_13_Single_Activity_Cost_Assumptions_Annual" tooltip="Click to follow hyperlink." display="HL_TOP_ACTV_13_Single_Activity_Cost_Assumptions_Annual" xr:uid="{00000000-0004-0000-2B00-000028000000}"/>
    <hyperlink ref="D217" location="HL_TOP_ACTV_14_Single_Activity_Cost_Assumptions_Annual" tooltip="Click to follow hyperlink." display="HL_TOP_ACTV_14_Single_Activity_Cost_Assumptions_Annual" xr:uid="{00000000-0004-0000-2B00-000029000000}"/>
    <hyperlink ref="D225" location="HL_TOP_ACTV_14_Single_Activity_Cost_Assumptions_Annual" tooltip="Click to follow hyperlink." display="HL_TOP_ACTV_14_Single_Activity_Cost_Assumptions_Annual" xr:uid="{00000000-0004-0000-2B00-00002A000000}"/>
    <hyperlink ref="D233" location="HL_TOP_ACTV_14_Single_Activity_Cost_Assumptions_Annual" tooltip="Click to follow hyperlink." display="HL_TOP_ACTV_14_Single_Activity_Cost_Assumptions_Annual" xr:uid="{00000000-0004-0000-2B00-00002B000000}"/>
    <hyperlink ref="D241" location="HL_TOP_ACTV_14_Single_Activity_Cost_Assumptions_Annual" tooltip="Click to follow hyperlink." display="HL_TOP_ACTV_14_Single_Activity_Cost_Assumptions_Annual" xr:uid="{00000000-0004-0000-2B00-00002C000000}"/>
    <hyperlink ref="D525" location="HL_TOP_ACTV_15_Single_Activity_Cost_Assumptions_Annual" tooltip="Click to follow hyperlink." display="HL_TOP_ACTV_15_Single_Activity_Cost_Assumptions_Annual" xr:uid="{00000000-0004-0000-2B00-00002D000000}"/>
    <hyperlink ref="D533" location="HL_TOP_ACTV_15_Single_Activity_Cost_Assumptions_Annual" tooltip="Click to follow hyperlink." display="HL_TOP_ACTV_15_Single_Activity_Cost_Assumptions_Annual" xr:uid="{00000000-0004-0000-2B00-00002E000000}"/>
    <hyperlink ref="D541" location="HL_TOP_ACTV_15_Single_Activity_Cost_Assumptions_Annual" tooltip="Click to follow hyperlink." display="HL_TOP_ACTV_15_Single_Activity_Cost_Assumptions_Annual" xr:uid="{00000000-0004-0000-2B00-00002F000000}"/>
    <hyperlink ref="D549" location="HL_TOP_ACTV_15_Single_Activity_Cost_Assumptions_Annual" tooltip="Click to follow hyperlink." display="HL_TOP_ACTV_15_Single_Activity_Cost_Assumptions_Annual" xr:uid="{00000000-0004-0000-2B00-000030000000}"/>
    <hyperlink ref="D557" location="HL_TOP_ACTV_16_Single_Activity_Cost_Assumptions_Annual" tooltip="Click to follow hyperlink." display="HL_TOP_ACTV_16_Single_Activity_Cost_Assumptions_Annual" xr:uid="{00000000-0004-0000-2B00-000031000000}"/>
    <hyperlink ref="D565" location="HL_TOP_ACTV_16_Single_Activity_Cost_Assumptions_Annual" tooltip="Click to follow hyperlink." display="HL_TOP_ACTV_16_Single_Activity_Cost_Assumptions_Annual" xr:uid="{00000000-0004-0000-2B00-000032000000}"/>
    <hyperlink ref="D573" location="HL_TOP_ACTV_16_Single_Activity_Cost_Assumptions_Annual" tooltip="Click to follow hyperlink." display="HL_TOP_ACTV_16_Single_Activity_Cost_Assumptions_Annual" xr:uid="{00000000-0004-0000-2B00-000033000000}"/>
    <hyperlink ref="D581" location="HL_TOP_ACTV_16_Single_Activity_Cost_Assumptions_Annual" tooltip="Click to follow hyperlink." display="HL_TOP_ACTV_16_Single_Activity_Cost_Assumptions_Annual" xr:uid="{00000000-0004-0000-2B00-000034000000}"/>
    <hyperlink ref="D806" location="HL_TOP_ACTV_17_Single_Activity_Cost_Assumptions_Annual" tooltip="Click to follow hyperlink." display="HL_TOP_ACTV_17_Single_Activity_Cost_Assumptions_Annual" xr:uid="{00000000-0004-0000-2B00-000035000000}"/>
    <hyperlink ref="D814" location="HL_TOP_ACTV_17_Single_Activity_Cost_Assumptions_Annual" tooltip="Click to follow hyperlink." display="HL_TOP_ACTV_17_Single_Activity_Cost_Assumptions_Annual" xr:uid="{00000000-0004-0000-2B00-000036000000}"/>
    <hyperlink ref="D822" location="HL_TOP_ACTV_17_Single_Activity_Cost_Assumptions_Annual" tooltip="Click to follow hyperlink." display="HL_TOP_ACTV_17_Single_Activity_Cost_Assumptions_Annual" xr:uid="{00000000-0004-0000-2B00-000037000000}"/>
    <hyperlink ref="D830" location="HL_TOP_ACTV_17_Single_Activity_Cost_Assumptions_Annual" tooltip="Click to follow hyperlink." display="HL_TOP_ACTV_17_Single_Activity_Cost_Assumptions_Annual" xr:uid="{00000000-0004-0000-2B00-000038000000}"/>
    <hyperlink ref="D838" location="HL_TOP_ACTV_18_Single_Activity_Cost_Assumptions_Annual" tooltip="Click to follow hyperlink." display="HL_TOP_ACTV_18_Single_Activity_Cost_Assumptions_Annual" xr:uid="{00000000-0004-0000-2B00-000039000000}"/>
    <hyperlink ref="D846" location="HL_TOP_ACTV_18_Single_Activity_Cost_Assumptions_Annual" tooltip="Click to follow hyperlink." display="HL_TOP_ACTV_18_Single_Activity_Cost_Assumptions_Annual" xr:uid="{00000000-0004-0000-2B00-00003A000000}"/>
    <hyperlink ref="D854" location="HL_TOP_ACTV_18_Single_Activity_Cost_Assumptions_Annual" tooltip="Click to follow hyperlink." display="HL_TOP_ACTV_18_Single_Activity_Cost_Assumptions_Annual" xr:uid="{00000000-0004-0000-2B00-00003B000000}"/>
    <hyperlink ref="D862" location="HL_TOP_ACTV_18_Single_Activity_Cost_Assumptions_Annual" tooltip="Click to follow hyperlink." display="HL_TOP_ACTV_18_Single_Activity_Cost_Assumptions_Annual" xr:uid="{00000000-0004-0000-2B00-00003C000000}"/>
    <hyperlink ref="D1215" location="HL_TOP_ACTV_19_Single_Activity_Cost_Assumptions_Annual" tooltip="Click to follow hyperlink." display="HL_TOP_ACTV_19_Single_Activity_Cost_Assumptions_Annual" xr:uid="{00000000-0004-0000-2B00-00003D000000}"/>
    <hyperlink ref="D1223" location="HL_TOP_ACTV_19_Single_Activity_Cost_Assumptions_Annual" tooltip="Click to follow hyperlink." display="HL_TOP_ACTV_19_Single_Activity_Cost_Assumptions_Annual" xr:uid="{00000000-0004-0000-2B00-00003E000000}"/>
    <hyperlink ref="D1231" location="HL_TOP_ACTV_19_Single_Activity_Cost_Assumptions_Annual" tooltip="Click to follow hyperlink." display="HL_TOP_ACTV_19_Single_Activity_Cost_Assumptions_Annual" xr:uid="{00000000-0004-0000-2B00-00003F000000}"/>
    <hyperlink ref="D1239" location="HL_TOP_ACTV_19_Single_Activity_Cost_Assumptions_Annual" tooltip="Click to follow hyperlink." display="HL_TOP_ACTV_19_Single_Activity_Cost_Assumptions_Annual" xr:uid="{00000000-0004-0000-2B00-000040000000}"/>
    <hyperlink ref="D1183" location="HL_TOP_ACTV_20_Single_Activity_Cost_Assumptions_Annual" tooltip="Click to follow hyperlink." display="HL_TOP_ACTV_20_Single_Activity_Cost_Assumptions_Annual" xr:uid="{00000000-0004-0000-2B00-000041000000}"/>
    <hyperlink ref="D1191" location="HL_TOP_ACTV_20_Single_Activity_Cost_Assumptions_Annual" tooltip="Click to follow hyperlink." display="HL_TOP_ACTV_20_Single_Activity_Cost_Assumptions_Annual" xr:uid="{00000000-0004-0000-2B00-000042000000}"/>
    <hyperlink ref="D1199" location="HL_TOP_ACTV_20_Single_Activity_Cost_Assumptions_Annual" tooltip="Click to follow hyperlink." display="HL_TOP_ACTV_20_Single_Activity_Cost_Assumptions_Annual" xr:uid="{00000000-0004-0000-2B00-000043000000}"/>
    <hyperlink ref="D1207" location="HL_TOP_ACTV_20_Single_Activity_Cost_Assumptions_Annual" tooltip="Click to follow hyperlink." display="HL_TOP_ACTV_20_Single_Activity_Cost_Assumptions_Annual" xr:uid="{00000000-0004-0000-2B00-000044000000}"/>
    <hyperlink ref="D870" location="HL_TOP_ACTV_8_Single_Activity_Cost_Assumptions_Annual" tooltip="Click to follow hyperlink." display="HL_TOP_ACTV_8_Single_Activity_Cost_Assumptions_Annual" xr:uid="{00000000-0004-0000-2B00-000045000000}"/>
    <hyperlink ref="D878" location="HL_TOP_ACTV_8_Single_Activity_Cost_Assumptions_Annual" tooltip="Click to follow hyperlink." display="HL_TOP_ACTV_8_Single_Activity_Cost_Assumptions_Annual" xr:uid="{00000000-0004-0000-2B00-000046000000}"/>
    <hyperlink ref="D886" location="HL_TOP_ACTV_8_Single_Activity_Cost_Assumptions_Annual" tooltip="Click to follow hyperlink." display="HL_TOP_ACTV_8_Single_Activity_Cost_Assumptions_Annual" xr:uid="{00000000-0004-0000-2B00-000047000000}"/>
    <hyperlink ref="D894" location="HL_TOP_ACTV_8_Single_Activity_Cost_Assumptions_Annual" tooltip="Click to follow hyperlink." display="HL_TOP_ACTV_8_Single_Activity_Cost_Assumptions_Annual" xr:uid="{00000000-0004-0000-2B00-000048000000}"/>
    <hyperlink ref="D81" location="HL_LVL2_ACTV_Single_Activity_Cost_Assumptions_Annual" tooltip="Click to follow hyperlink." display="HL_LVL2_ACTV_Single_Activity_Cost_Assumptions_Annual" xr:uid="{00000000-0004-0000-2B00-000049000000}"/>
    <hyperlink ref="D118" location="HL_LVL2_ACTV_20_Single_Activity_Cost_Assumptions_Annual" tooltip="Click to follow hyperlink." display="HL_LVL2_ACTV_20_Single_Activity_Cost_Assumptions_Annual" xr:uid="{00000000-0004-0000-2B00-00004A000000}"/>
    <hyperlink ref="D90" location="HL_LVL2_ACTV_Single_Activity_Cost_Assumptions_Annual" tooltip="Click to follow hyperlink." display="HL_LVL2_ACTV_Single_Activity_Cost_Assumptions_Annual" xr:uid="{00000000-0004-0000-2B00-00004B000000}"/>
    <hyperlink ref="D127" location="HL_LVL2_ACTV_20_Single_Activity_Cost_Assumptions_Annual" tooltip="Click to follow hyperlink." display="HL_LVL2_ACTV_20_Single_Activity_Cost_Assumptions_Annual" xr:uid="{00000000-0004-0000-2B00-00004C000000}"/>
    <hyperlink ref="D99" location="HL_LVL2_ACTV_Single_Activity_Cost_Assumptions_Annual" tooltip="Click to follow hyperlink." display="HL_LVL2_ACTV_Single_Activity_Cost_Assumptions_Annual" xr:uid="{00000000-0004-0000-2B00-00004D000000}"/>
    <hyperlink ref="D136" location="HL_LVL2_ACTV_20_Single_Activity_Cost_Assumptions_Annual" tooltip="Click to follow hyperlink." display="HL_LVL2_ACTV_20_Single_Activity_Cost_Assumptions_Annual" xr:uid="{00000000-0004-0000-2B00-00004E000000}"/>
    <hyperlink ref="D108" location="HL_LVL2_ACTV_Single_Activity_Cost_Assumptions_Annual" tooltip="Click to follow hyperlink." display="HL_LVL2_ACTV_Single_Activity_Cost_Assumptions_Annual" xr:uid="{00000000-0004-0000-2B00-00004F000000}"/>
    <hyperlink ref="D145" location="HL_LVL2_ACTV_20_Single_Activity_Cost_Assumptions_Annual" tooltip="Click to follow hyperlink." display="HL_LVL2_ACTV_20_Single_Activity_Cost_Assumptions_Annual" xr:uid="{00000000-0004-0000-2B00-000050000000}"/>
    <hyperlink ref="D591" location="HL_LVL2_ACTV_4_Single_Activity_Cost_Assumptions_Annual" tooltip="Click to follow hyperlink." display="HL_LVL2_ACTV_4_Single_Activity_Cost_Assumptions_Annual" xr:uid="{00000000-0004-0000-2B00-000051000000}"/>
    <hyperlink ref="D628" location="HL_LVL2_ACTV_10_Single_Activity_Cost_Assumptions_Annual" tooltip="Click to follow hyperlink." display="HL_LVL2_ACTV_10_Single_Activity_Cost_Assumptions_Annual" xr:uid="{00000000-0004-0000-2B00-000052000000}"/>
    <hyperlink ref="D665" location="HL_LVL2_ACTV_11_Single_Activity_Cost_Assumptions_Annual" tooltip="Click to follow hyperlink." display="HL_LVL2_ACTV_11_Single_Activity_Cost_Assumptions_Annual" xr:uid="{00000000-0004-0000-2B00-000053000000}"/>
    <hyperlink ref="D702" location="HL_LVL2_ACTV_8_Single_Activity_Cost_Assumptions_Annual" tooltip="Click to follow hyperlink." display="HL_LVL2_ACTV_8_Single_Activity_Cost_Assumptions_Annual" xr:uid="{00000000-0004-0000-2B00-000054000000}"/>
    <hyperlink ref="D739" location="HL_LVL2_ACTV_21_Single_Activity_Cost_Assumptions_Annual" tooltip="Click to follow hyperlink." display="HL_LVL2_ACTV_21_Single_Activity_Cost_Assumptions_Annual" xr:uid="{00000000-0004-0000-2B00-000055000000}"/>
    <hyperlink ref="D600" location="HL_LVL2_ACTV_4_Single_Activity_Cost_Assumptions_Annual" tooltip="Click to follow hyperlink." display="HL_LVL2_ACTV_4_Single_Activity_Cost_Assumptions_Annual" xr:uid="{00000000-0004-0000-2B00-000056000000}"/>
    <hyperlink ref="D637" location="HL_LVL2_ACTV_10_Single_Activity_Cost_Assumptions_Annual" tooltip="Click to follow hyperlink." display="HL_LVL2_ACTV_10_Single_Activity_Cost_Assumptions_Annual" xr:uid="{00000000-0004-0000-2B00-000057000000}"/>
    <hyperlink ref="D674" location="HL_LVL2_ACTV_11_Single_Activity_Cost_Assumptions_Annual" tooltip="Click to follow hyperlink." display="HL_LVL2_ACTV_11_Single_Activity_Cost_Assumptions_Annual" xr:uid="{00000000-0004-0000-2B00-000058000000}"/>
    <hyperlink ref="D711" location="HL_LVL2_ACTV_8_Single_Activity_Cost_Assumptions_Annual" tooltip="Click to follow hyperlink." display="HL_LVL2_ACTV_8_Single_Activity_Cost_Assumptions_Annual" xr:uid="{00000000-0004-0000-2B00-000059000000}"/>
    <hyperlink ref="D748" location="HL_LVL2_ACTV_21_Single_Activity_Cost_Assumptions_Annual" tooltip="Click to follow hyperlink." display="HL_LVL2_ACTV_21_Single_Activity_Cost_Assumptions_Annual" xr:uid="{00000000-0004-0000-2B00-00005A000000}"/>
    <hyperlink ref="D609" location="HL_LVL2_ACTV_4_Single_Activity_Cost_Assumptions_Annual" tooltip="Click to follow hyperlink." display="HL_LVL2_ACTV_4_Single_Activity_Cost_Assumptions_Annual" xr:uid="{00000000-0004-0000-2B00-00005B000000}"/>
    <hyperlink ref="D646" location="HL_LVL2_ACTV_10_Single_Activity_Cost_Assumptions_Annual" tooltip="Click to follow hyperlink." display="HL_LVL2_ACTV_10_Single_Activity_Cost_Assumptions_Annual" xr:uid="{00000000-0004-0000-2B00-00005C000000}"/>
    <hyperlink ref="D683" location="HL_LVL2_ACTV_11_Single_Activity_Cost_Assumptions_Annual" tooltip="Click to follow hyperlink." display="HL_LVL2_ACTV_11_Single_Activity_Cost_Assumptions_Annual" xr:uid="{00000000-0004-0000-2B00-00005D000000}"/>
    <hyperlink ref="D720" location="HL_LVL2_ACTV_8_Single_Activity_Cost_Assumptions_Annual" tooltip="Click to follow hyperlink." display="HL_LVL2_ACTV_8_Single_Activity_Cost_Assumptions_Annual" xr:uid="{00000000-0004-0000-2B00-00005E000000}"/>
    <hyperlink ref="D757" location="HL_LVL2_ACTV_21_Single_Activity_Cost_Assumptions_Annual" tooltip="Click to follow hyperlink." display="HL_LVL2_ACTV_21_Single_Activity_Cost_Assumptions_Annual" xr:uid="{00000000-0004-0000-2B00-00005F000000}"/>
    <hyperlink ref="D618" location="HL_LVL2_ACTV_4_Single_Activity_Cost_Assumptions_Annual" tooltip="Click to follow hyperlink." display="HL_LVL2_ACTV_4_Single_Activity_Cost_Assumptions_Annual" xr:uid="{00000000-0004-0000-2B00-000060000000}"/>
    <hyperlink ref="D655" location="HL_LVL2_ACTV_10_Single_Activity_Cost_Assumptions_Annual" tooltip="Click to follow hyperlink." display="HL_LVL2_ACTV_10_Single_Activity_Cost_Assumptions_Annual" xr:uid="{00000000-0004-0000-2B00-000061000000}"/>
    <hyperlink ref="D692" location="HL_LVL2_ACTV_11_Single_Activity_Cost_Assumptions_Annual" tooltip="Click to follow hyperlink." display="HL_LVL2_ACTV_11_Single_Activity_Cost_Assumptions_Annual" xr:uid="{00000000-0004-0000-2B00-000062000000}"/>
    <hyperlink ref="D729" location="HL_LVL2_ACTV_8_Single_Activity_Cost_Assumptions_Annual" tooltip="Click to follow hyperlink." display="HL_LVL2_ACTV_8_Single_Activity_Cost_Assumptions_Annual" xr:uid="{00000000-0004-0000-2B00-000063000000}"/>
    <hyperlink ref="D766" location="HL_LVL2_ACTV_21_Single_Activity_Cost_Assumptions_Annual" tooltip="Click to follow hyperlink." display="HL_LVL2_ACTV_21_Single_Activity_Cost_Assumptions_Annual" xr:uid="{00000000-0004-0000-2B00-000064000000}"/>
    <hyperlink ref="D903" location="HL_LVL2_ACTV_5_Single_Activity_Cost_Assumptions_Annual" tooltip="Click to follow hyperlink." display="HL_LVL2_ACTV_5_Single_Activity_Cost_Assumptions_Annual" xr:uid="{00000000-0004-0000-2B00-000065000000}"/>
    <hyperlink ref="D939" location="HL_LVL2_ACTV_14_Single_Activity_Cost_Assumptions_Annual" tooltip="Click to follow hyperlink." display="HL_LVL2_ACTV_14_Single_Activity_Cost_Assumptions_Annual" xr:uid="{00000000-0004-0000-2B00-000066000000}"/>
    <hyperlink ref="D976" location="HL_LVL2_ACTV_15_Single_Activity_Cost_Assumptions_Annual" tooltip="Click to follow hyperlink." display="HL_LVL2_ACTV_15_Single_Activity_Cost_Assumptions_Annual" xr:uid="{00000000-0004-0000-2B00-000067000000}"/>
    <hyperlink ref="D912" location="HL_LVL2_ACTV_5_Single_Activity_Cost_Assumptions_Annual" tooltip="Click to follow hyperlink." display="HL_LVL2_ACTV_5_Single_Activity_Cost_Assumptions_Annual" xr:uid="{00000000-0004-0000-2B00-000068000000}"/>
    <hyperlink ref="D948" location="HL_LVL2_ACTV_14_Single_Activity_Cost_Assumptions_Annual" tooltip="Click to follow hyperlink." display="HL_LVL2_ACTV_14_Single_Activity_Cost_Assumptions_Annual" xr:uid="{00000000-0004-0000-2B00-000069000000}"/>
    <hyperlink ref="D985" location="HL_LVL2_ACTV_15_Single_Activity_Cost_Assumptions_Annual" tooltip="Click to follow hyperlink." display="HL_LVL2_ACTV_15_Single_Activity_Cost_Assumptions_Annual" xr:uid="{00000000-0004-0000-2B00-00006A000000}"/>
    <hyperlink ref="D921" location="HL_LVL2_ACTV_5_Single_Activity_Cost_Assumptions_Annual" tooltip="Click to follow hyperlink." display="HL_LVL2_ACTV_5_Single_Activity_Cost_Assumptions_Annual" xr:uid="{00000000-0004-0000-2B00-00006B000000}"/>
    <hyperlink ref="D957" location="HL_LVL2_ACTV_14_Single_Activity_Cost_Assumptions_Annual" tooltip="Click to follow hyperlink." display="HL_LVL2_ACTV_14_Single_Activity_Cost_Assumptions_Annual" xr:uid="{00000000-0004-0000-2B00-00006C000000}"/>
    <hyperlink ref="D994" location="HL_LVL2_ACTV_15_Single_Activity_Cost_Assumptions_Annual" tooltip="Click to follow hyperlink." display="HL_LVL2_ACTV_15_Single_Activity_Cost_Assumptions_Annual" xr:uid="{00000000-0004-0000-2B00-00006D000000}"/>
    <hyperlink ref="D930" location="HL_LVL2_ACTV_5_Single_Activity_Cost_Assumptions_Annual" tooltip="Click to follow hyperlink." display="HL_LVL2_ACTV_5_Single_Activity_Cost_Assumptions_Annual" xr:uid="{00000000-0004-0000-2B00-00006E000000}"/>
    <hyperlink ref="D966" location="HL_LVL2_ACTV_14_Single_Activity_Cost_Assumptions_Annual" tooltip="Click to follow hyperlink." display="HL_LVL2_ACTV_14_Single_Activity_Cost_Assumptions_Annual" xr:uid="{00000000-0004-0000-2B00-00006F000000}"/>
    <hyperlink ref="D1003" location="HL_LVL2_ACTV_15_Single_Activity_Cost_Assumptions_Annual" tooltip="Click to follow hyperlink." display="HL_LVL2_ACTV_15_Single_Activity_Cost_Assumptions_Annual" xr:uid="{00000000-0004-0000-2B00-000070000000}"/>
    <hyperlink ref="D251" location="HL_LVL2_ACTV_2_Single_Activity_Cost_Assumptions_Annual" tooltip="Click to follow hyperlink." display="HL_LVL2_ACTV_2_Single_Activity_Cost_Assumptions_Annual" xr:uid="{00000000-0004-0000-2B00-000071000000}"/>
    <hyperlink ref="D260" location="HL_LVL2_ACTV_2_Single_Activity_Cost_Assumptions_Annual" tooltip="Click to follow hyperlink." display="HL_LVL2_ACTV_2_Single_Activity_Cost_Assumptions_Annual" xr:uid="{00000000-0004-0000-2B00-000072000000}"/>
    <hyperlink ref="D269" location="HL_LVL2_ACTV_2_Single_Activity_Cost_Assumptions_Annual" tooltip="Click to follow hyperlink." display="HL_LVL2_ACTV_2_Single_Activity_Cost_Assumptions_Annual" xr:uid="{00000000-0004-0000-2B00-000073000000}"/>
    <hyperlink ref="D278" location="HL_LVL2_ACTV_2_Single_Activity_Cost_Assumptions_Annual" tooltip="Click to follow hyperlink." display="HL_LVL2_ACTV_2_Single_Activity_Cost_Assumptions_Annual" xr:uid="{00000000-0004-0000-2B00-000074000000}"/>
    <hyperlink ref="D485" location="HL_LVL2_ACTV_19_Single_Activity_Cost_Assumptions_Annual" tooltip="Click to follow hyperlink." display="HL_LVL2_ACTV_19_Single_Activity_Cost_Assumptions_Annual" xr:uid="{00000000-0004-0000-2B00-000075000000}"/>
    <hyperlink ref="D448" location="HL_LVL2_ACTV_18_Single_Activity_Cost_Assumptions_Annual" tooltip="Click to follow hyperlink." display="HL_LVL2_ACTV_18_Single_Activity_Cost_Assumptions_Annual" xr:uid="{00000000-0004-0000-2B00-000076000000}"/>
    <hyperlink ref="D411" location="HL_LVL2_ACTV_3_Single_Activity_Cost_Assumptions_Annual" tooltip="Click to follow hyperlink." display="HL_LVL2_ACTV_3_Single_Activity_Cost_Assumptions_Annual" xr:uid="{00000000-0004-0000-2B00-000077000000}"/>
    <hyperlink ref="D476" location="HL_LVL2_ACTV_19_Single_Activity_Cost_Assumptions_Annual" tooltip="Click to follow hyperlink." display="HL_LVL2_ACTV_19_Single_Activity_Cost_Assumptions_Annual" xr:uid="{00000000-0004-0000-2B00-000078000000}"/>
    <hyperlink ref="D439" location="HL_LVL2_ACTV_18_Single_Activity_Cost_Assumptions_Annual" tooltip="Click to follow hyperlink." display="HL_LVL2_ACTV_18_Single_Activity_Cost_Assumptions_Annual" xr:uid="{00000000-0004-0000-2B00-000079000000}"/>
    <hyperlink ref="D402" location="HL_LVL2_ACTV_3_Single_Activity_Cost_Assumptions_Annual" tooltip="Click to follow hyperlink." display="HL_LVL2_ACTV_3_Single_Activity_Cost_Assumptions_Annual" xr:uid="{00000000-0004-0000-2B00-00007A000000}"/>
    <hyperlink ref="D467" location="HL_LVL2_ACTV_19_Single_Activity_Cost_Assumptions_Annual" tooltip="Click to follow hyperlink." display="HL_LVL2_ACTV_19_Single_Activity_Cost_Assumptions_Annual" xr:uid="{00000000-0004-0000-2B00-00007B000000}"/>
    <hyperlink ref="D430" location="HL_LVL2_ACTV_18_Single_Activity_Cost_Assumptions_Annual" tooltip="Click to follow hyperlink." display="HL_LVL2_ACTV_18_Single_Activity_Cost_Assumptions_Annual" xr:uid="{00000000-0004-0000-2B00-00007C000000}"/>
    <hyperlink ref="D393" location="HL_LVL2_ACTV_3_Single_Activity_Cost_Assumptions_Annual" tooltip="Click to follow hyperlink." display="HL_LVL2_ACTV_3_Single_Activity_Cost_Assumptions_Annual" xr:uid="{00000000-0004-0000-2B00-00007D000000}"/>
    <hyperlink ref="D458" location="HL_LVL2_ACTV_19_Single_Activity_Cost_Assumptions_Annual" tooltip="Click to follow hyperlink." display="HL_LVL2_ACTV_19_Single_Activity_Cost_Assumptions_Annual" xr:uid="{00000000-0004-0000-2B00-00007E000000}"/>
    <hyperlink ref="D421" location="HL_LVL2_ACTV_18_Single_Activity_Cost_Assumptions_Annual" tooltip="Click to follow hyperlink." display="HL_LVL2_ACTV_18_Single_Activity_Cost_Assumptions_Annual" xr:uid="{00000000-0004-0000-2B00-00007F000000}"/>
    <hyperlink ref="D384" location="HL_LVL2_ACTV_3_Single_Activity_Cost_Assumptions_Annual" tooltip="Click to follow hyperlink." display="HL_LVL2_ACTV_3_Single_Activity_Cost_Assumptions_Annual" xr:uid="{00000000-0004-0000-2B00-000080000000}"/>
    <hyperlink ref="D1313" location="HL_LVL2_ACTV_16_Single_Activity_Cost_Assumptions_Annual" tooltip="Click to follow hyperlink." display="HL_LVL2_ACTV_16_Single_Activity_Cost_Assumptions_Annual" xr:uid="{00000000-0004-0000-2B00-000081000000}"/>
    <hyperlink ref="D1276" location="HL_LVL2_ACTV_7_Single_Activity_Cost_Assumptions_Annual" tooltip="Click to follow hyperlink." display="HL_LVL2_ACTV_7_Single_Activity_Cost_Assumptions_Annual" xr:uid="{00000000-0004-0000-2B00-000082000000}"/>
    <hyperlink ref="D1304" location="HL_LVL2_ACTV_16_Single_Activity_Cost_Assumptions_Annual" tooltip="Click to follow hyperlink." display="HL_LVL2_ACTV_16_Single_Activity_Cost_Assumptions_Annual" xr:uid="{00000000-0004-0000-2B00-000083000000}"/>
    <hyperlink ref="D1267" location="HL_LVL2_ACTV_7_Single_Activity_Cost_Assumptions_Annual" tooltip="Click to follow hyperlink." display="HL_LVL2_ACTV_7_Single_Activity_Cost_Assumptions_Annual" xr:uid="{00000000-0004-0000-2B00-000084000000}"/>
    <hyperlink ref="D1295" location="HL_LVL2_ACTV_16_Single_Activity_Cost_Assumptions_Annual" tooltip="Click to follow hyperlink." display="HL_LVL2_ACTV_16_Single_Activity_Cost_Assumptions_Annual" xr:uid="{00000000-0004-0000-2B00-000085000000}"/>
    <hyperlink ref="D1258" location="HL_LVL2_ACTV_7_Single_Activity_Cost_Assumptions_Annual" tooltip="Click to follow hyperlink." display="HL_LVL2_ACTV_7_Single_Activity_Cost_Assumptions_Annual" xr:uid="{00000000-0004-0000-2B00-000086000000}"/>
    <hyperlink ref="D1286" location="HL_LVL2_ACTV_16_Single_Activity_Cost_Assumptions_Annual" tooltip="Click to follow hyperlink." display="HL_LVL2_ACTV_16_Single_Activity_Cost_Assumptions_Annual" xr:uid="{00000000-0004-0000-2B00-000087000000}"/>
    <hyperlink ref="D1249" location="HL_LVL2_ACTV_7_Single_Activity_Cost_Assumptions_Annual" tooltip="Click to follow hyperlink." display="HL_LVL2_ACTV_7_Single_Activity_Cost_Assumptions_Annual" xr:uid="{00000000-0004-0000-2B00-000088000000}"/>
    <hyperlink ref="D1012" location="HL_LVL2_ACTV_6_Single_Activity_Cost_Assumptions_Annual" tooltip="Click to follow hyperlink." display="HL_LVL2_ACTV_6_Single_Activity_Cost_Assumptions_Annual" xr:uid="{00000000-0004-0000-2B00-000089000000}"/>
    <hyperlink ref="D1050" location="HL_LVL2_ACTV_12_Single_Activity_Cost_Assumptions_Annual" tooltip="Click to follow hyperlink." display="HL_LVL2_ACTV_12_Single_Activity_Cost_Assumptions_Annual" xr:uid="{00000000-0004-0000-2B00-00008A000000}"/>
    <hyperlink ref="D1085" location="HL_LVL2_ACTV_13_Single_Activity_Cost_Assumptions_Annual" tooltip="Click to follow hyperlink." display="HL_LVL2_ACTV_13_Single_Activity_Cost_Assumptions_Annual" xr:uid="{00000000-0004-0000-2B00-00008B000000}"/>
    <hyperlink ref="D1021" location="HL_LVL2_ACTV_6_Single_Activity_Cost_Assumptions_Annual" tooltip="Click to follow hyperlink." display="HL_LVL2_ACTV_6_Single_Activity_Cost_Assumptions_Annual" xr:uid="{00000000-0004-0000-2B00-00008C000000}"/>
    <hyperlink ref="D1059" location="HL_LVL2_ACTV_12_Single_Activity_Cost_Assumptions_Annual" tooltip="Click to follow hyperlink." display="HL_LVL2_ACTV_12_Single_Activity_Cost_Assumptions_Annual" xr:uid="{00000000-0004-0000-2B00-00008D000000}"/>
    <hyperlink ref="D1093" location="HL_LVL2_ACTV_13_Single_Activity_Cost_Assumptions_Annual" tooltip="Click to follow hyperlink." display="HL_LVL2_ACTV_13_Single_Activity_Cost_Assumptions_Annual" xr:uid="{00000000-0004-0000-2B00-00008E000000}"/>
    <hyperlink ref="D1032" location="HL_LVL2_ACTV_6_Single_Activity_Cost_Assumptions_Annual" tooltip="Click to follow hyperlink." display="HL_LVL2_ACTV_6_Single_Activity_Cost_Assumptions_Annual" xr:uid="{00000000-0004-0000-2B00-00008F000000}"/>
    <hyperlink ref="D1068" location="HL_LVL2_ACTV_12_Single_Activity_Cost_Assumptions_Annual" tooltip="Click to follow hyperlink." display="HL_LVL2_ACTV_12_Single_Activity_Cost_Assumptions_Annual" xr:uid="{00000000-0004-0000-2B00-000090000000}"/>
    <hyperlink ref="D1101" location="HL_LVL2_ACTV_13_Single_Activity_Cost_Assumptions_Annual" tooltip="Click to follow hyperlink." display="HL_LVL2_ACTV_13_Single_Activity_Cost_Assumptions_Annual" xr:uid="{00000000-0004-0000-2B00-000091000000}"/>
    <hyperlink ref="D1041" location="HL_LVL2_ACTV_6_Single_Activity_Cost_Assumptions_Annual" tooltip="Click to follow hyperlink." display="HL_LVL2_ACTV_6_Single_Activity_Cost_Assumptions_Annual" xr:uid="{00000000-0004-0000-2B00-000092000000}"/>
    <hyperlink ref="D1077" location="HL_LVL2_ACTV_12_Single_Activity_Cost_Assumptions_Annual" tooltip="Click to follow hyperlink." display="HL_LVL2_ACTV_12_Single_Activity_Cost_Assumptions_Annual" xr:uid="{00000000-0004-0000-2B00-000093000000}"/>
    <hyperlink ref="D1109" location="HL_LVL2_ACTV_13_Single_Activity_Cost_Assumptions_Annual" tooltip="Click to follow hyperlink." display="HL_LVL2_ACTV_13_Single_Activity_Cost_Assumptions_Annual" xr:uid="{00000000-0004-0000-2B00-000094000000}"/>
    <hyperlink ref="D1117" location="HL_LVL2_ACTV_9_Single_Activity_Cost_Assumptions_Annual" tooltip="Click to follow hyperlink." display="HL_LVL2_ACTV_9_Single_Activity_Cost_Assumptions_Annual" xr:uid="{00000000-0004-0000-2B00-000095000000}"/>
    <hyperlink ref="D1125" location="HL_LVL2_ACTV_9_Single_Activity_Cost_Assumptions_Annual" tooltip="Click to follow hyperlink." display="HL_LVL2_ACTV_9_Single_Activity_Cost_Assumptions_Annual" xr:uid="{00000000-0004-0000-2B00-000096000000}"/>
    <hyperlink ref="D1134" location="HL_LVL2_ACTV_9_Single_Activity_Cost_Assumptions_Annual" tooltip="Click to follow hyperlink." display="HL_LVL2_ACTV_9_Single_Activity_Cost_Assumptions_Annual" xr:uid="{00000000-0004-0000-2B00-000097000000}"/>
    <hyperlink ref="D1143" location="HL_LVL2_ACTV_9_Single_Activity_Cost_Assumptions_Annual" tooltip="Click to follow hyperlink." display="HL_LVL2_ACTV_9_Single_Activity_Cost_Assumptions_Annual" xr:uid="{00000000-0004-0000-2B00-000098000000}"/>
    <hyperlink ref="A2" location="HL_Err_Chk" tooltip="Go to Error Checks" display="HL_Err_Chk" xr:uid="{00000000-0004-0000-2B00-000099000000}"/>
  </hyperlinks>
  <pageMargins left="0.4" right="0.4" top="0.6" bottom="1" header="0" footer="0.3"/>
  <pageSetup orientation="landscape" r:id="rId1"/>
  <headerFooter>
    <oddFooter>&amp;L&amp;F
&amp;A
Printed: &amp;T on &amp;D&amp;CPage &amp;P of &amp;N</oddFooter>
  </headerFooter>
  <rowBreaks count="3" manualBreakCount="3">
    <brk id="15" max="16383" man="1"/>
    <brk id="23" max="16383" man="1"/>
    <brk id="31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1">
    <tabColor rgb="FF0070C0"/>
    <pageSetUpPr autoPageBreaks="0"/>
  </sheetPr>
  <dimension ref="A1:H3189"/>
  <sheetViews>
    <sheetView showGridLines="0" zoomScaleNormal="100" workbookViewId="0">
      <pane xSplit="1" ySplit="2" topLeftCell="B3" activePane="bottomRight" state="frozen"/>
      <selection activeCell="I511" sqref="I511"/>
      <selection pane="topRight" activeCell="I511" sqref="I511"/>
      <selection pane="bottomLeft" activeCell="I511" sqref="I511"/>
      <selection pane="bottomRight" activeCell="I511" sqref="I511"/>
    </sheetView>
  </sheetViews>
  <sheetFormatPr defaultColWidth="11.7109375" defaultRowHeight="12" outlineLevelRow="1" x14ac:dyDescent="0.2"/>
  <cols>
    <col min="1" max="3" width="3.7109375" customWidth="1"/>
    <col min="4" max="4" width="40.7109375" customWidth="1"/>
    <col min="5" max="8" width="20.7109375" customWidth="1"/>
  </cols>
  <sheetData>
    <row r="1" spans="1:8" ht="15" x14ac:dyDescent="0.2">
      <c r="A1" s="2" t="s">
        <v>128</v>
      </c>
      <c r="B1" s="31" t="str">
        <f>Lang_Calculations_From_Detailed_Cost_Worksheets</f>
        <v xml:space="preserve">Calculations from Detailed Cost Worksheets </v>
      </c>
    </row>
    <row r="2" spans="1:8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3" spans="1:8" s="10" customFormat="1" x14ac:dyDescent="0.2"/>
    <row r="4" spans="1:8" s="13" customFormat="1" x14ac:dyDescent="0.2">
      <c r="A4" s="12" t="s">
        <v>127</v>
      </c>
      <c r="B4" s="13" t="str">
        <f>HL_TOP_ACTV_Name&amp;" "&amp;Lang_Personnel_Outputs</f>
        <v>Microplanning Activity #1 (Not in Use) Personnel - Outputs</v>
      </c>
    </row>
    <row r="5" spans="1:8" s="10" customFormat="1" outlineLevel="1" x14ac:dyDescent="0.2"/>
    <row r="6" spans="1:8" s="10" customFormat="1" outlineLevel="1" x14ac:dyDescent="0.2">
      <c r="C6" s="114" t="str">
        <f>HL_TOP_ACTV_Name</f>
        <v>Microplanning Activity #1 (Not in Use)</v>
      </c>
    </row>
    <row r="7" spans="1:8" s="10" customFormat="1" outlineLevel="1" x14ac:dyDescent="0.2">
      <c r="E7" s="86" t="str">
        <f>MICRO_Lu!$D$30&amp;" "&amp;Lang_Cost&amp;" ("&amp;MICRO_Lu!$D$11&amp;")"</f>
        <v>Financial Cost (LCU)</v>
      </c>
      <c r="F7" s="86" t="str">
        <f>MICRO_Lu!$D$31&amp;" "&amp;Lang_Cost&amp;" ("&amp;MICRO_Lu!$D$11&amp;")"</f>
        <v>Economic Cost (LCU)</v>
      </c>
      <c r="G7" s="86" t="str">
        <f>MICRO_Lu!$D$30&amp;" "&amp;Lang_Cost&amp;" ("&amp;MICRO_Lu!$D$10&amp;")"</f>
        <v>Financial Cost (USD)</v>
      </c>
      <c r="H7" s="86" t="str">
        <f>MICRO_Lu!$D$31&amp;" "&amp;Lang_Cost&amp;" ("&amp;MICRO_Lu!$D$10&amp;")"</f>
        <v>Economic Cost (USD)</v>
      </c>
    </row>
    <row r="8" spans="1:8" s="10" customFormat="1" outlineLevel="1" x14ac:dyDescent="0.2">
      <c r="D8" s="49" t="str">
        <f>MICRO_DETAILED_COST_WKSHT!D28</f>
        <v>Personnel Category 1</v>
      </c>
      <c r="E8" s="115">
        <f>IF(DD_TOP_ACTV_Detailed_Currency_Used=2,MICRO_DETAILED_COST_WKSHT!$F28*MICRO_DETAILED_COST_WKSHT!G28,MICRO_DETAILED_COST_WKSHT!$F28*(MICRO_DETAILED_COST_WKSHT!G28*TOP_ACTV_Exchange_Rate))</f>
        <v>0</v>
      </c>
      <c r="F8" s="115">
        <f>IF(DD_TOP_ACTV_Detailed_Currency_Used=2,MICRO_DETAILED_COST_WKSHT!$F28*MICRO_DETAILED_COST_WKSHT!H28,MICRO_DETAILED_COST_WKSHT!$F28*(MICRO_DETAILED_COST_WKSHT!H28*TOP_ACTV_Exchange_Rate))</f>
        <v>0</v>
      </c>
      <c r="G8" s="116">
        <f t="shared" ref="G8:G17" si="0">IFERROR(E8/TOP_ACTV_Exchange_Rate,0)</f>
        <v>0</v>
      </c>
      <c r="H8" s="116">
        <f t="shared" ref="H8:H17" si="1">IFERROR(F8/TOP_ACTV_Exchange_Rate,0)</f>
        <v>0</v>
      </c>
    </row>
    <row r="9" spans="1:8" s="10" customFormat="1" outlineLevel="1" x14ac:dyDescent="0.2">
      <c r="D9" s="49" t="str">
        <f>MICRO_DETAILED_COST_WKSHT!D29</f>
        <v>Personnel Category 2</v>
      </c>
      <c r="E9" s="115">
        <f>IF(DD_TOP_ACTV_Detailed_Currency_Used=2,MICRO_DETAILED_COST_WKSHT!$F29*MICRO_DETAILED_COST_WKSHT!G29,MICRO_DETAILED_COST_WKSHT!$F29*(MICRO_DETAILED_COST_WKSHT!G29*TOP_ACTV_Exchange_Rate))</f>
        <v>0</v>
      </c>
      <c r="F9" s="115">
        <f>IF(DD_TOP_ACTV_Detailed_Currency_Used=2,MICRO_DETAILED_COST_WKSHT!$F29*MICRO_DETAILED_COST_WKSHT!H29,MICRO_DETAILED_COST_WKSHT!$F29*(MICRO_DETAILED_COST_WKSHT!H29*TOP_ACTV_Exchange_Rate))</f>
        <v>0</v>
      </c>
      <c r="G9" s="116">
        <f t="shared" si="0"/>
        <v>0</v>
      </c>
      <c r="H9" s="116">
        <f t="shared" si="1"/>
        <v>0</v>
      </c>
    </row>
    <row r="10" spans="1:8" s="10" customFormat="1" outlineLevel="1" x14ac:dyDescent="0.2">
      <c r="D10" s="49" t="str">
        <f>MICRO_DETAILED_COST_WKSHT!D30</f>
        <v>Personnel Category 3</v>
      </c>
      <c r="E10" s="115">
        <f>IF(DD_TOP_ACTV_Detailed_Currency_Used=2,MICRO_DETAILED_COST_WKSHT!$F30*MICRO_DETAILED_COST_WKSHT!G30,MICRO_DETAILED_COST_WKSHT!$F30*(MICRO_DETAILED_COST_WKSHT!G30*TOP_ACTV_Exchange_Rate))</f>
        <v>0</v>
      </c>
      <c r="F10" s="115">
        <f>IF(DD_TOP_ACTV_Detailed_Currency_Used=2,MICRO_DETAILED_COST_WKSHT!$F30*MICRO_DETAILED_COST_WKSHT!H30,MICRO_DETAILED_COST_WKSHT!$F30*(MICRO_DETAILED_COST_WKSHT!H30*TOP_ACTV_Exchange_Rate))</f>
        <v>0</v>
      </c>
      <c r="G10" s="116">
        <f t="shared" si="0"/>
        <v>0</v>
      </c>
      <c r="H10" s="116">
        <f t="shared" si="1"/>
        <v>0</v>
      </c>
    </row>
    <row r="11" spans="1:8" s="10" customFormat="1" outlineLevel="1" x14ac:dyDescent="0.2">
      <c r="D11" s="49" t="str">
        <f>MICRO_DETAILED_COST_WKSHT!D31</f>
        <v>Personnel Category 4</v>
      </c>
      <c r="E11" s="115">
        <f>IF(DD_TOP_ACTV_Detailed_Currency_Used=2,MICRO_DETAILED_COST_WKSHT!$F31*MICRO_DETAILED_COST_WKSHT!G31,MICRO_DETAILED_COST_WKSHT!$F31*(MICRO_DETAILED_COST_WKSHT!G31*TOP_ACTV_Exchange_Rate))</f>
        <v>0</v>
      </c>
      <c r="F11" s="115">
        <f>IF(DD_TOP_ACTV_Detailed_Currency_Used=2,MICRO_DETAILED_COST_WKSHT!$F31*MICRO_DETAILED_COST_WKSHT!H31,MICRO_DETAILED_COST_WKSHT!$F31*(MICRO_DETAILED_COST_WKSHT!H31*TOP_ACTV_Exchange_Rate))</f>
        <v>0</v>
      </c>
      <c r="G11" s="116">
        <f t="shared" si="0"/>
        <v>0</v>
      </c>
      <c r="H11" s="116">
        <f t="shared" si="1"/>
        <v>0</v>
      </c>
    </row>
    <row r="12" spans="1:8" s="10" customFormat="1" outlineLevel="1" x14ac:dyDescent="0.2">
      <c r="D12" s="49" t="str">
        <f>MICRO_DETAILED_COST_WKSHT!D32</f>
        <v>Personnel Category 5</v>
      </c>
      <c r="E12" s="115">
        <f>IF(DD_TOP_ACTV_Detailed_Currency_Used=2,MICRO_DETAILED_COST_WKSHT!$F32*MICRO_DETAILED_COST_WKSHT!G32,MICRO_DETAILED_COST_WKSHT!$F32*(MICRO_DETAILED_COST_WKSHT!G32*TOP_ACTV_Exchange_Rate))</f>
        <v>0</v>
      </c>
      <c r="F12" s="115">
        <f>IF(DD_TOP_ACTV_Detailed_Currency_Used=2,MICRO_DETAILED_COST_WKSHT!$F32*MICRO_DETAILED_COST_WKSHT!H32,MICRO_DETAILED_COST_WKSHT!$F32*(MICRO_DETAILED_COST_WKSHT!H32*TOP_ACTV_Exchange_Rate))</f>
        <v>0</v>
      </c>
      <c r="G12" s="116">
        <f t="shared" si="0"/>
        <v>0</v>
      </c>
      <c r="H12" s="116">
        <f t="shared" si="1"/>
        <v>0</v>
      </c>
    </row>
    <row r="13" spans="1:8" s="10" customFormat="1" outlineLevel="1" x14ac:dyDescent="0.2">
      <c r="D13" s="49" t="str">
        <f>MICRO_DETAILED_COST_WKSHT!D33</f>
        <v>Personnel Category 6</v>
      </c>
      <c r="E13" s="115">
        <f>IF(DD_TOP_ACTV_Detailed_Currency_Used=2,MICRO_DETAILED_COST_WKSHT!$F33*MICRO_DETAILED_COST_WKSHT!G33,MICRO_DETAILED_COST_WKSHT!$F33*(MICRO_DETAILED_COST_WKSHT!G33*TOP_ACTV_Exchange_Rate))</f>
        <v>0</v>
      </c>
      <c r="F13" s="115">
        <f>IF(DD_TOP_ACTV_Detailed_Currency_Used=2,MICRO_DETAILED_COST_WKSHT!$F33*MICRO_DETAILED_COST_WKSHT!H33,MICRO_DETAILED_COST_WKSHT!$F33*(MICRO_DETAILED_COST_WKSHT!H33*TOP_ACTV_Exchange_Rate))</f>
        <v>0</v>
      </c>
      <c r="G13" s="116">
        <f t="shared" si="0"/>
        <v>0</v>
      </c>
      <c r="H13" s="116">
        <f t="shared" si="1"/>
        <v>0</v>
      </c>
    </row>
    <row r="14" spans="1:8" s="10" customFormat="1" outlineLevel="1" x14ac:dyDescent="0.2">
      <c r="D14" s="49" t="str">
        <f>MICRO_DETAILED_COST_WKSHT!D34</f>
        <v>Personnel Category 7</v>
      </c>
      <c r="E14" s="115">
        <f>IF(DD_TOP_ACTV_Detailed_Currency_Used=2,MICRO_DETAILED_COST_WKSHT!$F34*MICRO_DETAILED_COST_WKSHT!G34,MICRO_DETAILED_COST_WKSHT!$F34*(MICRO_DETAILED_COST_WKSHT!G34*TOP_ACTV_Exchange_Rate))</f>
        <v>0</v>
      </c>
      <c r="F14" s="115">
        <f>IF(DD_TOP_ACTV_Detailed_Currency_Used=2,MICRO_DETAILED_COST_WKSHT!$F34*MICRO_DETAILED_COST_WKSHT!H34,MICRO_DETAILED_COST_WKSHT!$F34*(MICRO_DETAILED_COST_WKSHT!H34*TOP_ACTV_Exchange_Rate))</f>
        <v>0</v>
      </c>
      <c r="G14" s="116">
        <f t="shared" si="0"/>
        <v>0</v>
      </c>
      <c r="H14" s="116">
        <f t="shared" si="1"/>
        <v>0</v>
      </c>
    </row>
    <row r="15" spans="1:8" s="10" customFormat="1" outlineLevel="1" x14ac:dyDescent="0.2">
      <c r="D15" s="49" t="str">
        <f>MICRO_DETAILED_COST_WKSHT!D35</f>
        <v>Personnel Category 8</v>
      </c>
      <c r="E15" s="115">
        <f>IF(DD_TOP_ACTV_Detailed_Currency_Used=2,MICRO_DETAILED_COST_WKSHT!$F35*MICRO_DETAILED_COST_WKSHT!G35,MICRO_DETAILED_COST_WKSHT!$F35*(MICRO_DETAILED_COST_WKSHT!G35*TOP_ACTV_Exchange_Rate))</f>
        <v>0</v>
      </c>
      <c r="F15" s="115">
        <f>IF(DD_TOP_ACTV_Detailed_Currency_Used=2,MICRO_DETAILED_COST_WKSHT!$F35*MICRO_DETAILED_COST_WKSHT!H35,MICRO_DETAILED_COST_WKSHT!$F35*(MICRO_DETAILED_COST_WKSHT!H35*TOP_ACTV_Exchange_Rate))</f>
        <v>0</v>
      </c>
      <c r="G15" s="116">
        <f t="shared" si="0"/>
        <v>0</v>
      </c>
      <c r="H15" s="116">
        <f t="shared" si="1"/>
        <v>0</v>
      </c>
    </row>
    <row r="16" spans="1:8" s="10" customFormat="1" outlineLevel="1" x14ac:dyDescent="0.2">
      <c r="D16" s="49" t="str">
        <f>MICRO_DETAILED_COST_WKSHT!D36</f>
        <v>Personnel Category 9</v>
      </c>
      <c r="E16" s="115">
        <f>IF(DD_TOP_ACTV_Detailed_Currency_Used=2,MICRO_DETAILED_COST_WKSHT!$F36*MICRO_DETAILED_COST_WKSHT!G36,MICRO_DETAILED_COST_WKSHT!$F36*(MICRO_DETAILED_COST_WKSHT!G36*TOP_ACTV_Exchange_Rate))</f>
        <v>0</v>
      </c>
      <c r="F16" s="115">
        <f>IF(DD_TOP_ACTV_Detailed_Currency_Used=2,MICRO_DETAILED_COST_WKSHT!$F36*MICRO_DETAILED_COST_WKSHT!H36,MICRO_DETAILED_COST_WKSHT!$F36*(MICRO_DETAILED_COST_WKSHT!H36*TOP_ACTV_Exchange_Rate))</f>
        <v>0</v>
      </c>
      <c r="G16" s="116">
        <f t="shared" si="0"/>
        <v>0</v>
      </c>
      <c r="H16" s="116">
        <f t="shared" si="1"/>
        <v>0</v>
      </c>
    </row>
    <row r="17" spans="1:8" s="10" customFormat="1" outlineLevel="1" x14ac:dyDescent="0.2">
      <c r="D17" s="49" t="str">
        <f>MICRO_DETAILED_COST_WKSHT!D37</f>
        <v>Personnel Category 10</v>
      </c>
      <c r="E17" s="115">
        <f>IF(DD_TOP_ACTV_Detailed_Currency_Used=2,MICRO_DETAILED_COST_WKSHT!$F37*MICRO_DETAILED_COST_WKSHT!G37,MICRO_DETAILED_COST_WKSHT!$F37*(MICRO_DETAILED_COST_WKSHT!G37*TOP_ACTV_Exchange_Rate))</f>
        <v>0</v>
      </c>
      <c r="F17" s="115">
        <f>IF(DD_TOP_ACTV_Detailed_Currency_Used=2,MICRO_DETAILED_COST_WKSHT!$F37*MICRO_DETAILED_COST_WKSHT!H37,MICRO_DETAILED_COST_WKSHT!$F37*(MICRO_DETAILED_COST_WKSHT!H37*TOP_ACTV_Exchange_Rate))</f>
        <v>0</v>
      </c>
      <c r="G17" s="116">
        <f t="shared" si="0"/>
        <v>0</v>
      </c>
      <c r="H17" s="116">
        <f t="shared" si="1"/>
        <v>0</v>
      </c>
    </row>
    <row r="18" spans="1:8" s="10" customFormat="1" outlineLevel="1" x14ac:dyDescent="0.2">
      <c r="D18" s="48" t="str">
        <f>Lang_Personnel</f>
        <v>Personnel</v>
      </c>
      <c r="E18" s="120">
        <f>SUM(E8:E17)</f>
        <v>0</v>
      </c>
      <c r="F18" s="120">
        <f>SUM(F8:F17)</f>
        <v>0</v>
      </c>
      <c r="G18" s="121">
        <f>SUM(G8:G17)</f>
        <v>0</v>
      </c>
      <c r="H18" s="121">
        <f>SUM(H8:H17)</f>
        <v>0</v>
      </c>
    </row>
    <row r="19" spans="1:8" s="10" customFormat="1" outlineLevel="1" x14ac:dyDescent="0.2"/>
    <row r="20" spans="1:8" s="10" customFormat="1" outlineLevel="1" x14ac:dyDescent="0.2"/>
    <row r="21" spans="1:8" s="10" customFormat="1" outlineLevel="1" x14ac:dyDescent="0.2">
      <c r="D21" s="76" t="str">
        <f>Lang_GoTo&amp;" "&amp;HL_TOP_ACTV_Personnel_Assumptions</f>
        <v>Go to Microplanning Activity #1 (Not in Use) - Detailed Personnel Cost Assumptions</v>
      </c>
    </row>
    <row r="22" spans="1:8" s="10" customFormat="1" outlineLevel="1" x14ac:dyDescent="0.2">
      <c r="D22" s="76" t="str">
        <f>Lang_GoTo&amp;" "&amp;HL_TOP_ACTV_Cost_Summary_Output</f>
        <v>Go to Microplanning Activity #1 (Not in Use) Detailed Cost Summary</v>
      </c>
    </row>
    <row r="23" spans="1:8" s="10" customFormat="1" x14ac:dyDescent="0.2"/>
    <row r="24" spans="1:8" s="13" customFormat="1" x14ac:dyDescent="0.2">
      <c r="A24" s="12" t="s">
        <v>127</v>
      </c>
      <c r="B24" s="13" t="str">
        <f>HL_TOP_ACTV_Name&amp;" "&amp;Lang_Allowances_Outputs</f>
        <v>Microplanning Activity #1 (Not in Use) Allowances - Outputs</v>
      </c>
    </row>
    <row r="25" spans="1:8" s="10" customFormat="1" outlineLevel="1" x14ac:dyDescent="0.2"/>
    <row r="26" spans="1:8" s="10" customFormat="1" outlineLevel="1" x14ac:dyDescent="0.2">
      <c r="C26" s="114" t="str">
        <f>HL_TOP_ACTV_Name</f>
        <v>Microplanning Activity #1 (Not in Use)</v>
      </c>
    </row>
    <row r="27" spans="1:8" s="10" customFormat="1" outlineLevel="1" x14ac:dyDescent="0.2">
      <c r="E27" s="86" t="str">
        <f>MICRO_Lu!$D$30&amp;" "&amp;Lang_Cost&amp;" ("&amp;MICRO_Lu!$D$11&amp;")"</f>
        <v>Financial Cost (LCU)</v>
      </c>
      <c r="F27" s="86" t="str">
        <f>MICRO_Lu!$D$31&amp;" "&amp;Lang_Cost&amp;" ("&amp;MICRO_Lu!$D$11&amp;")"</f>
        <v>Economic Cost (LCU)</v>
      </c>
      <c r="G27" s="86" t="str">
        <f>MICRO_Lu!$D$30&amp;" "&amp;Lang_Cost&amp;" ("&amp;MICRO_Lu!$D$10&amp;")"</f>
        <v>Financial Cost (USD)</v>
      </c>
      <c r="H27" s="86" t="str">
        <f>MICRO_Lu!$D$31&amp;" "&amp;Lang_Cost&amp;" ("&amp;MICRO_Lu!$D$10&amp;")"</f>
        <v>Economic Cost (USD)</v>
      </c>
    </row>
    <row r="28" spans="1:8" s="10" customFormat="1" outlineLevel="1" x14ac:dyDescent="0.2">
      <c r="D28" s="49" t="str">
        <f>MICRO_DETAILED_COST_WKSHT!D46</f>
        <v>Allowances Category 1</v>
      </c>
      <c r="E28" s="115">
        <f>IF(DD_TOP_ACTV_Detailed_Currency_Used=2,MICRO_DETAILED_COST_WKSHT!$F46*MICRO_DETAILED_COST_WKSHT!G46,MICRO_DETAILED_COST_WKSHT!$F46*(MICRO_DETAILED_COST_WKSHT!G46*TOP_ACTV_Exchange_Rate))</f>
        <v>0</v>
      </c>
      <c r="F28" s="115">
        <f>IF(DD_TOP_ACTV_Detailed_Currency_Used=2,MICRO_DETAILED_COST_WKSHT!$F46*MICRO_DETAILED_COST_WKSHT!H46,MICRO_DETAILED_COST_WKSHT!$F46*(MICRO_DETAILED_COST_WKSHT!H46*TOP_ACTV_Exchange_Rate))</f>
        <v>0</v>
      </c>
      <c r="G28" s="116">
        <f t="shared" ref="G28:G37" si="2">E28/TOP_ACTV_Exchange_Rate</f>
        <v>0</v>
      </c>
      <c r="H28" s="116">
        <f t="shared" ref="H28:H37" si="3">F28/TOP_ACTV_Exchange_Rate</f>
        <v>0</v>
      </c>
    </row>
    <row r="29" spans="1:8" s="10" customFormat="1" outlineLevel="1" x14ac:dyDescent="0.2">
      <c r="D29" s="49" t="str">
        <f>MICRO_DETAILED_COST_WKSHT!D47</f>
        <v>Allowances Category 2</v>
      </c>
      <c r="E29" s="115">
        <f>IF(DD_TOP_ACTV_Detailed_Currency_Used=2,MICRO_DETAILED_COST_WKSHT!$F47*MICRO_DETAILED_COST_WKSHT!G47,MICRO_DETAILED_COST_WKSHT!$F47*(MICRO_DETAILED_COST_WKSHT!G47*TOP_ACTV_Exchange_Rate))</f>
        <v>0</v>
      </c>
      <c r="F29" s="115">
        <f>IF(DD_TOP_ACTV_Detailed_Currency_Used=2,MICRO_DETAILED_COST_WKSHT!$F47*MICRO_DETAILED_COST_WKSHT!H47,MICRO_DETAILED_COST_WKSHT!$F47*(MICRO_DETAILED_COST_WKSHT!H47*TOP_ACTV_Exchange_Rate))</f>
        <v>0</v>
      </c>
      <c r="G29" s="116">
        <f t="shared" si="2"/>
        <v>0</v>
      </c>
      <c r="H29" s="116">
        <f t="shared" si="3"/>
        <v>0</v>
      </c>
    </row>
    <row r="30" spans="1:8" s="10" customFormat="1" outlineLevel="1" x14ac:dyDescent="0.2">
      <c r="D30" s="49" t="str">
        <f>MICRO_DETAILED_COST_WKSHT!D48</f>
        <v>Allowances Category 3</v>
      </c>
      <c r="E30" s="115">
        <f>IF(DD_TOP_ACTV_Detailed_Currency_Used=2,MICRO_DETAILED_COST_WKSHT!$F48*MICRO_DETAILED_COST_WKSHT!G48,MICRO_DETAILED_COST_WKSHT!$F48*(MICRO_DETAILED_COST_WKSHT!G48*TOP_ACTV_Exchange_Rate))</f>
        <v>0</v>
      </c>
      <c r="F30" s="115">
        <f>IF(DD_TOP_ACTV_Detailed_Currency_Used=2,MICRO_DETAILED_COST_WKSHT!$F48*MICRO_DETAILED_COST_WKSHT!H48,MICRO_DETAILED_COST_WKSHT!$F48*(MICRO_DETAILED_COST_WKSHT!H48*TOP_ACTV_Exchange_Rate))</f>
        <v>0</v>
      </c>
      <c r="G30" s="116">
        <f t="shared" si="2"/>
        <v>0</v>
      </c>
      <c r="H30" s="116">
        <f t="shared" si="3"/>
        <v>0</v>
      </c>
    </row>
    <row r="31" spans="1:8" s="10" customFormat="1" outlineLevel="1" x14ac:dyDescent="0.2">
      <c r="D31" s="49" t="str">
        <f>MICRO_DETAILED_COST_WKSHT!D49</f>
        <v>Allowances Category 4</v>
      </c>
      <c r="E31" s="115">
        <f>IF(DD_TOP_ACTV_Detailed_Currency_Used=2,MICRO_DETAILED_COST_WKSHT!$F49*MICRO_DETAILED_COST_WKSHT!G49,MICRO_DETAILED_COST_WKSHT!$F49*(MICRO_DETAILED_COST_WKSHT!G49*TOP_ACTV_Exchange_Rate))</f>
        <v>0</v>
      </c>
      <c r="F31" s="115">
        <f>IF(DD_TOP_ACTV_Detailed_Currency_Used=2,MICRO_DETAILED_COST_WKSHT!$F49*MICRO_DETAILED_COST_WKSHT!H49,MICRO_DETAILED_COST_WKSHT!$F49*(MICRO_DETAILED_COST_WKSHT!H49*TOP_ACTV_Exchange_Rate))</f>
        <v>0</v>
      </c>
      <c r="G31" s="116">
        <f t="shared" si="2"/>
        <v>0</v>
      </c>
      <c r="H31" s="116">
        <f t="shared" si="3"/>
        <v>0</v>
      </c>
    </row>
    <row r="32" spans="1:8" s="10" customFormat="1" outlineLevel="1" x14ac:dyDescent="0.2">
      <c r="D32" s="49" t="str">
        <f>MICRO_DETAILED_COST_WKSHT!D50</f>
        <v>Allowances Category 5</v>
      </c>
      <c r="E32" s="115">
        <f>IF(DD_TOP_ACTV_Detailed_Currency_Used=2,MICRO_DETAILED_COST_WKSHT!$F50*MICRO_DETAILED_COST_WKSHT!G50,MICRO_DETAILED_COST_WKSHT!$F50*(MICRO_DETAILED_COST_WKSHT!G50*TOP_ACTV_Exchange_Rate))</f>
        <v>0</v>
      </c>
      <c r="F32" s="115">
        <f>IF(DD_TOP_ACTV_Detailed_Currency_Used=2,MICRO_DETAILED_COST_WKSHT!$F50*MICRO_DETAILED_COST_WKSHT!H50,MICRO_DETAILED_COST_WKSHT!$F50*(MICRO_DETAILED_COST_WKSHT!H50*TOP_ACTV_Exchange_Rate))</f>
        <v>0</v>
      </c>
      <c r="G32" s="116">
        <f t="shared" si="2"/>
        <v>0</v>
      </c>
      <c r="H32" s="116">
        <f t="shared" si="3"/>
        <v>0</v>
      </c>
    </row>
    <row r="33" spans="1:8" s="10" customFormat="1" outlineLevel="1" x14ac:dyDescent="0.2">
      <c r="D33" s="49" t="str">
        <f>MICRO_DETAILED_COST_WKSHT!D51</f>
        <v>Allowances Category 6</v>
      </c>
      <c r="E33" s="115">
        <f>IF(DD_TOP_ACTV_Detailed_Currency_Used=2,MICRO_DETAILED_COST_WKSHT!$F51*MICRO_DETAILED_COST_WKSHT!G51,MICRO_DETAILED_COST_WKSHT!$F51*(MICRO_DETAILED_COST_WKSHT!G51*TOP_ACTV_Exchange_Rate))</f>
        <v>0</v>
      </c>
      <c r="F33" s="115">
        <f>IF(DD_TOP_ACTV_Detailed_Currency_Used=2,MICRO_DETAILED_COST_WKSHT!$F51*MICRO_DETAILED_COST_WKSHT!H51,MICRO_DETAILED_COST_WKSHT!$F51*(MICRO_DETAILED_COST_WKSHT!H51*TOP_ACTV_Exchange_Rate))</f>
        <v>0</v>
      </c>
      <c r="G33" s="116">
        <f t="shared" si="2"/>
        <v>0</v>
      </c>
      <c r="H33" s="116">
        <f t="shared" si="3"/>
        <v>0</v>
      </c>
    </row>
    <row r="34" spans="1:8" s="10" customFormat="1" outlineLevel="1" x14ac:dyDescent="0.2">
      <c r="D34" s="49" t="str">
        <f>MICRO_DETAILED_COST_WKSHT!D52</f>
        <v>Allowances Category 7</v>
      </c>
      <c r="E34" s="115">
        <f>IF(DD_TOP_ACTV_Detailed_Currency_Used=2,MICRO_DETAILED_COST_WKSHT!$F52*MICRO_DETAILED_COST_WKSHT!G52,MICRO_DETAILED_COST_WKSHT!$F52*(MICRO_DETAILED_COST_WKSHT!G52*TOP_ACTV_Exchange_Rate))</f>
        <v>0</v>
      </c>
      <c r="F34" s="115">
        <f>IF(DD_TOP_ACTV_Detailed_Currency_Used=2,MICRO_DETAILED_COST_WKSHT!$F52*MICRO_DETAILED_COST_WKSHT!H52,MICRO_DETAILED_COST_WKSHT!$F52*(MICRO_DETAILED_COST_WKSHT!H52*TOP_ACTV_Exchange_Rate))</f>
        <v>0</v>
      </c>
      <c r="G34" s="116">
        <f t="shared" si="2"/>
        <v>0</v>
      </c>
      <c r="H34" s="116">
        <f t="shared" si="3"/>
        <v>0</v>
      </c>
    </row>
    <row r="35" spans="1:8" s="10" customFormat="1" outlineLevel="1" x14ac:dyDescent="0.2">
      <c r="D35" s="49" t="str">
        <f>MICRO_DETAILED_COST_WKSHT!D53</f>
        <v>Allowances Category 8</v>
      </c>
      <c r="E35" s="115">
        <f>IF(DD_TOP_ACTV_Detailed_Currency_Used=2,MICRO_DETAILED_COST_WKSHT!$F53*MICRO_DETAILED_COST_WKSHT!G53,MICRO_DETAILED_COST_WKSHT!$F53*(MICRO_DETAILED_COST_WKSHT!G53*TOP_ACTV_Exchange_Rate))</f>
        <v>0</v>
      </c>
      <c r="F35" s="115">
        <f>IF(DD_TOP_ACTV_Detailed_Currency_Used=2,MICRO_DETAILED_COST_WKSHT!$F53*MICRO_DETAILED_COST_WKSHT!H53,MICRO_DETAILED_COST_WKSHT!$F53*(MICRO_DETAILED_COST_WKSHT!H53*TOP_ACTV_Exchange_Rate))</f>
        <v>0</v>
      </c>
      <c r="G35" s="116">
        <f t="shared" si="2"/>
        <v>0</v>
      </c>
      <c r="H35" s="116">
        <f t="shared" si="3"/>
        <v>0</v>
      </c>
    </row>
    <row r="36" spans="1:8" s="10" customFormat="1" outlineLevel="1" x14ac:dyDescent="0.2">
      <c r="D36" s="49" t="str">
        <f>MICRO_DETAILED_COST_WKSHT!D54</f>
        <v>Allowances Category 9</v>
      </c>
      <c r="E36" s="115">
        <f>IF(DD_TOP_ACTV_Detailed_Currency_Used=2,MICRO_DETAILED_COST_WKSHT!$F54*MICRO_DETAILED_COST_WKSHT!G54,MICRO_DETAILED_COST_WKSHT!$F54*(MICRO_DETAILED_COST_WKSHT!G54*TOP_ACTV_Exchange_Rate))</f>
        <v>0</v>
      </c>
      <c r="F36" s="115">
        <f>IF(DD_TOP_ACTV_Detailed_Currency_Used=2,MICRO_DETAILED_COST_WKSHT!$F54*MICRO_DETAILED_COST_WKSHT!H54,MICRO_DETAILED_COST_WKSHT!$F54*(MICRO_DETAILED_COST_WKSHT!H54*TOP_ACTV_Exchange_Rate))</f>
        <v>0</v>
      </c>
      <c r="G36" s="116">
        <f t="shared" si="2"/>
        <v>0</v>
      </c>
      <c r="H36" s="116">
        <f t="shared" si="3"/>
        <v>0</v>
      </c>
    </row>
    <row r="37" spans="1:8" s="10" customFormat="1" outlineLevel="1" x14ac:dyDescent="0.2">
      <c r="D37" s="49" t="str">
        <f>MICRO_DETAILED_COST_WKSHT!D55</f>
        <v>Allowances Category 10</v>
      </c>
      <c r="E37" s="115">
        <f>IF(DD_TOP_ACTV_Detailed_Currency_Used=2,MICRO_DETAILED_COST_WKSHT!$F55*MICRO_DETAILED_COST_WKSHT!G55,MICRO_DETAILED_COST_WKSHT!$F55*(MICRO_DETAILED_COST_WKSHT!G55*TOP_ACTV_Exchange_Rate))</f>
        <v>0</v>
      </c>
      <c r="F37" s="115">
        <f>IF(DD_TOP_ACTV_Detailed_Currency_Used=2,MICRO_DETAILED_COST_WKSHT!$F55*MICRO_DETAILED_COST_WKSHT!H55,MICRO_DETAILED_COST_WKSHT!$F55*(MICRO_DETAILED_COST_WKSHT!H55*TOP_ACTV_Exchange_Rate))</f>
        <v>0</v>
      </c>
      <c r="G37" s="116">
        <f t="shared" si="2"/>
        <v>0</v>
      </c>
      <c r="H37" s="116">
        <f t="shared" si="3"/>
        <v>0</v>
      </c>
    </row>
    <row r="38" spans="1:8" s="10" customFormat="1" outlineLevel="1" x14ac:dyDescent="0.2">
      <c r="D38" s="48" t="str">
        <f>Lang_Allowances</f>
        <v>Allowances</v>
      </c>
      <c r="E38" s="120">
        <f>SUM(E28:E37)</f>
        <v>0</v>
      </c>
      <c r="F38" s="120">
        <f>SUM(F28:F37)</f>
        <v>0</v>
      </c>
      <c r="G38" s="121">
        <f>SUM(G28:G37)</f>
        <v>0</v>
      </c>
      <c r="H38" s="121">
        <f>SUM(H28:H37)</f>
        <v>0</v>
      </c>
    </row>
    <row r="39" spans="1:8" s="10" customFormat="1" outlineLevel="1" x14ac:dyDescent="0.2"/>
    <row r="40" spans="1:8" s="10" customFormat="1" outlineLevel="1" x14ac:dyDescent="0.2"/>
    <row r="41" spans="1:8" s="10" customFormat="1" outlineLevel="1" x14ac:dyDescent="0.2">
      <c r="D41" s="76" t="str">
        <f>Lang_GoTo&amp;" "&amp;HL_TOP_ACTV_Ass_A</f>
        <v>Go to Microplanning Activity #1 (Not in Use) - Detailed Allowance Cost Assumptions</v>
      </c>
    </row>
    <row r="42" spans="1:8" s="10" customFormat="1" outlineLevel="1" x14ac:dyDescent="0.2">
      <c r="D42" s="76" t="str">
        <f>Lang_GoTo&amp;" "&amp;HL_TOP_ACTV_Cost_Summary_Output</f>
        <v>Go to Microplanning Activity #1 (Not in Use) Detailed Cost Summary</v>
      </c>
    </row>
    <row r="43" spans="1:8" s="10" customFormat="1" x14ac:dyDescent="0.2"/>
    <row r="44" spans="1:8" s="13" customFormat="1" x14ac:dyDescent="0.2">
      <c r="A44" s="12" t="s">
        <v>127</v>
      </c>
      <c r="B44" s="13" t="str">
        <f>HL_TOP_ACTV_Name&amp;" "&amp;Lang_Supplies_And_Materials_Outputs</f>
        <v>Microplanning Activity #1 (Not in Use) Supplies and Materials - Outputs</v>
      </c>
    </row>
    <row r="45" spans="1:8" s="10" customFormat="1" outlineLevel="1" x14ac:dyDescent="0.2"/>
    <row r="46" spans="1:8" s="10" customFormat="1" outlineLevel="1" x14ac:dyDescent="0.2">
      <c r="C46" s="114" t="str">
        <f>HL_TOP_ACTV_Name</f>
        <v>Microplanning Activity #1 (Not in Use)</v>
      </c>
    </row>
    <row r="47" spans="1:8" s="10" customFormat="1" outlineLevel="1" x14ac:dyDescent="0.2">
      <c r="E47" s="86" t="str">
        <f>MICRO_Lu!$D$30&amp;" "&amp;Lang_Cost&amp;" ("&amp;MICRO_Lu!$D$11&amp;")"</f>
        <v>Financial Cost (LCU)</v>
      </c>
      <c r="F47" s="86" t="str">
        <f>MICRO_Lu!$D$31&amp;" "&amp;Lang_Cost&amp;" ("&amp;MICRO_Lu!$D$11&amp;")"</f>
        <v>Economic Cost (LCU)</v>
      </c>
      <c r="G47" s="86" t="str">
        <f>MICRO_Lu!$D$30&amp;" "&amp;Lang_Cost&amp;" ("&amp;MICRO_Lu!$D$10&amp;")"</f>
        <v>Financial Cost (USD)</v>
      </c>
      <c r="H47" s="86" t="str">
        <f>MICRO_Lu!$D$31&amp;" "&amp;Lang_Cost&amp;" ("&amp;MICRO_Lu!$D$10&amp;")"</f>
        <v>Economic Cost (USD)</v>
      </c>
    </row>
    <row r="48" spans="1:8" s="10" customFormat="1" outlineLevel="1" x14ac:dyDescent="0.2">
      <c r="D48" s="49" t="str">
        <f>MICRO_DETAILED_COST_WKSHT!D64</f>
        <v>Supplies and Materials Category 1</v>
      </c>
      <c r="E48" s="115">
        <f>IF(DD_TOP_ACTV_Detailed_Currency_Used=2,MICRO_DETAILED_COST_WKSHT!$F64*MICRO_DETAILED_COST_WKSHT!G64,MICRO_DETAILED_COST_WKSHT!$F64*(MICRO_DETAILED_COST_WKSHT!G64*TOP_ACTV_Exchange_Rate))</f>
        <v>0</v>
      </c>
      <c r="F48" s="115">
        <f>IF(DD_TOP_ACTV_Detailed_Currency_Used=2,MICRO_DETAILED_COST_WKSHT!$F64*MICRO_DETAILED_COST_WKSHT!H64,MICRO_DETAILED_COST_WKSHT!$F64*(MICRO_DETAILED_COST_WKSHT!H64*TOP_ACTV_Exchange_Rate))</f>
        <v>0</v>
      </c>
      <c r="G48" s="116">
        <f t="shared" ref="G48:G57" si="4">E48/TOP_ACTV_Exchange_Rate</f>
        <v>0</v>
      </c>
      <c r="H48" s="116">
        <f t="shared" ref="H48:H57" si="5">F48/TOP_ACTV_Exchange_Rate</f>
        <v>0</v>
      </c>
    </row>
    <row r="49" spans="1:8" s="10" customFormat="1" outlineLevel="1" x14ac:dyDescent="0.2">
      <c r="D49" s="49" t="str">
        <f>MICRO_DETAILED_COST_WKSHT!D65</f>
        <v>Supplies and Materials Category 2</v>
      </c>
      <c r="E49" s="115">
        <f>IF(DD_TOP_ACTV_Detailed_Currency_Used=2,MICRO_DETAILED_COST_WKSHT!$F65*MICRO_DETAILED_COST_WKSHT!G65,MICRO_DETAILED_COST_WKSHT!$F65*(MICRO_DETAILED_COST_WKSHT!G65*TOP_ACTV_Exchange_Rate))</f>
        <v>0</v>
      </c>
      <c r="F49" s="115">
        <f>IF(DD_TOP_ACTV_Detailed_Currency_Used=2,MICRO_DETAILED_COST_WKSHT!$F65*MICRO_DETAILED_COST_WKSHT!H65,MICRO_DETAILED_COST_WKSHT!$F65*(MICRO_DETAILED_COST_WKSHT!H65*TOP_ACTV_Exchange_Rate))</f>
        <v>0</v>
      </c>
      <c r="G49" s="116">
        <f t="shared" si="4"/>
        <v>0</v>
      </c>
      <c r="H49" s="116">
        <f t="shared" si="5"/>
        <v>0</v>
      </c>
    </row>
    <row r="50" spans="1:8" s="10" customFormat="1" outlineLevel="1" x14ac:dyDescent="0.2">
      <c r="D50" s="49" t="str">
        <f>MICRO_DETAILED_COST_WKSHT!D66</f>
        <v>Supplies and Materials Category 3</v>
      </c>
      <c r="E50" s="115">
        <f>IF(DD_TOP_ACTV_Detailed_Currency_Used=2,MICRO_DETAILED_COST_WKSHT!$F66*MICRO_DETAILED_COST_WKSHT!G66,MICRO_DETAILED_COST_WKSHT!$F66*(MICRO_DETAILED_COST_WKSHT!G66*TOP_ACTV_Exchange_Rate))</f>
        <v>0</v>
      </c>
      <c r="F50" s="115">
        <f>IF(DD_TOP_ACTV_Detailed_Currency_Used=2,MICRO_DETAILED_COST_WKSHT!$F66*MICRO_DETAILED_COST_WKSHT!H66,MICRO_DETAILED_COST_WKSHT!$F66*(MICRO_DETAILED_COST_WKSHT!H66*TOP_ACTV_Exchange_Rate))</f>
        <v>0</v>
      </c>
      <c r="G50" s="116">
        <f t="shared" si="4"/>
        <v>0</v>
      </c>
      <c r="H50" s="116">
        <f t="shared" si="5"/>
        <v>0</v>
      </c>
    </row>
    <row r="51" spans="1:8" s="10" customFormat="1" outlineLevel="1" x14ac:dyDescent="0.2">
      <c r="D51" s="49" t="str">
        <f>MICRO_DETAILED_COST_WKSHT!D67</f>
        <v>Supplies and Materials Category 4</v>
      </c>
      <c r="E51" s="115">
        <f>IF(DD_TOP_ACTV_Detailed_Currency_Used=2,MICRO_DETAILED_COST_WKSHT!$F67*MICRO_DETAILED_COST_WKSHT!G67,MICRO_DETAILED_COST_WKSHT!$F67*(MICRO_DETAILED_COST_WKSHT!G67*TOP_ACTV_Exchange_Rate))</f>
        <v>0</v>
      </c>
      <c r="F51" s="115">
        <f>IF(DD_TOP_ACTV_Detailed_Currency_Used=2,MICRO_DETAILED_COST_WKSHT!$F67*MICRO_DETAILED_COST_WKSHT!H67,MICRO_DETAILED_COST_WKSHT!$F67*(MICRO_DETAILED_COST_WKSHT!H67*TOP_ACTV_Exchange_Rate))</f>
        <v>0</v>
      </c>
      <c r="G51" s="116">
        <f t="shared" si="4"/>
        <v>0</v>
      </c>
      <c r="H51" s="116">
        <f t="shared" si="5"/>
        <v>0</v>
      </c>
    </row>
    <row r="52" spans="1:8" s="10" customFormat="1" outlineLevel="1" x14ac:dyDescent="0.2">
      <c r="D52" s="49" t="str">
        <f>MICRO_DETAILED_COST_WKSHT!D68</f>
        <v>Supplies and Materials Category 5</v>
      </c>
      <c r="E52" s="115">
        <f>IF(DD_TOP_ACTV_Detailed_Currency_Used=2,MICRO_DETAILED_COST_WKSHT!$F68*MICRO_DETAILED_COST_WKSHT!G68,MICRO_DETAILED_COST_WKSHT!$F68*(MICRO_DETAILED_COST_WKSHT!G68*TOP_ACTV_Exchange_Rate))</f>
        <v>0</v>
      </c>
      <c r="F52" s="115">
        <f>IF(DD_TOP_ACTV_Detailed_Currency_Used=2,MICRO_DETAILED_COST_WKSHT!$F68*MICRO_DETAILED_COST_WKSHT!H68,MICRO_DETAILED_COST_WKSHT!$F68*(MICRO_DETAILED_COST_WKSHT!H68*TOP_ACTV_Exchange_Rate))</f>
        <v>0</v>
      </c>
      <c r="G52" s="116">
        <f t="shared" si="4"/>
        <v>0</v>
      </c>
      <c r="H52" s="116">
        <f t="shared" si="5"/>
        <v>0</v>
      </c>
    </row>
    <row r="53" spans="1:8" s="10" customFormat="1" outlineLevel="1" x14ac:dyDescent="0.2">
      <c r="D53" s="49" t="str">
        <f>MICRO_DETAILED_COST_WKSHT!D69</f>
        <v>Supplies and Materials Category 6</v>
      </c>
      <c r="E53" s="115">
        <f>IF(DD_TOP_ACTV_Detailed_Currency_Used=2,MICRO_DETAILED_COST_WKSHT!$F69*MICRO_DETAILED_COST_WKSHT!G69,MICRO_DETAILED_COST_WKSHT!$F69*(MICRO_DETAILED_COST_WKSHT!G69*TOP_ACTV_Exchange_Rate))</f>
        <v>0</v>
      </c>
      <c r="F53" s="115">
        <f>IF(DD_TOP_ACTV_Detailed_Currency_Used=2,MICRO_DETAILED_COST_WKSHT!$F69*MICRO_DETAILED_COST_WKSHT!H69,MICRO_DETAILED_COST_WKSHT!$F69*(MICRO_DETAILED_COST_WKSHT!H69*TOP_ACTV_Exchange_Rate))</f>
        <v>0</v>
      </c>
      <c r="G53" s="116">
        <f t="shared" si="4"/>
        <v>0</v>
      </c>
      <c r="H53" s="116">
        <f t="shared" si="5"/>
        <v>0</v>
      </c>
    </row>
    <row r="54" spans="1:8" s="10" customFormat="1" outlineLevel="1" x14ac:dyDescent="0.2">
      <c r="D54" s="49" t="str">
        <f>MICRO_DETAILED_COST_WKSHT!D70</f>
        <v>Supplies and Materials Category 7</v>
      </c>
      <c r="E54" s="115">
        <f>IF(DD_TOP_ACTV_Detailed_Currency_Used=2,MICRO_DETAILED_COST_WKSHT!$F70*MICRO_DETAILED_COST_WKSHT!G70,MICRO_DETAILED_COST_WKSHT!$F70*(MICRO_DETAILED_COST_WKSHT!G70*TOP_ACTV_Exchange_Rate))</f>
        <v>0</v>
      </c>
      <c r="F54" s="115">
        <f>IF(DD_TOP_ACTV_Detailed_Currency_Used=2,MICRO_DETAILED_COST_WKSHT!$F70*MICRO_DETAILED_COST_WKSHT!H70,MICRO_DETAILED_COST_WKSHT!$F70*(MICRO_DETAILED_COST_WKSHT!H70*TOP_ACTV_Exchange_Rate))</f>
        <v>0</v>
      </c>
      <c r="G54" s="116">
        <f t="shared" si="4"/>
        <v>0</v>
      </c>
      <c r="H54" s="116">
        <f t="shared" si="5"/>
        <v>0</v>
      </c>
    </row>
    <row r="55" spans="1:8" s="10" customFormat="1" outlineLevel="1" x14ac:dyDescent="0.2">
      <c r="D55" s="49" t="str">
        <f>MICRO_DETAILED_COST_WKSHT!D71</f>
        <v>Supplies and Materials Category 8</v>
      </c>
      <c r="E55" s="115">
        <f>IF(DD_TOP_ACTV_Detailed_Currency_Used=2,MICRO_DETAILED_COST_WKSHT!$F71*MICRO_DETAILED_COST_WKSHT!G71,MICRO_DETAILED_COST_WKSHT!$F71*(MICRO_DETAILED_COST_WKSHT!G71*TOP_ACTV_Exchange_Rate))</f>
        <v>0</v>
      </c>
      <c r="F55" s="115">
        <f>IF(DD_TOP_ACTV_Detailed_Currency_Used=2,MICRO_DETAILED_COST_WKSHT!$F71*MICRO_DETAILED_COST_WKSHT!H71,MICRO_DETAILED_COST_WKSHT!$F71*(MICRO_DETAILED_COST_WKSHT!H71*TOP_ACTV_Exchange_Rate))</f>
        <v>0</v>
      </c>
      <c r="G55" s="116">
        <f t="shared" si="4"/>
        <v>0</v>
      </c>
      <c r="H55" s="116">
        <f t="shared" si="5"/>
        <v>0</v>
      </c>
    </row>
    <row r="56" spans="1:8" s="10" customFormat="1" outlineLevel="1" x14ac:dyDescent="0.2">
      <c r="D56" s="49" t="str">
        <f>MICRO_DETAILED_COST_WKSHT!D72</f>
        <v>Supplies and Materials Category 9</v>
      </c>
      <c r="E56" s="115">
        <f>IF(DD_TOP_ACTV_Detailed_Currency_Used=2,MICRO_DETAILED_COST_WKSHT!$F72*MICRO_DETAILED_COST_WKSHT!G72,MICRO_DETAILED_COST_WKSHT!$F72*(MICRO_DETAILED_COST_WKSHT!G72*TOP_ACTV_Exchange_Rate))</f>
        <v>0</v>
      </c>
      <c r="F56" s="115">
        <f>IF(DD_TOP_ACTV_Detailed_Currency_Used=2,MICRO_DETAILED_COST_WKSHT!$F72*MICRO_DETAILED_COST_WKSHT!H72,MICRO_DETAILED_COST_WKSHT!$F72*(MICRO_DETAILED_COST_WKSHT!H72*TOP_ACTV_Exchange_Rate))</f>
        <v>0</v>
      </c>
      <c r="G56" s="116">
        <f t="shared" si="4"/>
        <v>0</v>
      </c>
      <c r="H56" s="116">
        <f t="shared" si="5"/>
        <v>0</v>
      </c>
    </row>
    <row r="57" spans="1:8" s="10" customFormat="1" outlineLevel="1" x14ac:dyDescent="0.2">
      <c r="D57" s="49" t="str">
        <f>MICRO_DETAILED_COST_WKSHT!D73</f>
        <v>Supplies and Materials Category 10</v>
      </c>
      <c r="E57" s="115">
        <f>IF(DD_TOP_ACTV_Detailed_Currency_Used=2,MICRO_DETAILED_COST_WKSHT!$F73*MICRO_DETAILED_COST_WKSHT!G73,MICRO_DETAILED_COST_WKSHT!$F73*(MICRO_DETAILED_COST_WKSHT!G73*TOP_ACTV_Exchange_Rate))</f>
        <v>0</v>
      </c>
      <c r="F57" s="115">
        <f>IF(DD_TOP_ACTV_Detailed_Currency_Used=2,MICRO_DETAILED_COST_WKSHT!$F73*MICRO_DETAILED_COST_WKSHT!H73,MICRO_DETAILED_COST_WKSHT!$F73*(MICRO_DETAILED_COST_WKSHT!H73*TOP_ACTV_Exchange_Rate))</f>
        <v>0</v>
      </c>
      <c r="G57" s="116">
        <f t="shared" si="4"/>
        <v>0</v>
      </c>
      <c r="H57" s="116">
        <f t="shared" si="5"/>
        <v>0</v>
      </c>
    </row>
    <row r="58" spans="1:8" s="10" customFormat="1" outlineLevel="1" x14ac:dyDescent="0.2">
      <c r="D58" s="48" t="str">
        <f>Lang_Supplies_And_Materials</f>
        <v>Supplies and Materials</v>
      </c>
      <c r="E58" s="120">
        <f>SUM(E48:E57)</f>
        <v>0</v>
      </c>
      <c r="F58" s="120">
        <f>SUM(F48:F57)</f>
        <v>0</v>
      </c>
      <c r="G58" s="121">
        <f>SUM(G48:G57)</f>
        <v>0</v>
      </c>
      <c r="H58" s="121">
        <f>SUM(H48:H57)</f>
        <v>0</v>
      </c>
    </row>
    <row r="59" spans="1:8" s="10" customFormat="1" outlineLevel="1" x14ac:dyDescent="0.2"/>
    <row r="60" spans="1:8" s="10" customFormat="1" outlineLevel="1" x14ac:dyDescent="0.2"/>
    <row r="61" spans="1:8" s="10" customFormat="1" outlineLevel="1" x14ac:dyDescent="0.2">
      <c r="D61" s="76" t="str">
        <f>Lang_GoTo&amp;" "&amp;HL_TOP_ACTV_Supplies_and_Materials</f>
        <v>Go to Microplanning Activity #1 (Not in Use) - Detailed Supply and Material Cost Assumptions</v>
      </c>
    </row>
    <row r="62" spans="1:8" s="10" customFormat="1" outlineLevel="1" x14ac:dyDescent="0.2">
      <c r="D62" s="76" t="str">
        <f>Lang_GoTo&amp;" "&amp;HL_TOP_ACTV_Cost_Summary_Output</f>
        <v>Go to Microplanning Activity #1 (Not in Use) Detailed Cost Summary</v>
      </c>
    </row>
    <row r="63" spans="1:8" s="10" customFormat="1" x14ac:dyDescent="0.2"/>
    <row r="64" spans="1:8" s="13" customFormat="1" x14ac:dyDescent="0.2">
      <c r="A64" s="12" t="s">
        <v>127</v>
      </c>
      <c r="B64" s="13" t="str">
        <f>HL_TOP_ACTV_Name&amp;" "&amp;Lang_Other_Direct_Costs_Outputs</f>
        <v>Microplanning Activity #1 (Not in Use) Other Direct Costs - Outputs</v>
      </c>
    </row>
    <row r="65" spans="3:8" s="10" customFormat="1" outlineLevel="1" x14ac:dyDescent="0.2"/>
    <row r="66" spans="3:8" s="10" customFormat="1" outlineLevel="1" x14ac:dyDescent="0.2">
      <c r="C66" s="114" t="str">
        <f>HL_TOP_ACTV_Name</f>
        <v>Microplanning Activity #1 (Not in Use)</v>
      </c>
    </row>
    <row r="67" spans="3:8" s="10" customFormat="1" outlineLevel="1" x14ac:dyDescent="0.2">
      <c r="E67" s="86" t="str">
        <f>MICRO_Lu!$D$30&amp;" "&amp;Lang_Cost&amp;" ("&amp;MICRO_Lu!$D$11&amp;")"</f>
        <v>Financial Cost (LCU)</v>
      </c>
      <c r="F67" s="86" t="str">
        <f>MICRO_Lu!$D$31&amp;" "&amp;Lang_Cost&amp;" ("&amp;MICRO_Lu!$D$11&amp;")"</f>
        <v>Economic Cost (LCU)</v>
      </c>
      <c r="G67" s="86" t="str">
        <f>MICRO_Lu!$D$30&amp;" "&amp;Lang_Cost&amp;" ("&amp;MICRO_Lu!$D$10&amp;")"</f>
        <v>Financial Cost (USD)</v>
      </c>
      <c r="H67" s="86" t="str">
        <f>MICRO_Lu!$D$31&amp;" "&amp;Lang_Cost&amp;" ("&amp;MICRO_Lu!$D$10&amp;")"</f>
        <v>Economic Cost (USD)</v>
      </c>
    </row>
    <row r="68" spans="3:8" s="10" customFormat="1" outlineLevel="1" x14ac:dyDescent="0.2">
      <c r="D68" s="49" t="str">
        <f>MICRO_DETAILED_COST_WKSHT!D82</f>
        <v>Other Direct Costs (ODC) Category 1</v>
      </c>
      <c r="E68" s="115">
        <f>IF(DD_TOP_ACTV_Detailed_Currency_Used=2,MICRO_DETAILED_COST_WKSHT!$F82*MICRO_DETAILED_COST_WKSHT!G82,MICRO_DETAILED_COST_WKSHT!$F82*(MICRO_DETAILED_COST_WKSHT!G82*TOP_ACTV_Exchange_Rate))</f>
        <v>0</v>
      </c>
      <c r="F68" s="115">
        <f>IF(DD_TOP_ACTV_Detailed_Currency_Used=2,MICRO_DETAILED_COST_WKSHT!$F82*MICRO_DETAILED_COST_WKSHT!H82,MICRO_DETAILED_COST_WKSHT!$F82*(MICRO_DETAILED_COST_WKSHT!H82*TOP_ACTV_Exchange_Rate))</f>
        <v>0</v>
      </c>
      <c r="G68" s="116">
        <f t="shared" ref="G68:G77" si="6">E68/TOP_ACTV_Exchange_Rate</f>
        <v>0</v>
      </c>
      <c r="H68" s="116">
        <f t="shared" ref="H68:H77" si="7">F68/TOP_ACTV_Exchange_Rate</f>
        <v>0</v>
      </c>
    </row>
    <row r="69" spans="3:8" s="10" customFormat="1" outlineLevel="1" x14ac:dyDescent="0.2">
      <c r="D69" s="49" t="str">
        <f>MICRO_DETAILED_COST_WKSHT!D83</f>
        <v>Other Direct Costs (ODC) Category 2</v>
      </c>
      <c r="E69" s="115">
        <f>IF(DD_TOP_ACTV_Detailed_Currency_Used=2,MICRO_DETAILED_COST_WKSHT!$F83*MICRO_DETAILED_COST_WKSHT!G83,MICRO_DETAILED_COST_WKSHT!$F83*(MICRO_DETAILED_COST_WKSHT!G83*TOP_ACTV_Exchange_Rate))</f>
        <v>0</v>
      </c>
      <c r="F69" s="115">
        <f>IF(DD_TOP_ACTV_Detailed_Currency_Used=2,MICRO_DETAILED_COST_WKSHT!$F83*MICRO_DETAILED_COST_WKSHT!H83,MICRO_DETAILED_COST_WKSHT!$F83*(MICRO_DETAILED_COST_WKSHT!H83*TOP_ACTV_Exchange_Rate))</f>
        <v>0</v>
      </c>
      <c r="G69" s="116">
        <f t="shared" si="6"/>
        <v>0</v>
      </c>
      <c r="H69" s="116">
        <f t="shared" si="7"/>
        <v>0</v>
      </c>
    </row>
    <row r="70" spans="3:8" s="10" customFormat="1" outlineLevel="1" x14ac:dyDescent="0.2">
      <c r="D70" s="49" t="str">
        <f>MICRO_DETAILED_COST_WKSHT!D84</f>
        <v>Other Direct Costs (ODC) Category 3</v>
      </c>
      <c r="E70" s="115">
        <f>IF(DD_TOP_ACTV_Detailed_Currency_Used=2,MICRO_DETAILED_COST_WKSHT!$F84*MICRO_DETAILED_COST_WKSHT!G84,MICRO_DETAILED_COST_WKSHT!$F84*(MICRO_DETAILED_COST_WKSHT!G84*TOP_ACTV_Exchange_Rate))</f>
        <v>0</v>
      </c>
      <c r="F70" s="115">
        <f>IF(DD_TOP_ACTV_Detailed_Currency_Used=2,MICRO_DETAILED_COST_WKSHT!$F84*MICRO_DETAILED_COST_WKSHT!H84,MICRO_DETAILED_COST_WKSHT!$F84*(MICRO_DETAILED_COST_WKSHT!H84*TOP_ACTV_Exchange_Rate))</f>
        <v>0</v>
      </c>
      <c r="G70" s="116">
        <f t="shared" si="6"/>
        <v>0</v>
      </c>
      <c r="H70" s="116">
        <f t="shared" si="7"/>
        <v>0</v>
      </c>
    </row>
    <row r="71" spans="3:8" s="10" customFormat="1" outlineLevel="1" x14ac:dyDescent="0.2">
      <c r="D71" s="49" t="str">
        <f>MICRO_DETAILED_COST_WKSHT!D85</f>
        <v>Other Direct Costs (ODC) Category 4</v>
      </c>
      <c r="E71" s="115">
        <f>IF(DD_TOP_ACTV_Detailed_Currency_Used=2,MICRO_DETAILED_COST_WKSHT!$F85*MICRO_DETAILED_COST_WKSHT!G85,MICRO_DETAILED_COST_WKSHT!$F85*(MICRO_DETAILED_COST_WKSHT!G85*TOP_ACTV_Exchange_Rate))</f>
        <v>0</v>
      </c>
      <c r="F71" s="115">
        <f>IF(DD_TOP_ACTV_Detailed_Currency_Used=2,MICRO_DETAILED_COST_WKSHT!$F85*MICRO_DETAILED_COST_WKSHT!H85,MICRO_DETAILED_COST_WKSHT!$F85*(MICRO_DETAILED_COST_WKSHT!H85*TOP_ACTV_Exchange_Rate))</f>
        <v>0</v>
      </c>
      <c r="G71" s="116">
        <f t="shared" si="6"/>
        <v>0</v>
      </c>
      <c r="H71" s="116">
        <f t="shared" si="7"/>
        <v>0</v>
      </c>
    </row>
    <row r="72" spans="3:8" s="10" customFormat="1" outlineLevel="1" x14ac:dyDescent="0.2">
      <c r="D72" s="49" t="str">
        <f>MICRO_DETAILED_COST_WKSHT!D86</f>
        <v>Other Direct Costs (ODC) Category 5</v>
      </c>
      <c r="E72" s="115">
        <f>IF(DD_TOP_ACTV_Detailed_Currency_Used=2,MICRO_DETAILED_COST_WKSHT!$F86*MICRO_DETAILED_COST_WKSHT!G86,MICRO_DETAILED_COST_WKSHT!$F86*(MICRO_DETAILED_COST_WKSHT!G86*TOP_ACTV_Exchange_Rate))</f>
        <v>0</v>
      </c>
      <c r="F72" s="115">
        <f>IF(DD_TOP_ACTV_Detailed_Currency_Used=2,MICRO_DETAILED_COST_WKSHT!$F86*MICRO_DETAILED_COST_WKSHT!H86,MICRO_DETAILED_COST_WKSHT!$F86*(MICRO_DETAILED_COST_WKSHT!H86*TOP_ACTV_Exchange_Rate))</f>
        <v>0</v>
      </c>
      <c r="G72" s="116">
        <f t="shared" si="6"/>
        <v>0</v>
      </c>
      <c r="H72" s="116">
        <f t="shared" si="7"/>
        <v>0</v>
      </c>
    </row>
    <row r="73" spans="3:8" s="10" customFormat="1" outlineLevel="1" x14ac:dyDescent="0.2">
      <c r="D73" s="49" t="str">
        <f>MICRO_DETAILED_COST_WKSHT!D87</f>
        <v>Other Direct Costs (ODC) Category 6</v>
      </c>
      <c r="E73" s="115">
        <f>IF(DD_TOP_ACTV_Detailed_Currency_Used=2,MICRO_DETAILED_COST_WKSHT!$F87*MICRO_DETAILED_COST_WKSHT!G87,MICRO_DETAILED_COST_WKSHT!$F87*(MICRO_DETAILED_COST_WKSHT!G87*TOP_ACTV_Exchange_Rate))</f>
        <v>0</v>
      </c>
      <c r="F73" s="115">
        <f>IF(DD_TOP_ACTV_Detailed_Currency_Used=2,MICRO_DETAILED_COST_WKSHT!$F87*MICRO_DETAILED_COST_WKSHT!H87,MICRO_DETAILED_COST_WKSHT!$F87*(MICRO_DETAILED_COST_WKSHT!H87*TOP_ACTV_Exchange_Rate))</f>
        <v>0</v>
      </c>
      <c r="G73" s="116">
        <f t="shared" si="6"/>
        <v>0</v>
      </c>
      <c r="H73" s="116">
        <f t="shared" si="7"/>
        <v>0</v>
      </c>
    </row>
    <row r="74" spans="3:8" s="10" customFormat="1" outlineLevel="1" x14ac:dyDescent="0.2">
      <c r="D74" s="49" t="str">
        <f>MICRO_DETAILED_COST_WKSHT!D88</f>
        <v>Other Direct Costs (ODC) Category 7</v>
      </c>
      <c r="E74" s="115">
        <f>IF(DD_TOP_ACTV_Detailed_Currency_Used=2,MICRO_DETAILED_COST_WKSHT!$F88*MICRO_DETAILED_COST_WKSHT!G88,MICRO_DETAILED_COST_WKSHT!$F88*(MICRO_DETAILED_COST_WKSHT!G88*TOP_ACTV_Exchange_Rate))</f>
        <v>0</v>
      </c>
      <c r="F74" s="115">
        <f>IF(DD_TOP_ACTV_Detailed_Currency_Used=2,MICRO_DETAILED_COST_WKSHT!$F88*MICRO_DETAILED_COST_WKSHT!H88,MICRO_DETAILED_COST_WKSHT!$F88*(MICRO_DETAILED_COST_WKSHT!H88*TOP_ACTV_Exchange_Rate))</f>
        <v>0</v>
      </c>
      <c r="G74" s="116">
        <f t="shared" si="6"/>
        <v>0</v>
      </c>
      <c r="H74" s="116">
        <f t="shared" si="7"/>
        <v>0</v>
      </c>
    </row>
    <row r="75" spans="3:8" s="10" customFormat="1" outlineLevel="1" x14ac:dyDescent="0.2">
      <c r="D75" s="49" t="str">
        <f>MICRO_DETAILED_COST_WKSHT!D89</f>
        <v>Other Direct Costs (ODC) Category 8</v>
      </c>
      <c r="E75" s="115">
        <f>IF(DD_TOP_ACTV_Detailed_Currency_Used=2,MICRO_DETAILED_COST_WKSHT!$F89*MICRO_DETAILED_COST_WKSHT!G89,MICRO_DETAILED_COST_WKSHT!$F89*(MICRO_DETAILED_COST_WKSHT!G89*TOP_ACTV_Exchange_Rate))</f>
        <v>0</v>
      </c>
      <c r="F75" s="115">
        <f>IF(DD_TOP_ACTV_Detailed_Currency_Used=2,MICRO_DETAILED_COST_WKSHT!$F89*MICRO_DETAILED_COST_WKSHT!H89,MICRO_DETAILED_COST_WKSHT!$F89*(MICRO_DETAILED_COST_WKSHT!H89*TOP_ACTV_Exchange_Rate))</f>
        <v>0</v>
      </c>
      <c r="G75" s="116">
        <f t="shared" si="6"/>
        <v>0</v>
      </c>
      <c r="H75" s="116">
        <f t="shared" si="7"/>
        <v>0</v>
      </c>
    </row>
    <row r="76" spans="3:8" s="10" customFormat="1" outlineLevel="1" x14ac:dyDescent="0.2">
      <c r="D76" s="49" t="str">
        <f>MICRO_DETAILED_COST_WKSHT!D90</f>
        <v>Other Direct Costs (ODC) Category 9</v>
      </c>
      <c r="E76" s="115">
        <f>IF(DD_TOP_ACTV_Detailed_Currency_Used=2,MICRO_DETAILED_COST_WKSHT!$F90*MICRO_DETAILED_COST_WKSHT!G90,MICRO_DETAILED_COST_WKSHT!$F90*(MICRO_DETAILED_COST_WKSHT!G90*TOP_ACTV_Exchange_Rate))</f>
        <v>0</v>
      </c>
      <c r="F76" s="115">
        <f>IF(DD_TOP_ACTV_Detailed_Currency_Used=2,MICRO_DETAILED_COST_WKSHT!$F90*MICRO_DETAILED_COST_WKSHT!H90,MICRO_DETAILED_COST_WKSHT!$F90*(MICRO_DETAILED_COST_WKSHT!H90*TOP_ACTV_Exchange_Rate))</f>
        <v>0</v>
      </c>
      <c r="G76" s="116">
        <f t="shared" si="6"/>
        <v>0</v>
      </c>
      <c r="H76" s="116">
        <f t="shared" si="7"/>
        <v>0</v>
      </c>
    </row>
    <row r="77" spans="3:8" s="10" customFormat="1" outlineLevel="1" x14ac:dyDescent="0.2">
      <c r="D77" s="49" t="str">
        <f>MICRO_DETAILED_COST_WKSHT!D91</f>
        <v>Other Direct Costs (ODC) Category 10</v>
      </c>
      <c r="E77" s="115">
        <f>IF(DD_TOP_ACTV_Detailed_Currency_Used=2,MICRO_DETAILED_COST_WKSHT!$F91*MICRO_DETAILED_COST_WKSHT!G91,MICRO_DETAILED_COST_WKSHT!$F91*(MICRO_DETAILED_COST_WKSHT!G91*TOP_ACTV_Exchange_Rate))</f>
        <v>0</v>
      </c>
      <c r="F77" s="115">
        <f>IF(DD_TOP_ACTV_Detailed_Currency_Used=2,MICRO_DETAILED_COST_WKSHT!$F91*MICRO_DETAILED_COST_WKSHT!H91,MICRO_DETAILED_COST_WKSHT!$F91*(MICRO_DETAILED_COST_WKSHT!H91*TOP_ACTV_Exchange_Rate))</f>
        <v>0</v>
      </c>
      <c r="G77" s="116">
        <f t="shared" si="6"/>
        <v>0</v>
      </c>
      <c r="H77" s="116">
        <f t="shared" si="7"/>
        <v>0</v>
      </c>
    </row>
    <row r="78" spans="3:8" s="10" customFormat="1" outlineLevel="1" x14ac:dyDescent="0.2">
      <c r="D78" s="48" t="str">
        <f>Lang_Other_Direct_Costs</f>
        <v>Other Direct Costs</v>
      </c>
      <c r="E78" s="120">
        <f>SUM(E68:E77)</f>
        <v>0</v>
      </c>
      <c r="F78" s="120">
        <f>SUM(F68:F77)</f>
        <v>0</v>
      </c>
      <c r="G78" s="121">
        <f>SUM(G68:G77)</f>
        <v>0</v>
      </c>
      <c r="H78" s="121">
        <f>SUM(H68:H77)</f>
        <v>0</v>
      </c>
    </row>
    <row r="79" spans="3:8" s="10" customFormat="1" outlineLevel="1" x14ac:dyDescent="0.2"/>
    <row r="80" spans="3:8" s="10" customFormat="1" outlineLevel="1" x14ac:dyDescent="0.2">
      <c r="D80" s="76" t="str">
        <f>Lang_GoTo&amp;" "&amp;HL_TOP_ACTV_Other_Direct_Costs</f>
        <v>Go to Microplanning Activity #1 (Not in Use) - Detailed Other Direct Cost Assumptions</v>
      </c>
    </row>
    <row r="81" spans="1:8" s="10" customFormat="1" outlineLevel="1" x14ac:dyDescent="0.2">
      <c r="D81" s="76" t="str">
        <f>Lang_GoTo&amp;" "&amp;HL_TOP_ACTV_Cost_Summary_Output</f>
        <v>Go to Microplanning Activity #1 (Not in Use) Detailed Cost Summary</v>
      </c>
    </row>
    <row r="82" spans="1:8" s="10" customFormat="1" x14ac:dyDescent="0.2"/>
    <row r="83" spans="1:8" s="13" customFormat="1" x14ac:dyDescent="0.2">
      <c r="A83" s="12" t="s">
        <v>127</v>
      </c>
      <c r="B83" s="13" t="str">
        <f>HL_TOP_ACTV_7_Name&amp;" "&amp;Lang_Personnel_Outputs</f>
        <v>Microplanning Activity #2 (Not in Use) Personnel - Outputs</v>
      </c>
    </row>
    <row r="84" spans="1:8" s="10" customFormat="1" outlineLevel="1" x14ac:dyDescent="0.2"/>
    <row r="85" spans="1:8" s="10" customFormat="1" outlineLevel="1" x14ac:dyDescent="0.2">
      <c r="C85" s="114" t="str">
        <f>HL_TOP_ACTV_7_Name</f>
        <v>Microplanning Activity #2 (Not in Use)</v>
      </c>
    </row>
    <row r="86" spans="1:8" s="10" customFormat="1" outlineLevel="1" x14ac:dyDescent="0.2">
      <c r="E86" s="86" t="str">
        <f>MICRO_Lu!$D$65&amp;" "&amp;Lang_Cost&amp;" ("&amp;MICRO_Lu!$D$46&amp;")"</f>
        <v>Financial Cost (LCU)</v>
      </c>
      <c r="F86" s="86" t="str">
        <f>MICRO_Lu!$D$66&amp;" "&amp;Lang_Cost&amp;" ("&amp;MICRO_Lu!$D$46&amp;")"</f>
        <v>Economic Cost (LCU)</v>
      </c>
      <c r="G86" s="86" t="str">
        <f>MICRO_Lu!$D$65&amp;" "&amp;Lang_Cost&amp;" ("&amp;MICRO_Lu!$D$45&amp;")"</f>
        <v>Financial Cost (USD)</v>
      </c>
      <c r="H86" s="86" t="str">
        <f>MICRO_Lu!$D$66&amp;" "&amp;Lang_Cost&amp;" ("&amp;MICRO_Lu!$D$45&amp;")"</f>
        <v>Economic Cost (USD)</v>
      </c>
    </row>
    <row r="87" spans="1:8" s="10" customFormat="1" outlineLevel="1" x14ac:dyDescent="0.2">
      <c r="D87" s="49" t="str">
        <f>MICRO_DETAILED_COST_WKSHT!D120</f>
        <v>Personnel Category 1</v>
      </c>
      <c r="E87" s="115">
        <f>IF(DD_TOP_ACTV_7_Detailed_Currency_Used=2,MICRO_DETAILED_COST_WKSHT!$F120*MICRO_DETAILED_COST_WKSHT!G120,MICRO_DETAILED_COST_WKSHT!$F120*(MICRO_DETAILED_COST_WKSHT!G120*TOP_ACTV_7_Exchange_Rate))</f>
        <v>0</v>
      </c>
      <c r="F87" s="115">
        <f>IF(DD_TOP_ACTV_7_Detailed_Currency_Used=2,MICRO_DETAILED_COST_WKSHT!$F120*MICRO_DETAILED_COST_WKSHT!H120,MICRO_DETAILED_COST_WKSHT!$F120*(MICRO_DETAILED_COST_WKSHT!H120*TOP_ACTV_7_Exchange_Rate))</f>
        <v>0</v>
      </c>
      <c r="G87" s="116">
        <f t="shared" ref="G87:G101" si="8">IFERROR(E87/TOP_ACTV_7_Exchange_Rate,0)</f>
        <v>0</v>
      </c>
      <c r="H87" s="116">
        <f t="shared" ref="H87:H101" si="9">IFERROR(F87/TOP_ACTV_7_Exchange_Rate,0)</f>
        <v>0</v>
      </c>
    </row>
    <row r="88" spans="1:8" s="10" customFormat="1" outlineLevel="1" x14ac:dyDescent="0.2">
      <c r="D88" s="49" t="str">
        <f>MICRO_DETAILED_COST_WKSHT!D121</f>
        <v>Personnel Category 2</v>
      </c>
      <c r="E88" s="115">
        <f>IF(DD_TOP_ACTV_7_Detailed_Currency_Used=2,MICRO_DETAILED_COST_WKSHT!$F121*MICRO_DETAILED_COST_WKSHT!G121,MICRO_DETAILED_COST_WKSHT!$F121*(MICRO_DETAILED_COST_WKSHT!G121*TOP_ACTV_7_Exchange_Rate))</f>
        <v>0</v>
      </c>
      <c r="F88" s="115">
        <f>IF(DD_TOP_ACTV_7_Detailed_Currency_Used=2,MICRO_DETAILED_COST_WKSHT!$F121*MICRO_DETAILED_COST_WKSHT!H121,MICRO_DETAILED_COST_WKSHT!$F121*(MICRO_DETAILED_COST_WKSHT!H121*TOP_ACTV_7_Exchange_Rate))</f>
        <v>0</v>
      </c>
      <c r="G88" s="116">
        <f t="shared" si="8"/>
        <v>0</v>
      </c>
      <c r="H88" s="116">
        <f t="shared" si="9"/>
        <v>0</v>
      </c>
    </row>
    <row r="89" spans="1:8" s="10" customFormat="1" outlineLevel="1" x14ac:dyDescent="0.2">
      <c r="D89" s="49" t="str">
        <f>MICRO_DETAILED_COST_WKSHT!D122</f>
        <v>Personnel Category 3</v>
      </c>
      <c r="E89" s="115">
        <f>IF(DD_TOP_ACTV_7_Detailed_Currency_Used=2,MICRO_DETAILED_COST_WKSHT!$F122*MICRO_DETAILED_COST_WKSHT!G122,MICRO_DETAILED_COST_WKSHT!$F122*(MICRO_DETAILED_COST_WKSHT!G122*TOP_ACTV_7_Exchange_Rate))</f>
        <v>0</v>
      </c>
      <c r="F89" s="115">
        <f>IF(DD_TOP_ACTV_7_Detailed_Currency_Used=2,MICRO_DETAILED_COST_WKSHT!$F122*MICRO_DETAILED_COST_WKSHT!H122,MICRO_DETAILED_COST_WKSHT!$F122*(MICRO_DETAILED_COST_WKSHT!H122*TOP_ACTV_7_Exchange_Rate))</f>
        <v>0</v>
      </c>
      <c r="G89" s="116">
        <f t="shared" si="8"/>
        <v>0</v>
      </c>
      <c r="H89" s="116">
        <f t="shared" si="9"/>
        <v>0</v>
      </c>
    </row>
    <row r="90" spans="1:8" s="10" customFormat="1" outlineLevel="1" x14ac:dyDescent="0.2">
      <c r="D90" s="49" t="str">
        <f>MICRO_DETAILED_COST_WKSHT!D123</f>
        <v>Personnel Category 4</v>
      </c>
      <c r="E90" s="115">
        <f>IF(DD_TOP_ACTV_7_Detailed_Currency_Used=2,MICRO_DETAILED_COST_WKSHT!$F123*MICRO_DETAILED_COST_WKSHT!G123,MICRO_DETAILED_COST_WKSHT!$F123*(MICRO_DETAILED_COST_WKSHT!G123*TOP_ACTV_7_Exchange_Rate))</f>
        <v>0</v>
      </c>
      <c r="F90" s="115">
        <f>IF(DD_TOP_ACTV_7_Detailed_Currency_Used=2,MICRO_DETAILED_COST_WKSHT!$F123*MICRO_DETAILED_COST_WKSHT!H123,MICRO_DETAILED_COST_WKSHT!$F123*(MICRO_DETAILED_COST_WKSHT!H123*TOP_ACTV_7_Exchange_Rate))</f>
        <v>0</v>
      </c>
      <c r="G90" s="116">
        <f t="shared" si="8"/>
        <v>0</v>
      </c>
      <c r="H90" s="116">
        <f t="shared" si="9"/>
        <v>0</v>
      </c>
    </row>
    <row r="91" spans="1:8" s="10" customFormat="1" outlineLevel="1" x14ac:dyDescent="0.2">
      <c r="D91" s="49" t="str">
        <f>MICRO_DETAILED_COST_WKSHT!D124</f>
        <v>Personnel Category 5</v>
      </c>
      <c r="E91" s="115">
        <f>IF(DD_TOP_ACTV_7_Detailed_Currency_Used=2,MICRO_DETAILED_COST_WKSHT!$F124*MICRO_DETAILED_COST_WKSHT!G124,MICRO_DETAILED_COST_WKSHT!$F124*(MICRO_DETAILED_COST_WKSHT!G124*TOP_ACTV_7_Exchange_Rate))</f>
        <v>0</v>
      </c>
      <c r="F91" s="115">
        <f>IF(DD_TOP_ACTV_7_Detailed_Currency_Used=2,MICRO_DETAILED_COST_WKSHT!$F124*MICRO_DETAILED_COST_WKSHT!H124,MICRO_DETAILED_COST_WKSHT!$F124*(MICRO_DETAILED_COST_WKSHT!H124*TOP_ACTV_7_Exchange_Rate))</f>
        <v>0</v>
      </c>
      <c r="G91" s="116">
        <f t="shared" si="8"/>
        <v>0</v>
      </c>
      <c r="H91" s="116">
        <f t="shared" si="9"/>
        <v>0</v>
      </c>
    </row>
    <row r="92" spans="1:8" s="10" customFormat="1" outlineLevel="1" x14ac:dyDescent="0.2">
      <c r="D92" s="49" t="str">
        <f>MICRO_DETAILED_COST_WKSHT!D125</f>
        <v>Personnel Category 6</v>
      </c>
      <c r="E92" s="115">
        <f>IF(DD_TOP_ACTV_7_Detailed_Currency_Used=2,MICRO_DETAILED_COST_WKSHT!$F125*MICRO_DETAILED_COST_WKSHT!G125,MICRO_DETAILED_COST_WKSHT!$F125*(MICRO_DETAILED_COST_WKSHT!G125*TOP_ACTV_7_Exchange_Rate))</f>
        <v>0</v>
      </c>
      <c r="F92" s="115">
        <f>IF(DD_TOP_ACTV_7_Detailed_Currency_Used=2,MICRO_DETAILED_COST_WKSHT!$F125*MICRO_DETAILED_COST_WKSHT!H125,MICRO_DETAILED_COST_WKSHT!$F125*(MICRO_DETAILED_COST_WKSHT!H125*TOP_ACTV_7_Exchange_Rate))</f>
        <v>0</v>
      </c>
      <c r="G92" s="116">
        <f t="shared" si="8"/>
        <v>0</v>
      </c>
      <c r="H92" s="116">
        <f t="shared" si="9"/>
        <v>0</v>
      </c>
    </row>
    <row r="93" spans="1:8" s="10" customFormat="1" outlineLevel="1" x14ac:dyDescent="0.2">
      <c r="D93" s="49" t="str">
        <f>MICRO_DETAILED_COST_WKSHT!D126</f>
        <v>Personnel Category 7</v>
      </c>
      <c r="E93" s="115">
        <f>IF(DD_TOP_ACTV_7_Detailed_Currency_Used=2,MICRO_DETAILED_COST_WKSHT!$F126*MICRO_DETAILED_COST_WKSHT!G126,MICRO_DETAILED_COST_WKSHT!$F126*(MICRO_DETAILED_COST_WKSHT!G126*TOP_ACTV_7_Exchange_Rate))</f>
        <v>0</v>
      </c>
      <c r="F93" s="115">
        <f>IF(DD_TOP_ACTV_7_Detailed_Currency_Used=2,MICRO_DETAILED_COST_WKSHT!$F126*MICRO_DETAILED_COST_WKSHT!H126,MICRO_DETAILED_COST_WKSHT!$F126*(MICRO_DETAILED_COST_WKSHT!H126*TOP_ACTV_7_Exchange_Rate))</f>
        <v>0</v>
      </c>
      <c r="G93" s="116">
        <f t="shared" si="8"/>
        <v>0</v>
      </c>
      <c r="H93" s="116">
        <f t="shared" si="9"/>
        <v>0</v>
      </c>
    </row>
    <row r="94" spans="1:8" s="10" customFormat="1" outlineLevel="1" x14ac:dyDescent="0.2">
      <c r="D94" s="49" t="str">
        <f>MICRO_DETAILED_COST_WKSHT!D127</f>
        <v>Personnel Category 8</v>
      </c>
      <c r="E94" s="115">
        <f>IF(DD_TOP_ACTV_7_Detailed_Currency_Used=2,MICRO_DETAILED_COST_WKSHT!$F127*MICRO_DETAILED_COST_WKSHT!G127,MICRO_DETAILED_COST_WKSHT!$F127*(MICRO_DETAILED_COST_WKSHT!G127*TOP_ACTV_7_Exchange_Rate))</f>
        <v>0</v>
      </c>
      <c r="F94" s="115">
        <f>IF(DD_TOP_ACTV_7_Detailed_Currency_Used=2,MICRO_DETAILED_COST_WKSHT!$F127*MICRO_DETAILED_COST_WKSHT!H127,MICRO_DETAILED_COST_WKSHT!$F127*(MICRO_DETAILED_COST_WKSHT!H127*TOP_ACTV_7_Exchange_Rate))</f>
        <v>0</v>
      </c>
      <c r="G94" s="116">
        <f t="shared" si="8"/>
        <v>0</v>
      </c>
      <c r="H94" s="116">
        <f t="shared" si="9"/>
        <v>0</v>
      </c>
    </row>
    <row r="95" spans="1:8" s="10" customFormat="1" outlineLevel="1" x14ac:dyDescent="0.2">
      <c r="D95" s="49" t="str">
        <f>MICRO_DETAILED_COST_WKSHT!D128</f>
        <v>Personnel Category 9</v>
      </c>
      <c r="E95" s="115">
        <f>IF(DD_TOP_ACTV_7_Detailed_Currency_Used=2,MICRO_DETAILED_COST_WKSHT!$F128*MICRO_DETAILED_COST_WKSHT!G128,MICRO_DETAILED_COST_WKSHT!$F128*(MICRO_DETAILED_COST_WKSHT!G128*TOP_ACTV_7_Exchange_Rate))</f>
        <v>0</v>
      </c>
      <c r="F95" s="115">
        <f>IF(DD_TOP_ACTV_7_Detailed_Currency_Used=2,MICRO_DETAILED_COST_WKSHT!$F128*MICRO_DETAILED_COST_WKSHT!H128,MICRO_DETAILED_COST_WKSHT!$F128*(MICRO_DETAILED_COST_WKSHT!H128*TOP_ACTV_7_Exchange_Rate))</f>
        <v>0</v>
      </c>
      <c r="G95" s="116">
        <f t="shared" si="8"/>
        <v>0</v>
      </c>
      <c r="H95" s="116">
        <f t="shared" si="9"/>
        <v>0</v>
      </c>
    </row>
    <row r="96" spans="1:8" s="10" customFormat="1" outlineLevel="1" x14ac:dyDescent="0.2">
      <c r="D96" s="49" t="str">
        <f>MICRO_DETAILED_COST_WKSHT!D129</f>
        <v>Personnel Category 10</v>
      </c>
      <c r="E96" s="115">
        <f>IF(DD_TOP_ACTV_7_Detailed_Currency_Used=2,MICRO_DETAILED_COST_WKSHT!$F129*MICRO_DETAILED_COST_WKSHT!G129,MICRO_DETAILED_COST_WKSHT!$F129*(MICRO_DETAILED_COST_WKSHT!G129*TOP_ACTV_7_Exchange_Rate))</f>
        <v>0</v>
      </c>
      <c r="F96" s="115">
        <f>IF(DD_TOP_ACTV_7_Detailed_Currency_Used=2,MICRO_DETAILED_COST_WKSHT!$F129*MICRO_DETAILED_COST_WKSHT!H129,MICRO_DETAILED_COST_WKSHT!$F129*(MICRO_DETAILED_COST_WKSHT!H129*TOP_ACTV_7_Exchange_Rate))</f>
        <v>0</v>
      </c>
      <c r="G96" s="116">
        <f t="shared" si="8"/>
        <v>0</v>
      </c>
      <c r="H96" s="116">
        <f t="shared" si="9"/>
        <v>0</v>
      </c>
    </row>
    <row r="97" spans="1:8" s="10" customFormat="1" outlineLevel="1" x14ac:dyDescent="0.2">
      <c r="D97" s="49" t="str">
        <f>MICRO_DETAILED_COST_WKSHT!D130</f>
        <v>Personnel Category 11</v>
      </c>
      <c r="E97" s="115">
        <f>IF(DD_TOP_ACTV_7_Detailed_Currency_Used=2,MICRO_DETAILED_COST_WKSHT!$F130*MICRO_DETAILED_COST_WKSHT!G130,MICRO_DETAILED_COST_WKSHT!$F130*(MICRO_DETAILED_COST_WKSHT!G130*TOP_ACTV_7_Exchange_Rate))</f>
        <v>0</v>
      </c>
      <c r="F97" s="115">
        <f>IF(DD_TOP_ACTV_7_Detailed_Currency_Used=2,MICRO_DETAILED_COST_WKSHT!$F130*MICRO_DETAILED_COST_WKSHT!H130,MICRO_DETAILED_COST_WKSHT!$F130*(MICRO_DETAILED_COST_WKSHT!H130*TOP_ACTV_7_Exchange_Rate))</f>
        <v>0</v>
      </c>
      <c r="G97" s="116">
        <f t="shared" si="8"/>
        <v>0</v>
      </c>
      <c r="H97" s="116">
        <f t="shared" si="9"/>
        <v>0</v>
      </c>
    </row>
    <row r="98" spans="1:8" s="10" customFormat="1" outlineLevel="1" x14ac:dyDescent="0.2">
      <c r="D98" s="49" t="str">
        <f>MICRO_DETAILED_COST_WKSHT!D131</f>
        <v>Personnel Category 12</v>
      </c>
      <c r="E98" s="115">
        <f>IF(DD_TOP_ACTV_7_Detailed_Currency_Used=2,MICRO_DETAILED_COST_WKSHT!$F131*MICRO_DETAILED_COST_WKSHT!G131,MICRO_DETAILED_COST_WKSHT!$F131*(MICRO_DETAILED_COST_WKSHT!G131*TOP_ACTV_7_Exchange_Rate))</f>
        <v>0</v>
      </c>
      <c r="F98" s="115">
        <f>IF(DD_TOP_ACTV_7_Detailed_Currency_Used=2,MICRO_DETAILED_COST_WKSHT!$F131*MICRO_DETAILED_COST_WKSHT!H131,MICRO_DETAILED_COST_WKSHT!$F131*(MICRO_DETAILED_COST_WKSHT!H131*TOP_ACTV_7_Exchange_Rate))</f>
        <v>0</v>
      </c>
      <c r="G98" s="116">
        <f t="shared" si="8"/>
        <v>0</v>
      </c>
      <c r="H98" s="116">
        <f t="shared" si="9"/>
        <v>0</v>
      </c>
    </row>
    <row r="99" spans="1:8" s="10" customFormat="1" outlineLevel="1" x14ac:dyDescent="0.2">
      <c r="D99" s="49" t="str">
        <f>MICRO_DETAILED_COST_WKSHT!D132</f>
        <v>Personnel Category 13</v>
      </c>
      <c r="E99" s="115">
        <f>IF(DD_TOP_ACTV_7_Detailed_Currency_Used=2,MICRO_DETAILED_COST_WKSHT!$F132*MICRO_DETAILED_COST_WKSHT!G132,MICRO_DETAILED_COST_WKSHT!$F132*(MICRO_DETAILED_COST_WKSHT!G132*TOP_ACTV_7_Exchange_Rate))</f>
        <v>0</v>
      </c>
      <c r="F99" s="115">
        <f>IF(DD_TOP_ACTV_7_Detailed_Currency_Used=2,MICRO_DETAILED_COST_WKSHT!$F132*MICRO_DETAILED_COST_WKSHT!H132,MICRO_DETAILED_COST_WKSHT!$F132*(MICRO_DETAILED_COST_WKSHT!H132*TOP_ACTV_7_Exchange_Rate))</f>
        <v>0</v>
      </c>
      <c r="G99" s="116">
        <f t="shared" si="8"/>
        <v>0</v>
      </c>
      <c r="H99" s="116">
        <f t="shared" si="9"/>
        <v>0</v>
      </c>
    </row>
    <row r="100" spans="1:8" s="10" customFormat="1" outlineLevel="1" x14ac:dyDescent="0.2">
      <c r="D100" s="49" t="str">
        <f>MICRO_DETAILED_COST_WKSHT!D133</f>
        <v>Personnel Category 14</v>
      </c>
      <c r="E100" s="115">
        <f>IF(DD_TOP_ACTV_7_Detailed_Currency_Used=2,MICRO_DETAILED_COST_WKSHT!$F133*MICRO_DETAILED_COST_WKSHT!G133,MICRO_DETAILED_COST_WKSHT!$F133*(MICRO_DETAILED_COST_WKSHT!G133*TOP_ACTV_7_Exchange_Rate))</f>
        <v>0</v>
      </c>
      <c r="F100" s="115">
        <f>IF(DD_TOP_ACTV_7_Detailed_Currency_Used=2,MICRO_DETAILED_COST_WKSHT!$F133*MICRO_DETAILED_COST_WKSHT!H133,MICRO_DETAILED_COST_WKSHT!$F133*(MICRO_DETAILED_COST_WKSHT!H133*TOP_ACTV_7_Exchange_Rate))</f>
        <v>0</v>
      </c>
      <c r="G100" s="116">
        <f t="shared" si="8"/>
        <v>0</v>
      </c>
      <c r="H100" s="116">
        <f t="shared" si="9"/>
        <v>0</v>
      </c>
    </row>
    <row r="101" spans="1:8" s="10" customFormat="1" outlineLevel="1" x14ac:dyDescent="0.2">
      <c r="D101" s="49" t="str">
        <f>MICRO_DETAILED_COST_WKSHT!D134</f>
        <v>Personnel Category 15</v>
      </c>
      <c r="E101" s="115">
        <f>IF(DD_TOP_ACTV_7_Detailed_Currency_Used=2,MICRO_DETAILED_COST_WKSHT!$F134*MICRO_DETAILED_COST_WKSHT!G134,MICRO_DETAILED_COST_WKSHT!$F134*(MICRO_DETAILED_COST_WKSHT!G134*TOP_ACTV_7_Exchange_Rate))</f>
        <v>0</v>
      </c>
      <c r="F101" s="115">
        <f>IF(DD_TOP_ACTV_7_Detailed_Currency_Used=2,MICRO_DETAILED_COST_WKSHT!$F134*MICRO_DETAILED_COST_WKSHT!H134,MICRO_DETAILED_COST_WKSHT!$F134*(MICRO_DETAILED_COST_WKSHT!H134*TOP_ACTV_7_Exchange_Rate))</f>
        <v>0</v>
      </c>
      <c r="G101" s="116">
        <f t="shared" si="8"/>
        <v>0</v>
      </c>
      <c r="H101" s="116">
        <f t="shared" si="9"/>
        <v>0</v>
      </c>
    </row>
    <row r="102" spans="1:8" s="10" customFormat="1" outlineLevel="1" x14ac:dyDescent="0.2">
      <c r="D102" s="48" t="str">
        <f>Lang_Personnel</f>
        <v>Personnel</v>
      </c>
      <c r="E102" s="120">
        <f>SUM(E87:E101)</f>
        <v>0</v>
      </c>
      <c r="F102" s="120">
        <f>SUM(F87:F101)</f>
        <v>0</v>
      </c>
      <c r="G102" s="121">
        <f>SUM(G87:G101)</f>
        <v>0</v>
      </c>
      <c r="H102" s="121">
        <f>SUM(H87:H101)</f>
        <v>0</v>
      </c>
    </row>
    <row r="103" spans="1:8" s="10" customFormat="1" outlineLevel="1" x14ac:dyDescent="0.2"/>
    <row r="104" spans="1:8" s="10" customFormat="1" outlineLevel="1" x14ac:dyDescent="0.2"/>
    <row r="105" spans="1:8" s="10" customFormat="1" outlineLevel="1" x14ac:dyDescent="0.2">
      <c r="D105" s="76" t="str">
        <f>Lang_GoTo&amp;" "&amp;HL_TOP_ACTV_7_Personnel_Assumptions</f>
        <v>Go to Microplanning Activity #2 (Not in Use) - Detailed Personnel Cost Assumptions</v>
      </c>
    </row>
    <row r="106" spans="1:8" s="10" customFormat="1" outlineLevel="1" x14ac:dyDescent="0.2">
      <c r="D106" s="76" t="str">
        <f>Lang_GoTo&amp;" "&amp;HL_TOP_ACTV_7_Cost_Summary_Output</f>
        <v>Go to Microplanning Activity #2 (Not in Use) Detailed Cost Summary</v>
      </c>
    </row>
    <row r="107" spans="1:8" s="10" customFormat="1" x14ac:dyDescent="0.2"/>
    <row r="108" spans="1:8" s="13" customFormat="1" x14ac:dyDescent="0.2">
      <c r="A108" s="12" t="s">
        <v>127</v>
      </c>
      <c r="B108" s="13" t="str">
        <f>HL_TOP_ACTV_7_Name&amp;" "&amp;Lang_Allowances_Outputs</f>
        <v>Microplanning Activity #2 (Not in Use) Allowances - Outputs</v>
      </c>
    </row>
    <row r="109" spans="1:8" s="10" customFormat="1" outlineLevel="1" x14ac:dyDescent="0.2"/>
    <row r="110" spans="1:8" s="10" customFormat="1" outlineLevel="1" x14ac:dyDescent="0.2">
      <c r="C110" s="114" t="str">
        <f>HL_TOP_ACTV_7_Name</f>
        <v>Microplanning Activity #2 (Not in Use)</v>
      </c>
    </row>
    <row r="111" spans="1:8" s="10" customFormat="1" outlineLevel="1" x14ac:dyDescent="0.2">
      <c r="E111" s="86" t="str">
        <f>MICRO_Lu!$D$65&amp;" "&amp;Lang_Cost&amp;" ("&amp;MICRO_Lu!$D$46&amp;")"</f>
        <v>Financial Cost (LCU)</v>
      </c>
      <c r="F111" s="86" t="str">
        <f>MICRO_Lu!$D$66&amp;" "&amp;Lang_Cost&amp;" ("&amp;MICRO_Lu!$D$46&amp;")"</f>
        <v>Economic Cost (LCU)</v>
      </c>
      <c r="G111" s="86" t="str">
        <f>MICRO_Lu!$D$65&amp;" "&amp;Lang_Cost&amp;" ("&amp;MICRO_Lu!$D$45&amp;")"</f>
        <v>Financial Cost (USD)</v>
      </c>
      <c r="H111" s="86" t="str">
        <f>MICRO_Lu!$D$66&amp;" "&amp;Lang_Cost&amp;" ("&amp;MICRO_Lu!$D$45&amp;")"</f>
        <v>Economic Cost (USD)</v>
      </c>
    </row>
    <row r="112" spans="1:8" s="10" customFormat="1" outlineLevel="1" x14ac:dyDescent="0.2">
      <c r="D112" s="49" t="str">
        <f>MICRO_DETAILED_COST_WKSHT!D143</f>
        <v>Allowances Category 1</v>
      </c>
      <c r="E112" s="115">
        <f>IF(DD_TOP_ACTV_7_Detailed_Currency_Used=2,MICRO_DETAILED_COST_WKSHT!$F143*MICRO_DETAILED_COST_WKSHT!G143,MICRO_DETAILED_COST_WKSHT!$F143*(MICRO_DETAILED_COST_WKSHT!G143*TOP_ACTV_7_Exchange_Rate))</f>
        <v>0</v>
      </c>
      <c r="F112" s="115">
        <f>IF(DD_TOP_ACTV_7_Detailed_Currency_Used=2,MICRO_DETAILED_COST_WKSHT!$F143*MICRO_DETAILED_COST_WKSHT!H143,MICRO_DETAILED_COST_WKSHT!$F143*(MICRO_DETAILED_COST_WKSHT!H143*TOP_ACTV_7_Exchange_Rate))</f>
        <v>0</v>
      </c>
      <c r="G112" s="116">
        <f t="shared" ref="G112:G121" si="10">E112/TOP_ACTV_7_Exchange_Rate</f>
        <v>0</v>
      </c>
      <c r="H112" s="116">
        <f t="shared" ref="H112:H121" si="11">F112/TOP_ACTV_7_Exchange_Rate</f>
        <v>0</v>
      </c>
    </row>
    <row r="113" spans="1:8" s="10" customFormat="1" outlineLevel="1" x14ac:dyDescent="0.2">
      <c r="D113" s="49" t="str">
        <f>MICRO_DETAILED_COST_WKSHT!D144</f>
        <v>Allowances Category 2</v>
      </c>
      <c r="E113" s="115">
        <f>IF(DD_TOP_ACTV_7_Detailed_Currency_Used=2,MICRO_DETAILED_COST_WKSHT!$F144*MICRO_DETAILED_COST_WKSHT!G144,MICRO_DETAILED_COST_WKSHT!$F144*(MICRO_DETAILED_COST_WKSHT!G144*TOP_ACTV_7_Exchange_Rate))</f>
        <v>0</v>
      </c>
      <c r="F113" s="115">
        <f>IF(DD_TOP_ACTV_7_Detailed_Currency_Used=2,MICRO_DETAILED_COST_WKSHT!$F144*MICRO_DETAILED_COST_WKSHT!H144,MICRO_DETAILED_COST_WKSHT!$F144*(MICRO_DETAILED_COST_WKSHT!H144*TOP_ACTV_7_Exchange_Rate))</f>
        <v>0</v>
      </c>
      <c r="G113" s="116">
        <f t="shared" si="10"/>
        <v>0</v>
      </c>
      <c r="H113" s="116">
        <f t="shared" si="11"/>
        <v>0</v>
      </c>
    </row>
    <row r="114" spans="1:8" s="10" customFormat="1" outlineLevel="1" x14ac:dyDescent="0.2">
      <c r="D114" s="49" t="str">
        <f>MICRO_DETAILED_COST_WKSHT!D145</f>
        <v>Allowances Category 3</v>
      </c>
      <c r="E114" s="115">
        <f>IF(DD_TOP_ACTV_7_Detailed_Currency_Used=2,MICRO_DETAILED_COST_WKSHT!$F145*MICRO_DETAILED_COST_WKSHT!G145,MICRO_DETAILED_COST_WKSHT!$F145*(MICRO_DETAILED_COST_WKSHT!G145*TOP_ACTV_7_Exchange_Rate))</f>
        <v>0</v>
      </c>
      <c r="F114" s="115">
        <f>IF(DD_TOP_ACTV_7_Detailed_Currency_Used=2,MICRO_DETAILED_COST_WKSHT!$F145*MICRO_DETAILED_COST_WKSHT!H145,MICRO_DETAILED_COST_WKSHT!$F145*(MICRO_DETAILED_COST_WKSHT!H145*TOP_ACTV_7_Exchange_Rate))</f>
        <v>0</v>
      </c>
      <c r="G114" s="116">
        <f t="shared" si="10"/>
        <v>0</v>
      </c>
      <c r="H114" s="116">
        <f t="shared" si="11"/>
        <v>0</v>
      </c>
    </row>
    <row r="115" spans="1:8" s="10" customFormat="1" outlineLevel="1" x14ac:dyDescent="0.2">
      <c r="D115" s="49" t="str">
        <f>MICRO_DETAILED_COST_WKSHT!D146</f>
        <v>Allowances Category 4</v>
      </c>
      <c r="E115" s="115">
        <f>IF(DD_TOP_ACTV_7_Detailed_Currency_Used=2,MICRO_DETAILED_COST_WKSHT!$F146*MICRO_DETAILED_COST_WKSHT!G146,MICRO_DETAILED_COST_WKSHT!$F146*(MICRO_DETAILED_COST_WKSHT!G146*TOP_ACTV_7_Exchange_Rate))</f>
        <v>0</v>
      </c>
      <c r="F115" s="115">
        <f>IF(DD_TOP_ACTV_7_Detailed_Currency_Used=2,MICRO_DETAILED_COST_WKSHT!$F146*MICRO_DETAILED_COST_WKSHT!H146,MICRO_DETAILED_COST_WKSHT!$F146*(MICRO_DETAILED_COST_WKSHT!H146*TOP_ACTV_7_Exchange_Rate))</f>
        <v>0</v>
      </c>
      <c r="G115" s="116">
        <f t="shared" si="10"/>
        <v>0</v>
      </c>
      <c r="H115" s="116">
        <f t="shared" si="11"/>
        <v>0</v>
      </c>
    </row>
    <row r="116" spans="1:8" s="10" customFormat="1" outlineLevel="1" x14ac:dyDescent="0.2">
      <c r="D116" s="49" t="str">
        <f>MICRO_DETAILED_COST_WKSHT!D147</f>
        <v>Allowances Category 5</v>
      </c>
      <c r="E116" s="115">
        <f>IF(DD_TOP_ACTV_7_Detailed_Currency_Used=2,MICRO_DETAILED_COST_WKSHT!$F147*MICRO_DETAILED_COST_WKSHT!G147,MICRO_DETAILED_COST_WKSHT!$F147*(MICRO_DETAILED_COST_WKSHT!G147*TOP_ACTV_7_Exchange_Rate))</f>
        <v>0</v>
      </c>
      <c r="F116" s="115">
        <f>IF(DD_TOP_ACTV_7_Detailed_Currency_Used=2,MICRO_DETAILED_COST_WKSHT!$F147*MICRO_DETAILED_COST_WKSHT!H147,MICRO_DETAILED_COST_WKSHT!$F147*(MICRO_DETAILED_COST_WKSHT!H147*TOP_ACTV_7_Exchange_Rate))</f>
        <v>0</v>
      </c>
      <c r="G116" s="116">
        <f t="shared" si="10"/>
        <v>0</v>
      </c>
      <c r="H116" s="116">
        <f t="shared" si="11"/>
        <v>0</v>
      </c>
    </row>
    <row r="117" spans="1:8" s="10" customFormat="1" outlineLevel="1" x14ac:dyDescent="0.2">
      <c r="D117" s="49" t="str">
        <f>MICRO_DETAILED_COST_WKSHT!D148</f>
        <v>Allowances Category 6</v>
      </c>
      <c r="E117" s="115">
        <f>IF(DD_TOP_ACTV_7_Detailed_Currency_Used=2,MICRO_DETAILED_COST_WKSHT!$F148*MICRO_DETAILED_COST_WKSHT!G148,MICRO_DETAILED_COST_WKSHT!$F148*(MICRO_DETAILED_COST_WKSHT!G148*TOP_ACTV_7_Exchange_Rate))</f>
        <v>0</v>
      </c>
      <c r="F117" s="115">
        <f>IF(DD_TOP_ACTV_7_Detailed_Currency_Used=2,MICRO_DETAILED_COST_WKSHT!$F148*MICRO_DETAILED_COST_WKSHT!H148,MICRO_DETAILED_COST_WKSHT!$F148*(MICRO_DETAILED_COST_WKSHT!H148*TOP_ACTV_7_Exchange_Rate))</f>
        <v>0</v>
      </c>
      <c r="G117" s="116">
        <f t="shared" si="10"/>
        <v>0</v>
      </c>
      <c r="H117" s="116">
        <f t="shared" si="11"/>
        <v>0</v>
      </c>
    </row>
    <row r="118" spans="1:8" s="10" customFormat="1" outlineLevel="1" x14ac:dyDescent="0.2">
      <c r="D118" s="49" t="str">
        <f>MICRO_DETAILED_COST_WKSHT!D149</f>
        <v>Allowances Category 7</v>
      </c>
      <c r="E118" s="115">
        <f>IF(DD_TOP_ACTV_7_Detailed_Currency_Used=2,MICRO_DETAILED_COST_WKSHT!$F149*MICRO_DETAILED_COST_WKSHT!G149,MICRO_DETAILED_COST_WKSHT!$F149*(MICRO_DETAILED_COST_WKSHT!G149*TOP_ACTV_7_Exchange_Rate))</f>
        <v>0</v>
      </c>
      <c r="F118" s="115">
        <f>IF(DD_TOP_ACTV_7_Detailed_Currency_Used=2,MICRO_DETAILED_COST_WKSHT!$F149*MICRO_DETAILED_COST_WKSHT!H149,MICRO_DETAILED_COST_WKSHT!$F149*(MICRO_DETAILED_COST_WKSHT!H149*TOP_ACTV_7_Exchange_Rate))</f>
        <v>0</v>
      </c>
      <c r="G118" s="116">
        <f t="shared" si="10"/>
        <v>0</v>
      </c>
      <c r="H118" s="116">
        <f t="shared" si="11"/>
        <v>0</v>
      </c>
    </row>
    <row r="119" spans="1:8" s="10" customFormat="1" outlineLevel="1" x14ac:dyDescent="0.2">
      <c r="D119" s="49" t="str">
        <f>MICRO_DETAILED_COST_WKSHT!D150</f>
        <v>Allowances Category 8</v>
      </c>
      <c r="E119" s="115">
        <f>IF(DD_TOP_ACTV_7_Detailed_Currency_Used=2,MICRO_DETAILED_COST_WKSHT!$F150*MICRO_DETAILED_COST_WKSHT!G150,MICRO_DETAILED_COST_WKSHT!$F150*(MICRO_DETAILED_COST_WKSHT!G150*TOP_ACTV_7_Exchange_Rate))</f>
        <v>0</v>
      </c>
      <c r="F119" s="115">
        <f>IF(DD_TOP_ACTV_7_Detailed_Currency_Used=2,MICRO_DETAILED_COST_WKSHT!$F150*MICRO_DETAILED_COST_WKSHT!H150,MICRO_DETAILED_COST_WKSHT!$F150*(MICRO_DETAILED_COST_WKSHT!H150*TOP_ACTV_7_Exchange_Rate))</f>
        <v>0</v>
      </c>
      <c r="G119" s="116">
        <f t="shared" si="10"/>
        <v>0</v>
      </c>
      <c r="H119" s="116">
        <f t="shared" si="11"/>
        <v>0</v>
      </c>
    </row>
    <row r="120" spans="1:8" s="10" customFormat="1" outlineLevel="1" x14ac:dyDescent="0.2">
      <c r="D120" s="49" t="str">
        <f>MICRO_DETAILED_COST_WKSHT!D151</f>
        <v>Allowances Category 9</v>
      </c>
      <c r="E120" s="115">
        <f>IF(DD_TOP_ACTV_7_Detailed_Currency_Used=2,MICRO_DETAILED_COST_WKSHT!$F151*MICRO_DETAILED_COST_WKSHT!G151,MICRO_DETAILED_COST_WKSHT!$F151*(MICRO_DETAILED_COST_WKSHT!G151*TOP_ACTV_7_Exchange_Rate))</f>
        <v>0</v>
      </c>
      <c r="F120" s="115">
        <f>IF(DD_TOP_ACTV_7_Detailed_Currency_Used=2,MICRO_DETAILED_COST_WKSHT!$F151*MICRO_DETAILED_COST_WKSHT!H151,MICRO_DETAILED_COST_WKSHT!$F151*(MICRO_DETAILED_COST_WKSHT!H151*TOP_ACTV_7_Exchange_Rate))</f>
        <v>0</v>
      </c>
      <c r="G120" s="116">
        <f t="shared" si="10"/>
        <v>0</v>
      </c>
      <c r="H120" s="116">
        <f t="shared" si="11"/>
        <v>0</v>
      </c>
    </row>
    <row r="121" spans="1:8" s="10" customFormat="1" outlineLevel="1" x14ac:dyDescent="0.2">
      <c r="D121" s="49" t="str">
        <f>MICRO_DETAILED_COST_WKSHT!D152</f>
        <v>Allowances Category 10</v>
      </c>
      <c r="E121" s="115">
        <f>IF(DD_TOP_ACTV_7_Detailed_Currency_Used=2,MICRO_DETAILED_COST_WKSHT!$F152*MICRO_DETAILED_COST_WKSHT!G152,MICRO_DETAILED_COST_WKSHT!$F152*(MICRO_DETAILED_COST_WKSHT!G152*TOP_ACTV_7_Exchange_Rate))</f>
        <v>0</v>
      </c>
      <c r="F121" s="115">
        <f>IF(DD_TOP_ACTV_7_Detailed_Currency_Used=2,MICRO_DETAILED_COST_WKSHT!$F152*MICRO_DETAILED_COST_WKSHT!H152,MICRO_DETAILED_COST_WKSHT!$F152*(MICRO_DETAILED_COST_WKSHT!H152*TOP_ACTV_7_Exchange_Rate))</f>
        <v>0</v>
      </c>
      <c r="G121" s="116">
        <f t="shared" si="10"/>
        <v>0</v>
      </c>
      <c r="H121" s="116">
        <f t="shared" si="11"/>
        <v>0</v>
      </c>
    </row>
    <row r="122" spans="1:8" s="10" customFormat="1" outlineLevel="1" x14ac:dyDescent="0.2">
      <c r="D122" s="48" t="str">
        <f>Lang_Allowances</f>
        <v>Allowances</v>
      </c>
      <c r="E122" s="120">
        <f>SUM(E112:E121)</f>
        <v>0</v>
      </c>
      <c r="F122" s="120">
        <f>SUM(F112:F121)</f>
        <v>0</v>
      </c>
      <c r="G122" s="121">
        <f>SUM(G112:G121)</f>
        <v>0</v>
      </c>
      <c r="H122" s="121">
        <f>SUM(H112:H121)</f>
        <v>0</v>
      </c>
    </row>
    <row r="123" spans="1:8" s="10" customFormat="1" outlineLevel="1" x14ac:dyDescent="0.2"/>
    <row r="124" spans="1:8" s="10" customFormat="1" outlineLevel="1" x14ac:dyDescent="0.2"/>
    <row r="125" spans="1:8" s="10" customFormat="1" outlineLevel="1" x14ac:dyDescent="0.2">
      <c r="D125" s="76" t="str">
        <f>Lang_GoTo&amp;" "&amp;HL_TOP_ACTV_7_Ass_A</f>
        <v>Go to Microplanning Activity #2 (Not in Use) - Detailed Allowance Cost Assumptions</v>
      </c>
    </row>
    <row r="126" spans="1:8" s="10" customFormat="1" outlineLevel="1" x14ac:dyDescent="0.2">
      <c r="D126" s="76" t="str">
        <f>Lang_GoTo&amp;" "&amp;HL_TOP_ACTV_7_Cost_Summary_Output</f>
        <v>Go to Microplanning Activity #2 (Not in Use) Detailed Cost Summary</v>
      </c>
    </row>
    <row r="127" spans="1:8" s="10" customFormat="1" x14ac:dyDescent="0.2"/>
    <row r="128" spans="1:8" s="13" customFormat="1" x14ac:dyDescent="0.2">
      <c r="A128" s="12" t="s">
        <v>127</v>
      </c>
      <c r="B128" s="13" t="str">
        <f>HL_TOP_ACTV_7_Name&amp;" "&amp;Lang_Supplies_And_Materials_Outputs</f>
        <v>Microplanning Activity #2 (Not in Use) Supplies and Materials - Outputs</v>
      </c>
    </row>
    <row r="129" spans="3:8" s="10" customFormat="1" outlineLevel="1" x14ac:dyDescent="0.2"/>
    <row r="130" spans="3:8" s="10" customFormat="1" outlineLevel="1" x14ac:dyDescent="0.2">
      <c r="C130" s="114" t="str">
        <f>HL_TOP_ACTV_7_Name</f>
        <v>Microplanning Activity #2 (Not in Use)</v>
      </c>
    </row>
    <row r="131" spans="3:8" s="10" customFormat="1" outlineLevel="1" x14ac:dyDescent="0.2">
      <c r="E131" s="86" t="str">
        <f>MICRO_Lu!$D$65&amp;" "&amp;Lang_Cost&amp;" ("&amp;MICRO_Lu!$D$46&amp;")"</f>
        <v>Financial Cost (LCU)</v>
      </c>
      <c r="F131" s="86" t="str">
        <f>MICRO_Lu!$D$66&amp;" "&amp;Lang_Cost&amp;" ("&amp;MICRO_Lu!$D$46&amp;")"</f>
        <v>Economic Cost (LCU)</v>
      </c>
      <c r="G131" s="86" t="str">
        <f>MICRO_Lu!$D$65&amp;" "&amp;Lang_Cost&amp;" ("&amp;MICRO_Lu!$D$45&amp;")"</f>
        <v>Financial Cost (USD)</v>
      </c>
      <c r="H131" s="86" t="str">
        <f>MICRO_Lu!$D$66&amp;" "&amp;Lang_Cost&amp;" ("&amp;MICRO_Lu!$D$45&amp;")"</f>
        <v>Economic Cost (USD)</v>
      </c>
    </row>
    <row r="132" spans="3:8" s="10" customFormat="1" outlineLevel="1" x14ac:dyDescent="0.2">
      <c r="D132" s="49" t="str">
        <f>MICRO_DETAILED_COST_WKSHT!D161</f>
        <v>Supplies and Materials Category 1</v>
      </c>
      <c r="E132" s="115">
        <f>IF(DD_TOP_ACTV_7_Detailed_Currency_Used=2,MICRO_DETAILED_COST_WKSHT!$F161*MICRO_DETAILED_COST_WKSHT!G161,MICRO_DETAILED_COST_WKSHT!$F161*(MICRO_DETAILED_COST_WKSHT!G161*TOP_ACTV_7_Exchange_Rate))</f>
        <v>0</v>
      </c>
      <c r="F132" s="115">
        <f>IF(DD_TOP_ACTV_7_Detailed_Currency_Used=2,MICRO_DETAILED_COST_WKSHT!$F161*MICRO_DETAILED_COST_WKSHT!H161,MICRO_DETAILED_COST_WKSHT!$F161*(MICRO_DETAILED_COST_WKSHT!H161*TOP_ACTV_7_Exchange_Rate))</f>
        <v>0</v>
      </c>
      <c r="G132" s="116">
        <f t="shared" ref="G132:G141" si="12">E132/TOP_ACTV_7_Exchange_Rate</f>
        <v>0</v>
      </c>
      <c r="H132" s="116">
        <f t="shared" ref="H132:H141" si="13">F132/TOP_ACTV_7_Exchange_Rate</f>
        <v>0</v>
      </c>
    </row>
    <row r="133" spans="3:8" s="10" customFormat="1" outlineLevel="1" x14ac:dyDescent="0.2">
      <c r="D133" s="49" t="str">
        <f>MICRO_DETAILED_COST_WKSHT!D162</f>
        <v>Supplies and Materials Category 2</v>
      </c>
      <c r="E133" s="115">
        <f>IF(DD_TOP_ACTV_7_Detailed_Currency_Used=2,MICRO_DETAILED_COST_WKSHT!$F162*MICRO_DETAILED_COST_WKSHT!G162,MICRO_DETAILED_COST_WKSHT!$F162*(MICRO_DETAILED_COST_WKSHT!G162*TOP_ACTV_7_Exchange_Rate))</f>
        <v>0</v>
      </c>
      <c r="F133" s="115">
        <f>IF(DD_TOP_ACTV_7_Detailed_Currency_Used=2,MICRO_DETAILED_COST_WKSHT!$F162*MICRO_DETAILED_COST_WKSHT!H162,MICRO_DETAILED_COST_WKSHT!$F162*(MICRO_DETAILED_COST_WKSHT!H162*TOP_ACTV_7_Exchange_Rate))</f>
        <v>0</v>
      </c>
      <c r="G133" s="116">
        <f t="shared" si="12"/>
        <v>0</v>
      </c>
      <c r="H133" s="116">
        <f t="shared" si="13"/>
        <v>0</v>
      </c>
    </row>
    <row r="134" spans="3:8" s="10" customFormat="1" outlineLevel="1" x14ac:dyDescent="0.2">
      <c r="D134" s="49" t="str">
        <f>MICRO_DETAILED_COST_WKSHT!D163</f>
        <v>Supplies and Materials Category 3</v>
      </c>
      <c r="E134" s="115">
        <f>IF(DD_TOP_ACTV_7_Detailed_Currency_Used=2,MICRO_DETAILED_COST_WKSHT!$F163*MICRO_DETAILED_COST_WKSHT!G163,MICRO_DETAILED_COST_WKSHT!$F163*(MICRO_DETAILED_COST_WKSHT!G163*TOP_ACTV_7_Exchange_Rate))</f>
        <v>0</v>
      </c>
      <c r="F134" s="115">
        <f>IF(DD_TOP_ACTV_7_Detailed_Currency_Used=2,MICRO_DETAILED_COST_WKSHT!$F163*MICRO_DETAILED_COST_WKSHT!H163,MICRO_DETAILED_COST_WKSHT!$F163*(MICRO_DETAILED_COST_WKSHT!H163*TOP_ACTV_7_Exchange_Rate))</f>
        <v>0</v>
      </c>
      <c r="G134" s="116">
        <f t="shared" si="12"/>
        <v>0</v>
      </c>
      <c r="H134" s="116">
        <f t="shared" si="13"/>
        <v>0</v>
      </c>
    </row>
    <row r="135" spans="3:8" s="10" customFormat="1" outlineLevel="1" x14ac:dyDescent="0.2">
      <c r="D135" s="49" t="str">
        <f>MICRO_DETAILED_COST_WKSHT!D164</f>
        <v>Supplies and Materials Category 4</v>
      </c>
      <c r="E135" s="115">
        <f>IF(DD_TOP_ACTV_7_Detailed_Currency_Used=2,MICRO_DETAILED_COST_WKSHT!$F164*MICRO_DETAILED_COST_WKSHT!G164,MICRO_DETAILED_COST_WKSHT!$F164*(MICRO_DETAILED_COST_WKSHT!G164*TOP_ACTV_7_Exchange_Rate))</f>
        <v>0</v>
      </c>
      <c r="F135" s="115">
        <f>IF(DD_TOP_ACTV_7_Detailed_Currency_Used=2,MICRO_DETAILED_COST_WKSHT!$F164*MICRO_DETAILED_COST_WKSHT!H164,MICRO_DETAILED_COST_WKSHT!$F164*(MICRO_DETAILED_COST_WKSHT!H164*TOP_ACTV_7_Exchange_Rate))</f>
        <v>0</v>
      </c>
      <c r="G135" s="116">
        <f t="shared" si="12"/>
        <v>0</v>
      </c>
      <c r="H135" s="116">
        <f t="shared" si="13"/>
        <v>0</v>
      </c>
    </row>
    <row r="136" spans="3:8" s="10" customFormat="1" outlineLevel="1" x14ac:dyDescent="0.2">
      <c r="D136" s="49" t="str">
        <f>MICRO_DETAILED_COST_WKSHT!D165</f>
        <v>Supplies and Materials Category 5</v>
      </c>
      <c r="E136" s="115">
        <f>IF(DD_TOP_ACTV_7_Detailed_Currency_Used=2,MICRO_DETAILED_COST_WKSHT!$F165*MICRO_DETAILED_COST_WKSHT!G165,MICRO_DETAILED_COST_WKSHT!$F165*(MICRO_DETAILED_COST_WKSHT!G165*TOP_ACTV_7_Exchange_Rate))</f>
        <v>0</v>
      </c>
      <c r="F136" s="115">
        <f>IF(DD_TOP_ACTV_7_Detailed_Currency_Used=2,MICRO_DETAILED_COST_WKSHT!$F165*MICRO_DETAILED_COST_WKSHT!H165,MICRO_DETAILED_COST_WKSHT!$F165*(MICRO_DETAILED_COST_WKSHT!H165*TOP_ACTV_7_Exchange_Rate))</f>
        <v>0</v>
      </c>
      <c r="G136" s="116">
        <f t="shared" si="12"/>
        <v>0</v>
      </c>
      <c r="H136" s="116">
        <f t="shared" si="13"/>
        <v>0</v>
      </c>
    </row>
    <row r="137" spans="3:8" s="10" customFormat="1" outlineLevel="1" x14ac:dyDescent="0.2">
      <c r="D137" s="49" t="str">
        <f>MICRO_DETAILED_COST_WKSHT!D166</f>
        <v>Supplies and Materials Category 6</v>
      </c>
      <c r="E137" s="115">
        <f>IF(DD_TOP_ACTV_7_Detailed_Currency_Used=2,MICRO_DETAILED_COST_WKSHT!$F166*MICRO_DETAILED_COST_WKSHT!G166,MICRO_DETAILED_COST_WKSHT!$F166*(MICRO_DETAILED_COST_WKSHT!G166*TOP_ACTV_7_Exchange_Rate))</f>
        <v>0</v>
      </c>
      <c r="F137" s="115">
        <f>IF(DD_TOP_ACTV_7_Detailed_Currency_Used=2,MICRO_DETAILED_COST_WKSHT!$F166*MICRO_DETAILED_COST_WKSHT!H166,MICRO_DETAILED_COST_WKSHT!$F166*(MICRO_DETAILED_COST_WKSHT!H166*TOP_ACTV_7_Exchange_Rate))</f>
        <v>0</v>
      </c>
      <c r="G137" s="116">
        <f t="shared" si="12"/>
        <v>0</v>
      </c>
      <c r="H137" s="116">
        <f t="shared" si="13"/>
        <v>0</v>
      </c>
    </row>
    <row r="138" spans="3:8" s="10" customFormat="1" outlineLevel="1" x14ac:dyDescent="0.2">
      <c r="D138" s="49" t="str">
        <f>MICRO_DETAILED_COST_WKSHT!D167</f>
        <v>Supplies and Materials Category 7</v>
      </c>
      <c r="E138" s="115">
        <f>IF(DD_TOP_ACTV_7_Detailed_Currency_Used=2,MICRO_DETAILED_COST_WKSHT!$F167*MICRO_DETAILED_COST_WKSHT!G167,MICRO_DETAILED_COST_WKSHT!$F167*(MICRO_DETAILED_COST_WKSHT!G167*TOP_ACTV_7_Exchange_Rate))</f>
        <v>0</v>
      </c>
      <c r="F138" s="115">
        <f>IF(DD_TOP_ACTV_7_Detailed_Currency_Used=2,MICRO_DETAILED_COST_WKSHT!$F167*MICRO_DETAILED_COST_WKSHT!H167,MICRO_DETAILED_COST_WKSHT!$F167*(MICRO_DETAILED_COST_WKSHT!H167*TOP_ACTV_7_Exchange_Rate))</f>
        <v>0</v>
      </c>
      <c r="G138" s="116">
        <f t="shared" si="12"/>
        <v>0</v>
      </c>
      <c r="H138" s="116">
        <f t="shared" si="13"/>
        <v>0</v>
      </c>
    </row>
    <row r="139" spans="3:8" s="10" customFormat="1" outlineLevel="1" x14ac:dyDescent="0.2">
      <c r="D139" s="49" t="str">
        <f>MICRO_DETAILED_COST_WKSHT!D168</f>
        <v>Supplies and Materials Category 8</v>
      </c>
      <c r="E139" s="115">
        <f>IF(DD_TOP_ACTV_7_Detailed_Currency_Used=2,MICRO_DETAILED_COST_WKSHT!$F168*MICRO_DETAILED_COST_WKSHT!G168,MICRO_DETAILED_COST_WKSHT!$F168*(MICRO_DETAILED_COST_WKSHT!G168*TOP_ACTV_7_Exchange_Rate))</f>
        <v>0</v>
      </c>
      <c r="F139" s="115">
        <f>IF(DD_TOP_ACTV_7_Detailed_Currency_Used=2,MICRO_DETAILED_COST_WKSHT!$F168*MICRO_DETAILED_COST_WKSHT!H168,MICRO_DETAILED_COST_WKSHT!$F168*(MICRO_DETAILED_COST_WKSHT!H168*TOP_ACTV_7_Exchange_Rate))</f>
        <v>0</v>
      </c>
      <c r="G139" s="116">
        <f t="shared" si="12"/>
        <v>0</v>
      </c>
      <c r="H139" s="116">
        <f t="shared" si="13"/>
        <v>0</v>
      </c>
    </row>
    <row r="140" spans="3:8" s="10" customFormat="1" outlineLevel="1" x14ac:dyDescent="0.2">
      <c r="D140" s="49" t="str">
        <f>MICRO_DETAILED_COST_WKSHT!D169</f>
        <v>Supplies and Materials Category 9</v>
      </c>
      <c r="E140" s="115">
        <f>IF(DD_TOP_ACTV_7_Detailed_Currency_Used=2,MICRO_DETAILED_COST_WKSHT!$F169*MICRO_DETAILED_COST_WKSHT!G169,MICRO_DETAILED_COST_WKSHT!$F169*(MICRO_DETAILED_COST_WKSHT!G169*TOP_ACTV_7_Exchange_Rate))</f>
        <v>0</v>
      </c>
      <c r="F140" s="115">
        <f>IF(DD_TOP_ACTV_7_Detailed_Currency_Used=2,MICRO_DETAILED_COST_WKSHT!$F169*MICRO_DETAILED_COST_WKSHT!H169,MICRO_DETAILED_COST_WKSHT!$F169*(MICRO_DETAILED_COST_WKSHT!H169*TOP_ACTV_7_Exchange_Rate))</f>
        <v>0</v>
      </c>
      <c r="G140" s="116">
        <f t="shared" si="12"/>
        <v>0</v>
      </c>
      <c r="H140" s="116">
        <f t="shared" si="13"/>
        <v>0</v>
      </c>
    </row>
    <row r="141" spans="3:8" s="10" customFormat="1" outlineLevel="1" x14ac:dyDescent="0.2">
      <c r="D141" s="49" t="str">
        <f>MICRO_DETAILED_COST_WKSHT!D170</f>
        <v>Supplies and Materials Category 10</v>
      </c>
      <c r="E141" s="115">
        <f>IF(DD_TOP_ACTV_7_Detailed_Currency_Used=2,MICRO_DETAILED_COST_WKSHT!$F170*MICRO_DETAILED_COST_WKSHT!G170,MICRO_DETAILED_COST_WKSHT!$F170*(MICRO_DETAILED_COST_WKSHT!G170*TOP_ACTV_7_Exchange_Rate))</f>
        <v>0</v>
      </c>
      <c r="F141" s="115">
        <f>IF(DD_TOP_ACTV_7_Detailed_Currency_Used=2,MICRO_DETAILED_COST_WKSHT!$F170*MICRO_DETAILED_COST_WKSHT!H170,MICRO_DETAILED_COST_WKSHT!$F170*(MICRO_DETAILED_COST_WKSHT!H170*TOP_ACTV_7_Exchange_Rate))</f>
        <v>0</v>
      </c>
      <c r="G141" s="116">
        <f t="shared" si="12"/>
        <v>0</v>
      </c>
      <c r="H141" s="116">
        <f t="shared" si="13"/>
        <v>0</v>
      </c>
    </row>
    <row r="142" spans="3:8" s="10" customFormat="1" outlineLevel="1" x14ac:dyDescent="0.2">
      <c r="D142" s="48" t="str">
        <f>Lang_Supplies_And_Materials</f>
        <v>Supplies and Materials</v>
      </c>
      <c r="E142" s="120">
        <f>SUM(E132:E141)</f>
        <v>0</v>
      </c>
      <c r="F142" s="120">
        <f>SUM(F132:F141)</f>
        <v>0</v>
      </c>
      <c r="G142" s="121">
        <f>SUM(G132:G141)</f>
        <v>0</v>
      </c>
      <c r="H142" s="121">
        <f>SUM(H132:H141)</f>
        <v>0</v>
      </c>
    </row>
    <row r="143" spans="3:8" s="10" customFormat="1" outlineLevel="1" x14ac:dyDescent="0.2"/>
    <row r="144" spans="3:8" s="10" customFormat="1" outlineLevel="1" x14ac:dyDescent="0.2"/>
    <row r="145" spans="1:8" s="10" customFormat="1" outlineLevel="1" x14ac:dyDescent="0.2">
      <c r="D145" s="76" t="str">
        <f>Lang_GoTo&amp;" "&amp;HL_TOP_ACTV_7_Supplies_and_Materials</f>
        <v>Go to Microplanning Activity #2 (Not in Use) - Detailed Supply and Material Cost Assumptions</v>
      </c>
    </row>
    <row r="146" spans="1:8" s="10" customFormat="1" outlineLevel="1" x14ac:dyDescent="0.2">
      <c r="D146" s="76" t="str">
        <f>Lang_GoTo&amp;" "&amp;HL_TOP_ACTV_7_Cost_Summary_Output</f>
        <v>Go to Microplanning Activity #2 (Not in Use) Detailed Cost Summary</v>
      </c>
    </row>
    <row r="147" spans="1:8" s="10" customFormat="1" x14ac:dyDescent="0.2"/>
    <row r="148" spans="1:8" s="13" customFormat="1" x14ac:dyDescent="0.2">
      <c r="A148" s="12" t="s">
        <v>127</v>
      </c>
      <c r="B148" s="13" t="str">
        <f>HL_TOP_ACTV_7_Name&amp;" "&amp;Lang_Other_Direct_Costs_Outputs</f>
        <v>Microplanning Activity #2 (Not in Use) Other Direct Costs - Outputs</v>
      </c>
    </row>
    <row r="149" spans="1:8" s="10" customFormat="1" outlineLevel="1" x14ac:dyDescent="0.2"/>
    <row r="150" spans="1:8" s="10" customFormat="1" outlineLevel="1" x14ac:dyDescent="0.2">
      <c r="C150" s="114" t="str">
        <f>HL_TOP_ACTV_7_Name</f>
        <v>Microplanning Activity #2 (Not in Use)</v>
      </c>
    </row>
    <row r="151" spans="1:8" s="10" customFormat="1" outlineLevel="1" x14ac:dyDescent="0.2">
      <c r="E151" s="86" t="str">
        <f>MICRO_Lu!$D$65&amp;" "&amp;Lang_Cost&amp;" ("&amp;MICRO_Lu!$D$46&amp;")"</f>
        <v>Financial Cost (LCU)</v>
      </c>
      <c r="F151" s="86" t="str">
        <f>MICRO_Lu!$D$66&amp;" "&amp;Lang_Cost&amp;" ("&amp;MICRO_Lu!$D$46&amp;")"</f>
        <v>Economic Cost (LCU)</v>
      </c>
      <c r="G151" s="86" t="str">
        <f>MICRO_Lu!$D$65&amp;" "&amp;Lang_Cost&amp;" ("&amp;MICRO_Lu!$D$45&amp;")"</f>
        <v>Financial Cost (USD)</v>
      </c>
      <c r="H151" s="86" t="str">
        <f>MICRO_Lu!$D$66&amp;" "&amp;Lang_Cost&amp;" ("&amp;MICRO_Lu!$D$45&amp;")"</f>
        <v>Economic Cost (USD)</v>
      </c>
    </row>
    <row r="152" spans="1:8" s="10" customFormat="1" outlineLevel="1" x14ac:dyDescent="0.2">
      <c r="D152" s="49" t="str">
        <f>MICRO_DETAILED_COST_WKSHT!D179</f>
        <v>Other Direct Costs (ODC) Category 1</v>
      </c>
      <c r="E152" s="115">
        <f>IF(DD_TOP_ACTV_7_Detailed_Currency_Used=2,MICRO_DETAILED_COST_WKSHT!$F179*MICRO_DETAILED_COST_WKSHT!G179,MICRO_DETAILED_COST_WKSHT!$F179*(MICRO_DETAILED_COST_WKSHT!G179*TOP_ACTV_7_Exchange_Rate))</f>
        <v>0</v>
      </c>
      <c r="F152" s="115">
        <f>IF(DD_TOP_ACTV_7_Detailed_Currency_Used=2,MICRO_DETAILED_COST_WKSHT!$F179*MICRO_DETAILED_COST_WKSHT!H179,MICRO_DETAILED_COST_WKSHT!$F179*(MICRO_DETAILED_COST_WKSHT!H179*TOP_ACTV_7_Exchange_Rate))</f>
        <v>0</v>
      </c>
      <c r="G152" s="116">
        <f t="shared" ref="G152:G161" si="14">E152/TOP_ACTV_7_Exchange_Rate</f>
        <v>0</v>
      </c>
      <c r="H152" s="116">
        <f t="shared" ref="H152:H161" si="15">F152/TOP_ACTV_7_Exchange_Rate</f>
        <v>0</v>
      </c>
    </row>
    <row r="153" spans="1:8" s="10" customFormat="1" outlineLevel="1" x14ac:dyDescent="0.2">
      <c r="D153" s="49" t="str">
        <f>MICRO_DETAILED_COST_WKSHT!D180</f>
        <v>Other Direct Costs (ODC) Category 2</v>
      </c>
      <c r="E153" s="115">
        <f>IF(DD_TOP_ACTV_7_Detailed_Currency_Used=2,MICRO_DETAILED_COST_WKSHT!$F180*MICRO_DETAILED_COST_WKSHT!G180,MICRO_DETAILED_COST_WKSHT!$F180*(MICRO_DETAILED_COST_WKSHT!G180*TOP_ACTV_7_Exchange_Rate))</f>
        <v>0</v>
      </c>
      <c r="F153" s="115">
        <f>IF(DD_TOP_ACTV_7_Detailed_Currency_Used=2,MICRO_DETAILED_COST_WKSHT!$F180*MICRO_DETAILED_COST_WKSHT!H180,MICRO_DETAILED_COST_WKSHT!$F180*(MICRO_DETAILED_COST_WKSHT!H180*TOP_ACTV_7_Exchange_Rate))</f>
        <v>0</v>
      </c>
      <c r="G153" s="116">
        <f t="shared" si="14"/>
        <v>0</v>
      </c>
      <c r="H153" s="116">
        <f t="shared" si="15"/>
        <v>0</v>
      </c>
    </row>
    <row r="154" spans="1:8" s="10" customFormat="1" outlineLevel="1" x14ac:dyDescent="0.2">
      <c r="D154" s="49" t="str">
        <f>MICRO_DETAILED_COST_WKSHT!D181</f>
        <v>Other Direct Costs (ODC) Category 3</v>
      </c>
      <c r="E154" s="115">
        <f>IF(DD_TOP_ACTV_7_Detailed_Currency_Used=2,MICRO_DETAILED_COST_WKSHT!$F181*MICRO_DETAILED_COST_WKSHT!G181,MICRO_DETAILED_COST_WKSHT!$F181*(MICRO_DETAILED_COST_WKSHT!G181*TOP_ACTV_7_Exchange_Rate))</f>
        <v>0</v>
      </c>
      <c r="F154" s="115">
        <f>IF(DD_TOP_ACTV_7_Detailed_Currency_Used=2,MICRO_DETAILED_COST_WKSHT!$F181*MICRO_DETAILED_COST_WKSHT!H181,MICRO_DETAILED_COST_WKSHT!$F181*(MICRO_DETAILED_COST_WKSHT!H181*TOP_ACTV_7_Exchange_Rate))</f>
        <v>0</v>
      </c>
      <c r="G154" s="116">
        <f t="shared" si="14"/>
        <v>0</v>
      </c>
      <c r="H154" s="116">
        <f t="shared" si="15"/>
        <v>0</v>
      </c>
    </row>
    <row r="155" spans="1:8" s="10" customFormat="1" outlineLevel="1" x14ac:dyDescent="0.2">
      <c r="D155" s="49" t="str">
        <f>MICRO_DETAILED_COST_WKSHT!D182</f>
        <v>Other Direct Costs (ODC) Category 4</v>
      </c>
      <c r="E155" s="115">
        <f>IF(DD_TOP_ACTV_7_Detailed_Currency_Used=2,MICRO_DETAILED_COST_WKSHT!$F182*MICRO_DETAILED_COST_WKSHT!G182,MICRO_DETAILED_COST_WKSHT!$F182*(MICRO_DETAILED_COST_WKSHT!G182*TOP_ACTV_7_Exchange_Rate))</f>
        <v>0</v>
      </c>
      <c r="F155" s="115">
        <f>IF(DD_TOP_ACTV_7_Detailed_Currency_Used=2,MICRO_DETAILED_COST_WKSHT!$F182*MICRO_DETAILED_COST_WKSHT!H182,MICRO_DETAILED_COST_WKSHT!$F182*(MICRO_DETAILED_COST_WKSHT!H182*TOP_ACTV_7_Exchange_Rate))</f>
        <v>0</v>
      </c>
      <c r="G155" s="116">
        <f t="shared" si="14"/>
        <v>0</v>
      </c>
      <c r="H155" s="116">
        <f t="shared" si="15"/>
        <v>0</v>
      </c>
    </row>
    <row r="156" spans="1:8" s="10" customFormat="1" outlineLevel="1" x14ac:dyDescent="0.2">
      <c r="D156" s="49" t="str">
        <f>MICRO_DETAILED_COST_WKSHT!D183</f>
        <v>Other Direct Costs (ODC) Category 5</v>
      </c>
      <c r="E156" s="115">
        <f>IF(DD_TOP_ACTV_7_Detailed_Currency_Used=2,MICRO_DETAILED_COST_WKSHT!$F183*MICRO_DETAILED_COST_WKSHT!G183,MICRO_DETAILED_COST_WKSHT!$F183*(MICRO_DETAILED_COST_WKSHT!G183*TOP_ACTV_7_Exchange_Rate))</f>
        <v>0</v>
      </c>
      <c r="F156" s="115">
        <f>IF(DD_TOP_ACTV_7_Detailed_Currency_Used=2,MICRO_DETAILED_COST_WKSHT!$F183*MICRO_DETAILED_COST_WKSHT!H183,MICRO_DETAILED_COST_WKSHT!$F183*(MICRO_DETAILED_COST_WKSHT!H183*TOP_ACTV_7_Exchange_Rate))</f>
        <v>0</v>
      </c>
      <c r="G156" s="116">
        <f t="shared" si="14"/>
        <v>0</v>
      </c>
      <c r="H156" s="116">
        <f t="shared" si="15"/>
        <v>0</v>
      </c>
    </row>
    <row r="157" spans="1:8" s="10" customFormat="1" outlineLevel="1" x14ac:dyDescent="0.2">
      <c r="D157" s="49" t="str">
        <f>MICRO_DETAILED_COST_WKSHT!D184</f>
        <v>Other Direct Costs (ODC) Category 6</v>
      </c>
      <c r="E157" s="115">
        <f>IF(DD_TOP_ACTV_7_Detailed_Currency_Used=2,MICRO_DETAILED_COST_WKSHT!$F184*MICRO_DETAILED_COST_WKSHT!G184,MICRO_DETAILED_COST_WKSHT!$F184*(MICRO_DETAILED_COST_WKSHT!G184*TOP_ACTV_7_Exchange_Rate))</f>
        <v>0</v>
      </c>
      <c r="F157" s="115">
        <f>IF(DD_TOP_ACTV_7_Detailed_Currency_Used=2,MICRO_DETAILED_COST_WKSHT!$F184*MICRO_DETAILED_COST_WKSHT!H184,MICRO_DETAILED_COST_WKSHT!$F184*(MICRO_DETAILED_COST_WKSHT!H184*TOP_ACTV_7_Exchange_Rate))</f>
        <v>0</v>
      </c>
      <c r="G157" s="116">
        <f t="shared" si="14"/>
        <v>0</v>
      </c>
      <c r="H157" s="116">
        <f t="shared" si="15"/>
        <v>0</v>
      </c>
    </row>
    <row r="158" spans="1:8" s="10" customFormat="1" outlineLevel="1" x14ac:dyDescent="0.2">
      <c r="D158" s="49" t="str">
        <f>MICRO_DETAILED_COST_WKSHT!D185</f>
        <v>Other Direct Costs (ODC) Category 7</v>
      </c>
      <c r="E158" s="115">
        <f>IF(DD_TOP_ACTV_7_Detailed_Currency_Used=2,MICRO_DETAILED_COST_WKSHT!$F185*MICRO_DETAILED_COST_WKSHT!G185,MICRO_DETAILED_COST_WKSHT!$F185*(MICRO_DETAILED_COST_WKSHT!G185*TOP_ACTV_7_Exchange_Rate))</f>
        <v>0</v>
      </c>
      <c r="F158" s="115">
        <f>IF(DD_TOP_ACTV_7_Detailed_Currency_Used=2,MICRO_DETAILED_COST_WKSHT!$F185*MICRO_DETAILED_COST_WKSHT!H185,MICRO_DETAILED_COST_WKSHT!$F185*(MICRO_DETAILED_COST_WKSHT!H185*TOP_ACTV_7_Exchange_Rate))</f>
        <v>0</v>
      </c>
      <c r="G158" s="116">
        <f t="shared" si="14"/>
        <v>0</v>
      </c>
      <c r="H158" s="116">
        <f t="shared" si="15"/>
        <v>0</v>
      </c>
    </row>
    <row r="159" spans="1:8" s="10" customFormat="1" outlineLevel="1" x14ac:dyDescent="0.2">
      <c r="D159" s="49" t="str">
        <f>MICRO_DETAILED_COST_WKSHT!D186</f>
        <v>Other Direct Costs (ODC) Category 8</v>
      </c>
      <c r="E159" s="115">
        <f>IF(DD_TOP_ACTV_7_Detailed_Currency_Used=2,MICRO_DETAILED_COST_WKSHT!$F186*MICRO_DETAILED_COST_WKSHT!G186,MICRO_DETAILED_COST_WKSHT!$F186*(MICRO_DETAILED_COST_WKSHT!G186*TOP_ACTV_7_Exchange_Rate))</f>
        <v>0</v>
      </c>
      <c r="F159" s="115">
        <f>IF(DD_TOP_ACTV_7_Detailed_Currency_Used=2,MICRO_DETAILED_COST_WKSHT!$F186*MICRO_DETAILED_COST_WKSHT!H186,MICRO_DETAILED_COST_WKSHT!$F186*(MICRO_DETAILED_COST_WKSHT!H186*TOP_ACTV_7_Exchange_Rate))</f>
        <v>0</v>
      </c>
      <c r="G159" s="116">
        <f t="shared" si="14"/>
        <v>0</v>
      </c>
      <c r="H159" s="116">
        <f t="shared" si="15"/>
        <v>0</v>
      </c>
    </row>
    <row r="160" spans="1:8" s="10" customFormat="1" outlineLevel="1" x14ac:dyDescent="0.2">
      <c r="D160" s="49" t="str">
        <f>MICRO_DETAILED_COST_WKSHT!D187</f>
        <v>Other Direct Costs (ODC) Category 9</v>
      </c>
      <c r="E160" s="115">
        <f>IF(DD_TOP_ACTV_7_Detailed_Currency_Used=2,MICRO_DETAILED_COST_WKSHT!$F187*MICRO_DETAILED_COST_WKSHT!G187,MICRO_DETAILED_COST_WKSHT!$F187*(MICRO_DETAILED_COST_WKSHT!G187*TOP_ACTV_7_Exchange_Rate))</f>
        <v>0</v>
      </c>
      <c r="F160" s="115">
        <f>IF(DD_TOP_ACTV_7_Detailed_Currency_Used=2,MICRO_DETAILED_COST_WKSHT!$F187*MICRO_DETAILED_COST_WKSHT!H187,MICRO_DETAILED_COST_WKSHT!$F187*(MICRO_DETAILED_COST_WKSHT!H187*TOP_ACTV_7_Exchange_Rate))</f>
        <v>0</v>
      </c>
      <c r="G160" s="116">
        <f t="shared" si="14"/>
        <v>0</v>
      </c>
      <c r="H160" s="116">
        <f t="shared" si="15"/>
        <v>0</v>
      </c>
    </row>
    <row r="161" spans="1:8" s="10" customFormat="1" outlineLevel="1" x14ac:dyDescent="0.2">
      <c r="D161" s="49" t="str">
        <f>MICRO_DETAILED_COST_WKSHT!D188</f>
        <v>Other Direct Costs (ODC) Category 10</v>
      </c>
      <c r="E161" s="115">
        <f>IF(DD_TOP_ACTV_7_Detailed_Currency_Used=2,MICRO_DETAILED_COST_WKSHT!$F188*MICRO_DETAILED_COST_WKSHT!G188,MICRO_DETAILED_COST_WKSHT!$F188*(MICRO_DETAILED_COST_WKSHT!G188*TOP_ACTV_7_Exchange_Rate))</f>
        <v>0</v>
      </c>
      <c r="F161" s="115">
        <f>IF(DD_TOP_ACTV_7_Detailed_Currency_Used=2,MICRO_DETAILED_COST_WKSHT!$F188*MICRO_DETAILED_COST_WKSHT!H188,MICRO_DETAILED_COST_WKSHT!$F188*(MICRO_DETAILED_COST_WKSHT!H188*TOP_ACTV_7_Exchange_Rate))</f>
        <v>0</v>
      </c>
      <c r="G161" s="116">
        <f t="shared" si="14"/>
        <v>0</v>
      </c>
      <c r="H161" s="116">
        <f t="shared" si="15"/>
        <v>0</v>
      </c>
    </row>
    <row r="162" spans="1:8" s="10" customFormat="1" outlineLevel="1" x14ac:dyDescent="0.2">
      <c r="D162" s="48" t="str">
        <f>Lang_Other_Direct_Costs</f>
        <v>Other Direct Costs</v>
      </c>
      <c r="E162" s="120">
        <f>SUM(E152:E161)</f>
        <v>0</v>
      </c>
      <c r="F162" s="120">
        <f>SUM(F152:F161)</f>
        <v>0</v>
      </c>
      <c r="G162" s="121">
        <f>SUM(G152:G161)</f>
        <v>0</v>
      </c>
      <c r="H162" s="121">
        <f>SUM(H152:H161)</f>
        <v>0</v>
      </c>
    </row>
    <row r="163" spans="1:8" s="10" customFormat="1" outlineLevel="1" x14ac:dyDescent="0.2"/>
    <row r="164" spans="1:8" s="10" customFormat="1" outlineLevel="1" x14ac:dyDescent="0.2">
      <c r="D164" s="76" t="str">
        <f>Lang_GoTo&amp;" "&amp;HL_TOP_ACTV_7_Other_Direct_Costs</f>
        <v>Go to Microplanning Activity #2 (Not in Use) - Detailed Other Direct Cost Assumptions</v>
      </c>
    </row>
    <row r="165" spans="1:8" s="10" customFormat="1" outlineLevel="1" x14ac:dyDescent="0.2">
      <c r="D165" s="76" t="str">
        <f>Lang_GoTo&amp;" "&amp;HL_TOP_ACTV_7_Cost_Summary_Output</f>
        <v>Go to Microplanning Activity #2 (Not in Use) Detailed Cost Summary</v>
      </c>
    </row>
    <row r="166" spans="1:8" s="10" customFormat="1" x14ac:dyDescent="0.2"/>
    <row r="167" spans="1:8" s="13" customFormat="1" x14ac:dyDescent="0.2">
      <c r="A167" s="12" t="s">
        <v>127</v>
      </c>
      <c r="B167" s="13" t="str">
        <f>C169&amp;" "&amp;Lang_Personnel_Outputs</f>
        <v>Microplanning Activity #3 (Not in Use) Personnel - Outputs</v>
      </c>
    </row>
    <row r="168" spans="1:8" s="10" customFormat="1" outlineLevel="1" x14ac:dyDescent="0.2"/>
    <row r="169" spans="1:8" s="10" customFormat="1" outlineLevel="1" x14ac:dyDescent="0.2">
      <c r="C169" s="114" t="str">
        <f>HL_LVL2_ACTV_Name</f>
        <v>Microplanning Activity #3 (Not in Use)</v>
      </c>
    </row>
    <row r="170" spans="1:8" s="10" customFormat="1" outlineLevel="1" x14ac:dyDescent="0.2">
      <c r="E170" s="86" t="str">
        <f>MICRO_Lu!$D$100&amp;" "&amp;Lang_Cost&amp;" ("&amp;MICRO_Lu!$D$81&amp;")"</f>
        <v>Financial Cost (LCU)</v>
      </c>
      <c r="F170" s="86" t="str">
        <f>MICRO_Lu!$D$101&amp;" "&amp;Lang_Cost&amp;" ("&amp;MICRO_Lu!$D$81&amp;")"</f>
        <v>Economic Cost (LCU)</v>
      </c>
      <c r="G170" s="86" t="str">
        <f>MICRO_Lu!$D$100&amp;" "&amp;Lang_Cost&amp;" ("&amp;MICRO_Lu!$D$80&amp;")"</f>
        <v>Financial Cost (USD)</v>
      </c>
      <c r="H170" s="86" t="str">
        <f>MICRO_Lu!$D$101&amp;" "&amp;Lang_Cost&amp;" ("&amp;MICRO_Lu!$D$80&amp;")"</f>
        <v>Economic Cost (USD)</v>
      </c>
    </row>
    <row r="171" spans="1:8" s="10" customFormat="1" outlineLevel="1" x14ac:dyDescent="0.2">
      <c r="D171" s="49" t="str">
        <f>MICRO_DETAILED_COST_WKSHT!D219</f>
        <v>Personnel Category 1</v>
      </c>
      <c r="E171" s="115">
        <f>IF(DD_LVL2_ACTV_Currency_Selected=2,MICRO_DETAILED_COST_WKSHT!$F219*MICRO_DETAILED_COST_WKSHT!G219,MICRO_DETAILED_COST_WKSHT!$F219*(MICRO_DETAILED_COST_WKSHT!G219*LVL2_ACTV_Exchange_Rate))</f>
        <v>0</v>
      </c>
      <c r="F171" s="115">
        <f>IF(DD_LVL2_ACTV_Currency_Selected=2,MICRO_DETAILED_COST_WKSHT!$F219*MICRO_DETAILED_COST_WKSHT!H219,MICRO_DETAILED_COST_WKSHT!$F219*(MICRO_DETAILED_COST_WKSHT!H219*LVL2_ACTV_Exchange_Rate))</f>
        <v>0</v>
      </c>
      <c r="G171" s="116">
        <f t="shared" ref="G171:G185" si="16">IFERROR(E171/LVL2_ACTV_Exchange_Rate,0)</f>
        <v>0</v>
      </c>
      <c r="H171" s="116">
        <f t="shared" ref="H171:H185" si="17">IFERROR(F171/LVL2_ACTV_Exchange_Rate,0)</f>
        <v>0</v>
      </c>
    </row>
    <row r="172" spans="1:8" s="10" customFormat="1" outlineLevel="1" x14ac:dyDescent="0.2">
      <c r="D172" s="49" t="str">
        <f>MICRO_DETAILED_COST_WKSHT!D220</f>
        <v>Personnel Category 2</v>
      </c>
      <c r="E172" s="115">
        <f>IF(DD_LVL2_ACTV_Currency_Selected=2,MICRO_DETAILED_COST_WKSHT!$F220*MICRO_DETAILED_COST_WKSHT!G220,MICRO_DETAILED_COST_WKSHT!$F220*(MICRO_DETAILED_COST_WKSHT!G220*LVL2_ACTV_Exchange_Rate))</f>
        <v>0</v>
      </c>
      <c r="F172" s="115">
        <f>IF(DD_LVL2_ACTV_Currency_Selected=2,MICRO_DETAILED_COST_WKSHT!$F220*MICRO_DETAILED_COST_WKSHT!H220,MICRO_DETAILED_COST_WKSHT!$F220*(MICRO_DETAILED_COST_WKSHT!H220*LVL2_ACTV_Exchange_Rate))</f>
        <v>0</v>
      </c>
      <c r="G172" s="116">
        <f t="shared" si="16"/>
        <v>0</v>
      </c>
      <c r="H172" s="116">
        <f t="shared" si="17"/>
        <v>0</v>
      </c>
    </row>
    <row r="173" spans="1:8" s="10" customFormat="1" outlineLevel="1" x14ac:dyDescent="0.2">
      <c r="D173" s="49" t="str">
        <f>MICRO_DETAILED_COST_WKSHT!D221</f>
        <v>Personnel Category 3</v>
      </c>
      <c r="E173" s="115">
        <f>IF(DD_LVL2_ACTV_Currency_Selected=2,MICRO_DETAILED_COST_WKSHT!$F221*MICRO_DETAILED_COST_WKSHT!G221,MICRO_DETAILED_COST_WKSHT!$F221*(MICRO_DETAILED_COST_WKSHT!G221*LVL2_ACTV_Exchange_Rate))</f>
        <v>0</v>
      </c>
      <c r="F173" s="115">
        <f>IF(DD_LVL2_ACTV_Currency_Selected=2,MICRO_DETAILED_COST_WKSHT!$F221*MICRO_DETAILED_COST_WKSHT!H221,MICRO_DETAILED_COST_WKSHT!$F221*(MICRO_DETAILED_COST_WKSHT!H221*LVL2_ACTV_Exchange_Rate))</f>
        <v>0</v>
      </c>
      <c r="G173" s="116">
        <f t="shared" si="16"/>
        <v>0</v>
      </c>
      <c r="H173" s="116">
        <f t="shared" si="17"/>
        <v>0</v>
      </c>
    </row>
    <row r="174" spans="1:8" s="10" customFormat="1" outlineLevel="1" x14ac:dyDescent="0.2">
      <c r="D174" s="49" t="str">
        <f>MICRO_DETAILED_COST_WKSHT!D222</f>
        <v>Personnel Category 4</v>
      </c>
      <c r="E174" s="115">
        <f>IF(DD_LVL2_ACTV_Currency_Selected=2,MICRO_DETAILED_COST_WKSHT!$F222*MICRO_DETAILED_COST_WKSHT!G222,MICRO_DETAILED_COST_WKSHT!$F222*(MICRO_DETAILED_COST_WKSHT!G222*LVL2_ACTV_Exchange_Rate))</f>
        <v>0</v>
      </c>
      <c r="F174" s="115">
        <f>IF(DD_LVL2_ACTV_Currency_Selected=2,MICRO_DETAILED_COST_WKSHT!$F222*MICRO_DETAILED_COST_WKSHT!H222,MICRO_DETAILED_COST_WKSHT!$F222*(MICRO_DETAILED_COST_WKSHT!H222*LVL2_ACTV_Exchange_Rate))</f>
        <v>0</v>
      </c>
      <c r="G174" s="116">
        <f t="shared" si="16"/>
        <v>0</v>
      </c>
      <c r="H174" s="116">
        <f t="shared" si="17"/>
        <v>0</v>
      </c>
    </row>
    <row r="175" spans="1:8" s="10" customFormat="1" outlineLevel="1" x14ac:dyDescent="0.2">
      <c r="D175" s="49" t="str">
        <f>MICRO_DETAILED_COST_WKSHT!D223</f>
        <v>Personnel Category 5</v>
      </c>
      <c r="E175" s="115">
        <f>IF(DD_LVL2_ACTV_Currency_Selected=2,MICRO_DETAILED_COST_WKSHT!$F223*MICRO_DETAILED_COST_WKSHT!G223,MICRO_DETAILED_COST_WKSHT!$F223*(MICRO_DETAILED_COST_WKSHT!G223*LVL2_ACTV_Exchange_Rate))</f>
        <v>0</v>
      </c>
      <c r="F175" s="115">
        <f>IF(DD_LVL2_ACTV_Currency_Selected=2,MICRO_DETAILED_COST_WKSHT!$F223*MICRO_DETAILED_COST_WKSHT!H223,MICRO_DETAILED_COST_WKSHT!$F223*(MICRO_DETAILED_COST_WKSHT!H223*LVL2_ACTV_Exchange_Rate))</f>
        <v>0</v>
      </c>
      <c r="G175" s="116">
        <f t="shared" si="16"/>
        <v>0</v>
      </c>
      <c r="H175" s="116">
        <f t="shared" si="17"/>
        <v>0</v>
      </c>
    </row>
    <row r="176" spans="1:8" s="10" customFormat="1" outlineLevel="1" x14ac:dyDescent="0.2">
      <c r="D176" s="49" t="str">
        <f>MICRO_DETAILED_COST_WKSHT!D224</f>
        <v>Personnel Category 6</v>
      </c>
      <c r="E176" s="115">
        <f>IF(DD_LVL2_ACTV_Currency_Selected=2,MICRO_DETAILED_COST_WKSHT!$F224*MICRO_DETAILED_COST_WKSHT!G224,MICRO_DETAILED_COST_WKSHT!$F224*(MICRO_DETAILED_COST_WKSHT!G224*LVL2_ACTV_Exchange_Rate))</f>
        <v>0</v>
      </c>
      <c r="F176" s="115">
        <f>IF(DD_LVL2_ACTV_Currency_Selected=2,MICRO_DETAILED_COST_WKSHT!$F224*MICRO_DETAILED_COST_WKSHT!H224,MICRO_DETAILED_COST_WKSHT!$F224*(MICRO_DETAILED_COST_WKSHT!H224*LVL2_ACTV_Exchange_Rate))</f>
        <v>0</v>
      </c>
      <c r="G176" s="116">
        <f t="shared" si="16"/>
        <v>0</v>
      </c>
      <c r="H176" s="116">
        <f t="shared" si="17"/>
        <v>0</v>
      </c>
    </row>
    <row r="177" spans="1:8" s="10" customFormat="1" outlineLevel="1" x14ac:dyDescent="0.2">
      <c r="D177" s="49" t="str">
        <f>MICRO_DETAILED_COST_WKSHT!D225</f>
        <v>Personnel Category 7</v>
      </c>
      <c r="E177" s="115">
        <f>IF(DD_LVL2_ACTV_Currency_Selected=2,MICRO_DETAILED_COST_WKSHT!$F225*MICRO_DETAILED_COST_WKSHT!G225,MICRO_DETAILED_COST_WKSHT!$F225*(MICRO_DETAILED_COST_WKSHT!G225*LVL2_ACTV_Exchange_Rate))</f>
        <v>0</v>
      </c>
      <c r="F177" s="115">
        <f>IF(DD_LVL2_ACTV_Currency_Selected=2,MICRO_DETAILED_COST_WKSHT!$F225*MICRO_DETAILED_COST_WKSHT!H225,MICRO_DETAILED_COST_WKSHT!$F225*(MICRO_DETAILED_COST_WKSHT!H225*LVL2_ACTV_Exchange_Rate))</f>
        <v>0</v>
      </c>
      <c r="G177" s="116">
        <f t="shared" si="16"/>
        <v>0</v>
      </c>
      <c r="H177" s="116">
        <f t="shared" si="17"/>
        <v>0</v>
      </c>
    </row>
    <row r="178" spans="1:8" s="10" customFormat="1" outlineLevel="1" x14ac:dyDescent="0.2">
      <c r="D178" s="49" t="str">
        <f>MICRO_DETAILED_COST_WKSHT!D226</f>
        <v>Personnel Category 8</v>
      </c>
      <c r="E178" s="115">
        <f>IF(DD_LVL2_ACTV_Currency_Selected=2,MICRO_DETAILED_COST_WKSHT!$F226*MICRO_DETAILED_COST_WKSHT!G226,MICRO_DETAILED_COST_WKSHT!$F226*(MICRO_DETAILED_COST_WKSHT!G226*LVL2_ACTV_Exchange_Rate))</f>
        <v>0</v>
      </c>
      <c r="F178" s="115">
        <f>IF(DD_LVL2_ACTV_Currency_Selected=2,MICRO_DETAILED_COST_WKSHT!$F226*MICRO_DETAILED_COST_WKSHT!H226,MICRO_DETAILED_COST_WKSHT!$F226*(MICRO_DETAILED_COST_WKSHT!H226*LVL2_ACTV_Exchange_Rate))</f>
        <v>0</v>
      </c>
      <c r="G178" s="116">
        <f t="shared" si="16"/>
        <v>0</v>
      </c>
      <c r="H178" s="116">
        <f t="shared" si="17"/>
        <v>0</v>
      </c>
    </row>
    <row r="179" spans="1:8" s="10" customFormat="1" outlineLevel="1" x14ac:dyDescent="0.2">
      <c r="D179" s="49" t="str">
        <f>MICRO_DETAILED_COST_WKSHT!D227</f>
        <v>Personnel Category 9</v>
      </c>
      <c r="E179" s="115">
        <f>IF(DD_LVL2_ACTV_Currency_Selected=2,MICRO_DETAILED_COST_WKSHT!$F227*MICRO_DETAILED_COST_WKSHT!G227,MICRO_DETAILED_COST_WKSHT!$F227*(MICRO_DETAILED_COST_WKSHT!G227*LVL2_ACTV_Exchange_Rate))</f>
        <v>0</v>
      </c>
      <c r="F179" s="115">
        <f>IF(DD_LVL2_ACTV_Currency_Selected=2,MICRO_DETAILED_COST_WKSHT!$F227*MICRO_DETAILED_COST_WKSHT!H227,MICRO_DETAILED_COST_WKSHT!$F227*(MICRO_DETAILED_COST_WKSHT!H227*LVL2_ACTV_Exchange_Rate))</f>
        <v>0</v>
      </c>
      <c r="G179" s="116">
        <f t="shared" si="16"/>
        <v>0</v>
      </c>
      <c r="H179" s="116">
        <f t="shared" si="17"/>
        <v>0</v>
      </c>
    </row>
    <row r="180" spans="1:8" s="10" customFormat="1" outlineLevel="1" x14ac:dyDescent="0.2">
      <c r="D180" s="49" t="str">
        <f>MICRO_DETAILED_COST_WKSHT!D228</f>
        <v>Personnel Category 10</v>
      </c>
      <c r="E180" s="115">
        <f>IF(DD_LVL2_ACTV_Currency_Selected=2,MICRO_DETAILED_COST_WKSHT!$F228*MICRO_DETAILED_COST_WKSHT!G228,MICRO_DETAILED_COST_WKSHT!$F228*(MICRO_DETAILED_COST_WKSHT!G228*LVL2_ACTV_Exchange_Rate))</f>
        <v>0</v>
      </c>
      <c r="F180" s="115">
        <f>IF(DD_LVL2_ACTV_Currency_Selected=2,MICRO_DETAILED_COST_WKSHT!$F228*MICRO_DETAILED_COST_WKSHT!H228,MICRO_DETAILED_COST_WKSHT!$F228*(MICRO_DETAILED_COST_WKSHT!H228*LVL2_ACTV_Exchange_Rate))</f>
        <v>0</v>
      </c>
      <c r="G180" s="116">
        <f t="shared" si="16"/>
        <v>0</v>
      </c>
      <c r="H180" s="116">
        <f t="shared" si="17"/>
        <v>0</v>
      </c>
    </row>
    <row r="181" spans="1:8" s="10" customFormat="1" outlineLevel="1" x14ac:dyDescent="0.2">
      <c r="D181" s="49" t="str">
        <f>MICRO_DETAILED_COST_WKSHT!D229</f>
        <v>Personnel Category 11</v>
      </c>
      <c r="E181" s="115">
        <f>IF(DD_LVL2_ACTV_Currency_Selected=2,MICRO_DETAILED_COST_WKSHT!$F229*MICRO_DETAILED_COST_WKSHT!G229,MICRO_DETAILED_COST_WKSHT!$F229*(MICRO_DETAILED_COST_WKSHT!G229*LVL2_ACTV_Exchange_Rate))</f>
        <v>0</v>
      </c>
      <c r="F181" s="115">
        <f>IF(DD_LVL2_ACTV_Currency_Selected=2,MICRO_DETAILED_COST_WKSHT!$F229*MICRO_DETAILED_COST_WKSHT!H229,MICRO_DETAILED_COST_WKSHT!$F229*(MICRO_DETAILED_COST_WKSHT!H229*LVL2_ACTV_Exchange_Rate))</f>
        <v>0</v>
      </c>
      <c r="G181" s="116">
        <f t="shared" si="16"/>
        <v>0</v>
      </c>
      <c r="H181" s="116">
        <f t="shared" si="17"/>
        <v>0</v>
      </c>
    </row>
    <row r="182" spans="1:8" s="10" customFormat="1" outlineLevel="1" x14ac:dyDescent="0.2">
      <c r="D182" s="49" t="str">
        <f>MICRO_DETAILED_COST_WKSHT!D230</f>
        <v>Personnel Category 12</v>
      </c>
      <c r="E182" s="115">
        <f>IF(DD_LVL2_ACTV_Currency_Selected=2,MICRO_DETAILED_COST_WKSHT!$F230*MICRO_DETAILED_COST_WKSHT!G230,MICRO_DETAILED_COST_WKSHT!$F230*(MICRO_DETAILED_COST_WKSHT!G230*LVL2_ACTV_Exchange_Rate))</f>
        <v>0</v>
      </c>
      <c r="F182" s="115">
        <f>IF(DD_LVL2_ACTV_Currency_Selected=2,MICRO_DETAILED_COST_WKSHT!$F230*MICRO_DETAILED_COST_WKSHT!H230,MICRO_DETAILED_COST_WKSHT!$F230*(MICRO_DETAILED_COST_WKSHT!H230*LVL2_ACTV_Exchange_Rate))</f>
        <v>0</v>
      </c>
      <c r="G182" s="116">
        <f t="shared" si="16"/>
        <v>0</v>
      </c>
      <c r="H182" s="116">
        <f t="shared" si="17"/>
        <v>0</v>
      </c>
    </row>
    <row r="183" spans="1:8" s="10" customFormat="1" outlineLevel="1" x14ac:dyDescent="0.2">
      <c r="D183" s="49" t="str">
        <f>MICRO_DETAILED_COST_WKSHT!D231</f>
        <v>Personnel Category 13</v>
      </c>
      <c r="E183" s="115">
        <f>IF(DD_LVL2_ACTV_Currency_Selected=2,MICRO_DETAILED_COST_WKSHT!$F231*MICRO_DETAILED_COST_WKSHT!G231,MICRO_DETAILED_COST_WKSHT!$F231*(MICRO_DETAILED_COST_WKSHT!G231*LVL2_ACTV_Exchange_Rate))</f>
        <v>0</v>
      </c>
      <c r="F183" s="115">
        <f>IF(DD_LVL2_ACTV_Currency_Selected=2,MICRO_DETAILED_COST_WKSHT!$F231*MICRO_DETAILED_COST_WKSHT!H231,MICRO_DETAILED_COST_WKSHT!$F231*(MICRO_DETAILED_COST_WKSHT!H231*LVL2_ACTV_Exchange_Rate))</f>
        <v>0</v>
      </c>
      <c r="G183" s="116">
        <f t="shared" si="16"/>
        <v>0</v>
      </c>
      <c r="H183" s="116">
        <f t="shared" si="17"/>
        <v>0</v>
      </c>
    </row>
    <row r="184" spans="1:8" s="10" customFormat="1" outlineLevel="1" x14ac:dyDescent="0.2">
      <c r="D184" s="49" t="str">
        <f>MICRO_DETAILED_COST_WKSHT!D232</f>
        <v>Personnel Category 14</v>
      </c>
      <c r="E184" s="115">
        <f>IF(DD_LVL2_ACTV_Currency_Selected=2,MICRO_DETAILED_COST_WKSHT!$F232*MICRO_DETAILED_COST_WKSHT!G232,MICRO_DETAILED_COST_WKSHT!$F232*(MICRO_DETAILED_COST_WKSHT!G232*LVL2_ACTV_Exchange_Rate))</f>
        <v>0</v>
      </c>
      <c r="F184" s="115">
        <f>IF(DD_LVL2_ACTV_Currency_Selected=2,MICRO_DETAILED_COST_WKSHT!$F232*MICRO_DETAILED_COST_WKSHT!H232,MICRO_DETAILED_COST_WKSHT!$F232*(MICRO_DETAILED_COST_WKSHT!H232*LVL2_ACTV_Exchange_Rate))</f>
        <v>0</v>
      </c>
      <c r="G184" s="116">
        <f t="shared" si="16"/>
        <v>0</v>
      </c>
      <c r="H184" s="116">
        <f t="shared" si="17"/>
        <v>0</v>
      </c>
    </row>
    <row r="185" spans="1:8" s="10" customFormat="1" outlineLevel="1" x14ac:dyDescent="0.2">
      <c r="D185" s="49" t="str">
        <f>MICRO_DETAILED_COST_WKSHT!D233</f>
        <v>Personnel Category 15</v>
      </c>
      <c r="E185" s="115">
        <f>IF(DD_LVL2_ACTV_Currency_Selected=2,MICRO_DETAILED_COST_WKSHT!$F233*MICRO_DETAILED_COST_WKSHT!G233,MICRO_DETAILED_COST_WKSHT!$F233*(MICRO_DETAILED_COST_WKSHT!G233*LVL2_ACTV_Exchange_Rate))</f>
        <v>0</v>
      </c>
      <c r="F185" s="115">
        <f>IF(DD_LVL2_ACTV_Currency_Selected=2,MICRO_DETAILED_COST_WKSHT!$F233*MICRO_DETAILED_COST_WKSHT!H233,MICRO_DETAILED_COST_WKSHT!$F233*(MICRO_DETAILED_COST_WKSHT!H233*LVL2_ACTV_Exchange_Rate))</f>
        <v>0</v>
      </c>
      <c r="G185" s="116">
        <f t="shared" si="16"/>
        <v>0</v>
      </c>
      <c r="H185" s="116">
        <f t="shared" si="17"/>
        <v>0</v>
      </c>
    </row>
    <row r="186" spans="1:8" s="10" customFormat="1" outlineLevel="1" x14ac:dyDescent="0.2">
      <c r="D186" s="48" t="str">
        <f>Lang_Personnel</f>
        <v>Personnel</v>
      </c>
      <c r="E186" s="120">
        <f>SUM(E171:E185)</f>
        <v>0</v>
      </c>
      <c r="F186" s="120">
        <f>SUM(F171:F185)</f>
        <v>0</v>
      </c>
      <c r="G186" s="121">
        <f>SUM(G171:G185)</f>
        <v>0</v>
      </c>
      <c r="H186" s="121">
        <f>SUM(H171:H185)</f>
        <v>0</v>
      </c>
    </row>
    <row r="187" spans="1:8" s="10" customFormat="1" outlineLevel="1" x14ac:dyDescent="0.2"/>
    <row r="188" spans="1:8" s="10" customFormat="1" outlineLevel="1" x14ac:dyDescent="0.2"/>
    <row r="189" spans="1:8" s="10" customFormat="1" outlineLevel="1" x14ac:dyDescent="0.2">
      <c r="D189" s="76" t="str">
        <f>Lang_GoTo&amp;" "&amp;HL_LVL2_ACTV_Personnel_Assumptions</f>
        <v>Go to Microplanning Activity #3 (Not in Use) - Detailed Personnel Cost Assumptions</v>
      </c>
    </row>
    <row r="190" spans="1:8" s="10" customFormat="1" outlineLevel="1" x14ac:dyDescent="0.2">
      <c r="D190" s="76" t="str">
        <f>Lang_GoTo&amp;" "&amp;HL_LVL2_ACTV_Cost_Summary_Output</f>
        <v>Go to Microplanning Activity #3 (Not in Use) Detailed Cost Summary</v>
      </c>
    </row>
    <row r="191" spans="1:8" s="10" customFormat="1" x14ac:dyDescent="0.2"/>
    <row r="192" spans="1:8" s="13" customFormat="1" x14ac:dyDescent="0.2">
      <c r="A192" s="12" t="s">
        <v>127</v>
      </c>
      <c r="B192" s="13" t="str">
        <f>C194&amp;" "&amp;Lang_Allowances_Outputs</f>
        <v>Microplanning Activity #3 (Not in Use) Allowances - Outputs</v>
      </c>
    </row>
    <row r="193" spans="3:8" s="10" customFormat="1" outlineLevel="1" x14ac:dyDescent="0.2"/>
    <row r="194" spans="3:8" s="10" customFormat="1" outlineLevel="1" x14ac:dyDescent="0.2">
      <c r="C194" s="114" t="str">
        <f>HL_LVL2_ACTV_Name</f>
        <v>Microplanning Activity #3 (Not in Use)</v>
      </c>
    </row>
    <row r="195" spans="3:8" s="10" customFormat="1" outlineLevel="1" x14ac:dyDescent="0.2">
      <c r="E195" s="86" t="str">
        <f>MICRO_Lu!$D$100&amp;" "&amp;Lang_Cost&amp;" ("&amp;MICRO_Lu!$D$81&amp;")"</f>
        <v>Financial Cost (LCU)</v>
      </c>
      <c r="F195" s="86" t="str">
        <f>MICRO_Lu!$D$101&amp;" "&amp;Lang_Cost&amp;" ("&amp;MICRO_Lu!$D$81&amp;")"</f>
        <v>Economic Cost (LCU)</v>
      </c>
      <c r="G195" s="86" t="str">
        <f>MICRO_Lu!$D$100&amp;" "&amp;Lang_Cost&amp;" ("&amp;MICRO_Lu!$D$80&amp;")"</f>
        <v>Financial Cost (USD)</v>
      </c>
      <c r="H195" s="86" t="str">
        <f>MICRO_Lu!$D$101&amp;" "&amp;Lang_Cost&amp;" ("&amp;MICRO_Lu!$D$80&amp;")"</f>
        <v>Economic Cost (USD)</v>
      </c>
    </row>
    <row r="196" spans="3:8" s="10" customFormat="1" outlineLevel="1" x14ac:dyDescent="0.2">
      <c r="D196" s="49" t="str">
        <f>MICRO_DETAILED_COST_WKSHT!D242</f>
        <v>Allowances Category 1</v>
      </c>
      <c r="E196" s="115">
        <f>IF(DD_LVL2_ACTV_Currency_Selected=2,MICRO_DETAILED_COST_WKSHT!$F242*MICRO_DETAILED_COST_WKSHT!G242,MICRO_DETAILED_COST_WKSHT!$F242*(MICRO_DETAILED_COST_WKSHT!G242*LVL2_ACTV_Exchange_Rate))</f>
        <v>0</v>
      </c>
      <c r="F196" s="115">
        <f>IF(DD_LVL2_ACTV_Currency_Selected=2,MICRO_DETAILED_COST_WKSHT!$F242*MICRO_DETAILED_COST_WKSHT!H242,MICRO_DETAILED_COST_WKSHT!$F242*(MICRO_DETAILED_COST_WKSHT!H242*LVL2_ACTV_Exchange_Rate))</f>
        <v>0</v>
      </c>
      <c r="G196" s="116">
        <f t="shared" ref="G196:G205" si="18">E196/LVL2_ACTV_Exchange_Rate</f>
        <v>0</v>
      </c>
      <c r="H196" s="116">
        <f t="shared" ref="H196:H205" si="19">F196/LVL2_ACTV_Exchange_Rate</f>
        <v>0</v>
      </c>
    </row>
    <row r="197" spans="3:8" s="10" customFormat="1" outlineLevel="1" x14ac:dyDescent="0.2">
      <c r="D197" s="49" t="str">
        <f>MICRO_DETAILED_COST_WKSHT!D243</f>
        <v>Allowances Category 2</v>
      </c>
      <c r="E197" s="115">
        <f>IF(DD_LVL2_ACTV_Currency_Selected=2,MICRO_DETAILED_COST_WKSHT!$F243*MICRO_DETAILED_COST_WKSHT!G243,MICRO_DETAILED_COST_WKSHT!$F243*(MICRO_DETAILED_COST_WKSHT!G243*LVL2_ACTV_Exchange_Rate))</f>
        <v>0</v>
      </c>
      <c r="F197" s="115">
        <f>IF(DD_LVL2_ACTV_Currency_Selected=2,MICRO_DETAILED_COST_WKSHT!$F243*MICRO_DETAILED_COST_WKSHT!H243,MICRO_DETAILED_COST_WKSHT!$F243*(MICRO_DETAILED_COST_WKSHT!H243*LVL2_ACTV_Exchange_Rate))</f>
        <v>0</v>
      </c>
      <c r="G197" s="116">
        <f t="shared" si="18"/>
        <v>0</v>
      </c>
      <c r="H197" s="116">
        <f t="shared" si="19"/>
        <v>0</v>
      </c>
    </row>
    <row r="198" spans="3:8" s="10" customFormat="1" outlineLevel="1" x14ac:dyDescent="0.2">
      <c r="D198" s="49" t="str">
        <f>MICRO_DETAILED_COST_WKSHT!D244</f>
        <v>Allowances Category 3</v>
      </c>
      <c r="E198" s="115">
        <f>IF(DD_LVL2_ACTV_Currency_Selected=2,MICRO_DETAILED_COST_WKSHT!$F244*MICRO_DETAILED_COST_WKSHT!G244,MICRO_DETAILED_COST_WKSHT!$F244*(MICRO_DETAILED_COST_WKSHT!G244*LVL2_ACTV_Exchange_Rate))</f>
        <v>0</v>
      </c>
      <c r="F198" s="115">
        <f>IF(DD_LVL2_ACTV_Currency_Selected=2,MICRO_DETAILED_COST_WKSHT!$F244*MICRO_DETAILED_COST_WKSHT!H244,MICRO_DETAILED_COST_WKSHT!$F244*(MICRO_DETAILED_COST_WKSHT!H244*LVL2_ACTV_Exchange_Rate))</f>
        <v>0</v>
      </c>
      <c r="G198" s="116">
        <f t="shared" si="18"/>
        <v>0</v>
      </c>
      <c r="H198" s="116">
        <f t="shared" si="19"/>
        <v>0</v>
      </c>
    </row>
    <row r="199" spans="3:8" s="10" customFormat="1" outlineLevel="1" x14ac:dyDescent="0.2">
      <c r="D199" s="49" t="str">
        <f>MICRO_DETAILED_COST_WKSHT!D245</f>
        <v>Allowances Category 4</v>
      </c>
      <c r="E199" s="115">
        <f>IF(DD_LVL2_ACTV_Currency_Selected=2,MICRO_DETAILED_COST_WKSHT!$F245*MICRO_DETAILED_COST_WKSHT!G245,MICRO_DETAILED_COST_WKSHT!$F245*(MICRO_DETAILED_COST_WKSHT!G245*LVL2_ACTV_Exchange_Rate))</f>
        <v>0</v>
      </c>
      <c r="F199" s="115">
        <f>IF(DD_LVL2_ACTV_Currency_Selected=2,MICRO_DETAILED_COST_WKSHT!$F245*MICRO_DETAILED_COST_WKSHT!H245,MICRO_DETAILED_COST_WKSHT!$F245*(MICRO_DETAILED_COST_WKSHT!H245*LVL2_ACTV_Exchange_Rate))</f>
        <v>0</v>
      </c>
      <c r="G199" s="116">
        <f t="shared" si="18"/>
        <v>0</v>
      </c>
      <c r="H199" s="116">
        <f t="shared" si="19"/>
        <v>0</v>
      </c>
    </row>
    <row r="200" spans="3:8" s="10" customFormat="1" outlineLevel="1" x14ac:dyDescent="0.2">
      <c r="D200" s="49" t="str">
        <f>MICRO_DETAILED_COST_WKSHT!D246</f>
        <v>Allowances Category 5</v>
      </c>
      <c r="E200" s="115">
        <f>IF(DD_LVL2_ACTV_Currency_Selected=2,MICRO_DETAILED_COST_WKSHT!$F246*MICRO_DETAILED_COST_WKSHT!G246,MICRO_DETAILED_COST_WKSHT!$F246*(MICRO_DETAILED_COST_WKSHT!G246*LVL2_ACTV_Exchange_Rate))</f>
        <v>0</v>
      </c>
      <c r="F200" s="115">
        <f>IF(DD_LVL2_ACTV_Currency_Selected=2,MICRO_DETAILED_COST_WKSHT!$F246*MICRO_DETAILED_COST_WKSHT!H246,MICRO_DETAILED_COST_WKSHT!$F246*(MICRO_DETAILED_COST_WKSHT!H246*LVL2_ACTV_Exchange_Rate))</f>
        <v>0</v>
      </c>
      <c r="G200" s="116">
        <f t="shared" si="18"/>
        <v>0</v>
      </c>
      <c r="H200" s="116">
        <f t="shared" si="19"/>
        <v>0</v>
      </c>
    </row>
    <row r="201" spans="3:8" s="10" customFormat="1" outlineLevel="1" x14ac:dyDescent="0.2">
      <c r="D201" s="49" t="str">
        <f>MICRO_DETAILED_COST_WKSHT!D247</f>
        <v>Allowances Category 6</v>
      </c>
      <c r="E201" s="115">
        <f>IF(DD_LVL2_ACTV_Currency_Selected=2,MICRO_DETAILED_COST_WKSHT!$F247*MICRO_DETAILED_COST_WKSHT!G247,MICRO_DETAILED_COST_WKSHT!$F247*(MICRO_DETAILED_COST_WKSHT!G247*LVL2_ACTV_Exchange_Rate))</f>
        <v>0</v>
      </c>
      <c r="F201" s="115">
        <f>IF(DD_LVL2_ACTV_Currency_Selected=2,MICRO_DETAILED_COST_WKSHT!$F247*MICRO_DETAILED_COST_WKSHT!H247,MICRO_DETAILED_COST_WKSHT!$F247*(MICRO_DETAILED_COST_WKSHT!H247*LVL2_ACTV_Exchange_Rate))</f>
        <v>0</v>
      </c>
      <c r="G201" s="116">
        <f t="shared" si="18"/>
        <v>0</v>
      </c>
      <c r="H201" s="116">
        <f t="shared" si="19"/>
        <v>0</v>
      </c>
    </row>
    <row r="202" spans="3:8" s="10" customFormat="1" outlineLevel="1" x14ac:dyDescent="0.2">
      <c r="D202" s="49" t="str">
        <f>MICRO_DETAILED_COST_WKSHT!D248</f>
        <v>Allowances Category 7</v>
      </c>
      <c r="E202" s="115">
        <f>IF(DD_LVL2_ACTV_Currency_Selected=2,MICRO_DETAILED_COST_WKSHT!$F248*MICRO_DETAILED_COST_WKSHT!G248,MICRO_DETAILED_COST_WKSHT!$F248*(MICRO_DETAILED_COST_WKSHT!G248*LVL2_ACTV_Exchange_Rate))</f>
        <v>0</v>
      </c>
      <c r="F202" s="115">
        <f>IF(DD_LVL2_ACTV_Currency_Selected=2,MICRO_DETAILED_COST_WKSHT!$F248*MICRO_DETAILED_COST_WKSHT!H248,MICRO_DETAILED_COST_WKSHT!$F248*(MICRO_DETAILED_COST_WKSHT!H248*LVL2_ACTV_Exchange_Rate))</f>
        <v>0</v>
      </c>
      <c r="G202" s="116">
        <f t="shared" si="18"/>
        <v>0</v>
      </c>
      <c r="H202" s="116">
        <f t="shared" si="19"/>
        <v>0</v>
      </c>
    </row>
    <row r="203" spans="3:8" s="10" customFormat="1" outlineLevel="1" x14ac:dyDescent="0.2">
      <c r="D203" s="49" t="str">
        <f>MICRO_DETAILED_COST_WKSHT!D249</f>
        <v>Allowances Category 8</v>
      </c>
      <c r="E203" s="115">
        <f>IF(DD_LVL2_ACTV_Currency_Selected=2,MICRO_DETAILED_COST_WKSHT!$F249*MICRO_DETAILED_COST_WKSHT!G249,MICRO_DETAILED_COST_WKSHT!$F249*(MICRO_DETAILED_COST_WKSHT!G249*LVL2_ACTV_Exchange_Rate))</f>
        <v>0</v>
      </c>
      <c r="F203" s="115">
        <f>IF(DD_LVL2_ACTV_Currency_Selected=2,MICRO_DETAILED_COST_WKSHT!$F249*MICRO_DETAILED_COST_WKSHT!H249,MICRO_DETAILED_COST_WKSHT!$F249*(MICRO_DETAILED_COST_WKSHT!H249*LVL2_ACTV_Exchange_Rate))</f>
        <v>0</v>
      </c>
      <c r="G203" s="116">
        <f t="shared" si="18"/>
        <v>0</v>
      </c>
      <c r="H203" s="116">
        <f t="shared" si="19"/>
        <v>0</v>
      </c>
    </row>
    <row r="204" spans="3:8" s="10" customFormat="1" outlineLevel="1" x14ac:dyDescent="0.2">
      <c r="D204" s="49" t="str">
        <f>MICRO_DETAILED_COST_WKSHT!D250</f>
        <v>Allowances Category 9</v>
      </c>
      <c r="E204" s="115">
        <f>IF(DD_LVL2_ACTV_Currency_Selected=2,MICRO_DETAILED_COST_WKSHT!$F250*MICRO_DETAILED_COST_WKSHT!G250,MICRO_DETAILED_COST_WKSHT!$F250*(MICRO_DETAILED_COST_WKSHT!G250*LVL2_ACTV_Exchange_Rate))</f>
        <v>0</v>
      </c>
      <c r="F204" s="115">
        <f>IF(DD_LVL2_ACTV_Currency_Selected=2,MICRO_DETAILED_COST_WKSHT!$F250*MICRO_DETAILED_COST_WKSHT!H250,MICRO_DETAILED_COST_WKSHT!$F250*(MICRO_DETAILED_COST_WKSHT!H250*LVL2_ACTV_Exchange_Rate))</f>
        <v>0</v>
      </c>
      <c r="G204" s="116">
        <f t="shared" si="18"/>
        <v>0</v>
      </c>
      <c r="H204" s="116">
        <f t="shared" si="19"/>
        <v>0</v>
      </c>
    </row>
    <row r="205" spans="3:8" s="10" customFormat="1" outlineLevel="1" x14ac:dyDescent="0.2">
      <c r="D205" s="49" t="str">
        <f>MICRO_DETAILED_COST_WKSHT!D251</f>
        <v>Allowances Category 10</v>
      </c>
      <c r="E205" s="115">
        <f>IF(DD_LVL2_ACTV_Currency_Selected=2,MICRO_DETAILED_COST_WKSHT!$F251*MICRO_DETAILED_COST_WKSHT!G251,MICRO_DETAILED_COST_WKSHT!$F251*(MICRO_DETAILED_COST_WKSHT!G251*LVL2_ACTV_Exchange_Rate))</f>
        <v>0</v>
      </c>
      <c r="F205" s="115">
        <f>IF(DD_LVL2_ACTV_Currency_Selected=2,MICRO_DETAILED_COST_WKSHT!$F251*MICRO_DETAILED_COST_WKSHT!H251,MICRO_DETAILED_COST_WKSHT!$F251*(MICRO_DETAILED_COST_WKSHT!H251*LVL2_ACTV_Exchange_Rate))</f>
        <v>0</v>
      </c>
      <c r="G205" s="116">
        <f t="shared" si="18"/>
        <v>0</v>
      </c>
      <c r="H205" s="116">
        <f t="shared" si="19"/>
        <v>0</v>
      </c>
    </row>
    <row r="206" spans="3:8" s="10" customFormat="1" outlineLevel="1" x14ac:dyDescent="0.2">
      <c r="D206" s="48" t="str">
        <f>Lang_Allowances</f>
        <v>Allowances</v>
      </c>
      <c r="E206" s="120">
        <f>SUM(E196:E205)</f>
        <v>0</v>
      </c>
      <c r="F206" s="120">
        <f>SUM(F196:F205)</f>
        <v>0</v>
      </c>
      <c r="G206" s="121">
        <f>SUM(G196:G205)</f>
        <v>0</v>
      </c>
      <c r="H206" s="121">
        <f>SUM(H196:H205)</f>
        <v>0</v>
      </c>
    </row>
    <row r="207" spans="3:8" s="10" customFormat="1" outlineLevel="1" x14ac:dyDescent="0.2"/>
    <row r="208" spans="3:8" s="10" customFormat="1" outlineLevel="1" x14ac:dyDescent="0.2"/>
    <row r="209" spans="1:8" s="10" customFormat="1" outlineLevel="1" x14ac:dyDescent="0.2">
      <c r="D209" s="76" t="str">
        <f>Lang_GoTo&amp;" "&amp;HL_LVL2_ACTV_Ass_A</f>
        <v>Go to Microplanning Activity #3 (Not in Use) - Detailed Allowance Cost Assumptions</v>
      </c>
    </row>
    <row r="210" spans="1:8" s="10" customFormat="1" outlineLevel="1" x14ac:dyDescent="0.2">
      <c r="D210" s="76" t="str">
        <f>Lang_GoTo&amp;" "&amp;HL_LVL2_ACTV_Cost_Summary_Output</f>
        <v>Go to Microplanning Activity #3 (Not in Use) Detailed Cost Summary</v>
      </c>
    </row>
    <row r="211" spans="1:8" s="10" customFormat="1" x14ac:dyDescent="0.2"/>
    <row r="212" spans="1:8" s="13" customFormat="1" x14ac:dyDescent="0.2">
      <c r="A212" s="12" t="s">
        <v>127</v>
      </c>
      <c r="B212" s="13" t="str">
        <f>C214&amp;" "&amp;Lang_Supplies_And_Materials_Outputs</f>
        <v>Microplanning Activity #3 (Not in Use) Supplies and Materials - Outputs</v>
      </c>
    </row>
    <row r="213" spans="1:8" s="10" customFormat="1" outlineLevel="1" x14ac:dyDescent="0.2"/>
    <row r="214" spans="1:8" s="10" customFormat="1" outlineLevel="1" x14ac:dyDescent="0.2">
      <c r="C214" s="114" t="str">
        <f>HL_LVL2_ACTV_Name</f>
        <v>Microplanning Activity #3 (Not in Use)</v>
      </c>
    </row>
    <row r="215" spans="1:8" s="10" customFormat="1" outlineLevel="1" x14ac:dyDescent="0.2">
      <c r="E215" s="86" t="str">
        <f>MICRO_Lu!$D$100&amp;" "&amp;Lang_Cost&amp;" ("&amp;MICRO_Lu!$D$81&amp;")"</f>
        <v>Financial Cost (LCU)</v>
      </c>
      <c r="F215" s="86" t="str">
        <f>MICRO_Lu!$D$101&amp;" "&amp;Lang_Cost&amp;" ("&amp;MICRO_Lu!$D$81&amp;")"</f>
        <v>Economic Cost (LCU)</v>
      </c>
      <c r="G215" s="86" t="str">
        <f>MICRO_Lu!$D$100&amp;" "&amp;Lang_Cost&amp;" ("&amp;MICRO_Lu!$D$80&amp;")"</f>
        <v>Financial Cost (USD)</v>
      </c>
      <c r="H215" s="86" t="str">
        <f>MICRO_Lu!$D$101&amp;" "&amp;Lang_Cost&amp;" ("&amp;MICRO_Lu!$D$80&amp;")"</f>
        <v>Economic Cost (USD)</v>
      </c>
    </row>
    <row r="216" spans="1:8" s="10" customFormat="1" outlineLevel="1" x14ac:dyDescent="0.2">
      <c r="D216" s="49" t="str">
        <f>MICRO_DETAILED_COST_WKSHT!D260</f>
        <v>Supplies and Materials Category 1</v>
      </c>
      <c r="E216" s="115">
        <f>IF(DD_LVL2_ACTV_Currency_Selected=2,MICRO_DETAILED_COST_WKSHT!$F260*MICRO_DETAILED_COST_WKSHT!G260,MICRO_DETAILED_COST_WKSHT!$F260*(MICRO_DETAILED_COST_WKSHT!G260*LVL2_ACTV_Exchange_Rate))</f>
        <v>0</v>
      </c>
      <c r="F216" s="115">
        <f>IF(DD_LVL2_ACTV_Currency_Selected=2,MICRO_DETAILED_COST_WKSHT!$F260*MICRO_DETAILED_COST_WKSHT!H260,MICRO_DETAILED_COST_WKSHT!$F260*(MICRO_DETAILED_COST_WKSHT!H260*LVL2_ACTV_Exchange_Rate))</f>
        <v>0</v>
      </c>
      <c r="G216" s="116">
        <f t="shared" ref="G216:G225" si="20">E216/LVL2_ACTV_Exchange_Rate</f>
        <v>0</v>
      </c>
      <c r="H216" s="116">
        <f t="shared" ref="H216:H225" si="21">F216/LVL2_ACTV_Exchange_Rate</f>
        <v>0</v>
      </c>
    </row>
    <row r="217" spans="1:8" s="10" customFormat="1" outlineLevel="1" x14ac:dyDescent="0.2">
      <c r="D217" s="49" t="str">
        <f>MICRO_DETAILED_COST_WKSHT!D261</f>
        <v>Supplies and Materials Category 2</v>
      </c>
      <c r="E217" s="115">
        <f>IF(DD_LVL2_ACTV_Currency_Selected=2,MICRO_DETAILED_COST_WKSHT!$F261*MICRO_DETAILED_COST_WKSHT!G261,MICRO_DETAILED_COST_WKSHT!$F261*(MICRO_DETAILED_COST_WKSHT!G261*LVL2_ACTV_Exchange_Rate))</f>
        <v>0</v>
      </c>
      <c r="F217" s="115">
        <f>IF(DD_LVL2_ACTV_Currency_Selected=2,MICRO_DETAILED_COST_WKSHT!$F261*MICRO_DETAILED_COST_WKSHT!H261,MICRO_DETAILED_COST_WKSHT!$F261*(MICRO_DETAILED_COST_WKSHT!H261*LVL2_ACTV_Exchange_Rate))</f>
        <v>0</v>
      </c>
      <c r="G217" s="116">
        <f t="shared" si="20"/>
        <v>0</v>
      </c>
      <c r="H217" s="116">
        <f t="shared" si="21"/>
        <v>0</v>
      </c>
    </row>
    <row r="218" spans="1:8" s="10" customFormat="1" outlineLevel="1" x14ac:dyDescent="0.2">
      <c r="D218" s="49" t="str">
        <f>MICRO_DETAILED_COST_WKSHT!D262</f>
        <v>Supplies and Materials Category 3</v>
      </c>
      <c r="E218" s="115">
        <f>IF(DD_LVL2_ACTV_Currency_Selected=2,MICRO_DETAILED_COST_WKSHT!$F262*MICRO_DETAILED_COST_WKSHT!G262,MICRO_DETAILED_COST_WKSHT!$F262*(MICRO_DETAILED_COST_WKSHT!G262*LVL2_ACTV_Exchange_Rate))</f>
        <v>0</v>
      </c>
      <c r="F218" s="115">
        <f>IF(DD_LVL2_ACTV_Currency_Selected=2,MICRO_DETAILED_COST_WKSHT!$F262*MICRO_DETAILED_COST_WKSHT!H262,MICRO_DETAILED_COST_WKSHT!$F262*(MICRO_DETAILED_COST_WKSHT!H262*LVL2_ACTV_Exchange_Rate))</f>
        <v>0</v>
      </c>
      <c r="G218" s="116">
        <f t="shared" si="20"/>
        <v>0</v>
      </c>
      <c r="H218" s="116">
        <f t="shared" si="21"/>
        <v>0</v>
      </c>
    </row>
    <row r="219" spans="1:8" s="10" customFormat="1" outlineLevel="1" x14ac:dyDescent="0.2">
      <c r="D219" s="49" t="str">
        <f>MICRO_DETAILED_COST_WKSHT!D263</f>
        <v>Supplies and Materials Category 4</v>
      </c>
      <c r="E219" s="115">
        <f>IF(DD_LVL2_ACTV_Currency_Selected=2,MICRO_DETAILED_COST_WKSHT!$F263*MICRO_DETAILED_COST_WKSHT!G263,MICRO_DETAILED_COST_WKSHT!$F263*(MICRO_DETAILED_COST_WKSHT!G263*LVL2_ACTV_Exchange_Rate))</f>
        <v>0</v>
      </c>
      <c r="F219" s="115">
        <f>IF(DD_LVL2_ACTV_Currency_Selected=2,MICRO_DETAILED_COST_WKSHT!$F263*MICRO_DETAILED_COST_WKSHT!H263,MICRO_DETAILED_COST_WKSHT!$F263*(MICRO_DETAILED_COST_WKSHT!H263*LVL2_ACTV_Exchange_Rate))</f>
        <v>0</v>
      </c>
      <c r="G219" s="116">
        <f t="shared" si="20"/>
        <v>0</v>
      </c>
      <c r="H219" s="116">
        <f t="shared" si="21"/>
        <v>0</v>
      </c>
    </row>
    <row r="220" spans="1:8" s="10" customFormat="1" outlineLevel="1" x14ac:dyDescent="0.2">
      <c r="D220" s="49" t="str">
        <f>MICRO_DETAILED_COST_WKSHT!D264</f>
        <v>Supplies and Materials Category 5</v>
      </c>
      <c r="E220" s="115">
        <f>IF(DD_LVL2_ACTV_Currency_Selected=2,MICRO_DETAILED_COST_WKSHT!$F264*MICRO_DETAILED_COST_WKSHT!G264,MICRO_DETAILED_COST_WKSHT!$F264*(MICRO_DETAILED_COST_WKSHT!G264*LVL2_ACTV_Exchange_Rate))</f>
        <v>0</v>
      </c>
      <c r="F220" s="115">
        <f>IF(DD_LVL2_ACTV_Currency_Selected=2,MICRO_DETAILED_COST_WKSHT!$F264*MICRO_DETAILED_COST_WKSHT!H264,MICRO_DETAILED_COST_WKSHT!$F264*(MICRO_DETAILED_COST_WKSHT!H264*LVL2_ACTV_Exchange_Rate))</f>
        <v>0</v>
      </c>
      <c r="G220" s="116">
        <f t="shared" si="20"/>
        <v>0</v>
      </c>
      <c r="H220" s="116">
        <f t="shared" si="21"/>
        <v>0</v>
      </c>
    </row>
    <row r="221" spans="1:8" s="10" customFormat="1" outlineLevel="1" x14ac:dyDescent="0.2">
      <c r="D221" s="49" t="str">
        <f>MICRO_DETAILED_COST_WKSHT!D265</f>
        <v>Supplies and Materials Category 6</v>
      </c>
      <c r="E221" s="115">
        <f>IF(DD_LVL2_ACTV_Currency_Selected=2,MICRO_DETAILED_COST_WKSHT!$F265*MICRO_DETAILED_COST_WKSHT!G265,MICRO_DETAILED_COST_WKSHT!$F265*(MICRO_DETAILED_COST_WKSHT!G265*LVL2_ACTV_Exchange_Rate))</f>
        <v>0</v>
      </c>
      <c r="F221" s="115">
        <f>IF(DD_LVL2_ACTV_Currency_Selected=2,MICRO_DETAILED_COST_WKSHT!$F265*MICRO_DETAILED_COST_WKSHT!H265,MICRO_DETAILED_COST_WKSHT!$F265*(MICRO_DETAILED_COST_WKSHT!H265*LVL2_ACTV_Exchange_Rate))</f>
        <v>0</v>
      </c>
      <c r="G221" s="116">
        <f t="shared" si="20"/>
        <v>0</v>
      </c>
      <c r="H221" s="116">
        <f t="shared" si="21"/>
        <v>0</v>
      </c>
    </row>
    <row r="222" spans="1:8" s="10" customFormat="1" outlineLevel="1" x14ac:dyDescent="0.2">
      <c r="D222" s="49" t="str">
        <f>MICRO_DETAILED_COST_WKSHT!D266</f>
        <v>Supplies and Materials Category 7</v>
      </c>
      <c r="E222" s="115">
        <f>IF(DD_LVL2_ACTV_Currency_Selected=2,MICRO_DETAILED_COST_WKSHT!$F266*MICRO_DETAILED_COST_WKSHT!G266,MICRO_DETAILED_COST_WKSHT!$F266*(MICRO_DETAILED_COST_WKSHT!G266*LVL2_ACTV_Exchange_Rate))</f>
        <v>0</v>
      </c>
      <c r="F222" s="115">
        <f>IF(DD_LVL2_ACTV_Currency_Selected=2,MICRO_DETAILED_COST_WKSHT!$F266*MICRO_DETAILED_COST_WKSHT!H266,MICRO_DETAILED_COST_WKSHT!$F266*(MICRO_DETAILED_COST_WKSHT!H266*LVL2_ACTV_Exchange_Rate))</f>
        <v>0</v>
      </c>
      <c r="G222" s="116">
        <f t="shared" si="20"/>
        <v>0</v>
      </c>
      <c r="H222" s="116">
        <f t="shared" si="21"/>
        <v>0</v>
      </c>
    </row>
    <row r="223" spans="1:8" s="10" customFormat="1" outlineLevel="1" x14ac:dyDescent="0.2">
      <c r="D223" s="49" t="str">
        <f>MICRO_DETAILED_COST_WKSHT!D267</f>
        <v>Supplies and Materials Category 8</v>
      </c>
      <c r="E223" s="115">
        <f>IF(DD_LVL2_ACTV_Currency_Selected=2,MICRO_DETAILED_COST_WKSHT!$F267*MICRO_DETAILED_COST_WKSHT!G267,MICRO_DETAILED_COST_WKSHT!$F267*(MICRO_DETAILED_COST_WKSHT!G267*LVL2_ACTV_Exchange_Rate))</f>
        <v>0</v>
      </c>
      <c r="F223" s="115">
        <f>IF(DD_LVL2_ACTV_Currency_Selected=2,MICRO_DETAILED_COST_WKSHT!$F267*MICRO_DETAILED_COST_WKSHT!H267,MICRO_DETAILED_COST_WKSHT!$F267*(MICRO_DETAILED_COST_WKSHT!H267*LVL2_ACTV_Exchange_Rate))</f>
        <v>0</v>
      </c>
      <c r="G223" s="116">
        <f t="shared" si="20"/>
        <v>0</v>
      </c>
      <c r="H223" s="116">
        <f t="shared" si="21"/>
        <v>0</v>
      </c>
    </row>
    <row r="224" spans="1:8" s="10" customFormat="1" outlineLevel="1" x14ac:dyDescent="0.2">
      <c r="D224" s="49" t="str">
        <f>MICRO_DETAILED_COST_WKSHT!D268</f>
        <v>Supplies and Materials Category 9</v>
      </c>
      <c r="E224" s="115">
        <f>IF(DD_LVL2_ACTV_Currency_Selected=2,MICRO_DETAILED_COST_WKSHT!$F268*MICRO_DETAILED_COST_WKSHT!G268,MICRO_DETAILED_COST_WKSHT!$F268*(MICRO_DETAILED_COST_WKSHT!G268*LVL2_ACTV_Exchange_Rate))</f>
        <v>0</v>
      </c>
      <c r="F224" s="115">
        <f>IF(DD_LVL2_ACTV_Currency_Selected=2,MICRO_DETAILED_COST_WKSHT!$F268*MICRO_DETAILED_COST_WKSHT!H268,MICRO_DETAILED_COST_WKSHT!$F268*(MICRO_DETAILED_COST_WKSHT!H268*LVL2_ACTV_Exchange_Rate))</f>
        <v>0</v>
      </c>
      <c r="G224" s="116">
        <f t="shared" si="20"/>
        <v>0</v>
      </c>
      <c r="H224" s="116">
        <f t="shared" si="21"/>
        <v>0</v>
      </c>
    </row>
    <row r="225" spans="1:8" s="10" customFormat="1" outlineLevel="1" x14ac:dyDescent="0.2">
      <c r="D225" s="49" t="str">
        <f>MICRO_DETAILED_COST_WKSHT!D269</f>
        <v>Supplies and Materials Category 10</v>
      </c>
      <c r="E225" s="115">
        <f>IF(DD_LVL2_ACTV_Currency_Selected=2,MICRO_DETAILED_COST_WKSHT!$F269*MICRO_DETAILED_COST_WKSHT!G269,MICRO_DETAILED_COST_WKSHT!$F269*(MICRO_DETAILED_COST_WKSHT!G269*LVL2_ACTV_Exchange_Rate))</f>
        <v>0</v>
      </c>
      <c r="F225" s="115">
        <f>IF(DD_LVL2_ACTV_Currency_Selected=2,MICRO_DETAILED_COST_WKSHT!$F269*MICRO_DETAILED_COST_WKSHT!H269,MICRO_DETAILED_COST_WKSHT!$F269*(MICRO_DETAILED_COST_WKSHT!H269*LVL2_ACTV_Exchange_Rate))</f>
        <v>0</v>
      </c>
      <c r="G225" s="116">
        <f t="shared" si="20"/>
        <v>0</v>
      </c>
      <c r="H225" s="116">
        <f t="shared" si="21"/>
        <v>0</v>
      </c>
    </row>
    <row r="226" spans="1:8" s="10" customFormat="1" outlineLevel="1" x14ac:dyDescent="0.2">
      <c r="D226" s="48" t="str">
        <f>Lang_Supplies_And_Materials</f>
        <v>Supplies and Materials</v>
      </c>
      <c r="E226" s="120">
        <f>SUM(E216:E225)</f>
        <v>0</v>
      </c>
      <c r="F226" s="120">
        <f>SUM(F216:F225)</f>
        <v>0</v>
      </c>
      <c r="G226" s="121">
        <f>SUM(G216:G225)</f>
        <v>0</v>
      </c>
      <c r="H226" s="121">
        <f>SUM(H216:H225)</f>
        <v>0</v>
      </c>
    </row>
    <row r="227" spans="1:8" s="10" customFormat="1" outlineLevel="1" x14ac:dyDescent="0.2"/>
    <row r="228" spans="1:8" s="10" customFormat="1" outlineLevel="1" x14ac:dyDescent="0.2"/>
    <row r="229" spans="1:8" s="10" customFormat="1" outlineLevel="1" x14ac:dyDescent="0.2">
      <c r="D229" s="76" t="str">
        <f>Lang_GoTo&amp;" "&amp;HL_LVL2_ACTV_Supplies_and_Materials</f>
        <v>Go to Microplanning Activity #3 (Not in Use) - Detailed Supply and Material Cost Assumptions</v>
      </c>
    </row>
    <row r="230" spans="1:8" s="10" customFormat="1" outlineLevel="1" x14ac:dyDescent="0.2">
      <c r="D230" s="76" t="str">
        <f>Lang_GoTo&amp;" "&amp;HL_LVL2_ACTV_Cost_Summary_Output</f>
        <v>Go to Microplanning Activity #3 (Not in Use) Detailed Cost Summary</v>
      </c>
    </row>
    <row r="231" spans="1:8" s="10" customFormat="1" x14ac:dyDescent="0.2"/>
    <row r="232" spans="1:8" s="13" customFormat="1" x14ac:dyDescent="0.2">
      <c r="A232" s="12" t="s">
        <v>127</v>
      </c>
      <c r="B232" s="13" t="str">
        <f>C234&amp;" "&amp;Lang_Other_Direct_Costs_Outputs</f>
        <v>Microplanning Activity #3 (Not in Use) Other Direct Costs - Outputs</v>
      </c>
    </row>
    <row r="233" spans="1:8" s="10" customFormat="1" outlineLevel="1" x14ac:dyDescent="0.2"/>
    <row r="234" spans="1:8" s="10" customFormat="1" outlineLevel="1" x14ac:dyDescent="0.2">
      <c r="C234" s="114" t="str">
        <f>HL_LVL2_ACTV_Name</f>
        <v>Microplanning Activity #3 (Not in Use)</v>
      </c>
    </row>
    <row r="235" spans="1:8" s="10" customFormat="1" outlineLevel="1" x14ac:dyDescent="0.2">
      <c r="E235" s="86" t="str">
        <f>MICRO_Lu!$D$100&amp;" "&amp;Lang_Cost&amp;" ("&amp;MICRO_Lu!$D$81&amp;")"</f>
        <v>Financial Cost (LCU)</v>
      </c>
      <c r="F235" s="86" t="str">
        <f>MICRO_Lu!$D$101&amp;" "&amp;Lang_Cost&amp;" ("&amp;MICRO_Lu!$D$81&amp;")"</f>
        <v>Economic Cost (LCU)</v>
      </c>
      <c r="G235" s="86" t="str">
        <f>MICRO_Lu!$D$100&amp;" "&amp;Lang_Cost&amp;" ("&amp;MICRO_Lu!$D$80&amp;")"</f>
        <v>Financial Cost (USD)</v>
      </c>
      <c r="H235" s="86" t="str">
        <f>MICRO_Lu!$D$101&amp;" "&amp;Lang_Cost&amp;" ("&amp;MICRO_Lu!$D$80&amp;")"</f>
        <v>Economic Cost (USD)</v>
      </c>
    </row>
    <row r="236" spans="1:8" s="10" customFormat="1" outlineLevel="1" x14ac:dyDescent="0.2">
      <c r="D236" s="49" t="str">
        <f>MICRO_DETAILED_COST_WKSHT!D278</f>
        <v>Other Direct Costs (ODC) Category 1</v>
      </c>
      <c r="E236" s="115">
        <f>IF(DD_LVL2_ACTV_Currency_Selected=2,MICRO_DETAILED_COST_WKSHT!$F278*MICRO_DETAILED_COST_WKSHT!G278,MICRO_DETAILED_COST_WKSHT!$F278*(MICRO_DETAILED_COST_WKSHT!G278*LVL2_ACTV_Exchange_Rate))</f>
        <v>0</v>
      </c>
      <c r="F236" s="115">
        <f>IF(DD_LVL2_ACTV_Currency_Selected=2,MICRO_DETAILED_COST_WKSHT!$F278*MICRO_DETAILED_COST_WKSHT!H278,MICRO_DETAILED_COST_WKSHT!$F278*(MICRO_DETAILED_COST_WKSHT!H278*LVL2_ACTV_Exchange_Rate))</f>
        <v>0</v>
      </c>
      <c r="G236" s="116">
        <f t="shared" ref="G236:G245" si="22">E236/LVL2_ACTV_Exchange_Rate</f>
        <v>0</v>
      </c>
      <c r="H236" s="116">
        <f t="shared" ref="H236:H245" si="23">F236/LVL2_ACTV_Exchange_Rate</f>
        <v>0</v>
      </c>
    </row>
    <row r="237" spans="1:8" s="10" customFormat="1" outlineLevel="1" x14ac:dyDescent="0.2">
      <c r="D237" s="49" t="str">
        <f>MICRO_DETAILED_COST_WKSHT!D279</f>
        <v>Other Direct Costs (ODC) Category 2</v>
      </c>
      <c r="E237" s="115">
        <f>IF(DD_LVL2_ACTV_Currency_Selected=2,MICRO_DETAILED_COST_WKSHT!$F279*MICRO_DETAILED_COST_WKSHT!G279,MICRO_DETAILED_COST_WKSHT!$F279*(MICRO_DETAILED_COST_WKSHT!G279*LVL2_ACTV_Exchange_Rate))</f>
        <v>0</v>
      </c>
      <c r="F237" s="115">
        <f>IF(DD_LVL2_ACTV_Currency_Selected=2,MICRO_DETAILED_COST_WKSHT!$F279*MICRO_DETAILED_COST_WKSHT!H279,MICRO_DETAILED_COST_WKSHT!$F279*(MICRO_DETAILED_COST_WKSHT!H279*LVL2_ACTV_Exchange_Rate))</f>
        <v>0</v>
      </c>
      <c r="G237" s="116">
        <f t="shared" si="22"/>
        <v>0</v>
      </c>
      <c r="H237" s="116">
        <f t="shared" si="23"/>
        <v>0</v>
      </c>
    </row>
    <row r="238" spans="1:8" s="10" customFormat="1" outlineLevel="1" x14ac:dyDescent="0.2">
      <c r="D238" s="49" t="str">
        <f>MICRO_DETAILED_COST_WKSHT!D280</f>
        <v>Other Direct Costs (ODC) Category 3</v>
      </c>
      <c r="E238" s="115">
        <f>IF(DD_LVL2_ACTV_Currency_Selected=2,MICRO_DETAILED_COST_WKSHT!$F280*MICRO_DETAILED_COST_WKSHT!G280,MICRO_DETAILED_COST_WKSHT!$F280*(MICRO_DETAILED_COST_WKSHT!G280*LVL2_ACTV_Exchange_Rate))</f>
        <v>0</v>
      </c>
      <c r="F238" s="115">
        <f>IF(DD_LVL2_ACTV_Currency_Selected=2,MICRO_DETAILED_COST_WKSHT!$F280*MICRO_DETAILED_COST_WKSHT!H280,MICRO_DETAILED_COST_WKSHT!$F280*(MICRO_DETAILED_COST_WKSHT!H280*LVL2_ACTV_Exchange_Rate))</f>
        <v>0</v>
      </c>
      <c r="G238" s="116">
        <f t="shared" si="22"/>
        <v>0</v>
      </c>
      <c r="H238" s="116">
        <f t="shared" si="23"/>
        <v>0</v>
      </c>
    </row>
    <row r="239" spans="1:8" s="10" customFormat="1" outlineLevel="1" x14ac:dyDescent="0.2">
      <c r="D239" s="49" t="str">
        <f>MICRO_DETAILED_COST_WKSHT!D281</f>
        <v>Other Direct Costs (ODC) Category 4</v>
      </c>
      <c r="E239" s="115">
        <f>IF(DD_LVL2_ACTV_Currency_Selected=2,MICRO_DETAILED_COST_WKSHT!$F281*MICRO_DETAILED_COST_WKSHT!G281,MICRO_DETAILED_COST_WKSHT!$F281*(MICRO_DETAILED_COST_WKSHT!G281*LVL2_ACTV_Exchange_Rate))</f>
        <v>0</v>
      </c>
      <c r="F239" s="115">
        <f>IF(DD_LVL2_ACTV_Currency_Selected=2,MICRO_DETAILED_COST_WKSHT!$F281*MICRO_DETAILED_COST_WKSHT!H281,MICRO_DETAILED_COST_WKSHT!$F281*(MICRO_DETAILED_COST_WKSHT!H281*LVL2_ACTV_Exchange_Rate))</f>
        <v>0</v>
      </c>
      <c r="G239" s="116">
        <f t="shared" si="22"/>
        <v>0</v>
      </c>
      <c r="H239" s="116">
        <f t="shared" si="23"/>
        <v>0</v>
      </c>
    </row>
    <row r="240" spans="1:8" s="10" customFormat="1" outlineLevel="1" x14ac:dyDescent="0.2">
      <c r="D240" s="49" t="str">
        <f>MICRO_DETAILED_COST_WKSHT!D282</f>
        <v>Other Direct Costs (ODC) Category 5</v>
      </c>
      <c r="E240" s="115">
        <f>IF(DD_LVL2_ACTV_Currency_Selected=2,MICRO_DETAILED_COST_WKSHT!$F282*MICRO_DETAILED_COST_WKSHT!G282,MICRO_DETAILED_COST_WKSHT!$F282*(MICRO_DETAILED_COST_WKSHT!G282*LVL2_ACTV_Exchange_Rate))</f>
        <v>0</v>
      </c>
      <c r="F240" s="115">
        <f>IF(DD_LVL2_ACTV_Currency_Selected=2,MICRO_DETAILED_COST_WKSHT!$F282*MICRO_DETAILED_COST_WKSHT!H282,MICRO_DETAILED_COST_WKSHT!$F282*(MICRO_DETAILED_COST_WKSHT!H282*LVL2_ACTV_Exchange_Rate))</f>
        <v>0</v>
      </c>
      <c r="G240" s="116">
        <f t="shared" si="22"/>
        <v>0</v>
      </c>
      <c r="H240" s="116">
        <f t="shared" si="23"/>
        <v>0</v>
      </c>
    </row>
    <row r="241" spans="1:8" s="10" customFormat="1" outlineLevel="1" x14ac:dyDescent="0.2">
      <c r="D241" s="49" t="str">
        <f>MICRO_DETAILED_COST_WKSHT!D283</f>
        <v>Other Direct Costs (ODC) Category 6</v>
      </c>
      <c r="E241" s="115">
        <f>IF(DD_LVL2_ACTV_Currency_Selected=2,MICRO_DETAILED_COST_WKSHT!$F283*MICRO_DETAILED_COST_WKSHT!G283,MICRO_DETAILED_COST_WKSHT!$F283*(MICRO_DETAILED_COST_WKSHT!G283*LVL2_ACTV_Exchange_Rate))</f>
        <v>0</v>
      </c>
      <c r="F241" s="115">
        <f>IF(DD_LVL2_ACTV_Currency_Selected=2,MICRO_DETAILED_COST_WKSHT!$F283*MICRO_DETAILED_COST_WKSHT!H283,MICRO_DETAILED_COST_WKSHT!$F283*(MICRO_DETAILED_COST_WKSHT!H283*LVL2_ACTV_Exchange_Rate))</f>
        <v>0</v>
      </c>
      <c r="G241" s="116">
        <f t="shared" si="22"/>
        <v>0</v>
      </c>
      <c r="H241" s="116">
        <f t="shared" si="23"/>
        <v>0</v>
      </c>
    </row>
    <row r="242" spans="1:8" s="10" customFormat="1" outlineLevel="1" x14ac:dyDescent="0.2">
      <c r="D242" s="49" t="str">
        <f>MICRO_DETAILED_COST_WKSHT!D284</f>
        <v>Other Direct Costs (ODC) Category 7</v>
      </c>
      <c r="E242" s="115">
        <f>IF(DD_LVL2_ACTV_Currency_Selected=2,MICRO_DETAILED_COST_WKSHT!$F284*MICRO_DETAILED_COST_WKSHT!G284,MICRO_DETAILED_COST_WKSHT!$F284*(MICRO_DETAILED_COST_WKSHT!G284*LVL2_ACTV_Exchange_Rate))</f>
        <v>0</v>
      </c>
      <c r="F242" s="115">
        <f>IF(DD_LVL2_ACTV_Currency_Selected=2,MICRO_DETAILED_COST_WKSHT!$F284*MICRO_DETAILED_COST_WKSHT!H284,MICRO_DETAILED_COST_WKSHT!$F284*(MICRO_DETAILED_COST_WKSHT!H284*LVL2_ACTV_Exchange_Rate))</f>
        <v>0</v>
      </c>
      <c r="G242" s="116">
        <f t="shared" si="22"/>
        <v>0</v>
      </c>
      <c r="H242" s="116">
        <f t="shared" si="23"/>
        <v>0</v>
      </c>
    </row>
    <row r="243" spans="1:8" s="10" customFormat="1" outlineLevel="1" x14ac:dyDescent="0.2">
      <c r="D243" s="49" t="str">
        <f>MICRO_DETAILED_COST_WKSHT!D285</f>
        <v>Other Direct Costs (ODC) Category 8</v>
      </c>
      <c r="E243" s="115">
        <f>IF(DD_LVL2_ACTV_Currency_Selected=2,MICRO_DETAILED_COST_WKSHT!$F285*MICRO_DETAILED_COST_WKSHT!G285,MICRO_DETAILED_COST_WKSHT!$F285*(MICRO_DETAILED_COST_WKSHT!G285*LVL2_ACTV_Exchange_Rate))</f>
        <v>0</v>
      </c>
      <c r="F243" s="115">
        <f>IF(DD_LVL2_ACTV_Currency_Selected=2,MICRO_DETAILED_COST_WKSHT!$F285*MICRO_DETAILED_COST_WKSHT!H285,MICRO_DETAILED_COST_WKSHT!$F285*(MICRO_DETAILED_COST_WKSHT!H285*LVL2_ACTV_Exchange_Rate))</f>
        <v>0</v>
      </c>
      <c r="G243" s="116">
        <f t="shared" si="22"/>
        <v>0</v>
      </c>
      <c r="H243" s="116">
        <f t="shared" si="23"/>
        <v>0</v>
      </c>
    </row>
    <row r="244" spans="1:8" s="10" customFormat="1" outlineLevel="1" x14ac:dyDescent="0.2">
      <c r="D244" s="49" t="str">
        <f>MICRO_DETAILED_COST_WKSHT!D286</f>
        <v>Other Direct Costs (ODC) Category 9</v>
      </c>
      <c r="E244" s="115">
        <f>IF(DD_LVL2_ACTV_Currency_Selected=2,MICRO_DETAILED_COST_WKSHT!$F286*MICRO_DETAILED_COST_WKSHT!G286,MICRO_DETAILED_COST_WKSHT!$F286*(MICRO_DETAILED_COST_WKSHT!G286*LVL2_ACTV_Exchange_Rate))</f>
        <v>0</v>
      </c>
      <c r="F244" s="115">
        <f>IF(DD_LVL2_ACTV_Currency_Selected=2,MICRO_DETAILED_COST_WKSHT!$F286*MICRO_DETAILED_COST_WKSHT!H286,MICRO_DETAILED_COST_WKSHT!$F286*(MICRO_DETAILED_COST_WKSHT!H286*LVL2_ACTV_Exchange_Rate))</f>
        <v>0</v>
      </c>
      <c r="G244" s="116">
        <f t="shared" si="22"/>
        <v>0</v>
      </c>
      <c r="H244" s="116">
        <f t="shared" si="23"/>
        <v>0</v>
      </c>
    </row>
    <row r="245" spans="1:8" s="10" customFormat="1" outlineLevel="1" x14ac:dyDescent="0.2">
      <c r="D245" s="49" t="str">
        <f>MICRO_DETAILED_COST_WKSHT!D287</f>
        <v>Other Direct Costs (ODC) Category 10</v>
      </c>
      <c r="E245" s="115">
        <f>IF(DD_LVL2_ACTV_Currency_Selected=2,MICRO_DETAILED_COST_WKSHT!$F287*MICRO_DETAILED_COST_WKSHT!G287,MICRO_DETAILED_COST_WKSHT!$F287*(MICRO_DETAILED_COST_WKSHT!G287*LVL2_ACTV_Exchange_Rate))</f>
        <v>0</v>
      </c>
      <c r="F245" s="115">
        <f>IF(DD_LVL2_ACTV_Currency_Selected=2,MICRO_DETAILED_COST_WKSHT!$F287*MICRO_DETAILED_COST_WKSHT!H287,MICRO_DETAILED_COST_WKSHT!$F287*(MICRO_DETAILED_COST_WKSHT!H287*LVL2_ACTV_Exchange_Rate))</f>
        <v>0</v>
      </c>
      <c r="G245" s="116">
        <f t="shared" si="22"/>
        <v>0</v>
      </c>
      <c r="H245" s="116">
        <f t="shared" si="23"/>
        <v>0</v>
      </c>
    </row>
    <row r="246" spans="1:8" s="10" customFormat="1" outlineLevel="1" x14ac:dyDescent="0.2">
      <c r="D246" s="48" t="str">
        <f>Lang_Other_Direct_Costs</f>
        <v>Other Direct Costs</v>
      </c>
      <c r="E246" s="120">
        <f>SUM(E236:E245)</f>
        <v>0</v>
      </c>
      <c r="F246" s="120">
        <f>SUM(F236:F245)</f>
        <v>0</v>
      </c>
      <c r="G246" s="121">
        <f>SUM(G236:G245)</f>
        <v>0</v>
      </c>
      <c r="H246" s="121">
        <f>SUM(H236:H245)</f>
        <v>0</v>
      </c>
    </row>
    <row r="247" spans="1:8" s="10" customFormat="1" outlineLevel="1" x14ac:dyDescent="0.2"/>
    <row r="248" spans="1:8" s="10" customFormat="1" outlineLevel="1" x14ac:dyDescent="0.2">
      <c r="D248" s="76" t="str">
        <f>Lang_GoTo&amp;" "&amp;HL_LVL2_ACTV_Other_Direct_Costs</f>
        <v>Go to Microplanning Activity #3 (Not in Use) - Detailed Other Direct Cost Assumptions</v>
      </c>
    </row>
    <row r="249" spans="1:8" s="10" customFormat="1" outlineLevel="1" x14ac:dyDescent="0.2">
      <c r="D249" s="76" t="str">
        <f>Lang_GoTo&amp;" "&amp;HL_LVL2_ACTV_Cost_Summary_Output</f>
        <v>Go to Microplanning Activity #3 (Not in Use) Detailed Cost Summary</v>
      </c>
    </row>
    <row r="250" spans="1:8" s="10" customFormat="1" x14ac:dyDescent="0.2"/>
    <row r="251" spans="1:8" s="13" customFormat="1" x14ac:dyDescent="0.2">
      <c r="A251" s="12" t="s">
        <v>127</v>
      </c>
      <c r="B251" s="13" t="str">
        <f>C253&amp;" "&amp;Lang_Personnel_Outputs</f>
        <v>Microplanning Activity #4 (Not in Use) Personnel - Outputs</v>
      </c>
    </row>
    <row r="252" spans="1:8" s="10" customFormat="1" outlineLevel="1" x14ac:dyDescent="0.2"/>
    <row r="253" spans="1:8" s="10" customFormat="1" outlineLevel="1" x14ac:dyDescent="0.2">
      <c r="C253" s="114" t="str">
        <f>HL_LVL2_ACTV_20_Name</f>
        <v>Microplanning Activity #4 (Not in Use)</v>
      </c>
    </row>
    <row r="254" spans="1:8" s="10" customFormat="1" outlineLevel="1" x14ac:dyDescent="0.2">
      <c r="E254" s="86" t="str">
        <f>MICRO_Lu!$D$135&amp;" "&amp;Lang_Cost&amp;" ("&amp;MICRO_Lu!$D$116&amp;")"</f>
        <v>Financial Cost (LCU)</v>
      </c>
      <c r="F254" s="86" t="str">
        <f>MICRO_Lu!$D$136&amp;" "&amp;Lang_Cost&amp;" ("&amp;MICRO_Lu!$D$116&amp;")"</f>
        <v>Economic Cost (LCU)</v>
      </c>
      <c r="G254" s="86" t="str">
        <f>MICRO_Lu!$D$135&amp;" "&amp;Lang_Cost&amp;" ("&amp;MICRO_Lu!$D$115&amp;")"</f>
        <v>Financial Cost (USD)</v>
      </c>
      <c r="H254" s="86" t="str">
        <f>MICRO_Lu!$D$136&amp;" "&amp;Lang_Cost&amp;" ("&amp;MICRO_Lu!$D$115&amp;")"</f>
        <v>Economic Cost (USD)</v>
      </c>
    </row>
    <row r="255" spans="1:8" s="10" customFormat="1" outlineLevel="1" x14ac:dyDescent="0.2">
      <c r="D255" s="49" t="str">
        <f>MICRO_DETAILED_COST_WKSHT!D318</f>
        <v>Personnel Category 1</v>
      </c>
      <c r="E255" s="115">
        <f>IF(DD_LVL2_ACTV_20_Currency_Selected=2,MICRO_DETAILED_COST_WKSHT!$F318*MICRO_DETAILED_COST_WKSHT!G318,MICRO_DETAILED_COST_WKSHT!$F318*(MICRO_DETAILED_COST_WKSHT!G318*LVL2_ACTV_20_Exchange_Rate))</f>
        <v>0</v>
      </c>
      <c r="F255" s="115">
        <f>IF(DD_LVL2_ACTV_20_Currency_Selected=2,MICRO_DETAILED_COST_WKSHT!$F318*MICRO_DETAILED_COST_WKSHT!H318,MICRO_DETAILED_COST_WKSHT!$F318*(MICRO_DETAILED_COST_WKSHT!H318*LVL2_ACTV_20_Exchange_Rate))</f>
        <v>0</v>
      </c>
      <c r="G255" s="116">
        <f t="shared" ref="G255:G269" si="24">IFERROR(E255/LVL2_ACTV_20_Exchange_Rate,0)</f>
        <v>0</v>
      </c>
      <c r="H255" s="116">
        <f t="shared" ref="H255:H269" si="25">IFERROR(F255/LVL2_ACTV_20_Exchange_Rate,0)</f>
        <v>0</v>
      </c>
    </row>
    <row r="256" spans="1:8" s="10" customFormat="1" outlineLevel="1" x14ac:dyDescent="0.2">
      <c r="D256" s="49" t="str">
        <f>MICRO_DETAILED_COST_WKSHT!D319</f>
        <v>Personnel Category 2</v>
      </c>
      <c r="E256" s="115">
        <f>IF(DD_LVL2_ACTV_20_Currency_Selected=2,MICRO_DETAILED_COST_WKSHT!$F319*MICRO_DETAILED_COST_WKSHT!G319,MICRO_DETAILED_COST_WKSHT!$F319*(MICRO_DETAILED_COST_WKSHT!G319*LVL2_ACTV_20_Exchange_Rate))</f>
        <v>0</v>
      </c>
      <c r="F256" s="115">
        <f>IF(DD_LVL2_ACTV_20_Currency_Selected=2,MICRO_DETAILED_COST_WKSHT!$F319*MICRO_DETAILED_COST_WKSHT!H319,MICRO_DETAILED_COST_WKSHT!$F319*(MICRO_DETAILED_COST_WKSHT!H319*LVL2_ACTV_20_Exchange_Rate))</f>
        <v>0</v>
      </c>
      <c r="G256" s="116">
        <f t="shared" si="24"/>
        <v>0</v>
      </c>
      <c r="H256" s="116">
        <f t="shared" si="25"/>
        <v>0</v>
      </c>
    </row>
    <row r="257" spans="4:8" s="10" customFormat="1" outlineLevel="1" x14ac:dyDescent="0.2">
      <c r="D257" s="49" t="str">
        <f>MICRO_DETAILED_COST_WKSHT!D320</f>
        <v>Personnel Category 3</v>
      </c>
      <c r="E257" s="115">
        <f>IF(DD_LVL2_ACTV_20_Currency_Selected=2,MICRO_DETAILED_COST_WKSHT!$F320*MICRO_DETAILED_COST_WKSHT!G320,MICRO_DETAILED_COST_WKSHT!$F320*(MICRO_DETAILED_COST_WKSHT!G320*LVL2_ACTV_20_Exchange_Rate))</f>
        <v>0</v>
      </c>
      <c r="F257" s="115">
        <f>IF(DD_LVL2_ACTV_20_Currency_Selected=2,MICRO_DETAILED_COST_WKSHT!$F320*MICRO_DETAILED_COST_WKSHT!H320,MICRO_DETAILED_COST_WKSHT!$F320*(MICRO_DETAILED_COST_WKSHT!H320*LVL2_ACTV_20_Exchange_Rate))</f>
        <v>0</v>
      </c>
      <c r="G257" s="116">
        <f t="shared" si="24"/>
        <v>0</v>
      </c>
      <c r="H257" s="116">
        <f t="shared" si="25"/>
        <v>0</v>
      </c>
    </row>
    <row r="258" spans="4:8" s="10" customFormat="1" outlineLevel="1" x14ac:dyDescent="0.2">
      <c r="D258" s="49" t="str">
        <f>MICRO_DETAILED_COST_WKSHT!D321</f>
        <v>Personnel Category 4</v>
      </c>
      <c r="E258" s="115">
        <f>IF(DD_LVL2_ACTV_20_Currency_Selected=2,MICRO_DETAILED_COST_WKSHT!$F321*MICRO_DETAILED_COST_WKSHT!G321,MICRO_DETAILED_COST_WKSHT!$F321*(MICRO_DETAILED_COST_WKSHT!G321*LVL2_ACTV_20_Exchange_Rate))</f>
        <v>0</v>
      </c>
      <c r="F258" s="115">
        <f>IF(DD_LVL2_ACTV_20_Currency_Selected=2,MICRO_DETAILED_COST_WKSHT!$F321*MICRO_DETAILED_COST_WKSHT!H321,MICRO_DETAILED_COST_WKSHT!$F321*(MICRO_DETAILED_COST_WKSHT!H321*LVL2_ACTV_20_Exchange_Rate))</f>
        <v>0</v>
      </c>
      <c r="G258" s="116">
        <f t="shared" si="24"/>
        <v>0</v>
      </c>
      <c r="H258" s="116">
        <f t="shared" si="25"/>
        <v>0</v>
      </c>
    </row>
    <row r="259" spans="4:8" s="10" customFormat="1" outlineLevel="1" x14ac:dyDescent="0.2">
      <c r="D259" s="49" t="str">
        <f>MICRO_DETAILED_COST_WKSHT!D322</f>
        <v>Personnel Category 5</v>
      </c>
      <c r="E259" s="115">
        <f>IF(DD_LVL2_ACTV_20_Currency_Selected=2,MICRO_DETAILED_COST_WKSHT!$F322*MICRO_DETAILED_COST_WKSHT!G322,MICRO_DETAILED_COST_WKSHT!$F322*(MICRO_DETAILED_COST_WKSHT!G322*LVL2_ACTV_20_Exchange_Rate))</f>
        <v>0</v>
      </c>
      <c r="F259" s="115">
        <f>IF(DD_LVL2_ACTV_20_Currency_Selected=2,MICRO_DETAILED_COST_WKSHT!$F322*MICRO_DETAILED_COST_WKSHT!H322,MICRO_DETAILED_COST_WKSHT!$F322*(MICRO_DETAILED_COST_WKSHT!H322*LVL2_ACTV_20_Exchange_Rate))</f>
        <v>0</v>
      </c>
      <c r="G259" s="116">
        <f t="shared" si="24"/>
        <v>0</v>
      </c>
      <c r="H259" s="116">
        <f t="shared" si="25"/>
        <v>0</v>
      </c>
    </row>
    <row r="260" spans="4:8" s="10" customFormat="1" outlineLevel="1" x14ac:dyDescent="0.2">
      <c r="D260" s="49" t="str">
        <f>MICRO_DETAILED_COST_WKSHT!D323</f>
        <v>Personnel Category 6</v>
      </c>
      <c r="E260" s="115">
        <f>IF(DD_LVL2_ACTV_20_Currency_Selected=2,MICRO_DETAILED_COST_WKSHT!$F323*MICRO_DETAILED_COST_WKSHT!G323,MICRO_DETAILED_COST_WKSHT!$F323*(MICRO_DETAILED_COST_WKSHT!G323*LVL2_ACTV_20_Exchange_Rate))</f>
        <v>0</v>
      </c>
      <c r="F260" s="115">
        <f>IF(DD_LVL2_ACTV_20_Currency_Selected=2,MICRO_DETAILED_COST_WKSHT!$F323*MICRO_DETAILED_COST_WKSHT!H323,MICRO_DETAILED_COST_WKSHT!$F323*(MICRO_DETAILED_COST_WKSHT!H323*LVL2_ACTV_20_Exchange_Rate))</f>
        <v>0</v>
      </c>
      <c r="G260" s="116">
        <f t="shared" si="24"/>
        <v>0</v>
      </c>
      <c r="H260" s="116">
        <f t="shared" si="25"/>
        <v>0</v>
      </c>
    </row>
    <row r="261" spans="4:8" s="10" customFormat="1" outlineLevel="1" x14ac:dyDescent="0.2">
      <c r="D261" s="49" t="str">
        <f>MICRO_DETAILED_COST_WKSHT!D324</f>
        <v>Personnel Category 7</v>
      </c>
      <c r="E261" s="115">
        <f>IF(DD_LVL2_ACTV_20_Currency_Selected=2,MICRO_DETAILED_COST_WKSHT!$F324*MICRO_DETAILED_COST_WKSHT!G324,MICRO_DETAILED_COST_WKSHT!$F324*(MICRO_DETAILED_COST_WKSHT!G324*LVL2_ACTV_20_Exchange_Rate))</f>
        <v>0</v>
      </c>
      <c r="F261" s="115">
        <f>IF(DD_LVL2_ACTV_20_Currency_Selected=2,MICRO_DETAILED_COST_WKSHT!$F324*MICRO_DETAILED_COST_WKSHT!H324,MICRO_DETAILED_COST_WKSHT!$F324*(MICRO_DETAILED_COST_WKSHT!H324*LVL2_ACTV_20_Exchange_Rate))</f>
        <v>0</v>
      </c>
      <c r="G261" s="116">
        <f t="shared" si="24"/>
        <v>0</v>
      </c>
      <c r="H261" s="116">
        <f t="shared" si="25"/>
        <v>0</v>
      </c>
    </row>
    <row r="262" spans="4:8" s="10" customFormat="1" outlineLevel="1" x14ac:dyDescent="0.2">
      <c r="D262" s="49" t="str">
        <f>MICRO_DETAILED_COST_WKSHT!D325</f>
        <v>Personnel Category 8</v>
      </c>
      <c r="E262" s="115">
        <f>IF(DD_LVL2_ACTV_20_Currency_Selected=2,MICRO_DETAILED_COST_WKSHT!$F325*MICRO_DETAILED_COST_WKSHT!G325,MICRO_DETAILED_COST_WKSHT!$F325*(MICRO_DETAILED_COST_WKSHT!G325*LVL2_ACTV_20_Exchange_Rate))</f>
        <v>0</v>
      </c>
      <c r="F262" s="115">
        <f>IF(DD_LVL2_ACTV_20_Currency_Selected=2,MICRO_DETAILED_COST_WKSHT!$F325*MICRO_DETAILED_COST_WKSHT!H325,MICRO_DETAILED_COST_WKSHT!$F325*(MICRO_DETAILED_COST_WKSHT!H325*LVL2_ACTV_20_Exchange_Rate))</f>
        <v>0</v>
      </c>
      <c r="G262" s="116">
        <f t="shared" si="24"/>
        <v>0</v>
      </c>
      <c r="H262" s="116">
        <f t="shared" si="25"/>
        <v>0</v>
      </c>
    </row>
    <row r="263" spans="4:8" s="10" customFormat="1" outlineLevel="1" x14ac:dyDescent="0.2">
      <c r="D263" s="49" t="str">
        <f>MICRO_DETAILED_COST_WKSHT!D326</f>
        <v>Personnel Category 9</v>
      </c>
      <c r="E263" s="115">
        <f>IF(DD_LVL2_ACTV_20_Currency_Selected=2,MICRO_DETAILED_COST_WKSHT!$F326*MICRO_DETAILED_COST_WKSHT!G326,MICRO_DETAILED_COST_WKSHT!$F326*(MICRO_DETAILED_COST_WKSHT!G326*LVL2_ACTV_20_Exchange_Rate))</f>
        <v>0</v>
      </c>
      <c r="F263" s="115">
        <f>IF(DD_LVL2_ACTV_20_Currency_Selected=2,MICRO_DETAILED_COST_WKSHT!$F326*MICRO_DETAILED_COST_WKSHT!H326,MICRO_DETAILED_COST_WKSHT!$F326*(MICRO_DETAILED_COST_WKSHT!H326*LVL2_ACTV_20_Exchange_Rate))</f>
        <v>0</v>
      </c>
      <c r="G263" s="116">
        <f t="shared" si="24"/>
        <v>0</v>
      </c>
      <c r="H263" s="116">
        <f t="shared" si="25"/>
        <v>0</v>
      </c>
    </row>
    <row r="264" spans="4:8" s="10" customFormat="1" outlineLevel="1" x14ac:dyDescent="0.2">
      <c r="D264" s="49" t="str">
        <f>MICRO_DETAILED_COST_WKSHT!D327</f>
        <v>Personnel Category 10</v>
      </c>
      <c r="E264" s="115">
        <f>IF(DD_LVL2_ACTV_20_Currency_Selected=2,MICRO_DETAILED_COST_WKSHT!$F327*MICRO_DETAILED_COST_WKSHT!G327,MICRO_DETAILED_COST_WKSHT!$F327*(MICRO_DETAILED_COST_WKSHT!G327*LVL2_ACTV_20_Exchange_Rate))</f>
        <v>0</v>
      </c>
      <c r="F264" s="115">
        <f>IF(DD_LVL2_ACTV_20_Currency_Selected=2,MICRO_DETAILED_COST_WKSHT!$F327*MICRO_DETAILED_COST_WKSHT!H327,MICRO_DETAILED_COST_WKSHT!$F327*(MICRO_DETAILED_COST_WKSHT!H327*LVL2_ACTV_20_Exchange_Rate))</f>
        <v>0</v>
      </c>
      <c r="G264" s="116">
        <f t="shared" si="24"/>
        <v>0</v>
      </c>
      <c r="H264" s="116">
        <f t="shared" si="25"/>
        <v>0</v>
      </c>
    </row>
    <row r="265" spans="4:8" s="10" customFormat="1" outlineLevel="1" x14ac:dyDescent="0.2">
      <c r="D265" s="49" t="str">
        <f>MICRO_DETAILED_COST_WKSHT!D328</f>
        <v>Personnel Category 11</v>
      </c>
      <c r="E265" s="115">
        <f>IF(DD_LVL2_ACTV_20_Currency_Selected=2,MICRO_DETAILED_COST_WKSHT!$F328*MICRO_DETAILED_COST_WKSHT!G328,MICRO_DETAILED_COST_WKSHT!$F328*(MICRO_DETAILED_COST_WKSHT!G328*LVL2_ACTV_20_Exchange_Rate))</f>
        <v>0</v>
      </c>
      <c r="F265" s="115">
        <f>IF(DD_LVL2_ACTV_20_Currency_Selected=2,MICRO_DETAILED_COST_WKSHT!$F328*MICRO_DETAILED_COST_WKSHT!H328,MICRO_DETAILED_COST_WKSHT!$F328*(MICRO_DETAILED_COST_WKSHT!H328*LVL2_ACTV_20_Exchange_Rate))</f>
        <v>0</v>
      </c>
      <c r="G265" s="116">
        <f t="shared" si="24"/>
        <v>0</v>
      </c>
      <c r="H265" s="116">
        <f t="shared" si="25"/>
        <v>0</v>
      </c>
    </row>
    <row r="266" spans="4:8" s="10" customFormat="1" outlineLevel="1" x14ac:dyDescent="0.2">
      <c r="D266" s="49" t="str">
        <f>MICRO_DETAILED_COST_WKSHT!D329</f>
        <v>Personnel Category 12</v>
      </c>
      <c r="E266" s="115">
        <f>IF(DD_LVL2_ACTV_20_Currency_Selected=2,MICRO_DETAILED_COST_WKSHT!$F329*MICRO_DETAILED_COST_WKSHT!G329,MICRO_DETAILED_COST_WKSHT!$F329*(MICRO_DETAILED_COST_WKSHT!G329*LVL2_ACTV_20_Exchange_Rate))</f>
        <v>0</v>
      </c>
      <c r="F266" s="115">
        <f>IF(DD_LVL2_ACTV_20_Currency_Selected=2,MICRO_DETAILED_COST_WKSHT!$F329*MICRO_DETAILED_COST_WKSHT!H329,MICRO_DETAILED_COST_WKSHT!$F329*(MICRO_DETAILED_COST_WKSHT!H329*LVL2_ACTV_20_Exchange_Rate))</f>
        <v>0</v>
      </c>
      <c r="G266" s="116">
        <f t="shared" si="24"/>
        <v>0</v>
      </c>
      <c r="H266" s="116">
        <f t="shared" si="25"/>
        <v>0</v>
      </c>
    </row>
    <row r="267" spans="4:8" s="10" customFormat="1" outlineLevel="1" x14ac:dyDescent="0.2">
      <c r="D267" s="49" t="str">
        <f>MICRO_DETAILED_COST_WKSHT!D330</f>
        <v>Personnel Category 13</v>
      </c>
      <c r="E267" s="115">
        <f>IF(DD_LVL2_ACTV_20_Currency_Selected=2,MICRO_DETAILED_COST_WKSHT!$F330*MICRO_DETAILED_COST_WKSHT!G330,MICRO_DETAILED_COST_WKSHT!$F330*(MICRO_DETAILED_COST_WKSHT!G330*LVL2_ACTV_20_Exchange_Rate))</f>
        <v>0</v>
      </c>
      <c r="F267" s="115">
        <f>IF(DD_LVL2_ACTV_20_Currency_Selected=2,MICRO_DETAILED_COST_WKSHT!$F330*MICRO_DETAILED_COST_WKSHT!H330,MICRO_DETAILED_COST_WKSHT!$F330*(MICRO_DETAILED_COST_WKSHT!H330*LVL2_ACTV_20_Exchange_Rate))</f>
        <v>0</v>
      </c>
      <c r="G267" s="116">
        <f t="shared" si="24"/>
        <v>0</v>
      </c>
      <c r="H267" s="116">
        <f t="shared" si="25"/>
        <v>0</v>
      </c>
    </row>
    <row r="268" spans="4:8" s="10" customFormat="1" outlineLevel="1" x14ac:dyDescent="0.2">
      <c r="D268" s="49" t="str">
        <f>MICRO_DETAILED_COST_WKSHT!D331</f>
        <v>Personnel Category 14</v>
      </c>
      <c r="E268" s="115">
        <f>IF(DD_LVL2_ACTV_20_Currency_Selected=2,MICRO_DETAILED_COST_WKSHT!$F331*MICRO_DETAILED_COST_WKSHT!G331,MICRO_DETAILED_COST_WKSHT!$F331*(MICRO_DETAILED_COST_WKSHT!G331*LVL2_ACTV_20_Exchange_Rate))</f>
        <v>0</v>
      </c>
      <c r="F268" s="115">
        <f>IF(DD_LVL2_ACTV_20_Currency_Selected=2,MICRO_DETAILED_COST_WKSHT!$F331*MICRO_DETAILED_COST_WKSHT!H331,MICRO_DETAILED_COST_WKSHT!$F331*(MICRO_DETAILED_COST_WKSHT!H331*LVL2_ACTV_20_Exchange_Rate))</f>
        <v>0</v>
      </c>
      <c r="G268" s="116">
        <f t="shared" si="24"/>
        <v>0</v>
      </c>
      <c r="H268" s="116">
        <f t="shared" si="25"/>
        <v>0</v>
      </c>
    </row>
    <row r="269" spans="4:8" s="10" customFormat="1" outlineLevel="1" x14ac:dyDescent="0.2">
      <c r="D269" s="49" t="str">
        <f>MICRO_DETAILED_COST_WKSHT!D332</f>
        <v>Personnel Category 15</v>
      </c>
      <c r="E269" s="115">
        <f>IF(DD_LVL2_ACTV_20_Currency_Selected=2,MICRO_DETAILED_COST_WKSHT!$F332*MICRO_DETAILED_COST_WKSHT!G332,MICRO_DETAILED_COST_WKSHT!$F332*(MICRO_DETAILED_COST_WKSHT!G332*LVL2_ACTV_20_Exchange_Rate))</f>
        <v>0</v>
      </c>
      <c r="F269" s="115">
        <f>IF(DD_LVL2_ACTV_20_Currency_Selected=2,MICRO_DETAILED_COST_WKSHT!$F332*MICRO_DETAILED_COST_WKSHT!H332,MICRO_DETAILED_COST_WKSHT!$F332*(MICRO_DETAILED_COST_WKSHT!H332*LVL2_ACTV_20_Exchange_Rate))</f>
        <v>0</v>
      </c>
      <c r="G269" s="116">
        <f t="shared" si="24"/>
        <v>0</v>
      </c>
      <c r="H269" s="116">
        <f t="shared" si="25"/>
        <v>0</v>
      </c>
    </row>
    <row r="270" spans="4:8" s="10" customFormat="1" outlineLevel="1" x14ac:dyDescent="0.2">
      <c r="D270" s="48" t="str">
        <f>Lang_Personnel</f>
        <v>Personnel</v>
      </c>
      <c r="E270" s="120">
        <f>SUM(E255:E269)</f>
        <v>0</v>
      </c>
      <c r="F270" s="120">
        <f>SUM(F255:F269)</f>
        <v>0</v>
      </c>
      <c r="G270" s="121">
        <f>SUM(G255:G269)</f>
        <v>0</v>
      </c>
      <c r="H270" s="121">
        <f>SUM(H255:H269)</f>
        <v>0</v>
      </c>
    </row>
    <row r="271" spans="4:8" s="10" customFormat="1" outlineLevel="1" x14ac:dyDescent="0.2"/>
    <row r="272" spans="4:8" s="10" customFormat="1" outlineLevel="1" x14ac:dyDescent="0.2"/>
    <row r="273" spans="1:8" s="10" customFormat="1" outlineLevel="1" x14ac:dyDescent="0.2">
      <c r="D273" s="76" t="str">
        <f>Lang_GoTo&amp;" "&amp;HL_LVL2_ACTV_20_Personnel_Assumptions</f>
        <v>Go to Microplanning Activity #4 (Not in Use) - Detailed Personnel Cost Assumptions</v>
      </c>
    </row>
    <row r="274" spans="1:8" s="10" customFormat="1" outlineLevel="1" x14ac:dyDescent="0.2">
      <c r="D274" s="76" t="str">
        <f>Lang_GoTo&amp;" "&amp;HL_LVL2_ACTV_20_Cost_Summary_Output</f>
        <v>Go to Microplanning Activity #4 (Not in Use) Detailed Cost Summary</v>
      </c>
    </row>
    <row r="275" spans="1:8" s="10" customFormat="1" x14ac:dyDescent="0.2"/>
    <row r="276" spans="1:8" s="13" customFormat="1" x14ac:dyDescent="0.2">
      <c r="A276" s="12" t="s">
        <v>127</v>
      </c>
      <c r="B276" s="13" t="str">
        <f>C278&amp;" "&amp;Lang_Allowances_Outputs</f>
        <v>Microplanning Activity #4 (Not in Use) Allowances - Outputs</v>
      </c>
    </row>
    <row r="277" spans="1:8" s="10" customFormat="1" outlineLevel="1" x14ac:dyDescent="0.2"/>
    <row r="278" spans="1:8" s="10" customFormat="1" outlineLevel="1" x14ac:dyDescent="0.2">
      <c r="C278" s="114" t="str">
        <f>HL_LVL2_ACTV_20_Name</f>
        <v>Microplanning Activity #4 (Not in Use)</v>
      </c>
    </row>
    <row r="279" spans="1:8" s="10" customFormat="1" outlineLevel="1" x14ac:dyDescent="0.2">
      <c r="E279" s="86" t="str">
        <f>MICRO_Lu!$D$135&amp;" "&amp;Lang_Cost&amp;" ("&amp;MICRO_Lu!$D$116&amp;")"</f>
        <v>Financial Cost (LCU)</v>
      </c>
      <c r="F279" s="86" t="str">
        <f>MICRO_Lu!$D$136&amp;" "&amp;Lang_Cost&amp;" ("&amp;MICRO_Lu!$D$116&amp;")"</f>
        <v>Economic Cost (LCU)</v>
      </c>
      <c r="G279" s="86" t="str">
        <f>MICRO_Lu!$D$135&amp;" "&amp;Lang_Cost&amp;" ("&amp;MICRO_Lu!$D$115&amp;")"</f>
        <v>Financial Cost (USD)</v>
      </c>
      <c r="H279" s="86" t="str">
        <f>MICRO_Lu!$D$136&amp;" "&amp;Lang_Cost&amp;" ("&amp;MICRO_Lu!$D$115&amp;")"</f>
        <v>Economic Cost (USD)</v>
      </c>
    </row>
    <row r="280" spans="1:8" s="10" customFormat="1" outlineLevel="1" x14ac:dyDescent="0.2">
      <c r="D280" s="49" t="str">
        <f>MICRO_DETAILED_COST_WKSHT!D341</f>
        <v>Allowances Category 1</v>
      </c>
      <c r="E280" s="115">
        <f>IF(DD_LVL2_ACTV_20_Currency_Selected=2,MICRO_DETAILED_COST_WKSHT!$F341*MICRO_DETAILED_COST_WKSHT!G341,MICRO_DETAILED_COST_WKSHT!$F341*(MICRO_DETAILED_COST_WKSHT!G341*LVL2_ACTV_20_Exchange_Rate))</f>
        <v>0</v>
      </c>
      <c r="F280" s="115">
        <f>IF(DD_LVL2_ACTV_20_Currency_Selected=2,MICRO_DETAILED_COST_WKSHT!$F341*MICRO_DETAILED_COST_WKSHT!H341,MICRO_DETAILED_COST_WKSHT!$F341*(MICRO_DETAILED_COST_WKSHT!H341*LVL2_ACTV_20_Exchange_Rate))</f>
        <v>0</v>
      </c>
      <c r="G280" s="116">
        <f t="shared" ref="G280:G289" si="26">E280/LVL2_ACTV_20_Exchange_Rate</f>
        <v>0</v>
      </c>
      <c r="H280" s="116">
        <f t="shared" ref="H280:H289" si="27">F280/LVL2_ACTV_20_Exchange_Rate</f>
        <v>0</v>
      </c>
    </row>
    <row r="281" spans="1:8" s="10" customFormat="1" outlineLevel="1" x14ac:dyDescent="0.2">
      <c r="D281" s="49" t="str">
        <f>MICRO_DETAILED_COST_WKSHT!D342</f>
        <v>Allowances Category 2</v>
      </c>
      <c r="E281" s="115">
        <f>IF(DD_LVL2_ACTV_20_Currency_Selected=2,MICRO_DETAILED_COST_WKSHT!$F342*MICRO_DETAILED_COST_WKSHT!G342,MICRO_DETAILED_COST_WKSHT!$F342*(MICRO_DETAILED_COST_WKSHT!G342*LVL2_ACTV_20_Exchange_Rate))</f>
        <v>0</v>
      </c>
      <c r="F281" s="115">
        <f>IF(DD_LVL2_ACTV_20_Currency_Selected=2,MICRO_DETAILED_COST_WKSHT!$F342*MICRO_DETAILED_COST_WKSHT!H342,MICRO_DETAILED_COST_WKSHT!$F342*(MICRO_DETAILED_COST_WKSHT!H342*LVL2_ACTV_20_Exchange_Rate))</f>
        <v>0</v>
      </c>
      <c r="G281" s="116">
        <f t="shared" si="26"/>
        <v>0</v>
      </c>
      <c r="H281" s="116">
        <f t="shared" si="27"/>
        <v>0</v>
      </c>
    </row>
    <row r="282" spans="1:8" s="10" customFormat="1" outlineLevel="1" x14ac:dyDescent="0.2">
      <c r="D282" s="49" t="str">
        <f>MICRO_DETAILED_COST_WKSHT!D343</f>
        <v>Allowances Category 3</v>
      </c>
      <c r="E282" s="115">
        <f>IF(DD_LVL2_ACTV_20_Currency_Selected=2,MICRO_DETAILED_COST_WKSHT!$F343*MICRO_DETAILED_COST_WKSHT!G343,MICRO_DETAILED_COST_WKSHT!$F343*(MICRO_DETAILED_COST_WKSHT!G343*LVL2_ACTV_20_Exchange_Rate))</f>
        <v>0</v>
      </c>
      <c r="F282" s="115">
        <f>IF(DD_LVL2_ACTV_20_Currency_Selected=2,MICRO_DETAILED_COST_WKSHT!$F343*MICRO_DETAILED_COST_WKSHT!H343,MICRO_DETAILED_COST_WKSHT!$F343*(MICRO_DETAILED_COST_WKSHT!H343*LVL2_ACTV_20_Exchange_Rate))</f>
        <v>0</v>
      </c>
      <c r="G282" s="116">
        <f t="shared" si="26"/>
        <v>0</v>
      </c>
      <c r="H282" s="116">
        <f t="shared" si="27"/>
        <v>0</v>
      </c>
    </row>
    <row r="283" spans="1:8" s="10" customFormat="1" outlineLevel="1" x14ac:dyDescent="0.2">
      <c r="D283" s="49" t="str">
        <f>MICRO_DETAILED_COST_WKSHT!D344</f>
        <v>Allowances Category 4</v>
      </c>
      <c r="E283" s="115">
        <f>IF(DD_LVL2_ACTV_20_Currency_Selected=2,MICRO_DETAILED_COST_WKSHT!$F344*MICRO_DETAILED_COST_WKSHT!G344,MICRO_DETAILED_COST_WKSHT!$F344*(MICRO_DETAILED_COST_WKSHT!G344*LVL2_ACTV_20_Exchange_Rate))</f>
        <v>0</v>
      </c>
      <c r="F283" s="115">
        <f>IF(DD_LVL2_ACTV_20_Currency_Selected=2,MICRO_DETAILED_COST_WKSHT!$F344*MICRO_DETAILED_COST_WKSHT!H344,MICRO_DETAILED_COST_WKSHT!$F344*(MICRO_DETAILED_COST_WKSHT!H344*LVL2_ACTV_20_Exchange_Rate))</f>
        <v>0</v>
      </c>
      <c r="G283" s="116">
        <f t="shared" si="26"/>
        <v>0</v>
      </c>
      <c r="H283" s="116">
        <f t="shared" si="27"/>
        <v>0</v>
      </c>
    </row>
    <row r="284" spans="1:8" s="10" customFormat="1" outlineLevel="1" x14ac:dyDescent="0.2">
      <c r="D284" s="49" t="str">
        <f>MICRO_DETAILED_COST_WKSHT!D345</f>
        <v>Allowances Category 5</v>
      </c>
      <c r="E284" s="115">
        <f>IF(DD_LVL2_ACTV_20_Currency_Selected=2,MICRO_DETAILED_COST_WKSHT!$F345*MICRO_DETAILED_COST_WKSHT!G345,MICRO_DETAILED_COST_WKSHT!$F345*(MICRO_DETAILED_COST_WKSHT!G345*LVL2_ACTV_20_Exchange_Rate))</f>
        <v>0</v>
      </c>
      <c r="F284" s="115">
        <f>IF(DD_LVL2_ACTV_20_Currency_Selected=2,MICRO_DETAILED_COST_WKSHT!$F345*MICRO_DETAILED_COST_WKSHT!H345,MICRO_DETAILED_COST_WKSHT!$F345*(MICRO_DETAILED_COST_WKSHT!H345*LVL2_ACTV_20_Exchange_Rate))</f>
        <v>0</v>
      </c>
      <c r="G284" s="116">
        <f t="shared" si="26"/>
        <v>0</v>
      </c>
      <c r="H284" s="116">
        <f t="shared" si="27"/>
        <v>0</v>
      </c>
    </row>
    <row r="285" spans="1:8" s="10" customFormat="1" outlineLevel="1" x14ac:dyDescent="0.2">
      <c r="D285" s="49" t="str">
        <f>MICRO_DETAILED_COST_WKSHT!D346</f>
        <v>Allowances Category 6</v>
      </c>
      <c r="E285" s="115">
        <f>IF(DD_LVL2_ACTV_20_Currency_Selected=2,MICRO_DETAILED_COST_WKSHT!$F346*MICRO_DETAILED_COST_WKSHT!G346,MICRO_DETAILED_COST_WKSHT!$F346*(MICRO_DETAILED_COST_WKSHT!G346*LVL2_ACTV_20_Exchange_Rate))</f>
        <v>0</v>
      </c>
      <c r="F285" s="115">
        <f>IF(DD_LVL2_ACTV_20_Currency_Selected=2,MICRO_DETAILED_COST_WKSHT!$F346*MICRO_DETAILED_COST_WKSHT!H346,MICRO_DETAILED_COST_WKSHT!$F346*(MICRO_DETAILED_COST_WKSHT!H346*LVL2_ACTV_20_Exchange_Rate))</f>
        <v>0</v>
      </c>
      <c r="G285" s="116">
        <f t="shared" si="26"/>
        <v>0</v>
      </c>
      <c r="H285" s="116">
        <f t="shared" si="27"/>
        <v>0</v>
      </c>
    </row>
    <row r="286" spans="1:8" s="10" customFormat="1" outlineLevel="1" x14ac:dyDescent="0.2">
      <c r="D286" s="49" t="str">
        <f>MICRO_DETAILED_COST_WKSHT!D347</f>
        <v>Allowances Category 7</v>
      </c>
      <c r="E286" s="115">
        <f>IF(DD_LVL2_ACTV_20_Currency_Selected=2,MICRO_DETAILED_COST_WKSHT!$F347*MICRO_DETAILED_COST_WKSHT!G347,MICRO_DETAILED_COST_WKSHT!$F347*(MICRO_DETAILED_COST_WKSHT!G347*LVL2_ACTV_20_Exchange_Rate))</f>
        <v>0</v>
      </c>
      <c r="F286" s="115">
        <f>IF(DD_LVL2_ACTV_20_Currency_Selected=2,MICRO_DETAILED_COST_WKSHT!$F347*MICRO_DETAILED_COST_WKSHT!H347,MICRO_DETAILED_COST_WKSHT!$F347*(MICRO_DETAILED_COST_WKSHT!H347*LVL2_ACTV_20_Exchange_Rate))</f>
        <v>0</v>
      </c>
      <c r="G286" s="116">
        <f t="shared" si="26"/>
        <v>0</v>
      </c>
      <c r="H286" s="116">
        <f t="shared" si="27"/>
        <v>0</v>
      </c>
    </row>
    <row r="287" spans="1:8" s="10" customFormat="1" outlineLevel="1" x14ac:dyDescent="0.2">
      <c r="D287" s="49" t="str">
        <f>MICRO_DETAILED_COST_WKSHT!D348</f>
        <v>Allowances Category 8</v>
      </c>
      <c r="E287" s="115">
        <f>IF(DD_LVL2_ACTV_20_Currency_Selected=2,MICRO_DETAILED_COST_WKSHT!$F348*MICRO_DETAILED_COST_WKSHT!G348,MICRO_DETAILED_COST_WKSHT!$F348*(MICRO_DETAILED_COST_WKSHT!G348*LVL2_ACTV_20_Exchange_Rate))</f>
        <v>0</v>
      </c>
      <c r="F287" s="115">
        <f>IF(DD_LVL2_ACTV_20_Currency_Selected=2,MICRO_DETAILED_COST_WKSHT!$F348*MICRO_DETAILED_COST_WKSHT!H348,MICRO_DETAILED_COST_WKSHT!$F348*(MICRO_DETAILED_COST_WKSHT!H348*LVL2_ACTV_20_Exchange_Rate))</f>
        <v>0</v>
      </c>
      <c r="G287" s="116">
        <f t="shared" si="26"/>
        <v>0</v>
      </c>
      <c r="H287" s="116">
        <f t="shared" si="27"/>
        <v>0</v>
      </c>
    </row>
    <row r="288" spans="1:8" s="10" customFormat="1" outlineLevel="1" x14ac:dyDescent="0.2">
      <c r="D288" s="49" t="str">
        <f>MICRO_DETAILED_COST_WKSHT!D349</f>
        <v>Allowances Category 9</v>
      </c>
      <c r="E288" s="115">
        <f>IF(DD_LVL2_ACTV_20_Currency_Selected=2,MICRO_DETAILED_COST_WKSHT!$F349*MICRO_DETAILED_COST_WKSHT!G349,MICRO_DETAILED_COST_WKSHT!$F349*(MICRO_DETAILED_COST_WKSHT!G349*LVL2_ACTV_20_Exchange_Rate))</f>
        <v>0</v>
      </c>
      <c r="F288" s="115">
        <f>IF(DD_LVL2_ACTV_20_Currency_Selected=2,MICRO_DETAILED_COST_WKSHT!$F349*MICRO_DETAILED_COST_WKSHT!H349,MICRO_DETAILED_COST_WKSHT!$F349*(MICRO_DETAILED_COST_WKSHT!H349*LVL2_ACTV_20_Exchange_Rate))</f>
        <v>0</v>
      </c>
      <c r="G288" s="116">
        <f t="shared" si="26"/>
        <v>0</v>
      </c>
      <c r="H288" s="116">
        <f t="shared" si="27"/>
        <v>0</v>
      </c>
    </row>
    <row r="289" spans="1:8" s="10" customFormat="1" outlineLevel="1" x14ac:dyDescent="0.2">
      <c r="D289" s="49" t="str">
        <f>MICRO_DETAILED_COST_WKSHT!D350</f>
        <v>Allowances Category 10</v>
      </c>
      <c r="E289" s="115">
        <f>IF(DD_LVL2_ACTV_20_Currency_Selected=2,MICRO_DETAILED_COST_WKSHT!$F350*MICRO_DETAILED_COST_WKSHT!G350,MICRO_DETAILED_COST_WKSHT!$F350*(MICRO_DETAILED_COST_WKSHT!G350*LVL2_ACTV_20_Exchange_Rate))</f>
        <v>0</v>
      </c>
      <c r="F289" s="115">
        <f>IF(DD_LVL2_ACTV_20_Currency_Selected=2,MICRO_DETAILED_COST_WKSHT!$F350*MICRO_DETAILED_COST_WKSHT!H350,MICRO_DETAILED_COST_WKSHT!$F350*(MICRO_DETAILED_COST_WKSHT!H350*LVL2_ACTV_20_Exchange_Rate))</f>
        <v>0</v>
      </c>
      <c r="G289" s="116">
        <f t="shared" si="26"/>
        <v>0</v>
      </c>
      <c r="H289" s="116">
        <f t="shared" si="27"/>
        <v>0</v>
      </c>
    </row>
    <row r="290" spans="1:8" s="10" customFormat="1" outlineLevel="1" x14ac:dyDescent="0.2">
      <c r="D290" s="48" t="str">
        <f>Lang_Allowances</f>
        <v>Allowances</v>
      </c>
      <c r="E290" s="120">
        <f>SUM(E280:E289)</f>
        <v>0</v>
      </c>
      <c r="F290" s="120">
        <f>SUM(F280:F289)</f>
        <v>0</v>
      </c>
      <c r="G290" s="121">
        <f>SUM(G280:G289)</f>
        <v>0</v>
      </c>
      <c r="H290" s="121">
        <f>SUM(H280:H289)</f>
        <v>0</v>
      </c>
    </row>
    <row r="291" spans="1:8" s="10" customFormat="1" outlineLevel="1" x14ac:dyDescent="0.2"/>
    <row r="292" spans="1:8" s="10" customFormat="1" outlineLevel="1" x14ac:dyDescent="0.2"/>
    <row r="293" spans="1:8" s="10" customFormat="1" outlineLevel="1" x14ac:dyDescent="0.2">
      <c r="D293" s="76" t="str">
        <f>Lang_GoTo&amp;" "&amp;HL_LVL2_ACTV_20_Ass_A</f>
        <v>Go to Microplanning Activity #4 (Not in Use) - Detailed Allowance Cost Assumptions</v>
      </c>
    </row>
    <row r="294" spans="1:8" s="10" customFormat="1" outlineLevel="1" x14ac:dyDescent="0.2">
      <c r="D294" s="76" t="str">
        <f>Lang_GoTo&amp;" "&amp;HL_LVL2_ACTV_20_Cost_Summary_Output</f>
        <v>Go to Microplanning Activity #4 (Not in Use) Detailed Cost Summary</v>
      </c>
    </row>
    <row r="295" spans="1:8" s="10" customFormat="1" x14ac:dyDescent="0.2"/>
    <row r="296" spans="1:8" s="13" customFormat="1" x14ac:dyDescent="0.2">
      <c r="A296" s="12" t="s">
        <v>127</v>
      </c>
      <c r="B296" s="13" t="str">
        <f>C298&amp;" "&amp;Lang_Supplies_And_Materials_Outputs</f>
        <v>Microplanning Activity #4 (Not in Use) Supplies and Materials - Outputs</v>
      </c>
    </row>
    <row r="297" spans="1:8" s="10" customFormat="1" outlineLevel="1" x14ac:dyDescent="0.2"/>
    <row r="298" spans="1:8" s="10" customFormat="1" outlineLevel="1" x14ac:dyDescent="0.2">
      <c r="C298" s="114" t="str">
        <f>HL_LVL2_ACTV_20_Name</f>
        <v>Microplanning Activity #4 (Not in Use)</v>
      </c>
    </row>
    <row r="299" spans="1:8" s="10" customFormat="1" outlineLevel="1" x14ac:dyDescent="0.2">
      <c r="E299" s="86" t="str">
        <f>MICRO_Lu!$D$135&amp;" "&amp;Lang_Cost&amp;" ("&amp;MICRO_Lu!$D$116&amp;")"</f>
        <v>Financial Cost (LCU)</v>
      </c>
      <c r="F299" s="86" t="str">
        <f>MICRO_Lu!$D$136&amp;" "&amp;Lang_Cost&amp;" ("&amp;MICRO_Lu!$D$116&amp;")"</f>
        <v>Economic Cost (LCU)</v>
      </c>
      <c r="G299" s="86" t="str">
        <f>MICRO_Lu!$D$135&amp;" "&amp;Lang_Cost&amp;" ("&amp;MICRO_Lu!$D$115&amp;")"</f>
        <v>Financial Cost (USD)</v>
      </c>
      <c r="H299" s="86" t="str">
        <f>MICRO_Lu!$D$136&amp;" "&amp;Lang_Cost&amp;" ("&amp;MICRO_Lu!$D$115&amp;")"</f>
        <v>Economic Cost (USD)</v>
      </c>
    </row>
    <row r="300" spans="1:8" s="10" customFormat="1" outlineLevel="1" x14ac:dyDescent="0.2">
      <c r="D300" s="49" t="str">
        <f>MICRO_DETAILED_COST_WKSHT!D359</f>
        <v>Supplies and Materials Category 1</v>
      </c>
      <c r="E300" s="115">
        <f>IF(DD_LVL2_ACTV_20_Currency_Selected=2,MICRO_DETAILED_COST_WKSHT!$F359*MICRO_DETAILED_COST_WKSHT!G359,MICRO_DETAILED_COST_WKSHT!$F359*(MICRO_DETAILED_COST_WKSHT!G359*LVL2_ACTV_20_Exchange_Rate))</f>
        <v>0</v>
      </c>
      <c r="F300" s="115">
        <f>IF(DD_LVL2_ACTV_20_Currency_Selected=2,MICRO_DETAILED_COST_WKSHT!$F359*MICRO_DETAILED_COST_WKSHT!H359,MICRO_DETAILED_COST_WKSHT!$F359*(MICRO_DETAILED_COST_WKSHT!H359*LVL2_ACTV_20_Exchange_Rate))</f>
        <v>0</v>
      </c>
      <c r="G300" s="116">
        <f t="shared" ref="G300:G309" si="28">E300/LVL2_ACTV_20_Exchange_Rate</f>
        <v>0</v>
      </c>
      <c r="H300" s="116">
        <f t="shared" ref="H300:H309" si="29">F300/LVL2_ACTV_20_Exchange_Rate</f>
        <v>0</v>
      </c>
    </row>
    <row r="301" spans="1:8" s="10" customFormat="1" outlineLevel="1" x14ac:dyDescent="0.2">
      <c r="D301" s="49" t="str">
        <f>MICRO_DETAILED_COST_WKSHT!D360</f>
        <v>Supplies and Materials Category 2</v>
      </c>
      <c r="E301" s="115">
        <f>IF(DD_LVL2_ACTV_20_Currency_Selected=2,MICRO_DETAILED_COST_WKSHT!$F360*MICRO_DETAILED_COST_WKSHT!G360,MICRO_DETAILED_COST_WKSHT!$F360*(MICRO_DETAILED_COST_WKSHT!G360*LVL2_ACTV_20_Exchange_Rate))</f>
        <v>0</v>
      </c>
      <c r="F301" s="115">
        <f>IF(DD_LVL2_ACTV_20_Currency_Selected=2,MICRO_DETAILED_COST_WKSHT!$F360*MICRO_DETAILED_COST_WKSHT!H360,MICRO_DETAILED_COST_WKSHT!$F360*(MICRO_DETAILED_COST_WKSHT!H360*LVL2_ACTV_20_Exchange_Rate))</f>
        <v>0</v>
      </c>
      <c r="G301" s="116">
        <f t="shared" si="28"/>
        <v>0</v>
      </c>
      <c r="H301" s="116">
        <f t="shared" si="29"/>
        <v>0</v>
      </c>
    </row>
    <row r="302" spans="1:8" s="10" customFormat="1" outlineLevel="1" x14ac:dyDescent="0.2">
      <c r="D302" s="49" t="str">
        <f>MICRO_DETAILED_COST_WKSHT!D361</f>
        <v>Supplies and Materials Category 3</v>
      </c>
      <c r="E302" s="115">
        <f>IF(DD_LVL2_ACTV_20_Currency_Selected=2,MICRO_DETAILED_COST_WKSHT!$F361*MICRO_DETAILED_COST_WKSHT!G361,MICRO_DETAILED_COST_WKSHT!$F361*(MICRO_DETAILED_COST_WKSHT!G361*LVL2_ACTV_20_Exchange_Rate))</f>
        <v>0</v>
      </c>
      <c r="F302" s="115">
        <f>IF(DD_LVL2_ACTV_20_Currency_Selected=2,MICRO_DETAILED_COST_WKSHT!$F361*MICRO_DETAILED_COST_WKSHT!H361,MICRO_DETAILED_COST_WKSHT!$F361*(MICRO_DETAILED_COST_WKSHT!H361*LVL2_ACTV_20_Exchange_Rate))</f>
        <v>0</v>
      </c>
      <c r="G302" s="116">
        <f t="shared" si="28"/>
        <v>0</v>
      </c>
      <c r="H302" s="116">
        <f t="shared" si="29"/>
        <v>0</v>
      </c>
    </row>
    <row r="303" spans="1:8" s="10" customFormat="1" outlineLevel="1" x14ac:dyDescent="0.2">
      <c r="D303" s="49" t="str">
        <f>MICRO_DETAILED_COST_WKSHT!D362</f>
        <v>Supplies and Materials Category 4</v>
      </c>
      <c r="E303" s="115">
        <f>IF(DD_LVL2_ACTV_20_Currency_Selected=2,MICRO_DETAILED_COST_WKSHT!$F362*MICRO_DETAILED_COST_WKSHT!G362,MICRO_DETAILED_COST_WKSHT!$F362*(MICRO_DETAILED_COST_WKSHT!G362*LVL2_ACTV_20_Exchange_Rate))</f>
        <v>0</v>
      </c>
      <c r="F303" s="115">
        <f>IF(DD_LVL2_ACTV_20_Currency_Selected=2,MICRO_DETAILED_COST_WKSHT!$F362*MICRO_DETAILED_COST_WKSHT!H362,MICRO_DETAILED_COST_WKSHT!$F362*(MICRO_DETAILED_COST_WKSHT!H362*LVL2_ACTV_20_Exchange_Rate))</f>
        <v>0</v>
      </c>
      <c r="G303" s="116">
        <f t="shared" si="28"/>
        <v>0</v>
      </c>
      <c r="H303" s="116">
        <f t="shared" si="29"/>
        <v>0</v>
      </c>
    </row>
    <row r="304" spans="1:8" s="10" customFormat="1" outlineLevel="1" x14ac:dyDescent="0.2">
      <c r="D304" s="49" t="str">
        <f>MICRO_DETAILED_COST_WKSHT!D363</f>
        <v>Supplies and Materials Category 5</v>
      </c>
      <c r="E304" s="115">
        <f>IF(DD_LVL2_ACTV_20_Currency_Selected=2,MICRO_DETAILED_COST_WKSHT!$F363*MICRO_DETAILED_COST_WKSHT!G363,MICRO_DETAILED_COST_WKSHT!$F363*(MICRO_DETAILED_COST_WKSHT!G363*LVL2_ACTV_20_Exchange_Rate))</f>
        <v>0</v>
      </c>
      <c r="F304" s="115">
        <f>IF(DD_LVL2_ACTV_20_Currency_Selected=2,MICRO_DETAILED_COST_WKSHT!$F363*MICRO_DETAILED_COST_WKSHT!H363,MICRO_DETAILED_COST_WKSHT!$F363*(MICRO_DETAILED_COST_WKSHT!H363*LVL2_ACTV_20_Exchange_Rate))</f>
        <v>0</v>
      </c>
      <c r="G304" s="116">
        <f t="shared" si="28"/>
        <v>0</v>
      </c>
      <c r="H304" s="116">
        <f t="shared" si="29"/>
        <v>0</v>
      </c>
    </row>
    <row r="305" spans="1:8" s="10" customFormat="1" outlineLevel="1" x14ac:dyDescent="0.2">
      <c r="D305" s="49" t="str">
        <f>MICRO_DETAILED_COST_WKSHT!D364</f>
        <v>Supplies and Materials Category 6</v>
      </c>
      <c r="E305" s="115">
        <f>IF(DD_LVL2_ACTV_20_Currency_Selected=2,MICRO_DETAILED_COST_WKSHT!$F364*MICRO_DETAILED_COST_WKSHT!G364,MICRO_DETAILED_COST_WKSHT!$F364*(MICRO_DETAILED_COST_WKSHT!G364*LVL2_ACTV_20_Exchange_Rate))</f>
        <v>0</v>
      </c>
      <c r="F305" s="115">
        <f>IF(DD_LVL2_ACTV_20_Currency_Selected=2,MICRO_DETAILED_COST_WKSHT!$F364*MICRO_DETAILED_COST_WKSHT!H364,MICRO_DETAILED_COST_WKSHT!$F364*(MICRO_DETAILED_COST_WKSHT!H364*LVL2_ACTV_20_Exchange_Rate))</f>
        <v>0</v>
      </c>
      <c r="G305" s="116">
        <f t="shared" si="28"/>
        <v>0</v>
      </c>
      <c r="H305" s="116">
        <f t="shared" si="29"/>
        <v>0</v>
      </c>
    </row>
    <row r="306" spans="1:8" s="10" customFormat="1" outlineLevel="1" x14ac:dyDescent="0.2">
      <c r="D306" s="49" t="str">
        <f>MICRO_DETAILED_COST_WKSHT!D365</f>
        <v>Supplies and Materials Category 7</v>
      </c>
      <c r="E306" s="115">
        <f>IF(DD_LVL2_ACTV_20_Currency_Selected=2,MICRO_DETAILED_COST_WKSHT!$F365*MICRO_DETAILED_COST_WKSHT!G365,MICRO_DETAILED_COST_WKSHT!$F365*(MICRO_DETAILED_COST_WKSHT!G365*LVL2_ACTV_20_Exchange_Rate))</f>
        <v>0</v>
      </c>
      <c r="F306" s="115">
        <f>IF(DD_LVL2_ACTV_20_Currency_Selected=2,MICRO_DETAILED_COST_WKSHT!$F365*MICRO_DETAILED_COST_WKSHT!H365,MICRO_DETAILED_COST_WKSHT!$F365*(MICRO_DETAILED_COST_WKSHT!H365*LVL2_ACTV_20_Exchange_Rate))</f>
        <v>0</v>
      </c>
      <c r="G306" s="116">
        <f t="shared" si="28"/>
        <v>0</v>
      </c>
      <c r="H306" s="116">
        <f t="shared" si="29"/>
        <v>0</v>
      </c>
    </row>
    <row r="307" spans="1:8" s="10" customFormat="1" outlineLevel="1" x14ac:dyDescent="0.2">
      <c r="D307" s="49" t="str">
        <f>MICRO_DETAILED_COST_WKSHT!D366</f>
        <v>Supplies and Materials Category 8</v>
      </c>
      <c r="E307" s="115">
        <f>IF(DD_LVL2_ACTV_20_Currency_Selected=2,MICRO_DETAILED_COST_WKSHT!$F366*MICRO_DETAILED_COST_WKSHT!G366,MICRO_DETAILED_COST_WKSHT!$F366*(MICRO_DETAILED_COST_WKSHT!G366*LVL2_ACTV_20_Exchange_Rate))</f>
        <v>0</v>
      </c>
      <c r="F307" s="115">
        <f>IF(DD_LVL2_ACTV_20_Currency_Selected=2,MICRO_DETAILED_COST_WKSHT!$F366*MICRO_DETAILED_COST_WKSHT!H366,MICRO_DETAILED_COST_WKSHT!$F366*(MICRO_DETAILED_COST_WKSHT!H366*LVL2_ACTV_20_Exchange_Rate))</f>
        <v>0</v>
      </c>
      <c r="G307" s="116">
        <f t="shared" si="28"/>
        <v>0</v>
      </c>
      <c r="H307" s="116">
        <f t="shared" si="29"/>
        <v>0</v>
      </c>
    </row>
    <row r="308" spans="1:8" s="10" customFormat="1" outlineLevel="1" x14ac:dyDescent="0.2">
      <c r="D308" s="49" t="str">
        <f>MICRO_DETAILED_COST_WKSHT!D367</f>
        <v>Supplies and Materials Category 9</v>
      </c>
      <c r="E308" s="115">
        <f>IF(DD_LVL2_ACTV_20_Currency_Selected=2,MICRO_DETAILED_COST_WKSHT!$F367*MICRO_DETAILED_COST_WKSHT!G367,MICRO_DETAILED_COST_WKSHT!$F367*(MICRO_DETAILED_COST_WKSHT!G367*LVL2_ACTV_20_Exchange_Rate))</f>
        <v>0</v>
      </c>
      <c r="F308" s="115">
        <f>IF(DD_LVL2_ACTV_20_Currency_Selected=2,MICRO_DETAILED_COST_WKSHT!$F367*MICRO_DETAILED_COST_WKSHT!H367,MICRO_DETAILED_COST_WKSHT!$F367*(MICRO_DETAILED_COST_WKSHT!H367*LVL2_ACTV_20_Exchange_Rate))</f>
        <v>0</v>
      </c>
      <c r="G308" s="116">
        <f t="shared" si="28"/>
        <v>0</v>
      </c>
      <c r="H308" s="116">
        <f t="shared" si="29"/>
        <v>0</v>
      </c>
    </row>
    <row r="309" spans="1:8" s="10" customFormat="1" outlineLevel="1" x14ac:dyDescent="0.2">
      <c r="D309" s="49" t="str">
        <f>MICRO_DETAILED_COST_WKSHT!D368</f>
        <v>Supplies and Materials Category 10</v>
      </c>
      <c r="E309" s="115">
        <f>IF(DD_LVL2_ACTV_20_Currency_Selected=2,MICRO_DETAILED_COST_WKSHT!$F368*MICRO_DETAILED_COST_WKSHT!G368,MICRO_DETAILED_COST_WKSHT!$F368*(MICRO_DETAILED_COST_WKSHT!G368*LVL2_ACTV_20_Exchange_Rate))</f>
        <v>0</v>
      </c>
      <c r="F309" s="115">
        <f>IF(DD_LVL2_ACTV_20_Currency_Selected=2,MICRO_DETAILED_COST_WKSHT!$F368*MICRO_DETAILED_COST_WKSHT!H368,MICRO_DETAILED_COST_WKSHT!$F368*(MICRO_DETAILED_COST_WKSHT!H368*LVL2_ACTV_20_Exchange_Rate))</f>
        <v>0</v>
      </c>
      <c r="G309" s="116">
        <f t="shared" si="28"/>
        <v>0</v>
      </c>
      <c r="H309" s="116">
        <f t="shared" si="29"/>
        <v>0</v>
      </c>
    </row>
    <row r="310" spans="1:8" s="10" customFormat="1" outlineLevel="1" x14ac:dyDescent="0.2">
      <c r="D310" s="48" t="str">
        <f>Lang_Supplies_And_Materials</f>
        <v>Supplies and Materials</v>
      </c>
      <c r="E310" s="120">
        <f>SUM(E300:E309)</f>
        <v>0</v>
      </c>
      <c r="F310" s="120">
        <f>SUM(F300:F309)</f>
        <v>0</v>
      </c>
      <c r="G310" s="121">
        <f>SUM(G300:G309)</f>
        <v>0</v>
      </c>
      <c r="H310" s="121">
        <f>SUM(H300:H309)</f>
        <v>0</v>
      </c>
    </row>
    <row r="311" spans="1:8" s="10" customFormat="1" outlineLevel="1" x14ac:dyDescent="0.2"/>
    <row r="312" spans="1:8" s="10" customFormat="1" outlineLevel="1" x14ac:dyDescent="0.2"/>
    <row r="313" spans="1:8" s="10" customFormat="1" outlineLevel="1" x14ac:dyDescent="0.2">
      <c r="D313" s="76" t="str">
        <f>Lang_GoTo&amp;" "&amp;HL_LVL2_ACTV_20_Supplies_and_Materials</f>
        <v>Go to Microplanning Activity #4 (Not in Use) - Detailed Supply and Material Cost Assumptions</v>
      </c>
    </row>
    <row r="314" spans="1:8" s="10" customFormat="1" outlineLevel="1" x14ac:dyDescent="0.2">
      <c r="D314" s="76" t="str">
        <f>Lang_GoTo&amp;" "&amp;HL_LVL2_ACTV_20_Cost_Summary_Output</f>
        <v>Go to Microplanning Activity #4 (Not in Use) Detailed Cost Summary</v>
      </c>
    </row>
    <row r="315" spans="1:8" s="10" customFormat="1" x14ac:dyDescent="0.2"/>
    <row r="316" spans="1:8" s="13" customFormat="1" x14ac:dyDescent="0.2">
      <c r="A316" s="12" t="s">
        <v>127</v>
      </c>
      <c r="B316" s="13" t="str">
        <f>C318&amp;" "&amp;Lang_Other_Direct_Costs_Outputs</f>
        <v>Microplanning Activity #4 (Not in Use) Other Direct Costs - Outputs</v>
      </c>
    </row>
    <row r="317" spans="1:8" s="10" customFormat="1" outlineLevel="1" x14ac:dyDescent="0.2"/>
    <row r="318" spans="1:8" s="10" customFormat="1" outlineLevel="1" x14ac:dyDescent="0.2">
      <c r="C318" s="114" t="str">
        <f>HL_LVL2_ACTV_20_Name</f>
        <v>Microplanning Activity #4 (Not in Use)</v>
      </c>
    </row>
    <row r="319" spans="1:8" s="10" customFormat="1" outlineLevel="1" x14ac:dyDescent="0.2">
      <c r="E319" s="86" t="str">
        <f>MICRO_Lu!$D$135&amp;" "&amp;Lang_Cost&amp;" ("&amp;MICRO_Lu!$D$116&amp;")"</f>
        <v>Financial Cost (LCU)</v>
      </c>
      <c r="F319" s="86" t="str">
        <f>MICRO_Lu!$D$136&amp;" "&amp;Lang_Cost&amp;" ("&amp;MICRO_Lu!$D$116&amp;")"</f>
        <v>Economic Cost (LCU)</v>
      </c>
      <c r="G319" s="86" t="str">
        <f>MICRO_Lu!$D$135&amp;" "&amp;Lang_Cost&amp;" ("&amp;MICRO_Lu!$D$115&amp;")"</f>
        <v>Financial Cost (USD)</v>
      </c>
      <c r="H319" s="86" t="str">
        <f>MICRO_Lu!$D$136&amp;" "&amp;Lang_Cost&amp;" ("&amp;MICRO_Lu!$D$115&amp;")"</f>
        <v>Economic Cost (USD)</v>
      </c>
    </row>
    <row r="320" spans="1:8" s="10" customFormat="1" outlineLevel="1" x14ac:dyDescent="0.2">
      <c r="D320" s="49" t="str">
        <f>MICRO_DETAILED_COST_WKSHT!D377</f>
        <v>Other Direct Costs (ODC) Category 1</v>
      </c>
      <c r="E320" s="115">
        <f>IF(DD_LVL2_ACTV_20_Currency_Selected=2,MICRO_DETAILED_COST_WKSHT!$F377*MICRO_DETAILED_COST_WKSHT!G377,MICRO_DETAILED_COST_WKSHT!$F377*(MICRO_DETAILED_COST_WKSHT!G377*LVL2_ACTV_20_Exchange_Rate))</f>
        <v>0</v>
      </c>
      <c r="F320" s="115">
        <f>IF(DD_LVL2_ACTV_20_Currency_Selected=2,MICRO_DETAILED_COST_WKSHT!$F377*MICRO_DETAILED_COST_WKSHT!H377,MICRO_DETAILED_COST_WKSHT!$F377*(MICRO_DETAILED_COST_WKSHT!H377*LVL2_ACTV_20_Exchange_Rate))</f>
        <v>0</v>
      </c>
      <c r="G320" s="116">
        <f t="shared" ref="G320:G329" si="30">E320/LVL2_ACTV_20_Exchange_Rate</f>
        <v>0</v>
      </c>
      <c r="H320" s="116">
        <f t="shared" ref="H320:H329" si="31">F320/LVL2_ACTV_20_Exchange_Rate</f>
        <v>0</v>
      </c>
    </row>
    <row r="321" spans="1:8" s="10" customFormat="1" outlineLevel="1" x14ac:dyDescent="0.2">
      <c r="D321" s="49" t="str">
        <f>MICRO_DETAILED_COST_WKSHT!D378</f>
        <v>Other Direct Costs (ODC) Category 2</v>
      </c>
      <c r="E321" s="115">
        <f>IF(DD_LVL2_ACTV_20_Currency_Selected=2,MICRO_DETAILED_COST_WKSHT!$F378*MICRO_DETAILED_COST_WKSHT!G378,MICRO_DETAILED_COST_WKSHT!$F378*(MICRO_DETAILED_COST_WKSHT!G378*LVL2_ACTV_20_Exchange_Rate))</f>
        <v>0</v>
      </c>
      <c r="F321" s="115">
        <f>IF(DD_LVL2_ACTV_20_Currency_Selected=2,MICRO_DETAILED_COST_WKSHT!$F378*MICRO_DETAILED_COST_WKSHT!H378,MICRO_DETAILED_COST_WKSHT!$F378*(MICRO_DETAILED_COST_WKSHT!H378*LVL2_ACTV_20_Exchange_Rate))</f>
        <v>0</v>
      </c>
      <c r="G321" s="116">
        <f t="shared" si="30"/>
        <v>0</v>
      </c>
      <c r="H321" s="116">
        <f t="shared" si="31"/>
        <v>0</v>
      </c>
    </row>
    <row r="322" spans="1:8" s="10" customFormat="1" outlineLevel="1" x14ac:dyDescent="0.2">
      <c r="D322" s="49" t="str">
        <f>MICRO_DETAILED_COST_WKSHT!D379</f>
        <v>Other Direct Costs (ODC) Category 3</v>
      </c>
      <c r="E322" s="115">
        <f>IF(DD_LVL2_ACTV_20_Currency_Selected=2,MICRO_DETAILED_COST_WKSHT!$F379*MICRO_DETAILED_COST_WKSHT!G379,MICRO_DETAILED_COST_WKSHT!$F379*(MICRO_DETAILED_COST_WKSHT!G379*LVL2_ACTV_20_Exchange_Rate))</f>
        <v>0</v>
      </c>
      <c r="F322" s="115">
        <f>IF(DD_LVL2_ACTV_20_Currency_Selected=2,MICRO_DETAILED_COST_WKSHT!$F379*MICRO_DETAILED_COST_WKSHT!H379,MICRO_DETAILED_COST_WKSHT!$F379*(MICRO_DETAILED_COST_WKSHT!H379*LVL2_ACTV_20_Exchange_Rate))</f>
        <v>0</v>
      </c>
      <c r="G322" s="116">
        <f t="shared" si="30"/>
        <v>0</v>
      </c>
      <c r="H322" s="116">
        <f t="shared" si="31"/>
        <v>0</v>
      </c>
    </row>
    <row r="323" spans="1:8" s="10" customFormat="1" outlineLevel="1" x14ac:dyDescent="0.2">
      <c r="D323" s="49" t="str">
        <f>MICRO_DETAILED_COST_WKSHT!D380</f>
        <v>Other Direct Costs (ODC) Category 4</v>
      </c>
      <c r="E323" s="115">
        <f>IF(DD_LVL2_ACTV_20_Currency_Selected=2,MICRO_DETAILED_COST_WKSHT!$F380*MICRO_DETAILED_COST_WKSHT!G380,MICRO_DETAILED_COST_WKSHT!$F380*(MICRO_DETAILED_COST_WKSHT!G380*LVL2_ACTV_20_Exchange_Rate))</f>
        <v>0</v>
      </c>
      <c r="F323" s="115">
        <f>IF(DD_LVL2_ACTV_20_Currency_Selected=2,MICRO_DETAILED_COST_WKSHT!$F380*MICRO_DETAILED_COST_WKSHT!H380,MICRO_DETAILED_COST_WKSHT!$F380*(MICRO_DETAILED_COST_WKSHT!H380*LVL2_ACTV_20_Exchange_Rate))</f>
        <v>0</v>
      </c>
      <c r="G323" s="116">
        <f t="shared" si="30"/>
        <v>0</v>
      </c>
      <c r="H323" s="116">
        <f t="shared" si="31"/>
        <v>0</v>
      </c>
    </row>
    <row r="324" spans="1:8" s="10" customFormat="1" outlineLevel="1" x14ac:dyDescent="0.2">
      <c r="D324" s="49" t="str">
        <f>MICRO_DETAILED_COST_WKSHT!D381</f>
        <v>Other Direct Costs (ODC) Category 5</v>
      </c>
      <c r="E324" s="115">
        <f>IF(DD_LVL2_ACTV_20_Currency_Selected=2,MICRO_DETAILED_COST_WKSHT!$F381*MICRO_DETAILED_COST_WKSHT!G381,MICRO_DETAILED_COST_WKSHT!$F381*(MICRO_DETAILED_COST_WKSHT!G381*LVL2_ACTV_20_Exchange_Rate))</f>
        <v>0</v>
      </c>
      <c r="F324" s="115">
        <f>IF(DD_LVL2_ACTV_20_Currency_Selected=2,MICRO_DETAILED_COST_WKSHT!$F381*MICRO_DETAILED_COST_WKSHT!H381,MICRO_DETAILED_COST_WKSHT!$F381*(MICRO_DETAILED_COST_WKSHT!H381*LVL2_ACTV_20_Exchange_Rate))</f>
        <v>0</v>
      </c>
      <c r="G324" s="116">
        <f t="shared" si="30"/>
        <v>0</v>
      </c>
      <c r="H324" s="116">
        <f t="shared" si="31"/>
        <v>0</v>
      </c>
    </row>
    <row r="325" spans="1:8" s="10" customFormat="1" outlineLevel="1" x14ac:dyDescent="0.2">
      <c r="D325" s="49" t="str">
        <f>MICRO_DETAILED_COST_WKSHT!D382</f>
        <v>Other Direct Costs (ODC) Category 6</v>
      </c>
      <c r="E325" s="115">
        <f>IF(DD_LVL2_ACTV_20_Currency_Selected=2,MICRO_DETAILED_COST_WKSHT!$F382*MICRO_DETAILED_COST_WKSHT!G382,MICRO_DETAILED_COST_WKSHT!$F382*(MICRO_DETAILED_COST_WKSHT!G382*LVL2_ACTV_20_Exchange_Rate))</f>
        <v>0</v>
      </c>
      <c r="F325" s="115">
        <f>IF(DD_LVL2_ACTV_20_Currency_Selected=2,MICRO_DETAILED_COST_WKSHT!$F382*MICRO_DETAILED_COST_WKSHT!H382,MICRO_DETAILED_COST_WKSHT!$F382*(MICRO_DETAILED_COST_WKSHT!H382*LVL2_ACTV_20_Exchange_Rate))</f>
        <v>0</v>
      </c>
      <c r="G325" s="116">
        <f t="shared" si="30"/>
        <v>0</v>
      </c>
      <c r="H325" s="116">
        <f t="shared" si="31"/>
        <v>0</v>
      </c>
    </row>
    <row r="326" spans="1:8" s="10" customFormat="1" outlineLevel="1" x14ac:dyDescent="0.2">
      <c r="D326" s="49" t="str">
        <f>MICRO_DETAILED_COST_WKSHT!D383</f>
        <v>Other Direct Costs (ODC) Category 7</v>
      </c>
      <c r="E326" s="115">
        <f>IF(DD_LVL2_ACTV_20_Currency_Selected=2,MICRO_DETAILED_COST_WKSHT!$F383*MICRO_DETAILED_COST_WKSHT!G383,MICRO_DETAILED_COST_WKSHT!$F383*(MICRO_DETAILED_COST_WKSHT!G383*LVL2_ACTV_20_Exchange_Rate))</f>
        <v>0</v>
      </c>
      <c r="F326" s="115">
        <f>IF(DD_LVL2_ACTV_20_Currency_Selected=2,MICRO_DETAILED_COST_WKSHT!$F383*MICRO_DETAILED_COST_WKSHT!H383,MICRO_DETAILED_COST_WKSHT!$F383*(MICRO_DETAILED_COST_WKSHT!H383*LVL2_ACTV_20_Exchange_Rate))</f>
        <v>0</v>
      </c>
      <c r="G326" s="116">
        <f t="shared" si="30"/>
        <v>0</v>
      </c>
      <c r="H326" s="116">
        <f t="shared" si="31"/>
        <v>0</v>
      </c>
    </row>
    <row r="327" spans="1:8" s="10" customFormat="1" outlineLevel="1" x14ac:dyDescent="0.2">
      <c r="D327" s="49" t="str">
        <f>MICRO_DETAILED_COST_WKSHT!D384</f>
        <v>Other Direct Costs (ODC) Category 8</v>
      </c>
      <c r="E327" s="115">
        <f>IF(DD_LVL2_ACTV_20_Currency_Selected=2,MICRO_DETAILED_COST_WKSHT!$F384*MICRO_DETAILED_COST_WKSHT!G384,MICRO_DETAILED_COST_WKSHT!$F384*(MICRO_DETAILED_COST_WKSHT!G384*LVL2_ACTV_20_Exchange_Rate))</f>
        <v>0</v>
      </c>
      <c r="F327" s="115">
        <f>IF(DD_LVL2_ACTV_20_Currency_Selected=2,MICRO_DETAILED_COST_WKSHT!$F384*MICRO_DETAILED_COST_WKSHT!H384,MICRO_DETAILED_COST_WKSHT!$F384*(MICRO_DETAILED_COST_WKSHT!H384*LVL2_ACTV_20_Exchange_Rate))</f>
        <v>0</v>
      </c>
      <c r="G327" s="116">
        <f t="shared" si="30"/>
        <v>0</v>
      </c>
      <c r="H327" s="116">
        <f t="shared" si="31"/>
        <v>0</v>
      </c>
    </row>
    <row r="328" spans="1:8" s="10" customFormat="1" outlineLevel="1" x14ac:dyDescent="0.2">
      <c r="D328" s="49" t="str">
        <f>MICRO_DETAILED_COST_WKSHT!D385</f>
        <v>Other Direct Costs (ODC) Category 9</v>
      </c>
      <c r="E328" s="115">
        <f>IF(DD_LVL2_ACTV_20_Currency_Selected=2,MICRO_DETAILED_COST_WKSHT!$F385*MICRO_DETAILED_COST_WKSHT!G385,MICRO_DETAILED_COST_WKSHT!$F385*(MICRO_DETAILED_COST_WKSHT!G385*LVL2_ACTV_20_Exchange_Rate))</f>
        <v>0</v>
      </c>
      <c r="F328" s="115">
        <f>IF(DD_LVL2_ACTV_20_Currency_Selected=2,MICRO_DETAILED_COST_WKSHT!$F385*MICRO_DETAILED_COST_WKSHT!H385,MICRO_DETAILED_COST_WKSHT!$F385*(MICRO_DETAILED_COST_WKSHT!H385*LVL2_ACTV_20_Exchange_Rate))</f>
        <v>0</v>
      </c>
      <c r="G328" s="116">
        <f t="shared" si="30"/>
        <v>0</v>
      </c>
      <c r="H328" s="116">
        <f t="shared" si="31"/>
        <v>0</v>
      </c>
    </row>
    <row r="329" spans="1:8" s="10" customFormat="1" outlineLevel="1" x14ac:dyDescent="0.2">
      <c r="D329" s="49" t="str">
        <f>MICRO_DETAILED_COST_WKSHT!D386</f>
        <v>Other Direct Costs (ODC) Category 10</v>
      </c>
      <c r="E329" s="115">
        <f>IF(DD_LVL2_ACTV_20_Currency_Selected=2,MICRO_DETAILED_COST_WKSHT!$F386*MICRO_DETAILED_COST_WKSHT!G386,MICRO_DETAILED_COST_WKSHT!$F386*(MICRO_DETAILED_COST_WKSHT!G386*LVL2_ACTV_20_Exchange_Rate))</f>
        <v>0</v>
      </c>
      <c r="F329" s="115">
        <f>IF(DD_LVL2_ACTV_20_Currency_Selected=2,MICRO_DETAILED_COST_WKSHT!$F386*MICRO_DETAILED_COST_WKSHT!H386,MICRO_DETAILED_COST_WKSHT!$F386*(MICRO_DETAILED_COST_WKSHT!H386*LVL2_ACTV_20_Exchange_Rate))</f>
        <v>0</v>
      </c>
      <c r="G329" s="116">
        <f t="shared" si="30"/>
        <v>0</v>
      </c>
      <c r="H329" s="116">
        <f t="shared" si="31"/>
        <v>0</v>
      </c>
    </row>
    <row r="330" spans="1:8" s="10" customFormat="1" outlineLevel="1" x14ac:dyDescent="0.2">
      <c r="D330" s="48" t="str">
        <f>Lang_Other_Direct_Costs</f>
        <v>Other Direct Costs</v>
      </c>
      <c r="E330" s="120">
        <f>SUM(E320:E329)</f>
        <v>0</v>
      </c>
      <c r="F330" s="120">
        <f>SUM(F320:F329)</f>
        <v>0</v>
      </c>
      <c r="G330" s="121">
        <f>SUM(G320:G329)</f>
        <v>0</v>
      </c>
      <c r="H330" s="121">
        <f>SUM(H320:H329)</f>
        <v>0</v>
      </c>
    </row>
    <row r="331" spans="1:8" s="10" customFormat="1" outlineLevel="1" x14ac:dyDescent="0.2"/>
    <row r="332" spans="1:8" s="10" customFormat="1" outlineLevel="1" x14ac:dyDescent="0.2">
      <c r="D332" s="76" t="str">
        <f>Lang_GoTo&amp;" "&amp;HL_LVL2_ACTV_20_Other_Direct_Costs</f>
        <v>Go to Microplanning Activity #4 (Not in Use) - Detailed Other Direct Cost Assumptions</v>
      </c>
    </row>
    <row r="333" spans="1:8" s="10" customFormat="1" outlineLevel="1" x14ac:dyDescent="0.2">
      <c r="D333" s="76" t="str">
        <f>Lang_GoTo&amp;" "&amp;HL_LVL2_ACTV_20_Cost_Summary_Output</f>
        <v>Go to Microplanning Activity #4 (Not in Use) Detailed Cost Summary</v>
      </c>
    </row>
    <row r="334" spans="1:8" s="10" customFormat="1" x14ac:dyDescent="0.2"/>
    <row r="335" spans="1:8" s="13" customFormat="1" x14ac:dyDescent="0.2">
      <c r="A335" s="12" t="s">
        <v>127</v>
      </c>
      <c r="B335" s="13" t="str">
        <f>HL_TOP_ACTV_2_Name&amp;" "&amp;Lang_Personnel_Outputs</f>
        <v>Training Activity #1 (Not in Use) Personnel - Outputs</v>
      </c>
    </row>
    <row r="336" spans="1:8" s="10" customFormat="1" outlineLevel="1" x14ac:dyDescent="0.2"/>
    <row r="337" spans="3:8" s="10" customFormat="1" outlineLevel="1" x14ac:dyDescent="0.2">
      <c r="C337" s="114" t="str">
        <f>HL_TOP_ACTV_2_Name</f>
        <v>Training Activity #1 (Not in Use)</v>
      </c>
    </row>
    <row r="338" spans="3:8" s="10" customFormat="1" outlineLevel="1" x14ac:dyDescent="0.2">
      <c r="E338" s="86" t="str">
        <f>TRAIN_Lu!$D$30&amp;" "&amp;Lang_Cost&amp;" ("&amp;TRAIN_Lu!$D$11&amp;")"</f>
        <v>Financial Cost (LCU)</v>
      </c>
      <c r="F338" s="86" t="str">
        <f>TRAIN_Lu!$D$31&amp;" "&amp;Lang_Cost&amp;" ("&amp;TRAIN_Lu!$D$11&amp;")"</f>
        <v>Economic Cost (LCU)</v>
      </c>
      <c r="G338" s="86" t="str">
        <f>TRAIN_Lu!$D$30&amp;" "&amp;Lang_Cost&amp;" ("&amp;TRAIN_Lu!$D$10&amp;")"</f>
        <v>Financial Cost (USD)</v>
      </c>
      <c r="H338" s="86" t="str">
        <f>TRAIN_Lu!$D$31&amp;" "&amp;Lang_Cost&amp;" ("&amp;TRAIN_Lu!$D$10&amp;")"</f>
        <v>Economic Cost (USD)</v>
      </c>
    </row>
    <row r="339" spans="3:8" s="10" customFormat="1" outlineLevel="1" x14ac:dyDescent="0.2">
      <c r="D339" s="49" t="str">
        <f>TRAIN_DETAILED_COST_WKSHT!D28</f>
        <v>Personnel Category 1</v>
      </c>
      <c r="E339" s="115">
        <f>IF(DD_TOP_ACTV_2_Detailed_Currency_Used=2,TRAIN_DETAILED_COST_WKSHT!$F28*TRAIN_DETAILED_COST_WKSHT!G28,TRAIN_DETAILED_COST_WKSHT!$F28*(TRAIN_DETAILED_COST_WKSHT!G28*TOP_ACTV_2_Exchange_Rate))</f>
        <v>0</v>
      </c>
      <c r="F339" s="115">
        <f>IF(DD_TOP_ACTV_2_Detailed_Currency_Used=2,TRAIN_DETAILED_COST_WKSHT!$F28*TRAIN_DETAILED_COST_WKSHT!H28,TRAIN_DETAILED_COST_WKSHT!$F28*(TRAIN_DETAILED_COST_WKSHT!H28*TOP_ACTV_2_Exchange_Rate))</f>
        <v>0</v>
      </c>
      <c r="G339" s="116">
        <f t="shared" ref="G339:G353" si="32">IFERROR(E339/TOP_ACTV_2_Exchange_Rate,0)</f>
        <v>0</v>
      </c>
      <c r="H339" s="116">
        <f t="shared" ref="H339:H353" si="33">IFERROR(F339/TOP_ACTV_2_Exchange_Rate,0)</f>
        <v>0</v>
      </c>
    </row>
    <row r="340" spans="3:8" s="10" customFormat="1" outlineLevel="1" x14ac:dyDescent="0.2">
      <c r="D340" s="49" t="str">
        <f>TRAIN_DETAILED_COST_WKSHT!D29</f>
        <v>Personnel Category 2</v>
      </c>
      <c r="E340" s="115">
        <f>IF(DD_TOP_ACTV_2_Detailed_Currency_Used=2,TRAIN_DETAILED_COST_WKSHT!$F29*TRAIN_DETAILED_COST_WKSHT!G29,TRAIN_DETAILED_COST_WKSHT!$F29*(TRAIN_DETAILED_COST_WKSHT!G29*TOP_ACTV_2_Exchange_Rate))</f>
        <v>0</v>
      </c>
      <c r="F340" s="115">
        <f>IF(DD_TOP_ACTV_2_Detailed_Currency_Used=2,TRAIN_DETAILED_COST_WKSHT!$F29*TRAIN_DETAILED_COST_WKSHT!H29,TRAIN_DETAILED_COST_WKSHT!$F29*(TRAIN_DETAILED_COST_WKSHT!H29*TOP_ACTV_2_Exchange_Rate))</f>
        <v>0</v>
      </c>
      <c r="G340" s="116">
        <f t="shared" si="32"/>
        <v>0</v>
      </c>
      <c r="H340" s="116">
        <f t="shared" si="33"/>
        <v>0</v>
      </c>
    </row>
    <row r="341" spans="3:8" s="10" customFormat="1" outlineLevel="1" x14ac:dyDescent="0.2">
      <c r="D341" s="49" t="str">
        <f>TRAIN_DETAILED_COST_WKSHT!D30</f>
        <v>Personnel Category 3</v>
      </c>
      <c r="E341" s="115">
        <f>IF(DD_TOP_ACTV_2_Detailed_Currency_Used=2,TRAIN_DETAILED_COST_WKSHT!$F30*TRAIN_DETAILED_COST_WKSHT!G30,TRAIN_DETAILED_COST_WKSHT!$F30*(TRAIN_DETAILED_COST_WKSHT!G30*TOP_ACTV_2_Exchange_Rate))</f>
        <v>0</v>
      </c>
      <c r="F341" s="115">
        <f>IF(DD_TOP_ACTV_2_Detailed_Currency_Used=2,TRAIN_DETAILED_COST_WKSHT!$F30*TRAIN_DETAILED_COST_WKSHT!H30,TRAIN_DETAILED_COST_WKSHT!$F30*(TRAIN_DETAILED_COST_WKSHT!H30*TOP_ACTV_2_Exchange_Rate))</f>
        <v>0</v>
      </c>
      <c r="G341" s="116">
        <f t="shared" si="32"/>
        <v>0</v>
      </c>
      <c r="H341" s="116">
        <f t="shared" si="33"/>
        <v>0</v>
      </c>
    </row>
    <row r="342" spans="3:8" s="10" customFormat="1" outlineLevel="1" x14ac:dyDescent="0.2">
      <c r="D342" s="49" t="str">
        <f>TRAIN_DETAILED_COST_WKSHT!D31</f>
        <v>Personnel Category 4</v>
      </c>
      <c r="E342" s="115">
        <f>IF(DD_TOP_ACTV_2_Detailed_Currency_Used=2,TRAIN_DETAILED_COST_WKSHT!$F31*TRAIN_DETAILED_COST_WKSHT!G31,TRAIN_DETAILED_COST_WKSHT!$F31*(TRAIN_DETAILED_COST_WKSHT!G31*TOP_ACTV_2_Exchange_Rate))</f>
        <v>0</v>
      </c>
      <c r="F342" s="115">
        <f>IF(DD_TOP_ACTV_2_Detailed_Currency_Used=2,TRAIN_DETAILED_COST_WKSHT!$F31*TRAIN_DETAILED_COST_WKSHT!H31,TRAIN_DETAILED_COST_WKSHT!$F31*(TRAIN_DETAILED_COST_WKSHT!H31*TOP_ACTV_2_Exchange_Rate))</f>
        <v>0</v>
      </c>
      <c r="G342" s="116">
        <f t="shared" si="32"/>
        <v>0</v>
      </c>
      <c r="H342" s="116">
        <f t="shared" si="33"/>
        <v>0</v>
      </c>
    </row>
    <row r="343" spans="3:8" s="10" customFormat="1" outlineLevel="1" x14ac:dyDescent="0.2">
      <c r="D343" s="49" t="str">
        <f>TRAIN_DETAILED_COST_WKSHT!D32</f>
        <v>Personnel Category 5</v>
      </c>
      <c r="E343" s="115">
        <f>IF(DD_TOP_ACTV_2_Detailed_Currency_Used=2,TRAIN_DETAILED_COST_WKSHT!$F32*TRAIN_DETAILED_COST_WKSHT!G32,TRAIN_DETAILED_COST_WKSHT!$F32*(TRAIN_DETAILED_COST_WKSHT!G32*TOP_ACTV_2_Exchange_Rate))</f>
        <v>0</v>
      </c>
      <c r="F343" s="115">
        <f>IF(DD_TOP_ACTV_2_Detailed_Currency_Used=2,TRAIN_DETAILED_COST_WKSHT!$F32*TRAIN_DETAILED_COST_WKSHT!H32,TRAIN_DETAILED_COST_WKSHT!$F32*(TRAIN_DETAILED_COST_WKSHT!H32*TOP_ACTV_2_Exchange_Rate))</f>
        <v>0</v>
      </c>
      <c r="G343" s="116">
        <f t="shared" si="32"/>
        <v>0</v>
      </c>
      <c r="H343" s="116">
        <f t="shared" si="33"/>
        <v>0</v>
      </c>
    </row>
    <row r="344" spans="3:8" s="10" customFormat="1" outlineLevel="1" x14ac:dyDescent="0.2">
      <c r="D344" s="49" t="str">
        <f>TRAIN_DETAILED_COST_WKSHT!D33</f>
        <v>Personnel Category 6</v>
      </c>
      <c r="E344" s="115">
        <f>IF(DD_TOP_ACTV_2_Detailed_Currency_Used=2,TRAIN_DETAILED_COST_WKSHT!$F33*TRAIN_DETAILED_COST_WKSHT!G33,TRAIN_DETAILED_COST_WKSHT!$F33*(TRAIN_DETAILED_COST_WKSHT!G33*TOP_ACTV_2_Exchange_Rate))</f>
        <v>0</v>
      </c>
      <c r="F344" s="115">
        <f>IF(DD_TOP_ACTV_2_Detailed_Currency_Used=2,TRAIN_DETAILED_COST_WKSHT!$F33*TRAIN_DETAILED_COST_WKSHT!H33,TRAIN_DETAILED_COST_WKSHT!$F33*(TRAIN_DETAILED_COST_WKSHT!H33*TOP_ACTV_2_Exchange_Rate))</f>
        <v>0</v>
      </c>
      <c r="G344" s="116">
        <f t="shared" si="32"/>
        <v>0</v>
      </c>
      <c r="H344" s="116">
        <f t="shared" si="33"/>
        <v>0</v>
      </c>
    </row>
    <row r="345" spans="3:8" s="10" customFormat="1" outlineLevel="1" x14ac:dyDescent="0.2">
      <c r="D345" s="49" t="str">
        <f>TRAIN_DETAILED_COST_WKSHT!D34</f>
        <v>Personnel Category 7</v>
      </c>
      <c r="E345" s="115">
        <f>IF(DD_TOP_ACTV_2_Detailed_Currency_Used=2,TRAIN_DETAILED_COST_WKSHT!$F34*TRAIN_DETAILED_COST_WKSHT!G34,TRAIN_DETAILED_COST_WKSHT!$F34*(TRAIN_DETAILED_COST_WKSHT!G34*TOP_ACTV_2_Exchange_Rate))</f>
        <v>0</v>
      </c>
      <c r="F345" s="115">
        <f>IF(DD_TOP_ACTV_2_Detailed_Currency_Used=2,TRAIN_DETAILED_COST_WKSHT!$F34*TRAIN_DETAILED_COST_WKSHT!H34,TRAIN_DETAILED_COST_WKSHT!$F34*(TRAIN_DETAILED_COST_WKSHT!H34*TOP_ACTV_2_Exchange_Rate))</f>
        <v>0</v>
      </c>
      <c r="G345" s="116">
        <f t="shared" si="32"/>
        <v>0</v>
      </c>
      <c r="H345" s="116">
        <f t="shared" si="33"/>
        <v>0</v>
      </c>
    </row>
    <row r="346" spans="3:8" s="10" customFormat="1" outlineLevel="1" x14ac:dyDescent="0.2">
      <c r="D346" s="49" t="str">
        <f>TRAIN_DETAILED_COST_WKSHT!D35</f>
        <v>Personnel Category 8</v>
      </c>
      <c r="E346" s="115">
        <f>IF(DD_TOP_ACTV_2_Detailed_Currency_Used=2,TRAIN_DETAILED_COST_WKSHT!$F35*TRAIN_DETAILED_COST_WKSHT!G35,TRAIN_DETAILED_COST_WKSHT!$F35*(TRAIN_DETAILED_COST_WKSHT!G35*TOP_ACTV_2_Exchange_Rate))</f>
        <v>0</v>
      </c>
      <c r="F346" s="115">
        <f>IF(DD_TOP_ACTV_2_Detailed_Currency_Used=2,TRAIN_DETAILED_COST_WKSHT!$F35*TRAIN_DETAILED_COST_WKSHT!H35,TRAIN_DETAILED_COST_WKSHT!$F35*(TRAIN_DETAILED_COST_WKSHT!H35*TOP_ACTV_2_Exchange_Rate))</f>
        <v>0</v>
      </c>
      <c r="G346" s="116">
        <f t="shared" si="32"/>
        <v>0</v>
      </c>
      <c r="H346" s="116">
        <f t="shared" si="33"/>
        <v>0</v>
      </c>
    </row>
    <row r="347" spans="3:8" s="10" customFormat="1" outlineLevel="1" x14ac:dyDescent="0.2">
      <c r="D347" s="49" t="str">
        <f>TRAIN_DETAILED_COST_WKSHT!D36</f>
        <v>Personnel Category 9</v>
      </c>
      <c r="E347" s="115">
        <f>IF(DD_TOP_ACTV_2_Detailed_Currency_Used=2,TRAIN_DETAILED_COST_WKSHT!$F36*TRAIN_DETAILED_COST_WKSHT!G36,TRAIN_DETAILED_COST_WKSHT!$F36*(TRAIN_DETAILED_COST_WKSHT!G36*TOP_ACTV_2_Exchange_Rate))</f>
        <v>0</v>
      </c>
      <c r="F347" s="115">
        <f>IF(DD_TOP_ACTV_2_Detailed_Currency_Used=2,TRAIN_DETAILED_COST_WKSHT!$F36*TRAIN_DETAILED_COST_WKSHT!H36,TRAIN_DETAILED_COST_WKSHT!$F36*(TRAIN_DETAILED_COST_WKSHT!H36*TOP_ACTV_2_Exchange_Rate))</f>
        <v>0</v>
      </c>
      <c r="G347" s="116">
        <f t="shared" si="32"/>
        <v>0</v>
      </c>
      <c r="H347" s="116">
        <f t="shared" si="33"/>
        <v>0</v>
      </c>
    </row>
    <row r="348" spans="3:8" s="10" customFormat="1" outlineLevel="1" x14ac:dyDescent="0.2">
      <c r="D348" s="49" t="str">
        <f>TRAIN_DETAILED_COST_WKSHT!D37</f>
        <v>Personnel Category 10</v>
      </c>
      <c r="E348" s="115">
        <f>IF(DD_TOP_ACTV_2_Detailed_Currency_Used=2,TRAIN_DETAILED_COST_WKSHT!$F37*TRAIN_DETAILED_COST_WKSHT!G37,TRAIN_DETAILED_COST_WKSHT!$F37*(TRAIN_DETAILED_COST_WKSHT!G37*TOP_ACTV_2_Exchange_Rate))</f>
        <v>0</v>
      </c>
      <c r="F348" s="115">
        <f>IF(DD_TOP_ACTV_2_Detailed_Currency_Used=2,TRAIN_DETAILED_COST_WKSHT!$F37*TRAIN_DETAILED_COST_WKSHT!H37,TRAIN_DETAILED_COST_WKSHT!$F37*(TRAIN_DETAILED_COST_WKSHT!H37*TOP_ACTV_2_Exchange_Rate))</f>
        <v>0</v>
      </c>
      <c r="G348" s="116">
        <f t="shared" si="32"/>
        <v>0</v>
      </c>
      <c r="H348" s="116">
        <f t="shared" si="33"/>
        <v>0</v>
      </c>
    </row>
    <row r="349" spans="3:8" s="10" customFormat="1" outlineLevel="1" x14ac:dyDescent="0.2">
      <c r="D349" s="49" t="str">
        <f>TRAIN_DETAILED_COST_WKSHT!D38</f>
        <v>Personnel Category 11</v>
      </c>
      <c r="E349" s="115">
        <f>IF(DD_TOP_ACTV_2_Detailed_Currency_Used=2,TRAIN_DETAILED_COST_WKSHT!$F38*TRAIN_DETAILED_COST_WKSHT!G38,TRAIN_DETAILED_COST_WKSHT!$F38*(TRAIN_DETAILED_COST_WKSHT!G38*TOP_ACTV_2_Exchange_Rate))</f>
        <v>0</v>
      </c>
      <c r="F349" s="115">
        <f>IF(DD_TOP_ACTV_2_Detailed_Currency_Used=2,TRAIN_DETAILED_COST_WKSHT!$F38*TRAIN_DETAILED_COST_WKSHT!H38,TRAIN_DETAILED_COST_WKSHT!$F38*(TRAIN_DETAILED_COST_WKSHT!H38*TOP_ACTV_2_Exchange_Rate))</f>
        <v>0</v>
      </c>
      <c r="G349" s="116">
        <f t="shared" si="32"/>
        <v>0</v>
      </c>
      <c r="H349" s="116">
        <f t="shared" si="33"/>
        <v>0</v>
      </c>
    </row>
    <row r="350" spans="3:8" s="10" customFormat="1" outlineLevel="1" x14ac:dyDescent="0.2">
      <c r="D350" s="49" t="str">
        <f>TRAIN_DETAILED_COST_WKSHT!D39</f>
        <v>Personnel Category 12</v>
      </c>
      <c r="E350" s="115">
        <f>IF(DD_TOP_ACTV_2_Detailed_Currency_Used=2,TRAIN_DETAILED_COST_WKSHT!$F39*TRAIN_DETAILED_COST_WKSHT!G39,TRAIN_DETAILED_COST_WKSHT!$F39*(TRAIN_DETAILED_COST_WKSHT!G39*TOP_ACTV_2_Exchange_Rate))</f>
        <v>0</v>
      </c>
      <c r="F350" s="115">
        <f>IF(DD_TOP_ACTV_2_Detailed_Currency_Used=2,TRAIN_DETAILED_COST_WKSHT!$F39*TRAIN_DETAILED_COST_WKSHT!H39,TRAIN_DETAILED_COST_WKSHT!$F39*(TRAIN_DETAILED_COST_WKSHT!H39*TOP_ACTV_2_Exchange_Rate))</f>
        <v>0</v>
      </c>
      <c r="G350" s="116">
        <f t="shared" si="32"/>
        <v>0</v>
      </c>
      <c r="H350" s="116">
        <f t="shared" si="33"/>
        <v>0</v>
      </c>
    </row>
    <row r="351" spans="3:8" s="10" customFormat="1" outlineLevel="1" x14ac:dyDescent="0.2">
      <c r="D351" s="49" t="str">
        <f>TRAIN_DETAILED_COST_WKSHT!D40</f>
        <v>Personnel Category 13</v>
      </c>
      <c r="E351" s="115">
        <f>IF(DD_TOP_ACTV_2_Detailed_Currency_Used=2,TRAIN_DETAILED_COST_WKSHT!$F40*TRAIN_DETAILED_COST_WKSHT!G40,TRAIN_DETAILED_COST_WKSHT!$F40*(TRAIN_DETAILED_COST_WKSHT!G40*TOP_ACTV_2_Exchange_Rate))</f>
        <v>0</v>
      </c>
      <c r="F351" s="115">
        <f>IF(DD_TOP_ACTV_2_Detailed_Currency_Used=2,TRAIN_DETAILED_COST_WKSHT!$F40*TRAIN_DETAILED_COST_WKSHT!H40,TRAIN_DETAILED_COST_WKSHT!$F40*(TRAIN_DETAILED_COST_WKSHT!H40*TOP_ACTV_2_Exchange_Rate))</f>
        <v>0</v>
      </c>
      <c r="G351" s="116">
        <f t="shared" si="32"/>
        <v>0</v>
      </c>
      <c r="H351" s="116">
        <f t="shared" si="33"/>
        <v>0</v>
      </c>
    </row>
    <row r="352" spans="3:8" s="10" customFormat="1" outlineLevel="1" x14ac:dyDescent="0.2">
      <c r="D352" s="49" t="str">
        <f>TRAIN_DETAILED_COST_WKSHT!D41</f>
        <v>Personnel Category 14</v>
      </c>
      <c r="E352" s="115">
        <f>IF(DD_TOP_ACTV_2_Detailed_Currency_Used=2,TRAIN_DETAILED_COST_WKSHT!$F41*TRAIN_DETAILED_COST_WKSHT!G41,TRAIN_DETAILED_COST_WKSHT!$F41*(TRAIN_DETAILED_COST_WKSHT!G41*TOP_ACTV_2_Exchange_Rate))</f>
        <v>0</v>
      </c>
      <c r="F352" s="115">
        <f>IF(DD_TOP_ACTV_2_Detailed_Currency_Used=2,TRAIN_DETAILED_COST_WKSHT!$F41*TRAIN_DETAILED_COST_WKSHT!H41,TRAIN_DETAILED_COST_WKSHT!$F41*(TRAIN_DETAILED_COST_WKSHT!H41*TOP_ACTV_2_Exchange_Rate))</f>
        <v>0</v>
      </c>
      <c r="G352" s="116">
        <f t="shared" si="32"/>
        <v>0</v>
      </c>
      <c r="H352" s="116">
        <f t="shared" si="33"/>
        <v>0</v>
      </c>
    </row>
    <row r="353" spans="1:8" s="10" customFormat="1" outlineLevel="1" x14ac:dyDescent="0.2">
      <c r="D353" s="49" t="str">
        <f>TRAIN_DETAILED_COST_WKSHT!D42</f>
        <v>Personnel Category 15</v>
      </c>
      <c r="E353" s="115">
        <f>IF(DD_TOP_ACTV_2_Detailed_Currency_Used=2,TRAIN_DETAILED_COST_WKSHT!$F42*TRAIN_DETAILED_COST_WKSHT!G42,TRAIN_DETAILED_COST_WKSHT!$F42*(TRAIN_DETAILED_COST_WKSHT!G42*TOP_ACTV_2_Exchange_Rate))</f>
        <v>0</v>
      </c>
      <c r="F353" s="115">
        <f>IF(DD_TOP_ACTV_2_Detailed_Currency_Used=2,TRAIN_DETAILED_COST_WKSHT!$F42*TRAIN_DETAILED_COST_WKSHT!H42,TRAIN_DETAILED_COST_WKSHT!$F42*(TRAIN_DETAILED_COST_WKSHT!H42*TOP_ACTV_2_Exchange_Rate))</f>
        <v>0</v>
      </c>
      <c r="G353" s="116">
        <f t="shared" si="32"/>
        <v>0</v>
      </c>
      <c r="H353" s="116">
        <f t="shared" si="33"/>
        <v>0</v>
      </c>
    </row>
    <row r="354" spans="1:8" s="10" customFormat="1" outlineLevel="1" x14ac:dyDescent="0.2">
      <c r="D354" s="48" t="str">
        <f>Lang_Personnel</f>
        <v>Personnel</v>
      </c>
      <c r="E354" s="120">
        <f>SUM(E339:E353)</f>
        <v>0</v>
      </c>
      <c r="F354" s="120">
        <f>SUM(F339:F353)</f>
        <v>0</v>
      </c>
      <c r="G354" s="121">
        <f>SUM(G339:G353)</f>
        <v>0</v>
      </c>
      <c r="H354" s="121">
        <f>SUM(H339:H353)</f>
        <v>0</v>
      </c>
    </row>
    <row r="355" spans="1:8" s="10" customFormat="1" outlineLevel="1" x14ac:dyDescent="0.2"/>
    <row r="356" spans="1:8" s="10" customFormat="1" outlineLevel="1" x14ac:dyDescent="0.2"/>
    <row r="357" spans="1:8" s="10" customFormat="1" outlineLevel="1" x14ac:dyDescent="0.2">
      <c r="D357" s="76" t="str">
        <f>Lang_GoTo&amp;" "&amp;HL_TOP_ACTV_2_Personnel_Assumptions</f>
        <v>Go to Training Activity #1 (Not in Use) - Detailed Personnel Cost Assumptions</v>
      </c>
    </row>
    <row r="358" spans="1:8" s="10" customFormat="1" outlineLevel="1" x14ac:dyDescent="0.2">
      <c r="D358" s="76" t="str">
        <f>Lang_GoTo&amp;" "&amp;HL_TOP_ACTV_2_Cost_Summary_Output</f>
        <v>Go to Training Activity #1 (Not in Use) Detailed Cost Summary</v>
      </c>
    </row>
    <row r="359" spans="1:8" s="10" customFormat="1" x14ac:dyDescent="0.2"/>
    <row r="360" spans="1:8" s="13" customFormat="1" x14ac:dyDescent="0.2">
      <c r="A360" s="12" t="s">
        <v>127</v>
      </c>
      <c r="B360" s="13" t="str">
        <f>HL_TOP_ACTV_2_Name&amp;" "&amp;Lang_Allowances_Outputs</f>
        <v>Training Activity #1 (Not in Use) Allowances - Outputs</v>
      </c>
    </row>
    <row r="361" spans="1:8" s="10" customFormat="1" outlineLevel="1" x14ac:dyDescent="0.2"/>
    <row r="362" spans="1:8" s="10" customFormat="1" outlineLevel="1" x14ac:dyDescent="0.2">
      <c r="C362" s="114" t="str">
        <f>HL_TOP_ACTV_2_Name</f>
        <v>Training Activity #1 (Not in Use)</v>
      </c>
    </row>
    <row r="363" spans="1:8" s="10" customFormat="1" outlineLevel="1" x14ac:dyDescent="0.2">
      <c r="E363" s="86" t="str">
        <f>TRAIN_Lu!$D$30&amp;" "&amp;Lang_Cost&amp;" ("&amp;TRAIN_Lu!$D$11&amp;")"</f>
        <v>Financial Cost (LCU)</v>
      </c>
      <c r="F363" s="86" t="str">
        <f>TRAIN_Lu!$D$31&amp;" "&amp;Lang_Cost&amp;" ("&amp;TRAIN_Lu!$D$11&amp;")"</f>
        <v>Economic Cost (LCU)</v>
      </c>
      <c r="G363" s="86" t="str">
        <f>TRAIN_Lu!$D$30&amp;" "&amp;Lang_Cost&amp;" ("&amp;TRAIN_Lu!$D$10&amp;")"</f>
        <v>Financial Cost (USD)</v>
      </c>
      <c r="H363" s="86" t="str">
        <f>TRAIN_Lu!$D$31&amp;" "&amp;Lang_Cost&amp;" ("&amp;TRAIN_Lu!$D$10&amp;")"</f>
        <v>Economic Cost (USD)</v>
      </c>
    </row>
    <row r="364" spans="1:8" s="10" customFormat="1" outlineLevel="1" x14ac:dyDescent="0.2">
      <c r="D364" s="49" t="str">
        <f>TRAIN_DETAILED_COST_WKSHT!D51</f>
        <v>Allowances Category 1</v>
      </c>
      <c r="E364" s="115">
        <f>IF(DD_TOP_ACTV_2_Detailed_Currency_Used=2,TRAIN_DETAILED_COST_WKSHT!$F51*TRAIN_DETAILED_COST_WKSHT!G51,TRAIN_DETAILED_COST_WKSHT!$F51*(TRAIN_DETAILED_COST_WKSHT!G51*TOP_ACTV_2_Exchange_Rate))</f>
        <v>0</v>
      </c>
      <c r="F364" s="115">
        <f>IF(DD_TOP_ACTV_2_Detailed_Currency_Used=2,TRAIN_DETAILED_COST_WKSHT!$F51*TRAIN_DETAILED_COST_WKSHT!H51,TRAIN_DETAILED_COST_WKSHT!$F51*(TRAIN_DETAILED_COST_WKSHT!H51*TOP_ACTV_2_Exchange_Rate))</f>
        <v>0</v>
      </c>
      <c r="G364" s="116">
        <f t="shared" ref="G364:G373" si="34">E364/TOP_ACTV_2_Exchange_Rate</f>
        <v>0</v>
      </c>
      <c r="H364" s="116">
        <f t="shared" ref="H364:H373" si="35">F364/TOP_ACTV_2_Exchange_Rate</f>
        <v>0</v>
      </c>
    </row>
    <row r="365" spans="1:8" s="10" customFormat="1" outlineLevel="1" x14ac:dyDescent="0.2">
      <c r="D365" s="49" t="str">
        <f>TRAIN_DETAILED_COST_WKSHT!D52</f>
        <v>Allowances Category 2</v>
      </c>
      <c r="E365" s="115">
        <f>IF(DD_TOP_ACTV_2_Detailed_Currency_Used=2,TRAIN_DETAILED_COST_WKSHT!$F52*TRAIN_DETAILED_COST_WKSHT!G52,TRAIN_DETAILED_COST_WKSHT!$F52*(TRAIN_DETAILED_COST_WKSHT!G52*TOP_ACTV_2_Exchange_Rate))</f>
        <v>0</v>
      </c>
      <c r="F365" s="115">
        <f>IF(DD_TOP_ACTV_2_Detailed_Currency_Used=2,TRAIN_DETAILED_COST_WKSHT!$F52*TRAIN_DETAILED_COST_WKSHT!H52,TRAIN_DETAILED_COST_WKSHT!$F52*(TRAIN_DETAILED_COST_WKSHT!H52*TOP_ACTV_2_Exchange_Rate))</f>
        <v>0</v>
      </c>
      <c r="G365" s="116">
        <f t="shared" si="34"/>
        <v>0</v>
      </c>
      <c r="H365" s="116">
        <f t="shared" si="35"/>
        <v>0</v>
      </c>
    </row>
    <row r="366" spans="1:8" s="10" customFormat="1" outlineLevel="1" x14ac:dyDescent="0.2">
      <c r="D366" s="49" t="str">
        <f>TRAIN_DETAILED_COST_WKSHT!D53</f>
        <v>Allowances Category 3</v>
      </c>
      <c r="E366" s="115">
        <f>IF(DD_TOP_ACTV_2_Detailed_Currency_Used=2,TRAIN_DETAILED_COST_WKSHT!$F53*TRAIN_DETAILED_COST_WKSHT!G53,TRAIN_DETAILED_COST_WKSHT!$F53*(TRAIN_DETAILED_COST_WKSHT!G53*TOP_ACTV_2_Exchange_Rate))</f>
        <v>0</v>
      </c>
      <c r="F366" s="115">
        <f>IF(DD_TOP_ACTV_2_Detailed_Currency_Used=2,TRAIN_DETAILED_COST_WKSHT!$F53*TRAIN_DETAILED_COST_WKSHT!H53,TRAIN_DETAILED_COST_WKSHT!$F53*(TRAIN_DETAILED_COST_WKSHT!H53*TOP_ACTV_2_Exchange_Rate))</f>
        <v>0</v>
      </c>
      <c r="G366" s="116">
        <f t="shared" si="34"/>
        <v>0</v>
      </c>
      <c r="H366" s="116">
        <f t="shared" si="35"/>
        <v>0</v>
      </c>
    </row>
    <row r="367" spans="1:8" s="10" customFormat="1" outlineLevel="1" x14ac:dyDescent="0.2">
      <c r="D367" s="49" t="str">
        <f>TRAIN_DETAILED_COST_WKSHT!D54</f>
        <v>Allowances Category 4</v>
      </c>
      <c r="E367" s="115">
        <f>IF(DD_TOP_ACTV_2_Detailed_Currency_Used=2,TRAIN_DETAILED_COST_WKSHT!$F54*TRAIN_DETAILED_COST_WKSHT!G54,TRAIN_DETAILED_COST_WKSHT!$F54*(TRAIN_DETAILED_COST_WKSHT!G54*TOP_ACTV_2_Exchange_Rate))</f>
        <v>0</v>
      </c>
      <c r="F367" s="115">
        <f>IF(DD_TOP_ACTV_2_Detailed_Currency_Used=2,TRAIN_DETAILED_COST_WKSHT!$F54*TRAIN_DETAILED_COST_WKSHT!H54,TRAIN_DETAILED_COST_WKSHT!$F54*(TRAIN_DETAILED_COST_WKSHT!H54*TOP_ACTV_2_Exchange_Rate))</f>
        <v>0</v>
      </c>
      <c r="G367" s="116">
        <f t="shared" si="34"/>
        <v>0</v>
      </c>
      <c r="H367" s="116">
        <f t="shared" si="35"/>
        <v>0</v>
      </c>
    </row>
    <row r="368" spans="1:8" s="10" customFormat="1" outlineLevel="1" x14ac:dyDescent="0.2">
      <c r="D368" s="49" t="str">
        <f>TRAIN_DETAILED_COST_WKSHT!D55</f>
        <v>Allowances Category 5</v>
      </c>
      <c r="E368" s="115">
        <f>IF(DD_TOP_ACTV_2_Detailed_Currency_Used=2,TRAIN_DETAILED_COST_WKSHT!$F55*TRAIN_DETAILED_COST_WKSHT!G55,TRAIN_DETAILED_COST_WKSHT!$F55*(TRAIN_DETAILED_COST_WKSHT!G55*TOP_ACTV_2_Exchange_Rate))</f>
        <v>0</v>
      </c>
      <c r="F368" s="115">
        <f>IF(DD_TOP_ACTV_2_Detailed_Currency_Used=2,TRAIN_DETAILED_COST_WKSHT!$F55*TRAIN_DETAILED_COST_WKSHT!H55,TRAIN_DETAILED_COST_WKSHT!$F55*(TRAIN_DETAILED_COST_WKSHT!H55*TOP_ACTV_2_Exchange_Rate))</f>
        <v>0</v>
      </c>
      <c r="G368" s="116">
        <f t="shared" si="34"/>
        <v>0</v>
      </c>
      <c r="H368" s="116">
        <f t="shared" si="35"/>
        <v>0</v>
      </c>
    </row>
    <row r="369" spans="1:8" s="10" customFormat="1" outlineLevel="1" x14ac:dyDescent="0.2">
      <c r="D369" s="49" t="str">
        <f>TRAIN_DETAILED_COST_WKSHT!D56</f>
        <v>Allowances Category 6</v>
      </c>
      <c r="E369" s="115">
        <f>IF(DD_TOP_ACTV_2_Detailed_Currency_Used=2,TRAIN_DETAILED_COST_WKSHT!$F56*TRAIN_DETAILED_COST_WKSHT!G56,TRAIN_DETAILED_COST_WKSHT!$F56*(TRAIN_DETAILED_COST_WKSHT!G56*TOP_ACTV_2_Exchange_Rate))</f>
        <v>0</v>
      </c>
      <c r="F369" s="115">
        <f>IF(DD_TOP_ACTV_2_Detailed_Currency_Used=2,TRAIN_DETAILED_COST_WKSHT!$F56*TRAIN_DETAILED_COST_WKSHT!H56,TRAIN_DETAILED_COST_WKSHT!$F56*(TRAIN_DETAILED_COST_WKSHT!H56*TOP_ACTV_2_Exchange_Rate))</f>
        <v>0</v>
      </c>
      <c r="G369" s="116">
        <f t="shared" si="34"/>
        <v>0</v>
      </c>
      <c r="H369" s="116">
        <f t="shared" si="35"/>
        <v>0</v>
      </c>
    </row>
    <row r="370" spans="1:8" s="10" customFormat="1" outlineLevel="1" x14ac:dyDescent="0.2">
      <c r="D370" s="49" t="str">
        <f>TRAIN_DETAILED_COST_WKSHT!D57</f>
        <v>Allowances Category 7</v>
      </c>
      <c r="E370" s="115">
        <f>IF(DD_TOP_ACTV_2_Detailed_Currency_Used=2,TRAIN_DETAILED_COST_WKSHT!$F57*TRAIN_DETAILED_COST_WKSHT!G57,TRAIN_DETAILED_COST_WKSHT!$F57*(TRAIN_DETAILED_COST_WKSHT!G57*TOP_ACTV_2_Exchange_Rate))</f>
        <v>0</v>
      </c>
      <c r="F370" s="115">
        <f>IF(DD_TOP_ACTV_2_Detailed_Currency_Used=2,TRAIN_DETAILED_COST_WKSHT!$F57*TRAIN_DETAILED_COST_WKSHT!H57,TRAIN_DETAILED_COST_WKSHT!$F57*(TRAIN_DETAILED_COST_WKSHT!H57*TOP_ACTV_2_Exchange_Rate))</f>
        <v>0</v>
      </c>
      <c r="G370" s="116">
        <f t="shared" si="34"/>
        <v>0</v>
      </c>
      <c r="H370" s="116">
        <f t="shared" si="35"/>
        <v>0</v>
      </c>
    </row>
    <row r="371" spans="1:8" s="10" customFormat="1" outlineLevel="1" x14ac:dyDescent="0.2">
      <c r="D371" s="49" t="str">
        <f>TRAIN_DETAILED_COST_WKSHT!D58</f>
        <v>Allowances Category 8</v>
      </c>
      <c r="E371" s="115">
        <f>IF(DD_TOP_ACTV_2_Detailed_Currency_Used=2,TRAIN_DETAILED_COST_WKSHT!$F58*TRAIN_DETAILED_COST_WKSHT!G58,TRAIN_DETAILED_COST_WKSHT!$F58*(TRAIN_DETAILED_COST_WKSHT!G58*TOP_ACTV_2_Exchange_Rate))</f>
        <v>0</v>
      </c>
      <c r="F371" s="115">
        <f>IF(DD_TOP_ACTV_2_Detailed_Currency_Used=2,TRAIN_DETAILED_COST_WKSHT!$F58*TRAIN_DETAILED_COST_WKSHT!H58,TRAIN_DETAILED_COST_WKSHT!$F58*(TRAIN_DETAILED_COST_WKSHT!H58*TOP_ACTV_2_Exchange_Rate))</f>
        <v>0</v>
      </c>
      <c r="G371" s="116">
        <f t="shared" si="34"/>
        <v>0</v>
      </c>
      <c r="H371" s="116">
        <f t="shared" si="35"/>
        <v>0</v>
      </c>
    </row>
    <row r="372" spans="1:8" s="10" customFormat="1" outlineLevel="1" x14ac:dyDescent="0.2">
      <c r="D372" s="49" t="str">
        <f>TRAIN_DETAILED_COST_WKSHT!D59</f>
        <v>Allowances Category 9</v>
      </c>
      <c r="E372" s="115">
        <f>IF(DD_TOP_ACTV_2_Detailed_Currency_Used=2,TRAIN_DETAILED_COST_WKSHT!$F59*TRAIN_DETAILED_COST_WKSHT!G59,TRAIN_DETAILED_COST_WKSHT!$F59*(TRAIN_DETAILED_COST_WKSHT!G59*TOP_ACTV_2_Exchange_Rate))</f>
        <v>0</v>
      </c>
      <c r="F372" s="115">
        <f>IF(DD_TOP_ACTV_2_Detailed_Currency_Used=2,TRAIN_DETAILED_COST_WKSHT!$F59*TRAIN_DETAILED_COST_WKSHT!H59,TRAIN_DETAILED_COST_WKSHT!$F59*(TRAIN_DETAILED_COST_WKSHT!H59*TOP_ACTV_2_Exchange_Rate))</f>
        <v>0</v>
      </c>
      <c r="G372" s="116">
        <f t="shared" si="34"/>
        <v>0</v>
      </c>
      <c r="H372" s="116">
        <f t="shared" si="35"/>
        <v>0</v>
      </c>
    </row>
    <row r="373" spans="1:8" s="10" customFormat="1" outlineLevel="1" x14ac:dyDescent="0.2">
      <c r="D373" s="49" t="str">
        <f>TRAIN_DETAILED_COST_WKSHT!D60</f>
        <v>Allowances Category 10</v>
      </c>
      <c r="E373" s="115">
        <f>IF(DD_TOP_ACTV_2_Detailed_Currency_Used=2,TRAIN_DETAILED_COST_WKSHT!$F60*TRAIN_DETAILED_COST_WKSHT!G60,TRAIN_DETAILED_COST_WKSHT!$F60*(TRAIN_DETAILED_COST_WKSHT!G60*TOP_ACTV_2_Exchange_Rate))</f>
        <v>0</v>
      </c>
      <c r="F373" s="115">
        <f>IF(DD_TOP_ACTV_2_Detailed_Currency_Used=2,TRAIN_DETAILED_COST_WKSHT!$F60*TRAIN_DETAILED_COST_WKSHT!H60,TRAIN_DETAILED_COST_WKSHT!$F60*(TRAIN_DETAILED_COST_WKSHT!H60*TOP_ACTV_2_Exchange_Rate))</f>
        <v>0</v>
      </c>
      <c r="G373" s="116">
        <f t="shared" si="34"/>
        <v>0</v>
      </c>
      <c r="H373" s="116">
        <f t="shared" si="35"/>
        <v>0</v>
      </c>
    </row>
    <row r="374" spans="1:8" s="10" customFormat="1" outlineLevel="1" x14ac:dyDescent="0.2">
      <c r="D374" s="48" t="str">
        <f>Lang_Allowances</f>
        <v>Allowances</v>
      </c>
      <c r="E374" s="120">
        <f>SUM(E364:E373)</f>
        <v>0</v>
      </c>
      <c r="F374" s="120">
        <f>SUM(F364:F373)</f>
        <v>0</v>
      </c>
      <c r="G374" s="121">
        <f>SUM(G364:G373)</f>
        <v>0</v>
      </c>
      <c r="H374" s="121">
        <f>SUM(H364:H373)</f>
        <v>0</v>
      </c>
    </row>
    <row r="375" spans="1:8" s="10" customFormat="1" outlineLevel="1" x14ac:dyDescent="0.2"/>
    <row r="376" spans="1:8" s="10" customFormat="1" outlineLevel="1" x14ac:dyDescent="0.2"/>
    <row r="377" spans="1:8" s="10" customFormat="1" outlineLevel="1" x14ac:dyDescent="0.2">
      <c r="D377" s="76" t="str">
        <f>Lang_GoTo&amp;" "&amp;HL_TOP_ACTV_2_Ass_A</f>
        <v>Go to Training Activity #1 (Not in Use) - Detailed Allowance Cost Assumptions</v>
      </c>
    </row>
    <row r="378" spans="1:8" s="10" customFormat="1" outlineLevel="1" x14ac:dyDescent="0.2">
      <c r="D378" s="76" t="str">
        <f>Lang_GoTo&amp;" "&amp;HL_TOP_ACTV_2_Cost_Summary_Output</f>
        <v>Go to Training Activity #1 (Not in Use) Detailed Cost Summary</v>
      </c>
    </row>
    <row r="379" spans="1:8" s="10" customFormat="1" x14ac:dyDescent="0.2"/>
    <row r="380" spans="1:8" s="13" customFormat="1" x14ac:dyDescent="0.2">
      <c r="A380" s="12" t="s">
        <v>127</v>
      </c>
      <c r="B380" s="13" t="str">
        <f>HL_TOP_ACTV_2_Name&amp;" "&amp;Lang_Supplies_And_Materials_Outputs</f>
        <v>Training Activity #1 (Not in Use) Supplies and Materials - Outputs</v>
      </c>
    </row>
    <row r="381" spans="1:8" s="10" customFormat="1" outlineLevel="1" x14ac:dyDescent="0.2"/>
    <row r="382" spans="1:8" s="10" customFormat="1" outlineLevel="1" x14ac:dyDescent="0.2">
      <c r="C382" s="114" t="str">
        <f>HL_TOP_ACTV_2_Name</f>
        <v>Training Activity #1 (Not in Use)</v>
      </c>
    </row>
    <row r="383" spans="1:8" s="10" customFormat="1" outlineLevel="1" x14ac:dyDescent="0.2">
      <c r="E383" s="86" t="str">
        <f>TRAIN_Lu!$D$30&amp;" "&amp;Lang_Cost&amp;" ("&amp;TRAIN_Lu!$D$11&amp;")"</f>
        <v>Financial Cost (LCU)</v>
      </c>
      <c r="F383" s="86" t="str">
        <f>TRAIN_Lu!$D$31&amp;" "&amp;Lang_Cost&amp;" ("&amp;TRAIN_Lu!$D$11&amp;")"</f>
        <v>Economic Cost (LCU)</v>
      </c>
      <c r="G383" s="86" t="str">
        <f>TRAIN_Lu!$D$30&amp;" "&amp;Lang_Cost&amp;" ("&amp;TRAIN_Lu!$D$10&amp;")"</f>
        <v>Financial Cost (USD)</v>
      </c>
      <c r="H383" s="86" t="str">
        <f>TRAIN_Lu!$D$31&amp;" "&amp;Lang_Cost&amp;" ("&amp;TRAIN_Lu!$D$10&amp;")"</f>
        <v>Economic Cost (USD)</v>
      </c>
    </row>
    <row r="384" spans="1:8" s="10" customFormat="1" outlineLevel="1" x14ac:dyDescent="0.2">
      <c r="D384" s="49" t="str">
        <f>TRAIN_DETAILED_COST_WKSHT!D69</f>
        <v>Supplies and Materials Category 1</v>
      </c>
      <c r="E384" s="115">
        <f>IF(DD_TOP_ACTV_2_Detailed_Currency_Used=2,TRAIN_DETAILED_COST_WKSHT!$F69*TRAIN_DETAILED_COST_WKSHT!G69,TRAIN_DETAILED_COST_WKSHT!$F69*(TRAIN_DETAILED_COST_WKSHT!G69*TOP_ACTV_2_Exchange_Rate))</f>
        <v>0</v>
      </c>
      <c r="F384" s="115">
        <f>IF(DD_TOP_ACTV_2_Detailed_Currency_Used=2,TRAIN_DETAILED_COST_WKSHT!$F69*TRAIN_DETAILED_COST_WKSHT!H69,TRAIN_DETAILED_COST_WKSHT!$F69*(TRAIN_DETAILED_COST_WKSHT!H69*TOP_ACTV_2_Exchange_Rate))</f>
        <v>0</v>
      </c>
      <c r="G384" s="116">
        <f t="shared" ref="G384:G393" si="36">E384/TOP_ACTV_2_Exchange_Rate</f>
        <v>0</v>
      </c>
      <c r="H384" s="116">
        <f t="shared" ref="H384:H393" si="37">F384/TOP_ACTV_2_Exchange_Rate</f>
        <v>0</v>
      </c>
    </row>
    <row r="385" spans="1:8" s="10" customFormat="1" outlineLevel="1" x14ac:dyDescent="0.2">
      <c r="D385" s="49" t="str">
        <f>TRAIN_DETAILED_COST_WKSHT!D70</f>
        <v>Supplies and Materials Category 2</v>
      </c>
      <c r="E385" s="115">
        <f>IF(DD_TOP_ACTV_2_Detailed_Currency_Used=2,TRAIN_DETAILED_COST_WKSHT!$F70*TRAIN_DETAILED_COST_WKSHT!G70,TRAIN_DETAILED_COST_WKSHT!$F70*(TRAIN_DETAILED_COST_WKSHT!G70*TOP_ACTV_2_Exchange_Rate))</f>
        <v>0</v>
      </c>
      <c r="F385" s="115">
        <f>IF(DD_TOP_ACTV_2_Detailed_Currency_Used=2,TRAIN_DETAILED_COST_WKSHT!$F70*TRAIN_DETAILED_COST_WKSHT!H70,TRAIN_DETAILED_COST_WKSHT!$F70*(TRAIN_DETAILED_COST_WKSHT!H70*TOP_ACTV_2_Exchange_Rate))</f>
        <v>0</v>
      </c>
      <c r="G385" s="116">
        <f t="shared" si="36"/>
        <v>0</v>
      </c>
      <c r="H385" s="116">
        <f t="shared" si="37"/>
        <v>0</v>
      </c>
    </row>
    <row r="386" spans="1:8" s="10" customFormat="1" outlineLevel="1" x14ac:dyDescent="0.2">
      <c r="D386" s="49" t="str">
        <f>TRAIN_DETAILED_COST_WKSHT!D71</f>
        <v>Supplies and Materials Category 3</v>
      </c>
      <c r="E386" s="115">
        <f>IF(DD_TOP_ACTV_2_Detailed_Currency_Used=2,TRAIN_DETAILED_COST_WKSHT!$F71*TRAIN_DETAILED_COST_WKSHT!G71,TRAIN_DETAILED_COST_WKSHT!$F71*(TRAIN_DETAILED_COST_WKSHT!G71*TOP_ACTV_2_Exchange_Rate))</f>
        <v>0</v>
      </c>
      <c r="F386" s="115">
        <f>IF(DD_TOP_ACTV_2_Detailed_Currency_Used=2,TRAIN_DETAILED_COST_WKSHT!$F71*TRAIN_DETAILED_COST_WKSHT!H71,TRAIN_DETAILED_COST_WKSHT!$F71*(TRAIN_DETAILED_COST_WKSHT!H71*TOP_ACTV_2_Exchange_Rate))</f>
        <v>0</v>
      </c>
      <c r="G386" s="116">
        <f t="shared" si="36"/>
        <v>0</v>
      </c>
      <c r="H386" s="116">
        <f t="shared" si="37"/>
        <v>0</v>
      </c>
    </row>
    <row r="387" spans="1:8" s="10" customFormat="1" outlineLevel="1" x14ac:dyDescent="0.2">
      <c r="D387" s="49" t="str">
        <f>TRAIN_DETAILED_COST_WKSHT!D72</f>
        <v>Supplies and Materials Category 4</v>
      </c>
      <c r="E387" s="115">
        <f>IF(DD_TOP_ACTV_2_Detailed_Currency_Used=2,TRAIN_DETAILED_COST_WKSHT!$F72*TRAIN_DETAILED_COST_WKSHT!G72,TRAIN_DETAILED_COST_WKSHT!$F72*(TRAIN_DETAILED_COST_WKSHT!G72*TOP_ACTV_2_Exchange_Rate))</f>
        <v>0</v>
      </c>
      <c r="F387" s="115">
        <f>IF(DD_TOP_ACTV_2_Detailed_Currency_Used=2,TRAIN_DETAILED_COST_WKSHT!$F72*TRAIN_DETAILED_COST_WKSHT!H72,TRAIN_DETAILED_COST_WKSHT!$F72*(TRAIN_DETAILED_COST_WKSHT!H72*TOP_ACTV_2_Exchange_Rate))</f>
        <v>0</v>
      </c>
      <c r="G387" s="116">
        <f t="shared" si="36"/>
        <v>0</v>
      </c>
      <c r="H387" s="116">
        <f t="shared" si="37"/>
        <v>0</v>
      </c>
    </row>
    <row r="388" spans="1:8" s="10" customFormat="1" outlineLevel="1" x14ac:dyDescent="0.2">
      <c r="D388" s="49" t="str">
        <f>TRAIN_DETAILED_COST_WKSHT!D73</f>
        <v>Supplies and Materials Category 5</v>
      </c>
      <c r="E388" s="115">
        <f>IF(DD_TOP_ACTV_2_Detailed_Currency_Used=2,TRAIN_DETAILED_COST_WKSHT!$F73*TRAIN_DETAILED_COST_WKSHT!G73,TRAIN_DETAILED_COST_WKSHT!$F73*(TRAIN_DETAILED_COST_WKSHT!G73*TOP_ACTV_2_Exchange_Rate))</f>
        <v>0</v>
      </c>
      <c r="F388" s="115">
        <f>IF(DD_TOP_ACTV_2_Detailed_Currency_Used=2,TRAIN_DETAILED_COST_WKSHT!$F73*TRAIN_DETAILED_COST_WKSHT!H73,TRAIN_DETAILED_COST_WKSHT!$F73*(TRAIN_DETAILED_COST_WKSHT!H73*TOP_ACTV_2_Exchange_Rate))</f>
        <v>0</v>
      </c>
      <c r="G388" s="116">
        <f t="shared" si="36"/>
        <v>0</v>
      </c>
      <c r="H388" s="116">
        <f t="shared" si="37"/>
        <v>0</v>
      </c>
    </row>
    <row r="389" spans="1:8" s="10" customFormat="1" outlineLevel="1" x14ac:dyDescent="0.2">
      <c r="D389" s="49" t="str">
        <f>TRAIN_DETAILED_COST_WKSHT!D74</f>
        <v>Supplies and Materials Category 6</v>
      </c>
      <c r="E389" s="115">
        <f>IF(DD_TOP_ACTV_2_Detailed_Currency_Used=2,TRAIN_DETAILED_COST_WKSHT!$F74*TRAIN_DETAILED_COST_WKSHT!G74,TRAIN_DETAILED_COST_WKSHT!$F74*(TRAIN_DETAILED_COST_WKSHT!G74*TOP_ACTV_2_Exchange_Rate))</f>
        <v>0</v>
      </c>
      <c r="F389" s="115">
        <f>IF(DD_TOP_ACTV_2_Detailed_Currency_Used=2,TRAIN_DETAILED_COST_WKSHT!$F74*TRAIN_DETAILED_COST_WKSHT!H74,TRAIN_DETAILED_COST_WKSHT!$F74*(TRAIN_DETAILED_COST_WKSHT!H74*TOP_ACTV_2_Exchange_Rate))</f>
        <v>0</v>
      </c>
      <c r="G389" s="116">
        <f t="shared" si="36"/>
        <v>0</v>
      </c>
      <c r="H389" s="116">
        <f t="shared" si="37"/>
        <v>0</v>
      </c>
    </row>
    <row r="390" spans="1:8" s="10" customFormat="1" outlineLevel="1" x14ac:dyDescent="0.2">
      <c r="D390" s="49" t="str">
        <f>TRAIN_DETAILED_COST_WKSHT!D75</f>
        <v>Supplies and Materials Category 7</v>
      </c>
      <c r="E390" s="115">
        <f>IF(DD_TOP_ACTV_2_Detailed_Currency_Used=2,TRAIN_DETAILED_COST_WKSHT!$F75*TRAIN_DETAILED_COST_WKSHT!G75,TRAIN_DETAILED_COST_WKSHT!$F75*(TRAIN_DETAILED_COST_WKSHT!G75*TOP_ACTV_2_Exchange_Rate))</f>
        <v>0</v>
      </c>
      <c r="F390" s="115">
        <f>IF(DD_TOP_ACTV_2_Detailed_Currency_Used=2,TRAIN_DETAILED_COST_WKSHT!$F75*TRAIN_DETAILED_COST_WKSHT!H75,TRAIN_DETAILED_COST_WKSHT!$F75*(TRAIN_DETAILED_COST_WKSHT!H75*TOP_ACTV_2_Exchange_Rate))</f>
        <v>0</v>
      </c>
      <c r="G390" s="116">
        <f t="shared" si="36"/>
        <v>0</v>
      </c>
      <c r="H390" s="116">
        <f t="shared" si="37"/>
        <v>0</v>
      </c>
    </row>
    <row r="391" spans="1:8" s="10" customFormat="1" outlineLevel="1" x14ac:dyDescent="0.2">
      <c r="D391" s="49" t="str">
        <f>TRAIN_DETAILED_COST_WKSHT!D76</f>
        <v>Supplies and Materials Category 8</v>
      </c>
      <c r="E391" s="115">
        <f>IF(DD_TOP_ACTV_2_Detailed_Currency_Used=2,TRAIN_DETAILED_COST_WKSHT!$F76*TRAIN_DETAILED_COST_WKSHT!G76,TRAIN_DETAILED_COST_WKSHT!$F76*(TRAIN_DETAILED_COST_WKSHT!G76*TOP_ACTV_2_Exchange_Rate))</f>
        <v>0</v>
      </c>
      <c r="F391" s="115">
        <f>IF(DD_TOP_ACTV_2_Detailed_Currency_Used=2,TRAIN_DETAILED_COST_WKSHT!$F76*TRAIN_DETAILED_COST_WKSHT!H76,TRAIN_DETAILED_COST_WKSHT!$F76*(TRAIN_DETAILED_COST_WKSHT!H76*TOP_ACTV_2_Exchange_Rate))</f>
        <v>0</v>
      </c>
      <c r="G391" s="116">
        <f t="shared" si="36"/>
        <v>0</v>
      </c>
      <c r="H391" s="116">
        <f t="shared" si="37"/>
        <v>0</v>
      </c>
    </row>
    <row r="392" spans="1:8" s="10" customFormat="1" outlineLevel="1" x14ac:dyDescent="0.2">
      <c r="D392" s="49" t="str">
        <f>TRAIN_DETAILED_COST_WKSHT!D77</f>
        <v>Supplies and Materials Category 9</v>
      </c>
      <c r="E392" s="115">
        <f>IF(DD_TOP_ACTV_2_Detailed_Currency_Used=2,TRAIN_DETAILED_COST_WKSHT!$F77*TRAIN_DETAILED_COST_WKSHT!G77,TRAIN_DETAILED_COST_WKSHT!$F77*(TRAIN_DETAILED_COST_WKSHT!G77*TOP_ACTV_2_Exchange_Rate))</f>
        <v>0</v>
      </c>
      <c r="F392" s="115">
        <f>IF(DD_TOP_ACTV_2_Detailed_Currency_Used=2,TRAIN_DETAILED_COST_WKSHT!$F77*TRAIN_DETAILED_COST_WKSHT!H77,TRAIN_DETAILED_COST_WKSHT!$F77*(TRAIN_DETAILED_COST_WKSHT!H77*TOP_ACTV_2_Exchange_Rate))</f>
        <v>0</v>
      </c>
      <c r="G392" s="116">
        <f t="shared" si="36"/>
        <v>0</v>
      </c>
      <c r="H392" s="116">
        <f t="shared" si="37"/>
        <v>0</v>
      </c>
    </row>
    <row r="393" spans="1:8" s="10" customFormat="1" outlineLevel="1" x14ac:dyDescent="0.2">
      <c r="D393" s="49" t="str">
        <f>TRAIN_DETAILED_COST_WKSHT!D78</f>
        <v>Supplies and Materials Category 10</v>
      </c>
      <c r="E393" s="115">
        <f>IF(DD_TOP_ACTV_2_Detailed_Currency_Used=2,TRAIN_DETAILED_COST_WKSHT!$F78*TRAIN_DETAILED_COST_WKSHT!G78,TRAIN_DETAILED_COST_WKSHT!$F78*(TRAIN_DETAILED_COST_WKSHT!G78*TOP_ACTV_2_Exchange_Rate))</f>
        <v>0</v>
      </c>
      <c r="F393" s="115">
        <f>IF(DD_TOP_ACTV_2_Detailed_Currency_Used=2,TRAIN_DETAILED_COST_WKSHT!$F78*TRAIN_DETAILED_COST_WKSHT!H78,TRAIN_DETAILED_COST_WKSHT!$F78*(TRAIN_DETAILED_COST_WKSHT!H78*TOP_ACTV_2_Exchange_Rate))</f>
        <v>0</v>
      </c>
      <c r="G393" s="116">
        <f t="shared" si="36"/>
        <v>0</v>
      </c>
      <c r="H393" s="116">
        <f t="shared" si="37"/>
        <v>0</v>
      </c>
    </row>
    <row r="394" spans="1:8" s="10" customFormat="1" outlineLevel="1" x14ac:dyDescent="0.2">
      <c r="D394" s="48" t="str">
        <f>Lang_Supplies_And_Materials</f>
        <v>Supplies and Materials</v>
      </c>
      <c r="E394" s="120">
        <f>SUM(E384:E393)</f>
        <v>0</v>
      </c>
      <c r="F394" s="120">
        <f>SUM(F384:F393)</f>
        <v>0</v>
      </c>
      <c r="G394" s="121">
        <f>SUM(G384:G393)</f>
        <v>0</v>
      </c>
      <c r="H394" s="121">
        <f>SUM(H384:H393)</f>
        <v>0</v>
      </c>
    </row>
    <row r="395" spans="1:8" s="10" customFormat="1" outlineLevel="1" x14ac:dyDescent="0.2"/>
    <row r="396" spans="1:8" s="10" customFormat="1" outlineLevel="1" x14ac:dyDescent="0.2"/>
    <row r="397" spans="1:8" s="10" customFormat="1" outlineLevel="1" x14ac:dyDescent="0.2">
      <c r="D397" s="76" t="str">
        <f>Lang_GoTo&amp;" "&amp;HL_TOP_ACTV_2_Supplies_and_Materials</f>
        <v>Go to Training Activity #1 (Not in Use) - Detailed Supply and Material Cost Assumptions</v>
      </c>
    </row>
    <row r="398" spans="1:8" s="10" customFormat="1" outlineLevel="1" x14ac:dyDescent="0.2">
      <c r="D398" s="76" t="str">
        <f>Lang_GoTo&amp;" "&amp;HL_TOP_ACTV_2_Cost_Summary_Output</f>
        <v>Go to Training Activity #1 (Not in Use) Detailed Cost Summary</v>
      </c>
    </row>
    <row r="399" spans="1:8" s="10" customFormat="1" x14ac:dyDescent="0.2"/>
    <row r="400" spans="1:8" s="13" customFormat="1" x14ac:dyDescent="0.2">
      <c r="A400" s="12" t="s">
        <v>127</v>
      </c>
      <c r="B400" s="13" t="str">
        <f>HL_TOP_ACTV_2_Name&amp;" "&amp;Lang_Other_Direct_Costs_Outputs</f>
        <v>Training Activity #1 (Not in Use) Other Direct Costs - Outputs</v>
      </c>
    </row>
    <row r="401" spans="3:8" s="10" customFormat="1" outlineLevel="1" x14ac:dyDescent="0.2"/>
    <row r="402" spans="3:8" s="10" customFormat="1" outlineLevel="1" x14ac:dyDescent="0.2">
      <c r="C402" s="114" t="str">
        <f>HL_TOP_ACTV_2_Name</f>
        <v>Training Activity #1 (Not in Use)</v>
      </c>
    </row>
    <row r="403" spans="3:8" s="10" customFormat="1" outlineLevel="1" x14ac:dyDescent="0.2">
      <c r="E403" s="86" t="str">
        <f>TRAIN_Lu!$D$30&amp;" "&amp;Lang_Cost&amp;" ("&amp;TRAIN_Lu!$D$11&amp;")"</f>
        <v>Financial Cost (LCU)</v>
      </c>
      <c r="F403" s="86" t="str">
        <f>TRAIN_Lu!$D$31&amp;" "&amp;Lang_Cost&amp;" ("&amp;TRAIN_Lu!$D$11&amp;")"</f>
        <v>Economic Cost (LCU)</v>
      </c>
      <c r="G403" s="86" t="str">
        <f>TRAIN_Lu!$D$30&amp;" "&amp;Lang_Cost&amp;" ("&amp;TRAIN_Lu!$D$10&amp;")"</f>
        <v>Financial Cost (USD)</v>
      </c>
      <c r="H403" s="86" t="str">
        <f>TRAIN_Lu!$D$31&amp;" "&amp;Lang_Cost&amp;" ("&amp;TRAIN_Lu!$D$10&amp;")"</f>
        <v>Economic Cost (USD)</v>
      </c>
    </row>
    <row r="404" spans="3:8" s="10" customFormat="1" outlineLevel="1" x14ac:dyDescent="0.2">
      <c r="D404" s="49" t="str">
        <f>TRAIN_DETAILED_COST_WKSHT!D87</f>
        <v>Other Direct Costs (ODC) Category 1</v>
      </c>
      <c r="E404" s="115">
        <f>IF(DD_TOP_ACTV_2_Detailed_Currency_Used=2,TRAIN_DETAILED_COST_WKSHT!$F87*TRAIN_DETAILED_COST_WKSHT!G87,TRAIN_DETAILED_COST_WKSHT!$F87*(TRAIN_DETAILED_COST_WKSHT!G87*TOP_ACTV_2_Exchange_Rate))</f>
        <v>0</v>
      </c>
      <c r="F404" s="115">
        <f>IF(DD_TOP_ACTV_2_Detailed_Currency_Used=2,TRAIN_DETAILED_COST_WKSHT!$F87*TRAIN_DETAILED_COST_WKSHT!H87,TRAIN_DETAILED_COST_WKSHT!$F87*(TRAIN_DETAILED_COST_WKSHT!H87*TOP_ACTV_2_Exchange_Rate))</f>
        <v>0</v>
      </c>
      <c r="G404" s="116">
        <f t="shared" ref="G404:G413" si="38">E404/TOP_ACTV_2_Exchange_Rate</f>
        <v>0</v>
      </c>
      <c r="H404" s="116">
        <f t="shared" ref="H404:H413" si="39">F404/TOP_ACTV_2_Exchange_Rate</f>
        <v>0</v>
      </c>
    </row>
    <row r="405" spans="3:8" s="10" customFormat="1" outlineLevel="1" x14ac:dyDescent="0.2">
      <c r="D405" s="49" t="str">
        <f>TRAIN_DETAILED_COST_WKSHT!D88</f>
        <v>Other Direct Costs (ODC) Category 2</v>
      </c>
      <c r="E405" s="115">
        <f>IF(DD_TOP_ACTV_2_Detailed_Currency_Used=2,TRAIN_DETAILED_COST_WKSHT!$F88*TRAIN_DETAILED_COST_WKSHT!G88,TRAIN_DETAILED_COST_WKSHT!$F88*(TRAIN_DETAILED_COST_WKSHT!G88*TOP_ACTV_2_Exchange_Rate))</f>
        <v>0</v>
      </c>
      <c r="F405" s="115">
        <f>IF(DD_TOP_ACTV_2_Detailed_Currency_Used=2,TRAIN_DETAILED_COST_WKSHT!$F88*TRAIN_DETAILED_COST_WKSHT!H88,TRAIN_DETAILED_COST_WKSHT!$F88*(TRAIN_DETAILED_COST_WKSHT!H88*TOP_ACTV_2_Exchange_Rate))</f>
        <v>0</v>
      </c>
      <c r="G405" s="116">
        <f t="shared" si="38"/>
        <v>0</v>
      </c>
      <c r="H405" s="116">
        <f t="shared" si="39"/>
        <v>0</v>
      </c>
    </row>
    <row r="406" spans="3:8" s="10" customFormat="1" outlineLevel="1" x14ac:dyDescent="0.2">
      <c r="D406" s="49" t="str">
        <f>TRAIN_DETAILED_COST_WKSHT!D89</f>
        <v>Other Direct Costs (ODC) Category 3</v>
      </c>
      <c r="E406" s="115">
        <f>IF(DD_TOP_ACTV_2_Detailed_Currency_Used=2,TRAIN_DETAILED_COST_WKSHT!$F89*TRAIN_DETAILED_COST_WKSHT!G89,TRAIN_DETAILED_COST_WKSHT!$F89*(TRAIN_DETAILED_COST_WKSHT!G89*TOP_ACTV_2_Exchange_Rate))</f>
        <v>0</v>
      </c>
      <c r="F406" s="115">
        <f>IF(DD_TOP_ACTV_2_Detailed_Currency_Used=2,TRAIN_DETAILED_COST_WKSHT!$F89*TRAIN_DETAILED_COST_WKSHT!H89,TRAIN_DETAILED_COST_WKSHT!$F89*(TRAIN_DETAILED_COST_WKSHT!H89*TOP_ACTV_2_Exchange_Rate))</f>
        <v>0</v>
      </c>
      <c r="G406" s="116">
        <f t="shared" si="38"/>
        <v>0</v>
      </c>
      <c r="H406" s="116">
        <f t="shared" si="39"/>
        <v>0</v>
      </c>
    </row>
    <row r="407" spans="3:8" s="10" customFormat="1" outlineLevel="1" x14ac:dyDescent="0.2">
      <c r="D407" s="49" t="str">
        <f>TRAIN_DETAILED_COST_WKSHT!D90</f>
        <v>Other Direct Costs (ODC) Category 4</v>
      </c>
      <c r="E407" s="115">
        <f>IF(DD_TOP_ACTV_2_Detailed_Currency_Used=2,TRAIN_DETAILED_COST_WKSHT!$F90*TRAIN_DETAILED_COST_WKSHT!G90,TRAIN_DETAILED_COST_WKSHT!$F90*(TRAIN_DETAILED_COST_WKSHT!G90*TOP_ACTV_2_Exchange_Rate))</f>
        <v>0</v>
      </c>
      <c r="F407" s="115">
        <f>IF(DD_TOP_ACTV_2_Detailed_Currency_Used=2,TRAIN_DETAILED_COST_WKSHT!$F90*TRAIN_DETAILED_COST_WKSHT!H90,TRAIN_DETAILED_COST_WKSHT!$F90*(TRAIN_DETAILED_COST_WKSHT!H90*TOP_ACTV_2_Exchange_Rate))</f>
        <v>0</v>
      </c>
      <c r="G407" s="116">
        <f t="shared" si="38"/>
        <v>0</v>
      </c>
      <c r="H407" s="116">
        <f t="shared" si="39"/>
        <v>0</v>
      </c>
    </row>
    <row r="408" spans="3:8" s="10" customFormat="1" outlineLevel="1" x14ac:dyDescent="0.2">
      <c r="D408" s="49" t="str">
        <f>TRAIN_DETAILED_COST_WKSHT!D91</f>
        <v>Other Direct Costs (ODC) Category 5</v>
      </c>
      <c r="E408" s="115">
        <f>IF(DD_TOP_ACTV_2_Detailed_Currency_Used=2,TRAIN_DETAILED_COST_WKSHT!$F91*TRAIN_DETAILED_COST_WKSHT!G91,TRAIN_DETAILED_COST_WKSHT!$F91*(TRAIN_DETAILED_COST_WKSHT!G91*TOP_ACTV_2_Exchange_Rate))</f>
        <v>0</v>
      </c>
      <c r="F408" s="115">
        <f>IF(DD_TOP_ACTV_2_Detailed_Currency_Used=2,TRAIN_DETAILED_COST_WKSHT!$F91*TRAIN_DETAILED_COST_WKSHT!H91,TRAIN_DETAILED_COST_WKSHT!$F91*(TRAIN_DETAILED_COST_WKSHT!H91*TOP_ACTV_2_Exchange_Rate))</f>
        <v>0</v>
      </c>
      <c r="G408" s="116">
        <f t="shared" si="38"/>
        <v>0</v>
      </c>
      <c r="H408" s="116">
        <f t="shared" si="39"/>
        <v>0</v>
      </c>
    </row>
    <row r="409" spans="3:8" s="10" customFormat="1" outlineLevel="1" x14ac:dyDescent="0.2">
      <c r="D409" s="49" t="str">
        <f>TRAIN_DETAILED_COST_WKSHT!D92</f>
        <v>Other Direct Costs (ODC) Category 6</v>
      </c>
      <c r="E409" s="115">
        <f>IF(DD_TOP_ACTV_2_Detailed_Currency_Used=2,TRAIN_DETAILED_COST_WKSHT!$F92*TRAIN_DETAILED_COST_WKSHT!G92,TRAIN_DETAILED_COST_WKSHT!$F92*(TRAIN_DETAILED_COST_WKSHT!G92*TOP_ACTV_2_Exchange_Rate))</f>
        <v>0</v>
      </c>
      <c r="F409" s="115">
        <f>IF(DD_TOP_ACTV_2_Detailed_Currency_Used=2,TRAIN_DETAILED_COST_WKSHT!$F92*TRAIN_DETAILED_COST_WKSHT!H92,TRAIN_DETAILED_COST_WKSHT!$F92*(TRAIN_DETAILED_COST_WKSHT!H92*TOP_ACTV_2_Exchange_Rate))</f>
        <v>0</v>
      </c>
      <c r="G409" s="116">
        <f t="shared" si="38"/>
        <v>0</v>
      </c>
      <c r="H409" s="116">
        <f t="shared" si="39"/>
        <v>0</v>
      </c>
    </row>
    <row r="410" spans="3:8" s="10" customFormat="1" outlineLevel="1" x14ac:dyDescent="0.2">
      <c r="D410" s="49" t="str">
        <f>TRAIN_DETAILED_COST_WKSHT!D93</f>
        <v>Other Direct Costs (ODC) Category 7</v>
      </c>
      <c r="E410" s="115">
        <f>IF(DD_TOP_ACTV_2_Detailed_Currency_Used=2,TRAIN_DETAILED_COST_WKSHT!$F93*TRAIN_DETAILED_COST_WKSHT!G93,TRAIN_DETAILED_COST_WKSHT!$F93*(TRAIN_DETAILED_COST_WKSHT!G93*TOP_ACTV_2_Exchange_Rate))</f>
        <v>0</v>
      </c>
      <c r="F410" s="115">
        <f>IF(DD_TOP_ACTV_2_Detailed_Currency_Used=2,TRAIN_DETAILED_COST_WKSHT!$F93*TRAIN_DETAILED_COST_WKSHT!H93,TRAIN_DETAILED_COST_WKSHT!$F93*(TRAIN_DETAILED_COST_WKSHT!H93*TOP_ACTV_2_Exchange_Rate))</f>
        <v>0</v>
      </c>
      <c r="G410" s="116">
        <f t="shared" si="38"/>
        <v>0</v>
      </c>
      <c r="H410" s="116">
        <f t="shared" si="39"/>
        <v>0</v>
      </c>
    </row>
    <row r="411" spans="3:8" s="10" customFormat="1" outlineLevel="1" x14ac:dyDescent="0.2">
      <c r="D411" s="49" t="str">
        <f>TRAIN_DETAILED_COST_WKSHT!D94</f>
        <v>Other Direct Costs (ODC) Category 8</v>
      </c>
      <c r="E411" s="115">
        <f>IF(DD_TOP_ACTV_2_Detailed_Currency_Used=2,TRAIN_DETAILED_COST_WKSHT!$F94*TRAIN_DETAILED_COST_WKSHT!G94,TRAIN_DETAILED_COST_WKSHT!$F94*(TRAIN_DETAILED_COST_WKSHT!G94*TOP_ACTV_2_Exchange_Rate))</f>
        <v>0</v>
      </c>
      <c r="F411" s="115">
        <f>IF(DD_TOP_ACTV_2_Detailed_Currency_Used=2,TRAIN_DETAILED_COST_WKSHT!$F94*TRAIN_DETAILED_COST_WKSHT!H94,TRAIN_DETAILED_COST_WKSHT!$F94*(TRAIN_DETAILED_COST_WKSHT!H94*TOP_ACTV_2_Exchange_Rate))</f>
        <v>0</v>
      </c>
      <c r="G411" s="116">
        <f t="shared" si="38"/>
        <v>0</v>
      </c>
      <c r="H411" s="116">
        <f t="shared" si="39"/>
        <v>0</v>
      </c>
    </row>
    <row r="412" spans="3:8" s="10" customFormat="1" outlineLevel="1" x14ac:dyDescent="0.2">
      <c r="D412" s="49" t="str">
        <f>TRAIN_DETAILED_COST_WKSHT!D95</f>
        <v>Other Direct Costs (ODC) Category 9</v>
      </c>
      <c r="E412" s="115">
        <f>IF(DD_TOP_ACTV_2_Detailed_Currency_Used=2,TRAIN_DETAILED_COST_WKSHT!$F95*TRAIN_DETAILED_COST_WKSHT!G95,TRAIN_DETAILED_COST_WKSHT!$F95*(TRAIN_DETAILED_COST_WKSHT!G95*TOP_ACTV_2_Exchange_Rate))</f>
        <v>0</v>
      </c>
      <c r="F412" s="115">
        <f>IF(DD_TOP_ACTV_2_Detailed_Currency_Used=2,TRAIN_DETAILED_COST_WKSHT!$F95*TRAIN_DETAILED_COST_WKSHT!H95,TRAIN_DETAILED_COST_WKSHT!$F95*(TRAIN_DETAILED_COST_WKSHT!H95*TOP_ACTV_2_Exchange_Rate))</f>
        <v>0</v>
      </c>
      <c r="G412" s="116">
        <f t="shared" si="38"/>
        <v>0</v>
      </c>
      <c r="H412" s="116">
        <f t="shared" si="39"/>
        <v>0</v>
      </c>
    </row>
    <row r="413" spans="3:8" s="10" customFormat="1" outlineLevel="1" x14ac:dyDescent="0.2">
      <c r="D413" s="49" t="str">
        <f>TRAIN_DETAILED_COST_WKSHT!D96</f>
        <v>Other Direct Costs (ODC) Category 10</v>
      </c>
      <c r="E413" s="115">
        <f>IF(DD_TOP_ACTV_2_Detailed_Currency_Used=2,TRAIN_DETAILED_COST_WKSHT!$F96*TRAIN_DETAILED_COST_WKSHT!G96,TRAIN_DETAILED_COST_WKSHT!$F96*(TRAIN_DETAILED_COST_WKSHT!G96*TOP_ACTV_2_Exchange_Rate))</f>
        <v>0</v>
      </c>
      <c r="F413" s="115">
        <f>IF(DD_TOP_ACTV_2_Detailed_Currency_Used=2,TRAIN_DETAILED_COST_WKSHT!$F96*TRAIN_DETAILED_COST_WKSHT!H96,TRAIN_DETAILED_COST_WKSHT!$F96*(TRAIN_DETAILED_COST_WKSHT!H96*TOP_ACTV_2_Exchange_Rate))</f>
        <v>0</v>
      </c>
      <c r="G413" s="116">
        <f t="shared" si="38"/>
        <v>0</v>
      </c>
      <c r="H413" s="116">
        <f t="shared" si="39"/>
        <v>0</v>
      </c>
    </row>
    <row r="414" spans="3:8" s="10" customFormat="1" outlineLevel="1" x14ac:dyDescent="0.2">
      <c r="D414" s="48" t="str">
        <f>Lang_Other_Direct_Costs</f>
        <v>Other Direct Costs</v>
      </c>
      <c r="E414" s="120">
        <f>SUM(E404:E413)</f>
        <v>0</v>
      </c>
      <c r="F414" s="120">
        <f>SUM(F404:F413)</f>
        <v>0</v>
      </c>
      <c r="G414" s="121">
        <f>SUM(G404:G413)</f>
        <v>0</v>
      </c>
      <c r="H414" s="121">
        <f>SUM(H404:H413)</f>
        <v>0</v>
      </c>
    </row>
    <row r="415" spans="3:8" s="10" customFormat="1" outlineLevel="1" x14ac:dyDescent="0.2"/>
    <row r="416" spans="3:8" s="10" customFormat="1" outlineLevel="1" x14ac:dyDescent="0.2">
      <c r="D416" s="76" t="str">
        <f>Lang_GoTo&amp;" "&amp;HL_TOP_ACTV_2_Other_Direct_Costs</f>
        <v>Go to Training Activity #1 (Not in Use) - Detailed Other Direct Cost Assumptions</v>
      </c>
    </row>
    <row r="417" spans="1:8" s="10" customFormat="1" outlineLevel="1" x14ac:dyDescent="0.2">
      <c r="D417" s="76" t="str">
        <f>Lang_GoTo&amp;" "&amp;HL_TOP_ACTV_2_Cost_Summary_Output</f>
        <v>Go to Training Activity #1 (Not in Use) Detailed Cost Summary</v>
      </c>
    </row>
    <row r="418" spans="1:8" s="10" customFormat="1" x14ac:dyDescent="0.2"/>
    <row r="419" spans="1:8" s="13" customFormat="1" x14ac:dyDescent="0.2">
      <c r="A419" s="12" t="s">
        <v>127</v>
      </c>
      <c r="B419" s="13" t="str">
        <f>HL_TOP_ACTV_13_Name&amp;" "&amp;Lang_Personnel_Outputs</f>
        <v>Training Activity #2 (Not in Use) Personnel - Outputs</v>
      </c>
    </row>
    <row r="420" spans="1:8" s="10" customFormat="1" outlineLevel="1" x14ac:dyDescent="0.2"/>
    <row r="421" spans="1:8" s="10" customFormat="1" outlineLevel="1" x14ac:dyDescent="0.2">
      <c r="C421" s="114" t="str">
        <f>HL_TOP_ACTV_13_Name</f>
        <v>Training Activity #2 (Not in Use)</v>
      </c>
    </row>
    <row r="422" spans="1:8" s="10" customFormat="1" outlineLevel="1" x14ac:dyDescent="0.2">
      <c r="E422" s="86" t="str">
        <f>TRAIN_Lu!$D$65&amp;" "&amp;Lang_Cost&amp;" ("&amp;TRAIN_Lu!$D$46&amp;")"</f>
        <v>Financial Cost (LCU)</v>
      </c>
      <c r="F422" s="86" t="str">
        <f>TRAIN_Lu!$D$66&amp;" "&amp;Lang_Cost&amp;" ("&amp;TRAIN_Lu!$D$46&amp;")"</f>
        <v>Economic Cost (LCU)</v>
      </c>
      <c r="G422" s="86" t="str">
        <f>TRAIN_Lu!$D$65&amp;" "&amp;Lang_Cost&amp;" ("&amp;TRAIN_Lu!$D$45&amp;")"</f>
        <v>Financial Cost (USD)</v>
      </c>
      <c r="H422" s="86" t="str">
        <f>TRAIN_Lu!$D$66&amp;" "&amp;Lang_Cost&amp;" ("&amp;TRAIN_Lu!$D$45&amp;")"</f>
        <v>Economic Cost (USD)</v>
      </c>
    </row>
    <row r="423" spans="1:8" s="10" customFormat="1" outlineLevel="1" x14ac:dyDescent="0.2">
      <c r="D423" s="49" t="str">
        <f>TRAIN_DETAILED_COST_WKSHT!D125</f>
        <v>Personnel Category 1</v>
      </c>
      <c r="E423" s="115">
        <f>IF(DD_TOP_ACTV_13_Detailed_Currency_Used=2,TRAIN_DETAILED_COST_WKSHT!$F125*TRAIN_DETAILED_COST_WKSHT!G125,TRAIN_DETAILED_COST_WKSHT!$F125*(TRAIN_DETAILED_COST_WKSHT!G125*TOP_ACTV_13_Exchange_Rate))</f>
        <v>0</v>
      </c>
      <c r="F423" s="115">
        <f>IF(DD_TOP_ACTV_13_Detailed_Currency_Used=2,TRAIN_DETAILED_COST_WKSHT!$F125*TRAIN_DETAILED_COST_WKSHT!H125,TRAIN_DETAILED_COST_WKSHT!$F125*(TRAIN_DETAILED_COST_WKSHT!H125*TOP_ACTV_13_Exchange_Rate))</f>
        <v>0</v>
      </c>
      <c r="G423" s="116">
        <f t="shared" ref="G423:G437" si="40">IFERROR(E423/TOP_ACTV_13_Exchange_Rate,0)</f>
        <v>0</v>
      </c>
      <c r="H423" s="116">
        <f t="shared" ref="H423:H437" si="41">IFERROR(F423/TOP_ACTV_13_Exchange_Rate,0)</f>
        <v>0</v>
      </c>
    </row>
    <row r="424" spans="1:8" s="10" customFormat="1" outlineLevel="1" x14ac:dyDescent="0.2">
      <c r="D424" s="49" t="str">
        <f>TRAIN_DETAILED_COST_WKSHT!D126</f>
        <v>Personnel Category 2</v>
      </c>
      <c r="E424" s="115">
        <f>IF(DD_TOP_ACTV_13_Detailed_Currency_Used=2,TRAIN_DETAILED_COST_WKSHT!$F126*TRAIN_DETAILED_COST_WKSHT!G126,TRAIN_DETAILED_COST_WKSHT!$F126*(TRAIN_DETAILED_COST_WKSHT!G126*TOP_ACTV_13_Exchange_Rate))</f>
        <v>0</v>
      </c>
      <c r="F424" s="115">
        <f>IF(DD_TOP_ACTV_13_Detailed_Currency_Used=2,TRAIN_DETAILED_COST_WKSHT!$F126*TRAIN_DETAILED_COST_WKSHT!H126,TRAIN_DETAILED_COST_WKSHT!$F126*(TRAIN_DETAILED_COST_WKSHT!H126*TOP_ACTV_13_Exchange_Rate))</f>
        <v>0</v>
      </c>
      <c r="G424" s="116">
        <f t="shared" si="40"/>
        <v>0</v>
      </c>
      <c r="H424" s="116">
        <f t="shared" si="41"/>
        <v>0</v>
      </c>
    </row>
    <row r="425" spans="1:8" s="10" customFormat="1" outlineLevel="1" x14ac:dyDescent="0.2">
      <c r="D425" s="49" t="str">
        <f>TRAIN_DETAILED_COST_WKSHT!D127</f>
        <v>Personnel Category 3</v>
      </c>
      <c r="E425" s="115">
        <f>IF(DD_TOP_ACTV_13_Detailed_Currency_Used=2,TRAIN_DETAILED_COST_WKSHT!$F127*TRAIN_DETAILED_COST_WKSHT!G127,TRAIN_DETAILED_COST_WKSHT!$F127*(TRAIN_DETAILED_COST_WKSHT!G127*TOP_ACTV_13_Exchange_Rate))</f>
        <v>0</v>
      </c>
      <c r="F425" s="115">
        <f>IF(DD_TOP_ACTV_13_Detailed_Currency_Used=2,TRAIN_DETAILED_COST_WKSHT!$F127*TRAIN_DETAILED_COST_WKSHT!H127,TRAIN_DETAILED_COST_WKSHT!$F127*(TRAIN_DETAILED_COST_WKSHT!H127*TOP_ACTV_13_Exchange_Rate))</f>
        <v>0</v>
      </c>
      <c r="G425" s="116">
        <f t="shared" si="40"/>
        <v>0</v>
      </c>
      <c r="H425" s="116">
        <f t="shared" si="41"/>
        <v>0</v>
      </c>
    </row>
    <row r="426" spans="1:8" s="10" customFormat="1" outlineLevel="1" x14ac:dyDescent="0.2">
      <c r="D426" s="49" t="str">
        <f>TRAIN_DETAILED_COST_WKSHT!D128</f>
        <v>Personnel Category 4</v>
      </c>
      <c r="E426" s="115">
        <f>IF(DD_TOP_ACTV_13_Detailed_Currency_Used=2,TRAIN_DETAILED_COST_WKSHT!$F128*TRAIN_DETAILED_COST_WKSHT!G128,TRAIN_DETAILED_COST_WKSHT!$F128*(TRAIN_DETAILED_COST_WKSHT!G128*TOP_ACTV_13_Exchange_Rate))</f>
        <v>0</v>
      </c>
      <c r="F426" s="115">
        <f>IF(DD_TOP_ACTV_13_Detailed_Currency_Used=2,TRAIN_DETAILED_COST_WKSHT!$F128*TRAIN_DETAILED_COST_WKSHT!H128,TRAIN_DETAILED_COST_WKSHT!$F128*(TRAIN_DETAILED_COST_WKSHT!H128*TOP_ACTV_13_Exchange_Rate))</f>
        <v>0</v>
      </c>
      <c r="G426" s="116">
        <f t="shared" si="40"/>
        <v>0</v>
      </c>
      <c r="H426" s="116">
        <f t="shared" si="41"/>
        <v>0</v>
      </c>
    </row>
    <row r="427" spans="1:8" s="10" customFormat="1" outlineLevel="1" x14ac:dyDescent="0.2">
      <c r="D427" s="49" t="str">
        <f>TRAIN_DETAILED_COST_WKSHT!D129</f>
        <v>Personnel Category 5</v>
      </c>
      <c r="E427" s="115">
        <f>IF(DD_TOP_ACTV_13_Detailed_Currency_Used=2,TRAIN_DETAILED_COST_WKSHT!$F129*TRAIN_DETAILED_COST_WKSHT!G129,TRAIN_DETAILED_COST_WKSHT!$F129*(TRAIN_DETAILED_COST_WKSHT!G129*TOP_ACTV_13_Exchange_Rate))</f>
        <v>0</v>
      </c>
      <c r="F427" s="115">
        <f>IF(DD_TOP_ACTV_13_Detailed_Currency_Used=2,TRAIN_DETAILED_COST_WKSHT!$F129*TRAIN_DETAILED_COST_WKSHT!H129,TRAIN_DETAILED_COST_WKSHT!$F129*(TRAIN_DETAILED_COST_WKSHT!H129*TOP_ACTV_13_Exchange_Rate))</f>
        <v>0</v>
      </c>
      <c r="G427" s="116">
        <f t="shared" si="40"/>
        <v>0</v>
      </c>
      <c r="H427" s="116">
        <f t="shared" si="41"/>
        <v>0</v>
      </c>
    </row>
    <row r="428" spans="1:8" s="10" customFormat="1" outlineLevel="1" x14ac:dyDescent="0.2">
      <c r="D428" s="49" t="str">
        <f>TRAIN_DETAILED_COST_WKSHT!D130</f>
        <v>Personnel Category 6</v>
      </c>
      <c r="E428" s="115">
        <f>IF(DD_TOP_ACTV_13_Detailed_Currency_Used=2,TRAIN_DETAILED_COST_WKSHT!$F130*TRAIN_DETAILED_COST_WKSHT!G130,TRAIN_DETAILED_COST_WKSHT!$F130*(TRAIN_DETAILED_COST_WKSHT!G130*TOP_ACTV_13_Exchange_Rate))</f>
        <v>0</v>
      </c>
      <c r="F428" s="115">
        <f>IF(DD_TOP_ACTV_13_Detailed_Currency_Used=2,TRAIN_DETAILED_COST_WKSHT!$F130*TRAIN_DETAILED_COST_WKSHT!H130,TRAIN_DETAILED_COST_WKSHT!$F130*(TRAIN_DETAILED_COST_WKSHT!H130*TOP_ACTV_13_Exchange_Rate))</f>
        <v>0</v>
      </c>
      <c r="G428" s="116">
        <f t="shared" si="40"/>
        <v>0</v>
      </c>
      <c r="H428" s="116">
        <f t="shared" si="41"/>
        <v>0</v>
      </c>
    </row>
    <row r="429" spans="1:8" s="10" customFormat="1" outlineLevel="1" x14ac:dyDescent="0.2">
      <c r="D429" s="49" t="str">
        <f>TRAIN_DETAILED_COST_WKSHT!D131</f>
        <v>Personnel Category 7</v>
      </c>
      <c r="E429" s="115">
        <f>IF(DD_TOP_ACTV_13_Detailed_Currency_Used=2,TRAIN_DETAILED_COST_WKSHT!$F131*TRAIN_DETAILED_COST_WKSHT!G131,TRAIN_DETAILED_COST_WKSHT!$F131*(TRAIN_DETAILED_COST_WKSHT!G131*TOP_ACTV_13_Exchange_Rate))</f>
        <v>0</v>
      </c>
      <c r="F429" s="115">
        <f>IF(DD_TOP_ACTV_13_Detailed_Currency_Used=2,TRAIN_DETAILED_COST_WKSHT!$F131*TRAIN_DETAILED_COST_WKSHT!H131,TRAIN_DETAILED_COST_WKSHT!$F131*(TRAIN_DETAILED_COST_WKSHT!H131*TOP_ACTV_13_Exchange_Rate))</f>
        <v>0</v>
      </c>
      <c r="G429" s="116">
        <f t="shared" si="40"/>
        <v>0</v>
      </c>
      <c r="H429" s="116">
        <f t="shared" si="41"/>
        <v>0</v>
      </c>
    </row>
    <row r="430" spans="1:8" s="10" customFormat="1" outlineLevel="1" x14ac:dyDescent="0.2">
      <c r="D430" s="49" t="str">
        <f>TRAIN_DETAILED_COST_WKSHT!D132</f>
        <v>Personnel Category 8</v>
      </c>
      <c r="E430" s="115">
        <f>IF(DD_TOP_ACTV_13_Detailed_Currency_Used=2,TRAIN_DETAILED_COST_WKSHT!$F132*TRAIN_DETAILED_COST_WKSHT!G132,TRAIN_DETAILED_COST_WKSHT!$F132*(TRAIN_DETAILED_COST_WKSHT!G132*TOP_ACTV_13_Exchange_Rate))</f>
        <v>0</v>
      </c>
      <c r="F430" s="115">
        <f>IF(DD_TOP_ACTV_13_Detailed_Currency_Used=2,TRAIN_DETAILED_COST_WKSHT!$F132*TRAIN_DETAILED_COST_WKSHT!H132,TRAIN_DETAILED_COST_WKSHT!$F132*(TRAIN_DETAILED_COST_WKSHT!H132*TOP_ACTV_13_Exchange_Rate))</f>
        <v>0</v>
      </c>
      <c r="G430" s="116">
        <f t="shared" si="40"/>
        <v>0</v>
      </c>
      <c r="H430" s="116">
        <f t="shared" si="41"/>
        <v>0</v>
      </c>
    </row>
    <row r="431" spans="1:8" s="10" customFormat="1" outlineLevel="1" x14ac:dyDescent="0.2">
      <c r="D431" s="49" t="str">
        <f>TRAIN_DETAILED_COST_WKSHT!D133</f>
        <v>Personnel Category 9</v>
      </c>
      <c r="E431" s="115">
        <f>IF(DD_TOP_ACTV_13_Detailed_Currency_Used=2,TRAIN_DETAILED_COST_WKSHT!$F133*TRAIN_DETAILED_COST_WKSHT!G133,TRAIN_DETAILED_COST_WKSHT!$F133*(TRAIN_DETAILED_COST_WKSHT!G133*TOP_ACTV_13_Exchange_Rate))</f>
        <v>0</v>
      </c>
      <c r="F431" s="115">
        <f>IF(DD_TOP_ACTV_13_Detailed_Currency_Used=2,TRAIN_DETAILED_COST_WKSHT!$F133*TRAIN_DETAILED_COST_WKSHT!H133,TRAIN_DETAILED_COST_WKSHT!$F133*(TRAIN_DETAILED_COST_WKSHT!H133*TOP_ACTV_13_Exchange_Rate))</f>
        <v>0</v>
      </c>
      <c r="G431" s="116">
        <f t="shared" si="40"/>
        <v>0</v>
      </c>
      <c r="H431" s="116">
        <f t="shared" si="41"/>
        <v>0</v>
      </c>
    </row>
    <row r="432" spans="1:8" s="10" customFormat="1" outlineLevel="1" x14ac:dyDescent="0.2">
      <c r="D432" s="49" t="str">
        <f>TRAIN_DETAILED_COST_WKSHT!D134</f>
        <v>Personnel Category 10</v>
      </c>
      <c r="E432" s="115">
        <f>IF(DD_TOP_ACTV_13_Detailed_Currency_Used=2,TRAIN_DETAILED_COST_WKSHT!$F134*TRAIN_DETAILED_COST_WKSHT!G134,TRAIN_DETAILED_COST_WKSHT!$F134*(TRAIN_DETAILED_COST_WKSHT!G134*TOP_ACTV_13_Exchange_Rate))</f>
        <v>0</v>
      </c>
      <c r="F432" s="115">
        <f>IF(DD_TOP_ACTV_13_Detailed_Currency_Used=2,TRAIN_DETAILED_COST_WKSHT!$F134*TRAIN_DETAILED_COST_WKSHT!H134,TRAIN_DETAILED_COST_WKSHT!$F134*(TRAIN_DETAILED_COST_WKSHT!H134*TOP_ACTV_13_Exchange_Rate))</f>
        <v>0</v>
      </c>
      <c r="G432" s="116">
        <f t="shared" si="40"/>
        <v>0</v>
      </c>
      <c r="H432" s="116">
        <f t="shared" si="41"/>
        <v>0</v>
      </c>
    </row>
    <row r="433" spans="1:8" s="10" customFormat="1" outlineLevel="1" x14ac:dyDescent="0.2">
      <c r="D433" s="49" t="str">
        <f>TRAIN_DETAILED_COST_WKSHT!D135</f>
        <v>Personnel Category 11</v>
      </c>
      <c r="E433" s="115">
        <f>IF(DD_TOP_ACTV_13_Detailed_Currency_Used=2,TRAIN_DETAILED_COST_WKSHT!$F135*TRAIN_DETAILED_COST_WKSHT!G135,TRAIN_DETAILED_COST_WKSHT!$F135*(TRAIN_DETAILED_COST_WKSHT!G135*TOP_ACTV_13_Exchange_Rate))</f>
        <v>0</v>
      </c>
      <c r="F433" s="115">
        <f>IF(DD_TOP_ACTV_13_Detailed_Currency_Used=2,TRAIN_DETAILED_COST_WKSHT!$F135*TRAIN_DETAILED_COST_WKSHT!H135,TRAIN_DETAILED_COST_WKSHT!$F135*(TRAIN_DETAILED_COST_WKSHT!H135*TOP_ACTV_13_Exchange_Rate))</f>
        <v>0</v>
      </c>
      <c r="G433" s="116">
        <f t="shared" si="40"/>
        <v>0</v>
      </c>
      <c r="H433" s="116">
        <f t="shared" si="41"/>
        <v>0</v>
      </c>
    </row>
    <row r="434" spans="1:8" s="10" customFormat="1" outlineLevel="1" x14ac:dyDescent="0.2">
      <c r="D434" s="49" t="str">
        <f>TRAIN_DETAILED_COST_WKSHT!D136</f>
        <v>Personnel Category 12</v>
      </c>
      <c r="E434" s="115">
        <f>IF(DD_TOP_ACTV_13_Detailed_Currency_Used=2,TRAIN_DETAILED_COST_WKSHT!$F136*TRAIN_DETAILED_COST_WKSHT!G136,TRAIN_DETAILED_COST_WKSHT!$F136*(TRAIN_DETAILED_COST_WKSHT!G136*TOP_ACTV_13_Exchange_Rate))</f>
        <v>0</v>
      </c>
      <c r="F434" s="115">
        <f>IF(DD_TOP_ACTV_13_Detailed_Currency_Used=2,TRAIN_DETAILED_COST_WKSHT!$F136*TRAIN_DETAILED_COST_WKSHT!H136,TRAIN_DETAILED_COST_WKSHT!$F136*(TRAIN_DETAILED_COST_WKSHT!H136*TOP_ACTV_13_Exchange_Rate))</f>
        <v>0</v>
      </c>
      <c r="G434" s="116">
        <f t="shared" si="40"/>
        <v>0</v>
      </c>
      <c r="H434" s="116">
        <f t="shared" si="41"/>
        <v>0</v>
      </c>
    </row>
    <row r="435" spans="1:8" s="10" customFormat="1" outlineLevel="1" x14ac:dyDescent="0.2">
      <c r="D435" s="49" t="str">
        <f>TRAIN_DETAILED_COST_WKSHT!D137</f>
        <v>Personnel Category 13</v>
      </c>
      <c r="E435" s="115">
        <f>IF(DD_TOP_ACTV_13_Detailed_Currency_Used=2,TRAIN_DETAILED_COST_WKSHT!$F137*TRAIN_DETAILED_COST_WKSHT!G137,TRAIN_DETAILED_COST_WKSHT!$F137*(TRAIN_DETAILED_COST_WKSHT!G137*TOP_ACTV_13_Exchange_Rate))</f>
        <v>0</v>
      </c>
      <c r="F435" s="115">
        <f>IF(DD_TOP_ACTV_13_Detailed_Currency_Used=2,TRAIN_DETAILED_COST_WKSHT!$F137*TRAIN_DETAILED_COST_WKSHT!H137,TRAIN_DETAILED_COST_WKSHT!$F137*(TRAIN_DETAILED_COST_WKSHT!H137*TOP_ACTV_13_Exchange_Rate))</f>
        <v>0</v>
      </c>
      <c r="G435" s="116">
        <f t="shared" si="40"/>
        <v>0</v>
      </c>
      <c r="H435" s="116">
        <f t="shared" si="41"/>
        <v>0</v>
      </c>
    </row>
    <row r="436" spans="1:8" s="10" customFormat="1" outlineLevel="1" x14ac:dyDescent="0.2">
      <c r="D436" s="49" t="str">
        <f>TRAIN_DETAILED_COST_WKSHT!D138</f>
        <v>Personnel Category 14</v>
      </c>
      <c r="E436" s="115">
        <f>IF(DD_TOP_ACTV_13_Detailed_Currency_Used=2,TRAIN_DETAILED_COST_WKSHT!$F138*TRAIN_DETAILED_COST_WKSHT!G138,TRAIN_DETAILED_COST_WKSHT!$F138*(TRAIN_DETAILED_COST_WKSHT!G138*TOP_ACTV_13_Exchange_Rate))</f>
        <v>0</v>
      </c>
      <c r="F436" s="115">
        <f>IF(DD_TOP_ACTV_13_Detailed_Currency_Used=2,TRAIN_DETAILED_COST_WKSHT!$F138*TRAIN_DETAILED_COST_WKSHT!H138,TRAIN_DETAILED_COST_WKSHT!$F138*(TRAIN_DETAILED_COST_WKSHT!H138*TOP_ACTV_13_Exchange_Rate))</f>
        <v>0</v>
      </c>
      <c r="G436" s="116">
        <f t="shared" si="40"/>
        <v>0</v>
      </c>
      <c r="H436" s="116">
        <f t="shared" si="41"/>
        <v>0</v>
      </c>
    </row>
    <row r="437" spans="1:8" s="10" customFormat="1" outlineLevel="1" x14ac:dyDescent="0.2">
      <c r="D437" s="49" t="str">
        <f>TRAIN_DETAILED_COST_WKSHT!D139</f>
        <v>Personnel Category 15</v>
      </c>
      <c r="E437" s="115">
        <f>IF(DD_TOP_ACTV_13_Detailed_Currency_Used=2,TRAIN_DETAILED_COST_WKSHT!$F139*TRAIN_DETAILED_COST_WKSHT!G139,TRAIN_DETAILED_COST_WKSHT!$F139*(TRAIN_DETAILED_COST_WKSHT!G139*TOP_ACTV_13_Exchange_Rate))</f>
        <v>0</v>
      </c>
      <c r="F437" s="115">
        <f>IF(DD_TOP_ACTV_13_Detailed_Currency_Used=2,TRAIN_DETAILED_COST_WKSHT!$F139*TRAIN_DETAILED_COST_WKSHT!H139,TRAIN_DETAILED_COST_WKSHT!$F139*(TRAIN_DETAILED_COST_WKSHT!H139*TOP_ACTV_13_Exchange_Rate))</f>
        <v>0</v>
      </c>
      <c r="G437" s="116">
        <f t="shared" si="40"/>
        <v>0</v>
      </c>
      <c r="H437" s="116">
        <f t="shared" si="41"/>
        <v>0</v>
      </c>
    </row>
    <row r="438" spans="1:8" s="10" customFormat="1" outlineLevel="1" x14ac:dyDescent="0.2">
      <c r="D438" s="48" t="str">
        <f>Lang_Personnel</f>
        <v>Personnel</v>
      </c>
      <c r="E438" s="120">
        <f>SUM(E423:E437)</f>
        <v>0</v>
      </c>
      <c r="F438" s="120">
        <f>SUM(F423:F437)</f>
        <v>0</v>
      </c>
      <c r="G438" s="121">
        <f>SUM(G423:G437)</f>
        <v>0</v>
      </c>
      <c r="H438" s="121">
        <f>SUM(H423:H437)</f>
        <v>0</v>
      </c>
    </row>
    <row r="439" spans="1:8" s="10" customFormat="1" outlineLevel="1" x14ac:dyDescent="0.2"/>
    <row r="440" spans="1:8" s="10" customFormat="1" outlineLevel="1" x14ac:dyDescent="0.2"/>
    <row r="441" spans="1:8" s="10" customFormat="1" outlineLevel="1" x14ac:dyDescent="0.2">
      <c r="D441" s="76" t="str">
        <f>Lang_GoTo&amp;" "&amp;HL_TOP_ACTV_13_Personnel_Assumptions</f>
        <v>Go to Training Activity #2 (Not in Use) - Detailed Personnel Cost Assumptions</v>
      </c>
    </row>
    <row r="442" spans="1:8" s="10" customFormat="1" outlineLevel="1" x14ac:dyDescent="0.2">
      <c r="D442" s="76" t="str">
        <f>Lang_GoTo&amp;" "&amp;HL_TOP_ACTV_13_Cost_Summary_Output</f>
        <v>Go to Training Activity #2 (Not in Use) Detailed Cost Summary</v>
      </c>
    </row>
    <row r="443" spans="1:8" s="10" customFormat="1" x14ac:dyDescent="0.2"/>
    <row r="444" spans="1:8" s="13" customFormat="1" x14ac:dyDescent="0.2">
      <c r="A444" s="12" t="s">
        <v>127</v>
      </c>
      <c r="B444" s="13" t="str">
        <f>HL_TOP_ACTV_13_Name&amp;" "&amp;Lang_Allowances_Outputs</f>
        <v>Training Activity #2 (Not in Use) Allowances - Outputs</v>
      </c>
    </row>
    <row r="445" spans="1:8" s="10" customFormat="1" outlineLevel="1" x14ac:dyDescent="0.2"/>
    <row r="446" spans="1:8" s="10" customFormat="1" outlineLevel="1" x14ac:dyDescent="0.2">
      <c r="C446" s="114" t="str">
        <f>HL_TOP_ACTV_13_Name</f>
        <v>Training Activity #2 (Not in Use)</v>
      </c>
    </row>
    <row r="447" spans="1:8" s="10" customFormat="1" outlineLevel="1" x14ac:dyDescent="0.2">
      <c r="E447" s="86" t="str">
        <f>TRAIN_Lu!$D$65&amp;" "&amp;Lang_Cost&amp;" ("&amp;TRAIN_Lu!$D$46&amp;")"</f>
        <v>Financial Cost (LCU)</v>
      </c>
      <c r="F447" s="86" t="str">
        <f>TRAIN_Lu!$D$66&amp;" "&amp;Lang_Cost&amp;" ("&amp;TRAIN_Lu!$D$46&amp;")"</f>
        <v>Economic Cost (LCU)</v>
      </c>
      <c r="G447" s="86" t="str">
        <f>TRAIN_Lu!$D$65&amp;" "&amp;Lang_Cost&amp;" ("&amp;TRAIN_Lu!$D$45&amp;")"</f>
        <v>Financial Cost (USD)</v>
      </c>
      <c r="H447" s="86" t="str">
        <f>TRAIN_Lu!$D$66&amp;" "&amp;Lang_Cost&amp;" ("&amp;TRAIN_Lu!$D$45&amp;")"</f>
        <v>Economic Cost (USD)</v>
      </c>
    </row>
    <row r="448" spans="1:8" s="10" customFormat="1" outlineLevel="1" x14ac:dyDescent="0.2">
      <c r="D448" s="49" t="str">
        <f>TRAIN_DETAILED_COST_WKSHT!D148</f>
        <v>Allowances Category 1</v>
      </c>
      <c r="E448" s="115">
        <f>IF(DD_TOP_ACTV_13_Detailed_Currency_Used=2,TRAIN_DETAILED_COST_WKSHT!$F148*TRAIN_DETAILED_COST_WKSHT!G148,TRAIN_DETAILED_COST_WKSHT!$F148*(TRAIN_DETAILED_COST_WKSHT!G148*TOP_ACTV_13_Exchange_Rate))</f>
        <v>0</v>
      </c>
      <c r="F448" s="115">
        <f>IF(DD_TOP_ACTV_13_Detailed_Currency_Used=2,TRAIN_DETAILED_COST_WKSHT!$F148*TRAIN_DETAILED_COST_WKSHT!H148,TRAIN_DETAILED_COST_WKSHT!$F148*(TRAIN_DETAILED_COST_WKSHT!H148*TOP_ACTV_13_Exchange_Rate))</f>
        <v>0</v>
      </c>
      <c r="G448" s="116">
        <f t="shared" ref="G448:G457" si="42">E448/TOP_ACTV_13_Exchange_Rate</f>
        <v>0</v>
      </c>
      <c r="H448" s="116">
        <f t="shared" ref="H448:H457" si="43">F448/TOP_ACTV_13_Exchange_Rate</f>
        <v>0</v>
      </c>
    </row>
    <row r="449" spans="1:8" s="10" customFormat="1" outlineLevel="1" x14ac:dyDescent="0.2">
      <c r="D449" s="49" t="str">
        <f>TRAIN_DETAILED_COST_WKSHT!D149</f>
        <v>Allowances Category 2</v>
      </c>
      <c r="E449" s="115">
        <f>IF(DD_TOP_ACTV_13_Detailed_Currency_Used=2,TRAIN_DETAILED_COST_WKSHT!$F149*TRAIN_DETAILED_COST_WKSHT!G149,TRAIN_DETAILED_COST_WKSHT!$F149*(TRAIN_DETAILED_COST_WKSHT!G149*TOP_ACTV_13_Exchange_Rate))</f>
        <v>0</v>
      </c>
      <c r="F449" s="115">
        <f>IF(DD_TOP_ACTV_13_Detailed_Currency_Used=2,TRAIN_DETAILED_COST_WKSHT!$F149*TRAIN_DETAILED_COST_WKSHT!H149,TRAIN_DETAILED_COST_WKSHT!$F149*(TRAIN_DETAILED_COST_WKSHT!H149*TOP_ACTV_13_Exchange_Rate))</f>
        <v>0</v>
      </c>
      <c r="G449" s="116">
        <f t="shared" si="42"/>
        <v>0</v>
      </c>
      <c r="H449" s="116">
        <f t="shared" si="43"/>
        <v>0</v>
      </c>
    </row>
    <row r="450" spans="1:8" s="10" customFormat="1" outlineLevel="1" x14ac:dyDescent="0.2">
      <c r="D450" s="49" t="str">
        <f>TRAIN_DETAILED_COST_WKSHT!D150</f>
        <v>Allowances Category 3</v>
      </c>
      <c r="E450" s="115">
        <f>IF(DD_TOP_ACTV_13_Detailed_Currency_Used=2,TRAIN_DETAILED_COST_WKSHT!$F150*TRAIN_DETAILED_COST_WKSHT!G150,TRAIN_DETAILED_COST_WKSHT!$F150*(TRAIN_DETAILED_COST_WKSHT!G150*TOP_ACTV_13_Exchange_Rate))</f>
        <v>0</v>
      </c>
      <c r="F450" s="115">
        <f>IF(DD_TOP_ACTV_13_Detailed_Currency_Used=2,TRAIN_DETAILED_COST_WKSHT!$F150*TRAIN_DETAILED_COST_WKSHT!H150,TRAIN_DETAILED_COST_WKSHT!$F150*(TRAIN_DETAILED_COST_WKSHT!H150*TOP_ACTV_13_Exchange_Rate))</f>
        <v>0</v>
      </c>
      <c r="G450" s="116">
        <f t="shared" si="42"/>
        <v>0</v>
      </c>
      <c r="H450" s="116">
        <f t="shared" si="43"/>
        <v>0</v>
      </c>
    </row>
    <row r="451" spans="1:8" s="10" customFormat="1" outlineLevel="1" x14ac:dyDescent="0.2">
      <c r="D451" s="49" t="str">
        <f>TRAIN_DETAILED_COST_WKSHT!D151</f>
        <v>Allowances Category 4</v>
      </c>
      <c r="E451" s="115">
        <f>IF(DD_TOP_ACTV_13_Detailed_Currency_Used=2,TRAIN_DETAILED_COST_WKSHT!$F151*TRAIN_DETAILED_COST_WKSHT!G151,TRAIN_DETAILED_COST_WKSHT!$F151*(TRAIN_DETAILED_COST_WKSHT!G151*TOP_ACTV_13_Exchange_Rate))</f>
        <v>0</v>
      </c>
      <c r="F451" s="115">
        <f>IF(DD_TOP_ACTV_13_Detailed_Currency_Used=2,TRAIN_DETAILED_COST_WKSHT!$F151*TRAIN_DETAILED_COST_WKSHT!H151,TRAIN_DETAILED_COST_WKSHT!$F151*(TRAIN_DETAILED_COST_WKSHT!H151*TOP_ACTV_13_Exchange_Rate))</f>
        <v>0</v>
      </c>
      <c r="G451" s="116">
        <f t="shared" si="42"/>
        <v>0</v>
      </c>
      <c r="H451" s="116">
        <f t="shared" si="43"/>
        <v>0</v>
      </c>
    </row>
    <row r="452" spans="1:8" s="10" customFormat="1" outlineLevel="1" x14ac:dyDescent="0.2">
      <c r="D452" s="49" t="str">
        <f>TRAIN_DETAILED_COST_WKSHT!D152</f>
        <v>Allowances Category 5</v>
      </c>
      <c r="E452" s="115">
        <f>IF(DD_TOP_ACTV_13_Detailed_Currency_Used=2,TRAIN_DETAILED_COST_WKSHT!$F152*TRAIN_DETAILED_COST_WKSHT!G152,TRAIN_DETAILED_COST_WKSHT!$F152*(TRAIN_DETAILED_COST_WKSHT!G152*TOP_ACTV_13_Exchange_Rate))</f>
        <v>0</v>
      </c>
      <c r="F452" s="115">
        <f>IF(DD_TOP_ACTV_13_Detailed_Currency_Used=2,TRAIN_DETAILED_COST_WKSHT!$F152*TRAIN_DETAILED_COST_WKSHT!H152,TRAIN_DETAILED_COST_WKSHT!$F152*(TRAIN_DETAILED_COST_WKSHT!H152*TOP_ACTV_13_Exchange_Rate))</f>
        <v>0</v>
      </c>
      <c r="G452" s="116">
        <f t="shared" si="42"/>
        <v>0</v>
      </c>
      <c r="H452" s="116">
        <f t="shared" si="43"/>
        <v>0</v>
      </c>
    </row>
    <row r="453" spans="1:8" s="10" customFormat="1" outlineLevel="1" x14ac:dyDescent="0.2">
      <c r="D453" s="49" t="str">
        <f>TRAIN_DETAILED_COST_WKSHT!D153</f>
        <v>Allowances Category 6</v>
      </c>
      <c r="E453" s="115">
        <f>IF(DD_TOP_ACTV_13_Detailed_Currency_Used=2,TRAIN_DETAILED_COST_WKSHT!$F153*TRAIN_DETAILED_COST_WKSHT!G153,TRAIN_DETAILED_COST_WKSHT!$F153*(TRAIN_DETAILED_COST_WKSHT!G153*TOP_ACTV_13_Exchange_Rate))</f>
        <v>0</v>
      </c>
      <c r="F453" s="115">
        <f>IF(DD_TOP_ACTV_13_Detailed_Currency_Used=2,TRAIN_DETAILED_COST_WKSHT!$F153*TRAIN_DETAILED_COST_WKSHT!H153,TRAIN_DETAILED_COST_WKSHT!$F153*(TRAIN_DETAILED_COST_WKSHT!H153*TOP_ACTV_13_Exchange_Rate))</f>
        <v>0</v>
      </c>
      <c r="G453" s="116">
        <f t="shared" si="42"/>
        <v>0</v>
      </c>
      <c r="H453" s="116">
        <f t="shared" si="43"/>
        <v>0</v>
      </c>
    </row>
    <row r="454" spans="1:8" s="10" customFormat="1" outlineLevel="1" x14ac:dyDescent="0.2">
      <c r="D454" s="49" t="str">
        <f>TRAIN_DETAILED_COST_WKSHT!D154</f>
        <v>Allowances Category 7</v>
      </c>
      <c r="E454" s="115">
        <f>IF(DD_TOP_ACTV_13_Detailed_Currency_Used=2,TRAIN_DETAILED_COST_WKSHT!$F154*TRAIN_DETAILED_COST_WKSHT!G154,TRAIN_DETAILED_COST_WKSHT!$F154*(TRAIN_DETAILED_COST_WKSHT!G154*TOP_ACTV_13_Exchange_Rate))</f>
        <v>0</v>
      </c>
      <c r="F454" s="115">
        <f>IF(DD_TOP_ACTV_13_Detailed_Currency_Used=2,TRAIN_DETAILED_COST_WKSHT!$F154*TRAIN_DETAILED_COST_WKSHT!H154,TRAIN_DETAILED_COST_WKSHT!$F154*(TRAIN_DETAILED_COST_WKSHT!H154*TOP_ACTV_13_Exchange_Rate))</f>
        <v>0</v>
      </c>
      <c r="G454" s="116">
        <f t="shared" si="42"/>
        <v>0</v>
      </c>
      <c r="H454" s="116">
        <f t="shared" si="43"/>
        <v>0</v>
      </c>
    </row>
    <row r="455" spans="1:8" s="10" customFormat="1" outlineLevel="1" x14ac:dyDescent="0.2">
      <c r="D455" s="49" t="str">
        <f>TRAIN_DETAILED_COST_WKSHT!D155</f>
        <v>Allowances Category 8</v>
      </c>
      <c r="E455" s="115">
        <f>IF(DD_TOP_ACTV_13_Detailed_Currency_Used=2,TRAIN_DETAILED_COST_WKSHT!$F155*TRAIN_DETAILED_COST_WKSHT!G155,TRAIN_DETAILED_COST_WKSHT!$F155*(TRAIN_DETAILED_COST_WKSHT!G155*TOP_ACTV_13_Exchange_Rate))</f>
        <v>0</v>
      </c>
      <c r="F455" s="115">
        <f>IF(DD_TOP_ACTV_13_Detailed_Currency_Used=2,TRAIN_DETAILED_COST_WKSHT!$F155*TRAIN_DETAILED_COST_WKSHT!H155,TRAIN_DETAILED_COST_WKSHT!$F155*(TRAIN_DETAILED_COST_WKSHT!H155*TOP_ACTV_13_Exchange_Rate))</f>
        <v>0</v>
      </c>
      <c r="G455" s="116">
        <f t="shared" si="42"/>
        <v>0</v>
      </c>
      <c r="H455" s="116">
        <f t="shared" si="43"/>
        <v>0</v>
      </c>
    </row>
    <row r="456" spans="1:8" s="10" customFormat="1" outlineLevel="1" x14ac:dyDescent="0.2">
      <c r="D456" s="49" t="str">
        <f>TRAIN_DETAILED_COST_WKSHT!D156</f>
        <v>Allowances Category 9</v>
      </c>
      <c r="E456" s="115">
        <f>IF(DD_TOP_ACTV_13_Detailed_Currency_Used=2,TRAIN_DETAILED_COST_WKSHT!$F156*TRAIN_DETAILED_COST_WKSHT!G156,TRAIN_DETAILED_COST_WKSHT!$F156*(TRAIN_DETAILED_COST_WKSHT!G156*TOP_ACTV_13_Exchange_Rate))</f>
        <v>0</v>
      </c>
      <c r="F456" s="115">
        <f>IF(DD_TOP_ACTV_13_Detailed_Currency_Used=2,TRAIN_DETAILED_COST_WKSHT!$F156*TRAIN_DETAILED_COST_WKSHT!H156,TRAIN_DETAILED_COST_WKSHT!$F156*(TRAIN_DETAILED_COST_WKSHT!H156*TOP_ACTV_13_Exchange_Rate))</f>
        <v>0</v>
      </c>
      <c r="G456" s="116">
        <f t="shared" si="42"/>
        <v>0</v>
      </c>
      <c r="H456" s="116">
        <f t="shared" si="43"/>
        <v>0</v>
      </c>
    </row>
    <row r="457" spans="1:8" s="10" customFormat="1" outlineLevel="1" x14ac:dyDescent="0.2">
      <c r="D457" s="49" t="str">
        <f>TRAIN_DETAILED_COST_WKSHT!D157</f>
        <v>Allowances Category 10</v>
      </c>
      <c r="E457" s="115">
        <f>IF(DD_TOP_ACTV_13_Detailed_Currency_Used=2,TRAIN_DETAILED_COST_WKSHT!$F157*TRAIN_DETAILED_COST_WKSHT!G157,TRAIN_DETAILED_COST_WKSHT!$F157*(TRAIN_DETAILED_COST_WKSHT!G157*TOP_ACTV_13_Exchange_Rate))</f>
        <v>0</v>
      </c>
      <c r="F457" s="115">
        <f>IF(DD_TOP_ACTV_13_Detailed_Currency_Used=2,TRAIN_DETAILED_COST_WKSHT!$F157*TRAIN_DETAILED_COST_WKSHT!H157,TRAIN_DETAILED_COST_WKSHT!$F157*(TRAIN_DETAILED_COST_WKSHT!H157*TOP_ACTV_13_Exchange_Rate))</f>
        <v>0</v>
      </c>
      <c r="G457" s="116">
        <f t="shared" si="42"/>
        <v>0</v>
      </c>
      <c r="H457" s="116">
        <f t="shared" si="43"/>
        <v>0</v>
      </c>
    </row>
    <row r="458" spans="1:8" s="10" customFormat="1" outlineLevel="1" x14ac:dyDescent="0.2">
      <c r="D458" s="48" t="str">
        <f>Lang_Allowances</f>
        <v>Allowances</v>
      </c>
      <c r="E458" s="120">
        <f>SUM(E448:E457)</f>
        <v>0</v>
      </c>
      <c r="F458" s="120">
        <f>SUM(F448:F457)</f>
        <v>0</v>
      </c>
      <c r="G458" s="121">
        <f>SUM(G448:G457)</f>
        <v>0</v>
      </c>
      <c r="H458" s="121">
        <f>SUM(H448:H457)</f>
        <v>0</v>
      </c>
    </row>
    <row r="459" spans="1:8" s="10" customFormat="1" outlineLevel="1" x14ac:dyDescent="0.2"/>
    <row r="460" spans="1:8" s="10" customFormat="1" outlineLevel="1" x14ac:dyDescent="0.2"/>
    <row r="461" spans="1:8" s="10" customFormat="1" outlineLevel="1" x14ac:dyDescent="0.2">
      <c r="D461" s="76" t="str">
        <f>Lang_GoTo&amp;" "&amp;HL_TOP_ACTV_13_Ass_A</f>
        <v>Go to Training Activity #2 (Not in Use) - Detailed Allowance Cost Assumptions</v>
      </c>
    </row>
    <row r="462" spans="1:8" s="10" customFormat="1" outlineLevel="1" x14ac:dyDescent="0.2">
      <c r="D462" s="76" t="str">
        <f>Lang_GoTo&amp;" "&amp;HL_TOP_ACTV_13_Cost_Summary_Output</f>
        <v>Go to Training Activity #2 (Not in Use) Detailed Cost Summary</v>
      </c>
    </row>
    <row r="463" spans="1:8" s="10" customFormat="1" x14ac:dyDescent="0.2"/>
    <row r="464" spans="1:8" s="13" customFormat="1" x14ac:dyDescent="0.2">
      <c r="A464" s="12" t="s">
        <v>127</v>
      </c>
      <c r="B464" s="13" t="str">
        <f>HL_TOP_ACTV_13_Name&amp;" "&amp;Lang_Supplies_And_Materials_Outputs</f>
        <v>Training Activity #2 (Not in Use) Supplies and Materials - Outputs</v>
      </c>
    </row>
    <row r="465" spans="3:8" s="10" customFormat="1" outlineLevel="1" x14ac:dyDescent="0.2"/>
    <row r="466" spans="3:8" s="10" customFormat="1" outlineLevel="1" x14ac:dyDescent="0.2">
      <c r="C466" s="114" t="str">
        <f>HL_TOP_ACTV_13_Name</f>
        <v>Training Activity #2 (Not in Use)</v>
      </c>
    </row>
    <row r="467" spans="3:8" s="10" customFormat="1" outlineLevel="1" x14ac:dyDescent="0.2">
      <c r="E467" s="86" t="str">
        <f>TRAIN_Lu!$D$65&amp;" "&amp;Lang_Cost&amp;" ("&amp;TRAIN_Lu!$D$46&amp;")"</f>
        <v>Financial Cost (LCU)</v>
      </c>
      <c r="F467" s="86" t="str">
        <f>TRAIN_Lu!$D$66&amp;" "&amp;Lang_Cost&amp;" ("&amp;TRAIN_Lu!$D$46&amp;")"</f>
        <v>Economic Cost (LCU)</v>
      </c>
      <c r="G467" s="86" t="str">
        <f>TRAIN_Lu!$D$65&amp;" "&amp;Lang_Cost&amp;" ("&amp;TRAIN_Lu!$D$45&amp;")"</f>
        <v>Financial Cost (USD)</v>
      </c>
      <c r="H467" s="86" t="str">
        <f>TRAIN_Lu!$D$66&amp;" "&amp;Lang_Cost&amp;" ("&amp;TRAIN_Lu!$D$45&amp;")"</f>
        <v>Economic Cost (USD)</v>
      </c>
    </row>
    <row r="468" spans="3:8" s="10" customFormat="1" outlineLevel="1" x14ac:dyDescent="0.2">
      <c r="D468" s="49" t="str">
        <f>TRAIN_DETAILED_COST_WKSHT!D166</f>
        <v>Supplies and Materials Category 1</v>
      </c>
      <c r="E468" s="115">
        <f>IF(DD_TOP_ACTV_13_Detailed_Currency_Used=2,TRAIN_DETAILED_COST_WKSHT!$F166*TRAIN_DETAILED_COST_WKSHT!G166,TRAIN_DETAILED_COST_WKSHT!$F166*(TRAIN_DETAILED_COST_WKSHT!G166*TOP_ACTV_13_Exchange_Rate))</f>
        <v>0</v>
      </c>
      <c r="F468" s="115">
        <f>IF(DD_TOP_ACTV_13_Detailed_Currency_Used=2,TRAIN_DETAILED_COST_WKSHT!$F166*TRAIN_DETAILED_COST_WKSHT!H166,TRAIN_DETAILED_COST_WKSHT!$F166*(TRAIN_DETAILED_COST_WKSHT!H166*TOP_ACTV_13_Exchange_Rate))</f>
        <v>0</v>
      </c>
      <c r="G468" s="116">
        <f t="shared" ref="G468:G477" si="44">E468/TOP_ACTV_13_Exchange_Rate</f>
        <v>0</v>
      </c>
      <c r="H468" s="116">
        <f t="shared" ref="H468:H477" si="45">F468/TOP_ACTV_13_Exchange_Rate</f>
        <v>0</v>
      </c>
    </row>
    <row r="469" spans="3:8" s="10" customFormat="1" outlineLevel="1" x14ac:dyDescent="0.2">
      <c r="D469" s="49" t="str">
        <f>TRAIN_DETAILED_COST_WKSHT!D167</f>
        <v>Supplies and Materials Category 2</v>
      </c>
      <c r="E469" s="115">
        <f>IF(DD_TOP_ACTV_13_Detailed_Currency_Used=2,TRAIN_DETAILED_COST_WKSHT!$F167*TRAIN_DETAILED_COST_WKSHT!G167,TRAIN_DETAILED_COST_WKSHT!$F167*(TRAIN_DETAILED_COST_WKSHT!G167*TOP_ACTV_13_Exchange_Rate))</f>
        <v>0</v>
      </c>
      <c r="F469" s="115">
        <f>IF(DD_TOP_ACTV_13_Detailed_Currency_Used=2,TRAIN_DETAILED_COST_WKSHT!$F167*TRAIN_DETAILED_COST_WKSHT!H167,TRAIN_DETAILED_COST_WKSHT!$F167*(TRAIN_DETAILED_COST_WKSHT!H167*TOP_ACTV_13_Exchange_Rate))</f>
        <v>0</v>
      </c>
      <c r="G469" s="116">
        <f t="shared" si="44"/>
        <v>0</v>
      </c>
      <c r="H469" s="116">
        <f t="shared" si="45"/>
        <v>0</v>
      </c>
    </row>
    <row r="470" spans="3:8" s="10" customFormat="1" outlineLevel="1" x14ac:dyDescent="0.2">
      <c r="D470" s="49" t="str">
        <f>TRAIN_DETAILED_COST_WKSHT!D168</f>
        <v>Supplies and Materials Category 3</v>
      </c>
      <c r="E470" s="115">
        <f>IF(DD_TOP_ACTV_13_Detailed_Currency_Used=2,TRAIN_DETAILED_COST_WKSHT!$F168*TRAIN_DETAILED_COST_WKSHT!G168,TRAIN_DETAILED_COST_WKSHT!$F168*(TRAIN_DETAILED_COST_WKSHT!G168*TOP_ACTV_13_Exchange_Rate))</f>
        <v>0</v>
      </c>
      <c r="F470" s="115">
        <f>IF(DD_TOP_ACTV_13_Detailed_Currency_Used=2,TRAIN_DETAILED_COST_WKSHT!$F168*TRAIN_DETAILED_COST_WKSHT!H168,TRAIN_DETAILED_COST_WKSHT!$F168*(TRAIN_DETAILED_COST_WKSHT!H168*TOP_ACTV_13_Exchange_Rate))</f>
        <v>0</v>
      </c>
      <c r="G470" s="116">
        <f t="shared" si="44"/>
        <v>0</v>
      </c>
      <c r="H470" s="116">
        <f t="shared" si="45"/>
        <v>0</v>
      </c>
    </row>
    <row r="471" spans="3:8" s="10" customFormat="1" outlineLevel="1" x14ac:dyDescent="0.2">
      <c r="D471" s="49" t="str">
        <f>TRAIN_DETAILED_COST_WKSHT!D169</f>
        <v>Supplies and Materials Category 4</v>
      </c>
      <c r="E471" s="115">
        <f>IF(DD_TOP_ACTV_13_Detailed_Currency_Used=2,TRAIN_DETAILED_COST_WKSHT!$F169*TRAIN_DETAILED_COST_WKSHT!G169,TRAIN_DETAILED_COST_WKSHT!$F169*(TRAIN_DETAILED_COST_WKSHT!G169*TOP_ACTV_13_Exchange_Rate))</f>
        <v>0</v>
      </c>
      <c r="F471" s="115">
        <f>IF(DD_TOP_ACTV_13_Detailed_Currency_Used=2,TRAIN_DETAILED_COST_WKSHT!$F169*TRAIN_DETAILED_COST_WKSHT!H169,TRAIN_DETAILED_COST_WKSHT!$F169*(TRAIN_DETAILED_COST_WKSHT!H169*TOP_ACTV_13_Exchange_Rate))</f>
        <v>0</v>
      </c>
      <c r="G471" s="116">
        <f t="shared" si="44"/>
        <v>0</v>
      </c>
      <c r="H471" s="116">
        <f t="shared" si="45"/>
        <v>0</v>
      </c>
    </row>
    <row r="472" spans="3:8" s="10" customFormat="1" outlineLevel="1" x14ac:dyDescent="0.2">
      <c r="D472" s="49" t="str">
        <f>TRAIN_DETAILED_COST_WKSHT!D170</f>
        <v>Supplies and Materials Category 5</v>
      </c>
      <c r="E472" s="115">
        <f>IF(DD_TOP_ACTV_13_Detailed_Currency_Used=2,TRAIN_DETAILED_COST_WKSHT!$F170*TRAIN_DETAILED_COST_WKSHT!G170,TRAIN_DETAILED_COST_WKSHT!$F170*(TRAIN_DETAILED_COST_WKSHT!G170*TOP_ACTV_13_Exchange_Rate))</f>
        <v>0</v>
      </c>
      <c r="F472" s="115">
        <f>IF(DD_TOP_ACTV_13_Detailed_Currency_Used=2,TRAIN_DETAILED_COST_WKSHT!$F170*TRAIN_DETAILED_COST_WKSHT!H170,TRAIN_DETAILED_COST_WKSHT!$F170*(TRAIN_DETAILED_COST_WKSHT!H170*TOP_ACTV_13_Exchange_Rate))</f>
        <v>0</v>
      </c>
      <c r="G472" s="116">
        <f t="shared" si="44"/>
        <v>0</v>
      </c>
      <c r="H472" s="116">
        <f t="shared" si="45"/>
        <v>0</v>
      </c>
    </row>
    <row r="473" spans="3:8" s="10" customFormat="1" outlineLevel="1" x14ac:dyDescent="0.2">
      <c r="D473" s="49" t="str">
        <f>TRAIN_DETAILED_COST_WKSHT!D171</f>
        <v>Supplies and Materials Category 6</v>
      </c>
      <c r="E473" s="115">
        <f>IF(DD_TOP_ACTV_13_Detailed_Currency_Used=2,TRAIN_DETAILED_COST_WKSHT!$F171*TRAIN_DETAILED_COST_WKSHT!G171,TRAIN_DETAILED_COST_WKSHT!$F171*(TRAIN_DETAILED_COST_WKSHT!G171*TOP_ACTV_13_Exchange_Rate))</f>
        <v>0</v>
      </c>
      <c r="F473" s="115">
        <f>IF(DD_TOP_ACTV_13_Detailed_Currency_Used=2,TRAIN_DETAILED_COST_WKSHT!$F171*TRAIN_DETAILED_COST_WKSHT!H171,TRAIN_DETAILED_COST_WKSHT!$F171*(TRAIN_DETAILED_COST_WKSHT!H171*TOP_ACTV_13_Exchange_Rate))</f>
        <v>0</v>
      </c>
      <c r="G473" s="116">
        <f t="shared" si="44"/>
        <v>0</v>
      </c>
      <c r="H473" s="116">
        <f t="shared" si="45"/>
        <v>0</v>
      </c>
    </row>
    <row r="474" spans="3:8" s="10" customFormat="1" outlineLevel="1" x14ac:dyDescent="0.2">
      <c r="D474" s="49" t="str">
        <f>TRAIN_DETAILED_COST_WKSHT!D172</f>
        <v>Supplies and Materials Category 7</v>
      </c>
      <c r="E474" s="115">
        <f>IF(DD_TOP_ACTV_13_Detailed_Currency_Used=2,TRAIN_DETAILED_COST_WKSHT!$F172*TRAIN_DETAILED_COST_WKSHT!G172,TRAIN_DETAILED_COST_WKSHT!$F172*(TRAIN_DETAILED_COST_WKSHT!G172*TOP_ACTV_13_Exchange_Rate))</f>
        <v>0</v>
      </c>
      <c r="F474" s="115">
        <f>IF(DD_TOP_ACTV_13_Detailed_Currency_Used=2,TRAIN_DETAILED_COST_WKSHT!$F172*TRAIN_DETAILED_COST_WKSHT!H172,TRAIN_DETAILED_COST_WKSHT!$F172*(TRAIN_DETAILED_COST_WKSHT!H172*TOP_ACTV_13_Exchange_Rate))</f>
        <v>0</v>
      </c>
      <c r="G474" s="116">
        <f t="shared" si="44"/>
        <v>0</v>
      </c>
      <c r="H474" s="116">
        <f t="shared" si="45"/>
        <v>0</v>
      </c>
    </row>
    <row r="475" spans="3:8" s="10" customFormat="1" outlineLevel="1" x14ac:dyDescent="0.2">
      <c r="D475" s="49" t="str">
        <f>TRAIN_DETAILED_COST_WKSHT!D173</f>
        <v>Supplies and Materials Category 8</v>
      </c>
      <c r="E475" s="115">
        <f>IF(DD_TOP_ACTV_13_Detailed_Currency_Used=2,TRAIN_DETAILED_COST_WKSHT!$F173*TRAIN_DETAILED_COST_WKSHT!G173,TRAIN_DETAILED_COST_WKSHT!$F173*(TRAIN_DETAILED_COST_WKSHT!G173*TOP_ACTV_13_Exchange_Rate))</f>
        <v>0</v>
      </c>
      <c r="F475" s="115">
        <f>IF(DD_TOP_ACTV_13_Detailed_Currency_Used=2,TRAIN_DETAILED_COST_WKSHT!$F173*TRAIN_DETAILED_COST_WKSHT!H173,TRAIN_DETAILED_COST_WKSHT!$F173*(TRAIN_DETAILED_COST_WKSHT!H173*TOP_ACTV_13_Exchange_Rate))</f>
        <v>0</v>
      </c>
      <c r="G475" s="116">
        <f t="shared" si="44"/>
        <v>0</v>
      </c>
      <c r="H475" s="116">
        <f t="shared" si="45"/>
        <v>0</v>
      </c>
    </row>
    <row r="476" spans="3:8" s="10" customFormat="1" outlineLevel="1" x14ac:dyDescent="0.2">
      <c r="D476" s="49" t="str">
        <f>TRAIN_DETAILED_COST_WKSHT!D174</f>
        <v>Supplies and Materials Category 9</v>
      </c>
      <c r="E476" s="115">
        <f>IF(DD_TOP_ACTV_13_Detailed_Currency_Used=2,TRAIN_DETAILED_COST_WKSHT!$F174*TRAIN_DETAILED_COST_WKSHT!G174,TRAIN_DETAILED_COST_WKSHT!$F174*(TRAIN_DETAILED_COST_WKSHT!G174*TOP_ACTV_13_Exchange_Rate))</f>
        <v>0</v>
      </c>
      <c r="F476" s="115">
        <f>IF(DD_TOP_ACTV_13_Detailed_Currency_Used=2,TRAIN_DETAILED_COST_WKSHT!$F174*TRAIN_DETAILED_COST_WKSHT!H174,TRAIN_DETAILED_COST_WKSHT!$F174*(TRAIN_DETAILED_COST_WKSHT!H174*TOP_ACTV_13_Exchange_Rate))</f>
        <v>0</v>
      </c>
      <c r="G476" s="116">
        <f t="shared" si="44"/>
        <v>0</v>
      </c>
      <c r="H476" s="116">
        <f t="shared" si="45"/>
        <v>0</v>
      </c>
    </row>
    <row r="477" spans="3:8" s="10" customFormat="1" outlineLevel="1" x14ac:dyDescent="0.2">
      <c r="D477" s="49" t="str">
        <f>TRAIN_DETAILED_COST_WKSHT!D175</f>
        <v>Supplies and Materials Category 10</v>
      </c>
      <c r="E477" s="115">
        <f>IF(DD_TOP_ACTV_13_Detailed_Currency_Used=2,TRAIN_DETAILED_COST_WKSHT!$F175*TRAIN_DETAILED_COST_WKSHT!G175,TRAIN_DETAILED_COST_WKSHT!$F175*(TRAIN_DETAILED_COST_WKSHT!G175*TOP_ACTV_13_Exchange_Rate))</f>
        <v>0</v>
      </c>
      <c r="F477" s="115">
        <f>IF(DD_TOP_ACTV_13_Detailed_Currency_Used=2,TRAIN_DETAILED_COST_WKSHT!$F175*TRAIN_DETAILED_COST_WKSHT!H175,TRAIN_DETAILED_COST_WKSHT!$F175*(TRAIN_DETAILED_COST_WKSHT!H175*TOP_ACTV_13_Exchange_Rate))</f>
        <v>0</v>
      </c>
      <c r="G477" s="116">
        <f t="shared" si="44"/>
        <v>0</v>
      </c>
      <c r="H477" s="116">
        <f t="shared" si="45"/>
        <v>0</v>
      </c>
    </row>
    <row r="478" spans="3:8" s="10" customFormat="1" outlineLevel="1" x14ac:dyDescent="0.2">
      <c r="D478" s="48" t="str">
        <f>Lang_Supplies_And_Materials</f>
        <v>Supplies and Materials</v>
      </c>
      <c r="E478" s="120">
        <f>SUM(E468:E477)</f>
        <v>0</v>
      </c>
      <c r="F478" s="120">
        <f>SUM(F468:F477)</f>
        <v>0</v>
      </c>
      <c r="G478" s="121">
        <f>SUM(G468:G477)</f>
        <v>0</v>
      </c>
      <c r="H478" s="121">
        <f>SUM(H468:H477)</f>
        <v>0</v>
      </c>
    </row>
    <row r="479" spans="3:8" s="10" customFormat="1" outlineLevel="1" x14ac:dyDescent="0.2"/>
    <row r="480" spans="3:8" s="10" customFormat="1" outlineLevel="1" x14ac:dyDescent="0.2"/>
    <row r="481" spans="1:8" s="10" customFormat="1" outlineLevel="1" x14ac:dyDescent="0.2">
      <c r="D481" s="76" t="str">
        <f>Lang_GoTo&amp;" "&amp;HL_TOP_ACTV_13_Supplies_and_Materials</f>
        <v>Go to Training Activity #2 (Not in Use) - Detailed Supply and Material Cost Assumptions</v>
      </c>
    </row>
    <row r="482" spans="1:8" s="10" customFormat="1" outlineLevel="1" x14ac:dyDescent="0.2">
      <c r="D482" s="76" t="str">
        <f>Lang_GoTo&amp;" "&amp;HL_TOP_ACTV_13_Cost_Summary_Output</f>
        <v>Go to Training Activity #2 (Not in Use) Detailed Cost Summary</v>
      </c>
    </row>
    <row r="483" spans="1:8" s="10" customFormat="1" x14ac:dyDescent="0.2"/>
    <row r="484" spans="1:8" s="13" customFormat="1" x14ac:dyDescent="0.2">
      <c r="A484" s="12" t="s">
        <v>127</v>
      </c>
      <c r="B484" s="13" t="str">
        <f>HL_TOP_ACTV_13_Name&amp;" "&amp;Lang_Other_Direct_Costs_Outputs</f>
        <v>Training Activity #2 (Not in Use) Other Direct Costs - Outputs</v>
      </c>
    </row>
    <row r="485" spans="1:8" s="10" customFormat="1" outlineLevel="1" x14ac:dyDescent="0.2"/>
    <row r="486" spans="1:8" s="10" customFormat="1" outlineLevel="1" x14ac:dyDescent="0.2">
      <c r="C486" s="114" t="str">
        <f>HL_TOP_ACTV_13_Name</f>
        <v>Training Activity #2 (Not in Use)</v>
      </c>
    </row>
    <row r="487" spans="1:8" s="10" customFormat="1" outlineLevel="1" x14ac:dyDescent="0.2">
      <c r="E487" s="86" t="str">
        <f>TRAIN_Lu!$D$65&amp;" "&amp;Lang_Cost&amp;" ("&amp;TRAIN_Lu!$D$46&amp;")"</f>
        <v>Financial Cost (LCU)</v>
      </c>
      <c r="F487" s="86" t="str">
        <f>TRAIN_Lu!$D$66&amp;" "&amp;Lang_Cost&amp;" ("&amp;TRAIN_Lu!$D$46&amp;")"</f>
        <v>Economic Cost (LCU)</v>
      </c>
      <c r="G487" s="86" t="str">
        <f>TRAIN_Lu!$D$65&amp;" "&amp;Lang_Cost&amp;" ("&amp;TRAIN_Lu!$D$45&amp;")"</f>
        <v>Financial Cost (USD)</v>
      </c>
      <c r="H487" s="86" t="str">
        <f>TRAIN_Lu!$D$66&amp;" "&amp;Lang_Cost&amp;" ("&amp;TRAIN_Lu!$D$45&amp;")"</f>
        <v>Economic Cost (USD)</v>
      </c>
    </row>
    <row r="488" spans="1:8" s="10" customFormat="1" outlineLevel="1" x14ac:dyDescent="0.2">
      <c r="D488" s="49" t="str">
        <f>TRAIN_DETAILED_COST_WKSHT!D184</f>
        <v>Other Direct Costs (ODC) Category 1</v>
      </c>
      <c r="E488" s="115">
        <f>IF(DD_TOP_ACTV_13_Detailed_Currency_Used=2,TRAIN_DETAILED_COST_WKSHT!$F184*TRAIN_DETAILED_COST_WKSHT!G184,TRAIN_DETAILED_COST_WKSHT!$F184*(TRAIN_DETAILED_COST_WKSHT!G184*TOP_ACTV_13_Exchange_Rate))</f>
        <v>0</v>
      </c>
      <c r="F488" s="115">
        <f>IF(DD_TOP_ACTV_13_Detailed_Currency_Used=2,TRAIN_DETAILED_COST_WKSHT!$F184*TRAIN_DETAILED_COST_WKSHT!H184,TRAIN_DETAILED_COST_WKSHT!$F184*(TRAIN_DETAILED_COST_WKSHT!H184*TOP_ACTV_13_Exchange_Rate))</f>
        <v>0</v>
      </c>
      <c r="G488" s="116">
        <f t="shared" ref="G488:G497" si="46">E488/TOP_ACTV_13_Exchange_Rate</f>
        <v>0</v>
      </c>
      <c r="H488" s="116">
        <f t="shared" ref="H488:H497" si="47">F488/TOP_ACTV_13_Exchange_Rate</f>
        <v>0</v>
      </c>
    </row>
    <row r="489" spans="1:8" s="10" customFormat="1" outlineLevel="1" x14ac:dyDescent="0.2">
      <c r="D489" s="49" t="str">
        <f>TRAIN_DETAILED_COST_WKSHT!D185</f>
        <v>Other Direct Costs (ODC) Category 2</v>
      </c>
      <c r="E489" s="115">
        <f>IF(DD_TOP_ACTV_13_Detailed_Currency_Used=2,TRAIN_DETAILED_COST_WKSHT!$F185*TRAIN_DETAILED_COST_WKSHT!G185,TRAIN_DETAILED_COST_WKSHT!$F185*(TRAIN_DETAILED_COST_WKSHT!G185*TOP_ACTV_13_Exchange_Rate))</f>
        <v>0</v>
      </c>
      <c r="F489" s="115">
        <f>IF(DD_TOP_ACTV_13_Detailed_Currency_Used=2,TRAIN_DETAILED_COST_WKSHT!$F185*TRAIN_DETAILED_COST_WKSHT!H185,TRAIN_DETAILED_COST_WKSHT!$F185*(TRAIN_DETAILED_COST_WKSHT!H185*TOP_ACTV_13_Exchange_Rate))</f>
        <v>0</v>
      </c>
      <c r="G489" s="116">
        <f t="shared" si="46"/>
        <v>0</v>
      </c>
      <c r="H489" s="116">
        <f t="shared" si="47"/>
        <v>0</v>
      </c>
    </row>
    <row r="490" spans="1:8" s="10" customFormat="1" outlineLevel="1" x14ac:dyDescent="0.2">
      <c r="D490" s="49" t="str">
        <f>TRAIN_DETAILED_COST_WKSHT!D186</f>
        <v>Other Direct Costs (ODC) Category 3</v>
      </c>
      <c r="E490" s="115">
        <f>IF(DD_TOP_ACTV_13_Detailed_Currency_Used=2,TRAIN_DETAILED_COST_WKSHT!$F186*TRAIN_DETAILED_COST_WKSHT!G186,TRAIN_DETAILED_COST_WKSHT!$F186*(TRAIN_DETAILED_COST_WKSHT!G186*TOP_ACTV_13_Exchange_Rate))</f>
        <v>0</v>
      </c>
      <c r="F490" s="115">
        <f>IF(DD_TOP_ACTV_13_Detailed_Currency_Used=2,TRAIN_DETAILED_COST_WKSHT!$F186*TRAIN_DETAILED_COST_WKSHT!H186,TRAIN_DETAILED_COST_WKSHT!$F186*(TRAIN_DETAILED_COST_WKSHT!H186*TOP_ACTV_13_Exchange_Rate))</f>
        <v>0</v>
      </c>
      <c r="G490" s="116">
        <f t="shared" si="46"/>
        <v>0</v>
      </c>
      <c r="H490" s="116">
        <f t="shared" si="47"/>
        <v>0</v>
      </c>
    </row>
    <row r="491" spans="1:8" s="10" customFormat="1" outlineLevel="1" x14ac:dyDescent="0.2">
      <c r="D491" s="49" t="str">
        <f>TRAIN_DETAILED_COST_WKSHT!D187</f>
        <v>Other Direct Costs (ODC) Category 4</v>
      </c>
      <c r="E491" s="115">
        <f>IF(DD_TOP_ACTV_13_Detailed_Currency_Used=2,TRAIN_DETAILED_COST_WKSHT!$F187*TRAIN_DETAILED_COST_WKSHT!G187,TRAIN_DETAILED_COST_WKSHT!$F187*(TRAIN_DETAILED_COST_WKSHT!G187*TOP_ACTV_13_Exchange_Rate))</f>
        <v>0</v>
      </c>
      <c r="F491" s="115">
        <f>IF(DD_TOP_ACTV_13_Detailed_Currency_Used=2,TRAIN_DETAILED_COST_WKSHT!$F187*TRAIN_DETAILED_COST_WKSHT!H187,TRAIN_DETAILED_COST_WKSHT!$F187*(TRAIN_DETAILED_COST_WKSHT!H187*TOP_ACTV_13_Exchange_Rate))</f>
        <v>0</v>
      </c>
      <c r="G491" s="116">
        <f t="shared" si="46"/>
        <v>0</v>
      </c>
      <c r="H491" s="116">
        <f t="shared" si="47"/>
        <v>0</v>
      </c>
    </row>
    <row r="492" spans="1:8" s="10" customFormat="1" outlineLevel="1" x14ac:dyDescent="0.2">
      <c r="D492" s="49" t="str">
        <f>TRAIN_DETAILED_COST_WKSHT!D188</f>
        <v>Other Direct Costs (ODC) Category 5</v>
      </c>
      <c r="E492" s="115">
        <f>IF(DD_TOP_ACTV_13_Detailed_Currency_Used=2,TRAIN_DETAILED_COST_WKSHT!$F188*TRAIN_DETAILED_COST_WKSHT!G188,TRAIN_DETAILED_COST_WKSHT!$F188*(TRAIN_DETAILED_COST_WKSHT!G188*TOP_ACTV_13_Exchange_Rate))</f>
        <v>0</v>
      </c>
      <c r="F492" s="115">
        <f>IF(DD_TOP_ACTV_13_Detailed_Currency_Used=2,TRAIN_DETAILED_COST_WKSHT!$F188*TRAIN_DETAILED_COST_WKSHT!H188,TRAIN_DETAILED_COST_WKSHT!$F188*(TRAIN_DETAILED_COST_WKSHT!H188*TOP_ACTV_13_Exchange_Rate))</f>
        <v>0</v>
      </c>
      <c r="G492" s="116">
        <f t="shared" si="46"/>
        <v>0</v>
      </c>
      <c r="H492" s="116">
        <f t="shared" si="47"/>
        <v>0</v>
      </c>
    </row>
    <row r="493" spans="1:8" s="10" customFormat="1" outlineLevel="1" x14ac:dyDescent="0.2">
      <c r="D493" s="49" t="str">
        <f>TRAIN_DETAILED_COST_WKSHT!D189</f>
        <v>Other Direct Costs (ODC) Category 6</v>
      </c>
      <c r="E493" s="115">
        <f>IF(DD_TOP_ACTV_13_Detailed_Currency_Used=2,TRAIN_DETAILED_COST_WKSHT!$F189*TRAIN_DETAILED_COST_WKSHT!G189,TRAIN_DETAILED_COST_WKSHT!$F189*(TRAIN_DETAILED_COST_WKSHT!G189*TOP_ACTV_13_Exchange_Rate))</f>
        <v>0</v>
      </c>
      <c r="F493" s="115">
        <f>IF(DD_TOP_ACTV_13_Detailed_Currency_Used=2,TRAIN_DETAILED_COST_WKSHT!$F189*TRAIN_DETAILED_COST_WKSHT!H189,TRAIN_DETAILED_COST_WKSHT!$F189*(TRAIN_DETAILED_COST_WKSHT!H189*TOP_ACTV_13_Exchange_Rate))</f>
        <v>0</v>
      </c>
      <c r="G493" s="116">
        <f t="shared" si="46"/>
        <v>0</v>
      </c>
      <c r="H493" s="116">
        <f t="shared" si="47"/>
        <v>0</v>
      </c>
    </row>
    <row r="494" spans="1:8" s="10" customFormat="1" outlineLevel="1" x14ac:dyDescent="0.2">
      <c r="D494" s="49" t="str">
        <f>TRAIN_DETAILED_COST_WKSHT!D190</f>
        <v>Other Direct Costs (ODC) Category 7</v>
      </c>
      <c r="E494" s="115">
        <f>IF(DD_TOP_ACTV_13_Detailed_Currency_Used=2,TRAIN_DETAILED_COST_WKSHT!$F190*TRAIN_DETAILED_COST_WKSHT!G190,TRAIN_DETAILED_COST_WKSHT!$F190*(TRAIN_DETAILED_COST_WKSHT!G190*TOP_ACTV_13_Exchange_Rate))</f>
        <v>0</v>
      </c>
      <c r="F494" s="115">
        <f>IF(DD_TOP_ACTV_13_Detailed_Currency_Used=2,TRAIN_DETAILED_COST_WKSHT!$F190*TRAIN_DETAILED_COST_WKSHT!H190,TRAIN_DETAILED_COST_WKSHT!$F190*(TRAIN_DETAILED_COST_WKSHT!H190*TOP_ACTV_13_Exchange_Rate))</f>
        <v>0</v>
      </c>
      <c r="G494" s="116">
        <f t="shared" si="46"/>
        <v>0</v>
      </c>
      <c r="H494" s="116">
        <f t="shared" si="47"/>
        <v>0</v>
      </c>
    </row>
    <row r="495" spans="1:8" s="10" customFormat="1" outlineLevel="1" x14ac:dyDescent="0.2">
      <c r="D495" s="49" t="str">
        <f>TRAIN_DETAILED_COST_WKSHT!D191</f>
        <v>Other Direct Costs (ODC) Category 8</v>
      </c>
      <c r="E495" s="115">
        <f>IF(DD_TOP_ACTV_13_Detailed_Currency_Used=2,TRAIN_DETAILED_COST_WKSHT!$F191*TRAIN_DETAILED_COST_WKSHT!G191,TRAIN_DETAILED_COST_WKSHT!$F191*(TRAIN_DETAILED_COST_WKSHT!G191*TOP_ACTV_13_Exchange_Rate))</f>
        <v>0</v>
      </c>
      <c r="F495" s="115">
        <f>IF(DD_TOP_ACTV_13_Detailed_Currency_Used=2,TRAIN_DETAILED_COST_WKSHT!$F191*TRAIN_DETAILED_COST_WKSHT!H191,TRAIN_DETAILED_COST_WKSHT!$F191*(TRAIN_DETAILED_COST_WKSHT!H191*TOP_ACTV_13_Exchange_Rate))</f>
        <v>0</v>
      </c>
      <c r="G495" s="116">
        <f t="shared" si="46"/>
        <v>0</v>
      </c>
      <c r="H495" s="116">
        <f t="shared" si="47"/>
        <v>0</v>
      </c>
    </row>
    <row r="496" spans="1:8" s="10" customFormat="1" outlineLevel="1" x14ac:dyDescent="0.2">
      <c r="D496" s="49" t="str">
        <f>TRAIN_DETAILED_COST_WKSHT!D192</f>
        <v>Other Direct Costs (ODC) Category 9</v>
      </c>
      <c r="E496" s="115">
        <f>IF(DD_TOP_ACTV_13_Detailed_Currency_Used=2,TRAIN_DETAILED_COST_WKSHT!$F192*TRAIN_DETAILED_COST_WKSHT!G192,TRAIN_DETAILED_COST_WKSHT!$F192*(TRAIN_DETAILED_COST_WKSHT!G192*TOP_ACTV_13_Exchange_Rate))</f>
        <v>0</v>
      </c>
      <c r="F496" s="115">
        <f>IF(DD_TOP_ACTV_13_Detailed_Currency_Used=2,TRAIN_DETAILED_COST_WKSHT!$F192*TRAIN_DETAILED_COST_WKSHT!H192,TRAIN_DETAILED_COST_WKSHT!$F192*(TRAIN_DETAILED_COST_WKSHT!H192*TOP_ACTV_13_Exchange_Rate))</f>
        <v>0</v>
      </c>
      <c r="G496" s="116">
        <f t="shared" si="46"/>
        <v>0</v>
      </c>
      <c r="H496" s="116">
        <f t="shared" si="47"/>
        <v>0</v>
      </c>
    </row>
    <row r="497" spans="1:8" s="10" customFormat="1" outlineLevel="1" x14ac:dyDescent="0.2">
      <c r="D497" s="49" t="str">
        <f>TRAIN_DETAILED_COST_WKSHT!D193</f>
        <v>Other Direct Costs (ODC) Category 10</v>
      </c>
      <c r="E497" s="115">
        <f>IF(DD_TOP_ACTV_13_Detailed_Currency_Used=2,TRAIN_DETAILED_COST_WKSHT!$F193*TRAIN_DETAILED_COST_WKSHT!G193,TRAIN_DETAILED_COST_WKSHT!$F193*(TRAIN_DETAILED_COST_WKSHT!G193*TOP_ACTV_13_Exchange_Rate))</f>
        <v>0</v>
      </c>
      <c r="F497" s="115">
        <f>IF(DD_TOP_ACTV_13_Detailed_Currency_Used=2,TRAIN_DETAILED_COST_WKSHT!$F193*TRAIN_DETAILED_COST_WKSHT!H193,TRAIN_DETAILED_COST_WKSHT!$F193*(TRAIN_DETAILED_COST_WKSHT!H193*TOP_ACTV_13_Exchange_Rate))</f>
        <v>0</v>
      </c>
      <c r="G497" s="116">
        <f t="shared" si="46"/>
        <v>0</v>
      </c>
      <c r="H497" s="116">
        <f t="shared" si="47"/>
        <v>0</v>
      </c>
    </row>
    <row r="498" spans="1:8" s="10" customFormat="1" outlineLevel="1" x14ac:dyDescent="0.2">
      <c r="D498" s="48" t="str">
        <f>Lang_Other_Direct_Costs</f>
        <v>Other Direct Costs</v>
      </c>
      <c r="E498" s="120">
        <f>SUM(E488:E497)</f>
        <v>0</v>
      </c>
      <c r="F498" s="120">
        <f>SUM(F488:F497)</f>
        <v>0</v>
      </c>
      <c r="G498" s="121">
        <f>SUM(G488:G497)</f>
        <v>0</v>
      </c>
      <c r="H498" s="121">
        <f>SUM(H488:H497)</f>
        <v>0</v>
      </c>
    </row>
    <row r="499" spans="1:8" s="10" customFormat="1" outlineLevel="1" x14ac:dyDescent="0.2"/>
    <row r="500" spans="1:8" s="10" customFormat="1" outlineLevel="1" x14ac:dyDescent="0.2">
      <c r="D500" s="76" t="str">
        <f>Lang_GoTo&amp;" "&amp;HL_TOP_ACTV_13_Other_Direct_Costs</f>
        <v>Go to Training Activity #2 (Not in Use) - Detailed Other Direct Cost Assumptions</v>
      </c>
    </row>
    <row r="501" spans="1:8" s="10" customFormat="1" outlineLevel="1" x14ac:dyDescent="0.2">
      <c r="D501" s="76" t="str">
        <f>Lang_GoTo&amp;" "&amp;HL_TOP_ACTV_13_Cost_Summary_Output</f>
        <v>Go to Training Activity #2 (Not in Use) Detailed Cost Summary</v>
      </c>
    </row>
    <row r="502" spans="1:8" s="10" customFormat="1" x14ac:dyDescent="0.2"/>
    <row r="503" spans="1:8" s="13" customFormat="1" x14ac:dyDescent="0.2">
      <c r="A503" s="12" t="s">
        <v>127</v>
      </c>
      <c r="B503" s="13" t="str">
        <f>HL_TOP_ACTV_14_Name&amp;" "&amp;Lang_Personnel_Outputs</f>
        <v>Training Activity #3 (Not in Use) Personnel - Outputs</v>
      </c>
    </row>
    <row r="504" spans="1:8" s="10" customFormat="1" outlineLevel="1" x14ac:dyDescent="0.2"/>
    <row r="505" spans="1:8" s="10" customFormat="1" outlineLevel="1" x14ac:dyDescent="0.2">
      <c r="C505" s="114" t="str">
        <f>HL_TOP_ACTV_14_Name</f>
        <v>Training Activity #3 (Not in Use)</v>
      </c>
    </row>
    <row r="506" spans="1:8" s="10" customFormat="1" outlineLevel="1" x14ac:dyDescent="0.2">
      <c r="E506" s="86" t="str">
        <f>TRAIN_Lu!$D$100&amp;" "&amp;Lang_Cost&amp;" ("&amp;TRAIN_Lu!$D$81&amp;")"</f>
        <v>Financial Cost (LCU)</v>
      </c>
      <c r="F506" s="86" t="str">
        <f>TRAIN_Lu!$D$101&amp;" "&amp;Lang_Cost&amp;" ("&amp;TRAIN_Lu!$D$81&amp;")"</f>
        <v>Economic Cost (LCU)</v>
      </c>
      <c r="G506" s="86" t="str">
        <f>TRAIN_Lu!$D$100&amp;" "&amp;Lang_Cost&amp;" ("&amp;TRAIN_Lu!$D$80&amp;")"</f>
        <v>Financial Cost (USD)</v>
      </c>
      <c r="H506" s="86" t="str">
        <f>TRAIN_Lu!$D$101&amp;" "&amp;Lang_Cost&amp;" ("&amp;TRAIN_Lu!$D$80&amp;")"</f>
        <v>Economic Cost (USD)</v>
      </c>
    </row>
    <row r="507" spans="1:8" s="10" customFormat="1" outlineLevel="1" x14ac:dyDescent="0.2">
      <c r="D507" s="49" t="str">
        <f>TRAIN_DETAILED_COST_WKSHT!D222</f>
        <v>Personnel Category 1</v>
      </c>
      <c r="E507" s="115">
        <f>IF(DD_TOP_ACTV_14_Detailed_Currency_Used=2,TRAIN_DETAILED_COST_WKSHT!$F222*TRAIN_DETAILED_COST_WKSHT!G222,TRAIN_DETAILED_COST_WKSHT!$F222*(TRAIN_DETAILED_COST_WKSHT!G222*TOP_ACTV_14_Exchange_Rate))</f>
        <v>0</v>
      </c>
      <c r="F507" s="115">
        <f>IF(DD_TOP_ACTV_14_Detailed_Currency_Used=2,TRAIN_DETAILED_COST_WKSHT!$F222*TRAIN_DETAILED_COST_WKSHT!H222,TRAIN_DETAILED_COST_WKSHT!$F222*(TRAIN_DETAILED_COST_WKSHT!H222*TOP_ACTV_14_Exchange_Rate))</f>
        <v>0</v>
      </c>
      <c r="G507" s="116">
        <f t="shared" ref="G507:G521" si="48">IFERROR(E507/TOP_ACTV_14_Exchange_Rate,0)</f>
        <v>0</v>
      </c>
      <c r="H507" s="116">
        <f t="shared" ref="H507:H521" si="49">IFERROR(F507/TOP_ACTV_14_Exchange_Rate,0)</f>
        <v>0</v>
      </c>
    </row>
    <row r="508" spans="1:8" s="10" customFormat="1" outlineLevel="1" x14ac:dyDescent="0.2">
      <c r="D508" s="49" t="str">
        <f>TRAIN_DETAILED_COST_WKSHT!D223</f>
        <v>Personnel Category 2</v>
      </c>
      <c r="E508" s="115">
        <f>IF(DD_TOP_ACTV_14_Detailed_Currency_Used=2,TRAIN_DETAILED_COST_WKSHT!$F223*TRAIN_DETAILED_COST_WKSHT!G223,TRAIN_DETAILED_COST_WKSHT!$F223*(TRAIN_DETAILED_COST_WKSHT!G223*TOP_ACTV_14_Exchange_Rate))</f>
        <v>0</v>
      </c>
      <c r="F508" s="115">
        <f>IF(DD_TOP_ACTV_14_Detailed_Currency_Used=2,TRAIN_DETAILED_COST_WKSHT!$F223*TRAIN_DETAILED_COST_WKSHT!H223,TRAIN_DETAILED_COST_WKSHT!$F223*(TRAIN_DETAILED_COST_WKSHT!H223*TOP_ACTV_14_Exchange_Rate))</f>
        <v>0</v>
      </c>
      <c r="G508" s="116">
        <f t="shared" si="48"/>
        <v>0</v>
      </c>
      <c r="H508" s="116">
        <f t="shared" si="49"/>
        <v>0</v>
      </c>
    </row>
    <row r="509" spans="1:8" s="10" customFormat="1" outlineLevel="1" x14ac:dyDescent="0.2">
      <c r="D509" s="49" t="str">
        <f>TRAIN_DETAILED_COST_WKSHT!D224</f>
        <v>Personnel Category 3</v>
      </c>
      <c r="E509" s="115">
        <f>IF(DD_TOP_ACTV_14_Detailed_Currency_Used=2,TRAIN_DETAILED_COST_WKSHT!$F224*TRAIN_DETAILED_COST_WKSHT!G224,TRAIN_DETAILED_COST_WKSHT!$F224*(TRAIN_DETAILED_COST_WKSHT!G224*TOP_ACTV_14_Exchange_Rate))</f>
        <v>0</v>
      </c>
      <c r="F509" s="115">
        <f>IF(DD_TOP_ACTV_14_Detailed_Currency_Used=2,TRAIN_DETAILED_COST_WKSHT!$F224*TRAIN_DETAILED_COST_WKSHT!H224,TRAIN_DETAILED_COST_WKSHT!$F224*(TRAIN_DETAILED_COST_WKSHT!H224*TOP_ACTV_14_Exchange_Rate))</f>
        <v>0</v>
      </c>
      <c r="G509" s="116">
        <f t="shared" si="48"/>
        <v>0</v>
      </c>
      <c r="H509" s="116">
        <f t="shared" si="49"/>
        <v>0</v>
      </c>
    </row>
    <row r="510" spans="1:8" s="10" customFormat="1" outlineLevel="1" x14ac:dyDescent="0.2">
      <c r="D510" s="49" t="str">
        <f>TRAIN_DETAILED_COST_WKSHT!D225</f>
        <v>Personnel Category 4</v>
      </c>
      <c r="E510" s="115">
        <f>IF(DD_TOP_ACTV_14_Detailed_Currency_Used=2,TRAIN_DETAILED_COST_WKSHT!$F225*TRAIN_DETAILED_COST_WKSHT!G225,TRAIN_DETAILED_COST_WKSHT!$F225*(TRAIN_DETAILED_COST_WKSHT!G225*TOP_ACTV_14_Exchange_Rate))</f>
        <v>0</v>
      </c>
      <c r="F510" s="115">
        <f>IF(DD_TOP_ACTV_14_Detailed_Currency_Used=2,TRAIN_DETAILED_COST_WKSHT!$F225*TRAIN_DETAILED_COST_WKSHT!H225,TRAIN_DETAILED_COST_WKSHT!$F225*(TRAIN_DETAILED_COST_WKSHT!H225*TOP_ACTV_14_Exchange_Rate))</f>
        <v>0</v>
      </c>
      <c r="G510" s="116">
        <f t="shared" si="48"/>
        <v>0</v>
      </c>
      <c r="H510" s="116">
        <f t="shared" si="49"/>
        <v>0</v>
      </c>
    </row>
    <row r="511" spans="1:8" s="10" customFormat="1" outlineLevel="1" x14ac:dyDescent="0.2">
      <c r="D511" s="49" t="str">
        <f>TRAIN_DETAILED_COST_WKSHT!D226</f>
        <v>Personnel Category 5</v>
      </c>
      <c r="E511" s="115">
        <f>IF(DD_TOP_ACTV_14_Detailed_Currency_Used=2,TRAIN_DETAILED_COST_WKSHT!$F226*TRAIN_DETAILED_COST_WKSHT!G226,TRAIN_DETAILED_COST_WKSHT!$F226*(TRAIN_DETAILED_COST_WKSHT!G226*TOP_ACTV_14_Exchange_Rate))</f>
        <v>0</v>
      </c>
      <c r="F511" s="115">
        <f>IF(DD_TOP_ACTV_14_Detailed_Currency_Used=2,TRAIN_DETAILED_COST_WKSHT!$F226*TRAIN_DETAILED_COST_WKSHT!H226,TRAIN_DETAILED_COST_WKSHT!$F226*(TRAIN_DETAILED_COST_WKSHT!H226*TOP_ACTV_14_Exchange_Rate))</f>
        <v>0</v>
      </c>
      <c r="G511" s="116">
        <f t="shared" si="48"/>
        <v>0</v>
      </c>
      <c r="H511" s="116">
        <f t="shared" si="49"/>
        <v>0</v>
      </c>
    </row>
    <row r="512" spans="1:8" s="10" customFormat="1" outlineLevel="1" x14ac:dyDescent="0.2">
      <c r="D512" s="49" t="str">
        <f>TRAIN_DETAILED_COST_WKSHT!D227</f>
        <v>Personnel Category 6</v>
      </c>
      <c r="E512" s="115">
        <f>IF(DD_TOP_ACTV_14_Detailed_Currency_Used=2,TRAIN_DETAILED_COST_WKSHT!$F227*TRAIN_DETAILED_COST_WKSHT!G227,TRAIN_DETAILED_COST_WKSHT!$F227*(TRAIN_DETAILED_COST_WKSHT!G227*TOP_ACTV_14_Exchange_Rate))</f>
        <v>0</v>
      </c>
      <c r="F512" s="115">
        <f>IF(DD_TOP_ACTV_14_Detailed_Currency_Used=2,TRAIN_DETAILED_COST_WKSHT!$F227*TRAIN_DETAILED_COST_WKSHT!H227,TRAIN_DETAILED_COST_WKSHT!$F227*(TRAIN_DETAILED_COST_WKSHT!H227*TOP_ACTV_14_Exchange_Rate))</f>
        <v>0</v>
      </c>
      <c r="G512" s="116">
        <f t="shared" si="48"/>
        <v>0</v>
      </c>
      <c r="H512" s="116">
        <f t="shared" si="49"/>
        <v>0</v>
      </c>
    </row>
    <row r="513" spans="1:8" s="10" customFormat="1" outlineLevel="1" x14ac:dyDescent="0.2">
      <c r="D513" s="49" t="str">
        <f>TRAIN_DETAILED_COST_WKSHT!D228</f>
        <v>Personnel Category 7</v>
      </c>
      <c r="E513" s="115">
        <f>IF(DD_TOP_ACTV_14_Detailed_Currency_Used=2,TRAIN_DETAILED_COST_WKSHT!$F228*TRAIN_DETAILED_COST_WKSHT!G228,TRAIN_DETAILED_COST_WKSHT!$F228*(TRAIN_DETAILED_COST_WKSHT!G228*TOP_ACTV_14_Exchange_Rate))</f>
        <v>0</v>
      </c>
      <c r="F513" s="115">
        <f>IF(DD_TOP_ACTV_14_Detailed_Currency_Used=2,TRAIN_DETAILED_COST_WKSHT!$F228*TRAIN_DETAILED_COST_WKSHT!H228,TRAIN_DETAILED_COST_WKSHT!$F228*(TRAIN_DETAILED_COST_WKSHT!H228*TOP_ACTV_14_Exchange_Rate))</f>
        <v>0</v>
      </c>
      <c r="G513" s="116">
        <f t="shared" si="48"/>
        <v>0</v>
      </c>
      <c r="H513" s="116">
        <f t="shared" si="49"/>
        <v>0</v>
      </c>
    </row>
    <row r="514" spans="1:8" s="10" customFormat="1" outlineLevel="1" x14ac:dyDescent="0.2">
      <c r="D514" s="49" t="str">
        <f>TRAIN_DETAILED_COST_WKSHT!D229</f>
        <v>Personnel Category 8</v>
      </c>
      <c r="E514" s="115">
        <f>IF(DD_TOP_ACTV_14_Detailed_Currency_Used=2,TRAIN_DETAILED_COST_WKSHT!$F229*TRAIN_DETAILED_COST_WKSHT!G229,TRAIN_DETAILED_COST_WKSHT!$F229*(TRAIN_DETAILED_COST_WKSHT!G229*TOP_ACTV_14_Exchange_Rate))</f>
        <v>0</v>
      </c>
      <c r="F514" s="115">
        <f>IF(DD_TOP_ACTV_14_Detailed_Currency_Used=2,TRAIN_DETAILED_COST_WKSHT!$F229*TRAIN_DETAILED_COST_WKSHT!H229,TRAIN_DETAILED_COST_WKSHT!$F229*(TRAIN_DETAILED_COST_WKSHT!H229*TOP_ACTV_14_Exchange_Rate))</f>
        <v>0</v>
      </c>
      <c r="G514" s="116">
        <f t="shared" si="48"/>
        <v>0</v>
      </c>
      <c r="H514" s="116">
        <f t="shared" si="49"/>
        <v>0</v>
      </c>
    </row>
    <row r="515" spans="1:8" s="10" customFormat="1" outlineLevel="1" x14ac:dyDescent="0.2">
      <c r="D515" s="49" t="str">
        <f>TRAIN_DETAILED_COST_WKSHT!D230</f>
        <v>Personnel Category 9</v>
      </c>
      <c r="E515" s="115">
        <f>IF(DD_TOP_ACTV_14_Detailed_Currency_Used=2,TRAIN_DETAILED_COST_WKSHT!$F230*TRAIN_DETAILED_COST_WKSHT!G230,TRAIN_DETAILED_COST_WKSHT!$F230*(TRAIN_DETAILED_COST_WKSHT!G230*TOP_ACTV_14_Exchange_Rate))</f>
        <v>0</v>
      </c>
      <c r="F515" s="115">
        <f>IF(DD_TOP_ACTV_14_Detailed_Currency_Used=2,TRAIN_DETAILED_COST_WKSHT!$F230*TRAIN_DETAILED_COST_WKSHT!H230,TRAIN_DETAILED_COST_WKSHT!$F230*(TRAIN_DETAILED_COST_WKSHT!H230*TOP_ACTV_14_Exchange_Rate))</f>
        <v>0</v>
      </c>
      <c r="G515" s="116">
        <f t="shared" si="48"/>
        <v>0</v>
      </c>
      <c r="H515" s="116">
        <f t="shared" si="49"/>
        <v>0</v>
      </c>
    </row>
    <row r="516" spans="1:8" s="10" customFormat="1" outlineLevel="1" x14ac:dyDescent="0.2">
      <c r="D516" s="49" t="str">
        <f>TRAIN_DETAILED_COST_WKSHT!D231</f>
        <v>Personnel Category 10</v>
      </c>
      <c r="E516" s="115">
        <f>IF(DD_TOP_ACTV_14_Detailed_Currency_Used=2,TRAIN_DETAILED_COST_WKSHT!$F231*TRAIN_DETAILED_COST_WKSHT!G231,TRAIN_DETAILED_COST_WKSHT!$F231*(TRAIN_DETAILED_COST_WKSHT!G231*TOP_ACTV_14_Exchange_Rate))</f>
        <v>0</v>
      </c>
      <c r="F516" s="115">
        <f>IF(DD_TOP_ACTV_14_Detailed_Currency_Used=2,TRAIN_DETAILED_COST_WKSHT!$F231*TRAIN_DETAILED_COST_WKSHT!H231,TRAIN_DETAILED_COST_WKSHT!$F231*(TRAIN_DETAILED_COST_WKSHT!H231*TOP_ACTV_14_Exchange_Rate))</f>
        <v>0</v>
      </c>
      <c r="G516" s="116">
        <f t="shared" si="48"/>
        <v>0</v>
      </c>
      <c r="H516" s="116">
        <f t="shared" si="49"/>
        <v>0</v>
      </c>
    </row>
    <row r="517" spans="1:8" s="10" customFormat="1" outlineLevel="1" x14ac:dyDescent="0.2">
      <c r="D517" s="49" t="str">
        <f>TRAIN_DETAILED_COST_WKSHT!D232</f>
        <v>Personnel Category 11</v>
      </c>
      <c r="E517" s="115">
        <f>IF(DD_TOP_ACTV_14_Detailed_Currency_Used=2,TRAIN_DETAILED_COST_WKSHT!$F232*TRAIN_DETAILED_COST_WKSHT!G232,TRAIN_DETAILED_COST_WKSHT!$F232*(TRAIN_DETAILED_COST_WKSHT!G232*TOP_ACTV_14_Exchange_Rate))</f>
        <v>0</v>
      </c>
      <c r="F517" s="115">
        <f>IF(DD_TOP_ACTV_14_Detailed_Currency_Used=2,TRAIN_DETAILED_COST_WKSHT!$F232*TRAIN_DETAILED_COST_WKSHT!H232,TRAIN_DETAILED_COST_WKSHT!$F232*(TRAIN_DETAILED_COST_WKSHT!H232*TOP_ACTV_14_Exchange_Rate))</f>
        <v>0</v>
      </c>
      <c r="G517" s="116">
        <f t="shared" si="48"/>
        <v>0</v>
      </c>
      <c r="H517" s="116">
        <f t="shared" si="49"/>
        <v>0</v>
      </c>
    </row>
    <row r="518" spans="1:8" s="10" customFormat="1" outlineLevel="1" x14ac:dyDescent="0.2">
      <c r="D518" s="49" t="str">
        <f>TRAIN_DETAILED_COST_WKSHT!D233</f>
        <v>Personnel Category 12</v>
      </c>
      <c r="E518" s="115">
        <f>IF(DD_TOP_ACTV_14_Detailed_Currency_Used=2,TRAIN_DETAILED_COST_WKSHT!$F233*TRAIN_DETAILED_COST_WKSHT!G233,TRAIN_DETAILED_COST_WKSHT!$F233*(TRAIN_DETAILED_COST_WKSHT!G233*TOP_ACTV_14_Exchange_Rate))</f>
        <v>0</v>
      </c>
      <c r="F518" s="115">
        <f>IF(DD_TOP_ACTV_14_Detailed_Currency_Used=2,TRAIN_DETAILED_COST_WKSHT!$F233*TRAIN_DETAILED_COST_WKSHT!H233,TRAIN_DETAILED_COST_WKSHT!$F233*(TRAIN_DETAILED_COST_WKSHT!H233*TOP_ACTV_14_Exchange_Rate))</f>
        <v>0</v>
      </c>
      <c r="G518" s="116">
        <f t="shared" si="48"/>
        <v>0</v>
      </c>
      <c r="H518" s="116">
        <f t="shared" si="49"/>
        <v>0</v>
      </c>
    </row>
    <row r="519" spans="1:8" s="10" customFormat="1" outlineLevel="1" x14ac:dyDescent="0.2">
      <c r="D519" s="49" t="str">
        <f>TRAIN_DETAILED_COST_WKSHT!D234</f>
        <v>Personnel Category 13</v>
      </c>
      <c r="E519" s="115">
        <f>IF(DD_TOP_ACTV_14_Detailed_Currency_Used=2,TRAIN_DETAILED_COST_WKSHT!$F234*TRAIN_DETAILED_COST_WKSHT!G234,TRAIN_DETAILED_COST_WKSHT!$F234*(TRAIN_DETAILED_COST_WKSHT!G234*TOP_ACTV_14_Exchange_Rate))</f>
        <v>0</v>
      </c>
      <c r="F519" s="115">
        <f>IF(DD_TOP_ACTV_14_Detailed_Currency_Used=2,TRAIN_DETAILED_COST_WKSHT!$F234*TRAIN_DETAILED_COST_WKSHT!H234,TRAIN_DETAILED_COST_WKSHT!$F234*(TRAIN_DETAILED_COST_WKSHT!H234*TOP_ACTV_14_Exchange_Rate))</f>
        <v>0</v>
      </c>
      <c r="G519" s="116">
        <f t="shared" si="48"/>
        <v>0</v>
      </c>
      <c r="H519" s="116">
        <f t="shared" si="49"/>
        <v>0</v>
      </c>
    </row>
    <row r="520" spans="1:8" s="10" customFormat="1" outlineLevel="1" x14ac:dyDescent="0.2">
      <c r="D520" s="49" t="str">
        <f>TRAIN_DETAILED_COST_WKSHT!D235</f>
        <v>Personnel Category 14</v>
      </c>
      <c r="E520" s="115">
        <f>IF(DD_TOP_ACTV_14_Detailed_Currency_Used=2,TRAIN_DETAILED_COST_WKSHT!$F235*TRAIN_DETAILED_COST_WKSHT!G235,TRAIN_DETAILED_COST_WKSHT!$F235*(TRAIN_DETAILED_COST_WKSHT!G235*TOP_ACTV_14_Exchange_Rate))</f>
        <v>0</v>
      </c>
      <c r="F520" s="115">
        <f>IF(DD_TOP_ACTV_14_Detailed_Currency_Used=2,TRAIN_DETAILED_COST_WKSHT!$F235*TRAIN_DETAILED_COST_WKSHT!H235,TRAIN_DETAILED_COST_WKSHT!$F235*(TRAIN_DETAILED_COST_WKSHT!H235*TOP_ACTV_14_Exchange_Rate))</f>
        <v>0</v>
      </c>
      <c r="G520" s="116">
        <f t="shared" si="48"/>
        <v>0</v>
      </c>
      <c r="H520" s="116">
        <f t="shared" si="49"/>
        <v>0</v>
      </c>
    </row>
    <row r="521" spans="1:8" s="10" customFormat="1" outlineLevel="1" x14ac:dyDescent="0.2">
      <c r="D521" s="49" t="str">
        <f>TRAIN_DETAILED_COST_WKSHT!D236</f>
        <v>Personnel Category 15</v>
      </c>
      <c r="E521" s="115">
        <f>IF(DD_TOP_ACTV_14_Detailed_Currency_Used=2,TRAIN_DETAILED_COST_WKSHT!$F236*TRAIN_DETAILED_COST_WKSHT!G236,TRAIN_DETAILED_COST_WKSHT!$F236*(TRAIN_DETAILED_COST_WKSHT!G236*TOP_ACTV_14_Exchange_Rate))</f>
        <v>0</v>
      </c>
      <c r="F521" s="115">
        <f>IF(DD_TOP_ACTV_14_Detailed_Currency_Used=2,TRAIN_DETAILED_COST_WKSHT!$F236*TRAIN_DETAILED_COST_WKSHT!H236,TRAIN_DETAILED_COST_WKSHT!$F236*(TRAIN_DETAILED_COST_WKSHT!H236*TOP_ACTV_14_Exchange_Rate))</f>
        <v>0</v>
      </c>
      <c r="G521" s="116">
        <f t="shared" si="48"/>
        <v>0</v>
      </c>
      <c r="H521" s="116">
        <f t="shared" si="49"/>
        <v>0</v>
      </c>
    </row>
    <row r="522" spans="1:8" s="10" customFormat="1" outlineLevel="1" x14ac:dyDescent="0.2">
      <c r="D522" s="48" t="str">
        <f>Lang_Personnel</f>
        <v>Personnel</v>
      </c>
      <c r="E522" s="120">
        <f>SUM(E507:E521)</f>
        <v>0</v>
      </c>
      <c r="F522" s="120">
        <f>SUM(F507:F521)</f>
        <v>0</v>
      </c>
      <c r="G522" s="121">
        <f>SUM(G507:G521)</f>
        <v>0</v>
      </c>
      <c r="H522" s="121">
        <f>SUM(H507:H521)</f>
        <v>0</v>
      </c>
    </row>
    <row r="523" spans="1:8" s="10" customFormat="1" outlineLevel="1" x14ac:dyDescent="0.2"/>
    <row r="524" spans="1:8" s="10" customFormat="1" outlineLevel="1" x14ac:dyDescent="0.2"/>
    <row r="525" spans="1:8" s="10" customFormat="1" outlineLevel="1" x14ac:dyDescent="0.2">
      <c r="D525" s="76" t="str">
        <f>Lang_GoTo&amp;" "&amp;HL_TOP_ACTV_14_Personnel_Assumptions</f>
        <v>Go to Training Activity #3 (Not in Use) - Detailed Personnel Cost Assumptions</v>
      </c>
    </row>
    <row r="526" spans="1:8" s="10" customFormat="1" outlineLevel="1" x14ac:dyDescent="0.2">
      <c r="D526" s="76" t="str">
        <f>Lang_GoTo&amp;" "&amp;HL_TOP_ACTV_14_Cost_Summary_Output</f>
        <v>Go to Training Activity #3 (Not in Use) Detailed Cost Summary</v>
      </c>
    </row>
    <row r="527" spans="1:8" s="10" customFormat="1" x14ac:dyDescent="0.2"/>
    <row r="528" spans="1:8" s="13" customFormat="1" x14ac:dyDescent="0.2">
      <c r="A528" s="12" t="s">
        <v>127</v>
      </c>
      <c r="B528" s="13" t="str">
        <f>HL_TOP_ACTV_14_Name&amp;" "&amp;Lang_Allowances_Outputs</f>
        <v>Training Activity #3 (Not in Use) Allowances - Outputs</v>
      </c>
    </row>
    <row r="529" spans="3:8" s="10" customFormat="1" outlineLevel="1" x14ac:dyDescent="0.2"/>
    <row r="530" spans="3:8" s="10" customFormat="1" outlineLevel="1" x14ac:dyDescent="0.2">
      <c r="C530" s="114" t="str">
        <f>HL_TOP_ACTV_14_Name</f>
        <v>Training Activity #3 (Not in Use)</v>
      </c>
    </row>
    <row r="531" spans="3:8" s="10" customFormat="1" outlineLevel="1" x14ac:dyDescent="0.2">
      <c r="E531" s="86" t="str">
        <f>TRAIN_Lu!$D$100&amp;" "&amp;Lang_Cost&amp;" ("&amp;TRAIN_Lu!$D$81&amp;")"</f>
        <v>Financial Cost (LCU)</v>
      </c>
      <c r="F531" s="86" t="str">
        <f>TRAIN_Lu!$D$101&amp;" "&amp;Lang_Cost&amp;" ("&amp;TRAIN_Lu!$D$81&amp;")"</f>
        <v>Economic Cost (LCU)</v>
      </c>
      <c r="G531" s="86" t="str">
        <f>TRAIN_Lu!$D$100&amp;" "&amp;Lang_Cost&amp;" ("&amp;TRAIN_Lu!$D$80&amp;")"</f>
        <v>Financial Cost (USD)</v>
      </c>
      <c r="H531" s="86" t="str">
        <f>TRAIN_Lu!$D$101&amp;" "&amp;Lang_Cost&amp;" ("&amp;TRAIN_Lu!$D$80&amp;")"</f>
        <v>Economic Cost (USD)</v>
      </c>
    </row>
    <row r="532" spans="3:8" s="10" customFormat="1" outlineLevel="1" x14ac:dyDescent="0.2">
      <c r="D532" s="49" t="str">
        <f>TRAIN_DETAILED_COST_WKSHT!D245</f>
        <v>Allowances Category 1</v>
      </c>
      <c r="E532" s="115">
        <f>IF(DD_TOP_ACTV_14_Detailed_Currency_Used=2,TRAIN_DETAILED_COST_WKSHT!$F245*TRAIN_DETAILED_COST_WKSHT!G245,TRAIN_DETAILED_COST_WKSHT!$F245*(TRAIN_DETAILED_COST_WKSHT!G245*TOP_ACTV_14_Exchange_Rate))</f>
        <v>0</v>
      </c>
      <c r="F532" s="115">
        <f>IF(DD_TOP_ACTV_14_Detailed_Currency_Used=2,TRAIN_DETAILED_COST_WKSHT!$F245*TRAIN_DETAILED_COST_WKSHT!H245,TRAIN_DETAILED_COST_WKSHT!$F245*(TRAIN_DETAILED_COST_WKSHT!H245*TOP_ACTV_14_Exchange_Rate))</f>
        <v>0</v>
      </c>
      <c r="G532" s="116">
        <f t="shared" ref="G532:G541" si="50">E532/TOP_ACTV_14_Exchange_Rate</f>
        <v>0</v>
      </c>
      <c r="H532" s="116">
        <f t="shared" ref="H532:H541" si="51">F532/TOP_ACTV_14_Exchange_Rate</f>
        <v>0</v>
      </c>
    </row>
    <row r="533" spans="3:8" s="10" customFormat="1" outlineLevel="1" x14ac:dyDescent="0.2">
      <c r="D533" s="49" t="str">
        <f>TRAIN_DETAILED_COST_WKSHT!D246</f>
        <v>Allowances Category 2</v>
      </c>
      <c r="E533" s="115">
        <f>IF(DD_TOP_ACTV_14_Detailed_Currency_Used=2,TRAIN_DETAILED_COST_WKSHT!$F246*TRAIN_DETAILED_COST_WKSHT!G246,TRAIN_DETAILED_COST_WKSHT!$F246*(TRAIN_DETAILED_COST_WKSHT!G246*TOP_ACTV_14_Exchange_Rate))</f>
        <v>0</v>
      </c>
      <c r="F533" s="115">
        <f>IF(DD_TOP_ACTV_14_Detailed_Currency_Used=2,TRAIN_DETAILED_COST_WKSHT!$F246*TRAIN_DETAILED_COST_WKSHT!H246,TRAIN_DETAILED_COST_WKSHT!$F246*(TRAIN_DETAILED_COST_WKSHT!H246*TOP_ACTV_14_Exchange_Rate))</f>
        <v>0</v>
      </c>
      <c r="G533" s="116">
        <f t="shared" si="50"/>
        <v>0</v>
      </c>
      <c r="H533" s="116">
        <f t="shared" si="51"/>
        <v>0</v>
      </c>
    </row>
    <row r="534" spans="3:8" s="10" customFormat="1" outlineLevel="1" x14ac:dyDescent="0.2">
      <c r="D534" s="49" t="str">
        <f>TRAIN_DETAILED_COST_WKSHT!D247</f>
        <v>Allowances Category 3</v>
      </c>
      <c r="E534" s="115">
        <f>IF(DD_TOP_ACTV_14_Detailed_Currency_Used=2,TRAIN_DETAILED_COST_WKSHT!$F247*TRAIN_DETAILED_COST_WKSHT!G247,TRAIN_DETAILED_COST_WKSHT!$F247*(TRAIN_DETAILED_COST_WKSHT!G247*TOP_ACTV_14_Exchange_Rate))</f>
        <v>0</v>
      </c>
      <c r="F534" s="115">
        <f>IF(DD_TOP_ACTV_14_Detailed_Currency_Used=2,TRAIN_DETAILED_COST_WKSHT!$F247*TRAIN_DETAILED_COST_WKSHT!H247,TRAIN_DETAILED_COST_WKSHT!$F247*(TRAIN_DETAILED_COST_WKSHT!H247*TOP_ACTV_14_Exchange_Rate))</f>
        <v>0</v>
      </c>
      <c r="G534" s="116">
        <f t="shared" si="50"/>
        <v>0</v>
      </c>
      <c r="H534" s="116">
        <f t="shared" si="51"/>
        <v>0</v>
      </c>
    </row>
    <row r="535" spans="3:8" s="10" customFormat="1" outlineLevel="1" x14ac:dyDescent="0.2">
      <c r="D535" s="49" t="str">
        <f>TRAIN_DETAILED_COST_WKSHT!D248</f>
        <v>Allowances Category 4</v>
      </c>
      <c r="E535" s="115">
        <f>IF(DD_TOP_ACTV_14_Detailed_Currency_Used=2,TRAIN_DETAILED_COST_WKSHT!$F248*TRAIN_DETAILED_COST_WKSHT!G248,TRAIN_DETAILED_COST_WKSHT!$F248*(TRAIN_DETAILED_COST_WKSHT!G248*TOP_ACTV_14_Exchange_Rate))</f>
        <v>0</v>
      </c>
      <c r="F535" s="115">
        <f>IF(DD_TOP_ACTV_14_Detailed_Currency_Used=2,TRAIN_DETAILED_COST_WKSHT!$F248*TRAIN_DETAILED_COST_WKSHT!H248,TRAIN_DETAILED_COST_WKSHT!$F248*(TRAIN_DETAILED_COST_WKSHT!H248*TOP_ACTV_14_Exchange_Rate))</f>
        <v>0</v>
      </c>
      <c r="G535" s="116">
        <f t="shared" si="50"/>
        <v>0</v>
      </c>
      <c r="H535" s="116">
        <f t="shared" si="51"/>
        <v>0</v>
      </c>
    </row>
    <row r="536" spans="3:8" s="10" customFormat="1" outlineLevel="1" x14ac:dyDescent="0.2">
      <c r="D536" s="49" t="str">
        <f>TRAIN_DETAILED_COST_WKSHT!D249</f>
        <v>Allowances Category 5</v>
      </c>
      <c r="E536" s="115">
        <f>IF(DD_TOP_ACTV_14_Detailed_Currency_Used=2,TRAIN_DETAILED_COST_WKSHT!$F249*TRAIN_DETAILED_COST_WKSHT!G249,TRAIN_DETAILED_COST_WKSHT!$F249*(TRAIN_DETAILED_COST_WKSHT!G249*TOP_ACTV_14_Exchange_Rate))</f>
        <v>0</v>
      </c>
      <c r="F536" s="115">
        <f>IF(DD_TOP_ACTV_14_Detailed_Currency_Used=2,TRAIN_DETAILED_COST_WKSHT!$F249*TRAIN_DETAILED_COST_WKSHT!H249,TRAIN_DETAILED_COST_WKSHT!$F249*(TRAIN_DETAILED_COST_WKSHT!H249*TOP_ACTV_14_Exchange_Rate))</f>
        <v>0</v>
      </c>
      <c r="G536" s="116">
        <f t="shared" si="50"/>
        <v>0</v>
      </c>
      <c r="H536" s="116">
        <f t="shared" si="51"/>
        <v>0</v>
      </c>
    </row>
    <row r="537" spans="3:8" s="10" customFormat="1" outlineLevel="1" x14ac:dyDescent="0.2">
      <c r="D537" s="49" t="str">
        <f>TRAIN_DETAILED_COST_WKSHT!D250</f>
        <v>Allowances Category 6</v>
      </c>
      <c r="E537" s="115">
        <f>IF(DD_TOP_ACTV_14_Detailed_Currency_Used=2,TRAIN_DETAILED_COST_WKSHT!$F250*TRAIN_DETAILED_COST_WKSHT!G250,TRAIN_DETAILED_COST_WKSHT!$F250*(TRAIN_DETAILED_COST_WKSHT!G250*TOP_ACTV_14_Exchange_Rate))</f>
        <v>0</v>
      </c>
      <c r="F537" s="115">
        <f>IF(DD_TOP_ACTV_14_Detailed_Currency_Used=2,TRAIN_DETAILED_COST_WKSHT!$F250*TRAIN_DETAILED_COST_WKSHT!H250,TRAIN_DETAILED_COST_WKSHT!$F250*(TRAIN_DETAILED_COST_WKSHT!H250*TOP_ACTV_14_Exchange_Rate))</f>
        <v>0</v>
      </c>
      <c r="G537" s="116">
        <f t="shared" si="50"/>
        <v>0</v>
      </c>
      <c r="H537" s="116">
        <f t="shared" si="51"/>
        <v>0</v>
      </c>
    </row>
    <row r="538" spans="3:8" s="10" customFormat="1" outlineLevel="1" x14ac:dyDescent="0.2">
      <c r="D538" s="49" t="str">
        <f>TRAIN_DETAILED_COST_WKSHT!D251</f>
        <v>Allowances Category 7</v>
      </c>
      <c r="E538" s="115">
        <f>IF(DD_TOP_ACTV_14_Detailed_Currency_Used=2,TRAIN_DETAILED_COST_WKSHT!$F251*TRAIN_DETAILED_COST_WKSHT!G251,TRAIN_DETAILED_COST_WKSHT!$F251*(TRAIN_DETAILED_COST_WKSHT!G251*TOP_ACTV_14_Exchange_Rate))</f>
        <v>0</v>
      </c>
      <c r="F538" s="115">
        <f>IF(DD_TOP_ACTV_14_Detailed_Currency_Used=2,TRAIN_DETAILED_COST_WKSHT!$F251*TRAIN_DETAILED_COST_WKSHT!H251,TRAIN_DETAILED_COST_WKSHT!$F251*(TRAIN_DETAILED_COST_WKSHT!H251*TOP_ACTV_14_Exchange_Rate))</f>
        <v>0</v>
      </c>
      <c r="G538" s="116">
        <f t="shared" si="50"/>
        <v>0</v>
      </c>
      <c r="H538" s="116">
        <f t="shared" si="51"/>
        <v>0</v>
      </c>
    </row>
    <row r="539" spans="3:8" s="10" customFormat="1" outlineLevel="1" x14ac:dyDescent="0.2">
      <c r="D539" s="49" t="str">
        <f>TRAIN_DETAILED_COST_WKSHT!D252</f>
        <v>Allowances Category 8</v>
      </c>
      <c r="E539" s="115">
        <f>IF(DD_TOP_ACTV_14_Detailed_Currency_Used=2,TRAIN_DETAILED_COST_WKSHT!$F252*TRAIN_DETAILED_COST_WKSHT!G252,TRAIN_DETAILED_COST_WKSHT!$F252*(TRAIN_DETAILED_COST_WKSHT!G252*TOP_ACTV_14_Exchange_Rate))</f>
        <v>0</v>
      </c>
      <c r="F539" s="115">
        <f>IF(DD_TOP_ACTV_14_Detailed_Currency_Used=2,TRAIN_DETAILED_COST_WKSHT!$F252*TRAIN_DETAILED_COST_WKSHT!H252,TRAIN_DETAILED_COST_WKSHT!$F252*(TRAIN_DETAILED_COST_WKSHT!H252*TOP_ACTV_14_Exchange_Rate))</f>
        <v>0</v>
      </c>
      <c r="G539" s="116">
        <f t="shared" si="50"/>
        <v>0</v>
      </c>
      <c r="H539" s="116">
        <f t="shared" si="51"/>
        <v>0</v>
      </c>
    </row>
    <row r="540" spans="3:8" s="10" customFormat="1" outlineLevel="1" x14ac:dyDescent="0.2">
      <c r="D540" s="49" t="str">
        <f>TRAIN_DETAILED_COST_WKSHT!D253</f>
        <v>Allowances Category 9</v>
      </c>
      <c r="E540" s="115">
        <f>IF(DD_TOP_ACTV_14_Detailed_Currency_Used=2,TRAIN_DETAILED_COST_WKSHT!$F253*TRAIN_DETAILED_COST_WKSHT!G253,TRAIN_DETAILED_COST_WKSHT!$F253*(TRAIN_DETAILED_COST_WKSHT!G253*TOP_ACTV_14_Exchange_Rate))</f>
        <v>0</v>
      </c>
      <c r="F540" s="115">
        <f>IF(DD_TOP_ACTV_14_Detailed_Currency_Used=2,TRAIN_DETAILED_COST_WKSHT!$F253*TRAIN_DETAILED_COST_WKSHT!H253,TRAIN_DETAILED_COST_WKSHT!$F253*(TRAIN_DETAILED_COST_WKSHT!H253*TOP_ACTV_14_Exchange_Rate))</f>
        <v>0</v>
      </c>
      <c r="G540" s="116">
        <f t="shared" si="50"/>
        <v>0</v>
      </c>
      <c r="H540" s="116">
        <f t="shared" si="51"/>
        <v>0</v>
      </c>
    </row>
    <row r="541" spans="3:8" s="10" customFormat="1" outlineLevel="1" x14ac:dyDescent="0.2">
      <c r="D541" s="49" t="str">
        <f>TRAIN_DETAILED_COST_WKSHT!D254</f>
        <v>Allowances Category 10</v>
      </c>
      <c r="E541" s="115">
        <f>IF(DD_TOP_ACTV_14_Detailed_Currency_Used=2,TRAIN_DETAILED_COST_WKSHT!$F254*TRAIN_DETAILED_COST_WKSHT!G254,TRAIN_DETAILED_COST_WKSHT!$F254*(TRAIN_DETAILED_COST_WKSHT!G254*TOP_ACTV_14_Exchange_Rate))</f>
        <v>0</v>
      </c>
      <c r="F541" s="115">
        <f>IF(DD_TOP_ACTV_14_Detailed_Currency_Used=2,TRAIN_DETAILED_COST_WKSHT!$F254*TRAIN_DETAILED_COST_WKSHT!H254,TRAIN_DETAILED_COST_WKSHT!$F254*(TRAIN_DETAILED_COST_WKSHT!H254*TOP_ACTV_14_Exchange_Rate))</f>
        <v>0</v>
      </c>
      <c r="G541" s="116">
        <f t="shared" si="50"/>
        <v>0</v>
      </c>
      <c r="H541" s="116">
        <f t="shared" si="51"/>
        <v>0</v>
      </c>
    </row>
    <row r="542" spans="3:8" s="10" customFormat="1" outlineLevel="1" x14ac:dyDescent="0.2">
      <c r="D542" s="48" t="str">
        <f>Lang_Allowances</f>
        <v>Allowances</v>
      </c>
      <c r="E542" s="120">
        <f>SUM(E532:E541)</f>
        <v>0</v>
      </c>
      <c r="F542" s="120">
        <f>SUM(F532:F541)</f>
        <v>0</v>
      </c>
      <c r="G542" s="121">
        <f>SUM(G532:G541)</f>
        <v>0</v>
      </c>
      <c r="H542" s="121">
        <f>SUM(H532:H541)</f>
        <v>0</v>
      </c>
    </row>
    <row r="543" spans="3:8" s="10" customFormat="1" outlineLevel="1" x14ac:dyDescent="0.2"/>
    <row r="544" spans="3:8" s="10" customFormat="1" outlineLevel="1" x14ac:dyDescent="0.2"/>
    <row r="545" spans="1:8" s="10" customFormat="1" outlineLevel="1" x14ac:dyDescent="0.2">
      <c r="D545" s="76" t="str">
        <f>Lang_GoTo&amp;" "&amp;HL_TOP_ACTV_14_Ass_A</f>
        <v>Go to Training Activity #3 (Not in Use) - Detailed Allowance Cost Assumptions</v>
      </c>
    </row>
    <row r="546" spans="1:8" s="10" customFormat="1" outlineLevel="1" x14ac:dyDescent="0.2">
      <c r="D546" s="76" t="str">
        <f>Lang_GoTo&amp;" "&amp;HL_TOP_ACTV_14_Cost_Summary_Output</f>
        <v>Go to Training Activity #3 (Not in Use) Detailed Cost Summary</v>
      </c>
    </row>
    <row r="547" spans="1:8" s="10" customFormat="1" x14ac:dyDescent="0.2"/>
    <row r="548" spans="1:8" s="13" customFormat="1" x14ac:dyDescent="0.2">
      <c r="A548" s="12" t="s">
        <v>127</v>
      </c>
      <c r="B548" s="13" t="str">
        <f>HL_TOP_ACTV_14_Name&amp;" "&amp;Lang_Supplies_And_Materials_Outputs</f>
        <v>Training Activity #3 (Not in Use) Supplies and Materials - Outputs</v>
      </c>
    </row>
    <row r="549" spans="1:8" s="10" customFormat="1" outlineLevel="1" x14ac:dyDescent="0.2"/>
    <row r="550" spans="1:8" s="10" customFormat="1" outlineLevel="1" x14ac:dyDescent="0.2">
      <c r="C550" s="114" t="str">
        <f>HL_TOP_ACTV_14_Name</f>
        <v>Training Activity #3 (Not in Use)</v>
      </c>
    </row>
    <row r="551" spans="1:8" s="10" customFormat="1" outlineLevel="1" x14ac:dyDescent="0.2">
      <c r="E551" s="86" t="str">
        <f>TRAIN_Lu!$D$100&amp;" "&amp;Lang_Cost&amp;" ("&amp;TRAIN_Lu!$D$81&amp;")"</f>
        <v>Financial Cost (LCU)</v>
      </c>
      <c r="F551" s="86" t="str">
        <f>TRAIN_Lu!$D$101&amp;" "&amp;Lang_Cost&amp;" ("&amp;TRAIN_Lu!$D$81&amp;")"</f>
        <v>Economic Cost (LCU)</v>
      </c>
      <c r="G551" s="86" t="str">
        <f>TRAIN_Lu!$D$100&amp;" "&amp;Lang_Cost&amp;" ("&amp;TRAIN_Lu!$D$80&amp;")"</f>
        <v>Financial Cost (USD)</v>
      </c>
      <c r="H551" s="86" t="str">
        <f>TRAIN_Lu!$D$101&amp;" "&amp;Lang_Cost&amp;" ("&amp;TRAIN_Lu!$D$80&amp;")"</f>
        <v>Economic Cost (USD)</v>
      </c>
    </row>
    <row r="552" spans="1:8" s="10" customFormat="1" outlineLevel="1" x14ac:dyDescent="0.2">
      <c r="D552" s="49" t="str">
        <f>TRAIN_DETAILED_COST_WKSHT!D263</f>
        <v>Supplies and Materials Category 1</v>
      </c>
      <c r="E552" s="115">
        <f>IF(DD_TOP_ACTV_14_Detailed_Currency_Used=2,TRAIN_DETAILED_COST_WKSHT!$F263*TRAIN_DETAILED_COST_WKSHT!G263,TRAIN_DETAILED_COST_WKSHT!$F263*(TRAIN_DETAILED_COST_WKSHT!G263*TOP_ACTV_14_Exchange_Rate))</f>
        <v>0</v>
      </c>
      <c r="F552" s="115">
        <f>IF(DD_TOP_ACTV_14_Detailed_Currency_Used=2,TRAIN_DETAILED_COST_WKSHT!$F263*TRAIN_DETAILED_COST_WKSHT!H263,TRAIN_DETAILED_COST_WKSHT!$F263*(TRAIN_DETAILED_COST_WKSHT!H263*TOP_ACTV_14_Exchange_Rate))</f>
        <v>0</v>
      </c>
      <c r="G552" s="116">
        <f t="shared" ref="G552:G561" si="52">E552/TOP_ACTV_14_Exchange_Rate</f>
        <v>0</v>
      </c>
      <c r="H552" s="116">
        <f t="shared" ref="H552:H561" si="53">F552/TOP_ACTV_14_Exchange_Rate</f>
        <v>0</v>
      </c>
    </row>
    <row r="553" spans="1:8" s="10" customFormat="1" outlineLevel="1" x14ac:dyDescent="0.2">
      <c r="D553" s="49" t="str">
        <f>TRAIN_DETAILED_COST_WKSHT!D264</f>
        <v>Supplies and Materials Category 2</v>
      </c>
      <c r="E553" s="115">
        <f>IF(DD_TOP_ACTV_14_Detailed_Currency_Used=2,TRAIN_DETAILED_COST_WKSHT!$F264*TRAIN_DETAILED_COST_WKSHT!G264,TRAIN_DETAILED_COST_WKSHT!$F264*(TRAIN_DETAILED_COST_WKSHT!G264*TOP_ACTV_14_Exchange_Rate))</f>
        <v>0</v>
      </c>
      <c r="F553" s="115">
        <f>IF(DD_TOP_ACTV_14_Detailed_Currency_Used=2,TRAIN_DETAILED_COST_WKSHT!$F264*TRAIN_DETAILED_COST_WKSHT!H264,TRAIN_DETAILED_COST_WKSHT!$F264*(TRAIN_DETAILED_COST_WKSHT!H264*TOP_ACTV_14_Exchange_Rate))</f>
        <v>0</v>
      </c>
      <c r="G553" s="116">
        <f t="shared" si="52"/>
        <v>0</v>
      </c>
      <c r="H553" s="116">
        <f t="shared" si="53"/>
        <v>0</v>
      </c>
    </row>
    <row r="554" spans="1:8" s="10" customFormat="1" outlineLevel="1" x14ac:dyDescent="0.2">
      <c r="D554" s="49" t="str">
        <f>TRAIN_DETAILED_COST_WKSHT!D265</f>
        <v>Supplies and Materials Category 3</v>
      </c>
      <c r="E554" s="115">
        <f>IF(DD_TOP_ACTV_14_Detailed_Currency_Used=2,TRAIN_DETAILED_COST_WKSHT!$F265*TRAIN_DETAILED_COST_WKSHT!G265,TRAIN_DETAILED_COST_WKSHT!$F265*(TRAIN_DETAILED_COST_WKSHT!G265*TOP_ACTV_14_Exchange_Rate))</f>
        <v>0</v>
      </c>
      <c r="F554" s="115">
        <f>IF(DD_TOP_ACTV_14_Detailed_Currency_Used=2,TRAIN_DETAILED_COST_WKSHT!$F265*TRAIN_DETAILED_COST_WKSHT!H265,TRAIN_DETAILED_COST_WKSHT!$F265*(TRAIN_DETAILED_COST_WKSHT!H265*TOP_ACTV_14_Exchange_Rate))</f>
        <v>0</v>
      </c>
      <c r="G554" s="116">
        <f t="shared" si="52"/>
        <v>0</v>
      </c>
      <c r="H554" s="116">
        <f t="shared" si="53"/>
        <v>0</v>
      </c>
    </row>
    <row r="555" spans="1:8" s="10" customFormat="1" outlineLevel="1" x14ac:dyDescent="0.2">
      <c r="D555" s="49" t="str">
        <f>TRAIN_DETAILED_COST_WKSHT!D266</f>
        <v>Supplies and Materials Category 4</v>
      </c>
      <c r="E555" s="115">
        <f>IF(DD_TOP_ACTV_14_Detailed_Currency_Used=2,TRAIN_DETAILED_COST_WKSHT!$F266*TRAIN_DETAILED_COST_WKSHT!G266,TRAIN_DETAILED_COST_WKSHT!$F266*(TRAIN_DETAILED_COST_WKSHT!G266*TOP_ACTV_14_Exchange_Rate))</f>
        <v>0</v>
      </c>
      <c r="F555" s="115">
        <f>IF(DD_TOP_ACTV_14_Detailed_Currency_Used=2,TRAIN_DETAILED_COST_WKSHT!$F266*TRAIN_DETAILED_COST_WKSHT!H266,TRAIN_DETAILED_COST_WKSHT!$F266*(TRAIN_DETAILED_COST_WKSHT!H266*TOP_ACTV_14_Exchange_Rate))</f>
        <v>0</v>
      </c>
      <c r="G555" s="116">
        <f t="shared" si="52"/>
        <v>0</v>
      </c>
      <c r="H555" s="116">
        <f t="shared" si="53"/>
        <v>0</v>
      </c>
    </row>
    <row r="556" spans="1:8" s="10" customFormat="1" outlineLevel="1" x14ac:dyDescent="0.2">
      <c r="D556" s="49" t="str">
        <f>TRAIN_DETAILED_COST_WKSHT!D267</f>
        <v>Supplies and Materials Category 5</v>
      </c>
      <c r="E556" s="115">
        <f>IF(DD_TOP_ACTV_14_Detailed_Currency_Used=2,TRAIN_DETAILED_COST_WKSHT!$F267*TRAIN_DETAILED_COST_WKSHT!G267,TRAIN_DETAILED_COST_WKSHT!$F267*(TRAIN_DETAILED_COST_WKSHT!G267*TOP_ACTV_14_Exchange_Rate))</f>
        <v>0</v>
      </c>
      <c r="F556" s="115">
        <f>IF(DD_TOP_ACTV_14_Detailed_Currency_Used=2,TRAIN_DETAILED_COST_WKSHT!$F267*TRAIN_DETAILED_COST_WKSHT!H267,TRAIN_DETAILED_COST_WKSHT!$F267*(TRAIN_DETAILED_COST_WKSHT!H267*TOP_ACTV_14_Exchange_Rate))</f>
        <v>0</v>
      </c>
      <c r="G556" s="116">
        <f t="shared" si="52"/>
        <v>0</v>
      </c>
      <c r="H556" s="116">
        <f t="shared" si="53"/>
        <v>0</v>
      </c>
    </row>
    <row r="557" spans="1:8" s="10" customFormat="1" outlineLevel="1" x14ac:dyDescent="0.2">
      <c r="D557" s="49" t="str">
        <f>TRAIN_DETAILED_COST_WKSHT!D268</f>
        <v>Supplies and Materials Category 6</v>
      </c>
      <c r="E557" s="115">
        <f>IF(DD_TOP_ACTV_14_Detailed_Currency_Used=2,TRAIN_DETAILED_COST_WKSHT!$F268*TRAIN_DETAILED_COST_WKSHT!G268,TRAIN_DETAILED_COST_WKSHT!$F268*(TRAIN_DETAILED_COST_WKSHT!G268*TOP_ACTV_14_Exchange_Rate))</f>
        <v>0</v>
      </c>
      <c r="F557" s="115">
        <f>IF(DD_TOP_ACTV_14_Detailed_Currency_Used=2,TRAIN_DETAILED_COST_WKSHT!$F268*TRAIN_DETAILED_COST_WKSHT!H268,TRAIN_DETAILED_COST_WKSHT!$F268*(TRAIN_DETAILED_COST_WKSHT!H268*TOP_ACTV_14_Exchange_Rate))</f>
        <v>0</v>
      </c>
      <c r="G557" s="116">
        <f t="shared" si="52"/>
        <v>0</v>
      </c>
      <c r="H557" s="116">
        <f t="shared" si="53"/>
        <v>0</v>
      </c>
    </row>
    <row r="558" spans="1:8" s="10" customFormat="1" outlineLevel="1" x14ac:dyDescent="0.2">
      <c r="D558" s="49" t="str">
        <f>TRAIN_DETAILED_COST_WKSHT!D269</f>
        <v>Supplies and Materials Category 7</v>
      </c>
      <c r="E558" s="115">
        <f>IF(DD_TOP_ACTV_14_Detailed_Currency_Used=2,TRAIN_DETAILED_COST_WKSHT!$F269*TRAIN_DETAILED_COST_WKSHT!G269,TRAIN_DETAILED_COST_WKSHT!$F269*(TRAIN_DETAILED_COST_WKSHT!G269*TOP_ACTV_14_Exchange_Rate))</f>
        <v>0</v>
      </c>
      <c r="F558" s="115">
        <f>IF(DD_TOP_ACTV_14_Detailed_Currency_Used=2,TRAIN_DETAILED_COST_WKSHT!$F269*TRAIN_DETAILED_COST_WKSHT!H269,TRAIN_DETAILED_COST_WKSHT!$F269*(TRAIN_DETAILED_COST_WKSHT!H269*TOP_ACTV_14_Exchange_Rate))</f>
        <v>0</v>
      </c>
      <c r="G558" s="116">
        <f t="shared" si="52"/>
        <v>0</v>
      </c>
      <c r="H558" s="116">
        <f t="shared" si="53"/>
        <v>0</v>
      </c>
    </row>
    <row r="559" spans="1:8" s="10" customFormat="1" outlineLevel="1" x14ac:dyDescent="0.2">
      <c r="D559" s="49" t="str">
        <f>TRAIN_DETAILED_COST_WKSHT!D270</f>
        <v>Supplies and Materials Category 8</v>
      </c>
      <c r="E559" s="115">
        <f>IF(DD_TOP_ACTV_14_Detailed_Currency_Used=2,TRAIN_DETAILED_COST_WKSHT!$F270*TRAIN_DETAILED_COST_WKSHT!G270,TRAIN_DETAILED_COST_WKSHT!$F270*(TRAIN_DETAILED_COST_WKSHT!G270*TOP_ACTV_14_Exchange_Rate))</f>
        <v>0</v>
      </c>
      <c r="F559" s="115">
        <f>IF(DD_TOP_ACTV_14_Detailed_Currency_Used=2,TRAIN_DETAILED_COST_WKSHT!$F270*TRAIN_DETAILED_COST_WKSHT!H270,TRAIN_DETAILED_COST_WKSHT!$F270*(TRAIN_DETAILED_COST_WKSHT!H270*TOP_ACTV_14_Exchange_Rate))</f>
        <v>0</v>
      </c>
      <c r="G559" s="116">
        <f t="shared" si="52"/>
        <v>0</v>
      </c>
      <c r="H559" s="116">
        <f t="shared" si="53"/>
        <v>0</v>
      </c>
    </row>
    <row r="560" spans="1:8" s="10" customFormat="1" outlineLevel="1" x14ac:dyDescent="0.2">
      <c r="D560" s="49" t="str">
        <f>TRAIN_DETAILED_COST_WKSHT!D271</f>
        <v>Supplies and Materials Category 9</v>
      </c>
      <c r="E560" s="115">
        <f>IF(DD_TOP_ACTV_14_Detailed_Currency_Used=2,TRAIN_DETAILED_COST_WKSHT!$F271*TRAIN_DETAILED_COST_WKSHT!G271,TRAIN_DETAILED_COST_WKSHT!$F271*(TRAIN_DETAILED_COST_WKSHT!G271*TOP_ACTV_14_Exchange_Rate))</f>
        <v>0</v>
      </c>
      <c r="F560" s="115">
        <f>IF(DD_TOP_ACTV_14_Detailed_Currency_Used=2,TRAIN_DETAILED_COST_WKSHT!$F271*TRAIN_DETAILED_COST_WKSHT!H271,TRAIN_DETAILED_COST_WKSHT!$F271*(TRAIN_DETAILED_COST_WKSHT!H271*TOP_ACTV_14_Exchange_Rate))</f>
        <v>0</v>
      </c>
      <c r="G560" s="116">
        <f t="shared" si="52"/>
        <v>0</v>
      </c>
      <c r="H560" s="116">
        <f t="shared" si="53"/>
        <v>0</v>
      </c>
    </row>
    <row r="561" spans="1:8" s="10" customFormat="1" outlineLevel="1" x14ac:dyDescent="0.2">
      <c r="D561" s="49" t="str">
        <f>TRAIN_DETAILED_COST_WKSHT!D272</f>
        <v>Supplies and Materials Category 10</v>
      </c>
      <c r="E561" s="115">
        <f>IF(DD_TOP_ACTV_14_Detailed_Currency_Used=2,TRAIN_DETAILED_COST_WKSHT!$F272*TRAIN_DETAILED_COST_WKSHT!G272,TRAIN_DETAILED_COST_WKSHT!$F272*(TRAIN_DETAILED_COST_WKSHT!G272*TOP_ACTV_14_Exchange_Rate))</f>
        <v>0</v>
      </c>
      <c r="F561" s="115">
        <f>IF(DD_TOP_ACTV_14_Detailed_Currency_Used=2,TRAIN_DETAILED_COST_WKSHT!$F272*TRAIN_DETAILED_COST_WKSHT!H272,TRAIN_DETAILED_COST_WKSHT!$F272*(TRAIN_DETAILED_COST_WKSHT!H272*TOP_ACTV_14_Exchange_Rate))</f>
        <v>0</v>
      </c>
      <c r="G561" s="116">
        <f t="shared" si="52"/>
        <v>0</v>
      </c>
      <c r="H561" s="116">
        <f t="shared" si="53"/>
        <v>0</v>
      </c>
    </row>
    <row r="562" spans="1:8" s="10" customFormat="1" outlineLevel="1" x14ac:dyDescent="0.2">
      <c r="D562" s="48" t="str">
        <f>Lang_Supplies_And_Materials</f>
        <v>Supplies and Materials</v>
      </c>
      <c r="E562" s="120">
        <f>SUM(E552:E561)</f>
        <v>0</v>
      </c>
      <c r="F562" s="120">
        <f>SUM(F552:F561)</f>
        <v>0</v>
      </c>
      <c r="G562" s="121">
        <f>SUM(G552:G561)</f>
        <v>0</v>
      </c>
      <c r="H562" s="121">
        <f>SUM(H552:H561)</f>
        <v>0</v>
      </c>
    </row>
    <row r="563" spans="1:8" s="10" customFormat="1" outlineLevel="1" x14ac:dyDescent="0.2"/>
    <row r="564" spans="1:8" s="10" customFormat="1" outlineLevel="1" x14ac:dyDescent="0.2"/>
    <row r="565" spans="1:8" s="10" customFormat="1" outlineLevel="1" x14ac:dyDescent="0.2">
      <c r="D565" s="76" t="str">
        <f>Lang_GoTo&amp;" "&amp;HL_TOP_ACTV_14_Supplies_and_Materials</f>
        <v>Go to Training Activity #3 (Not in Use) - Detailed Supply and Material Cost Assumptions</v>
      </c>
    </row>
    <row r="566" spans="1:8" s="10" customFormat="1" outlineLevel="1" x14ac:dyDescent="0.2">
      <c r="D566" s="76" t="str">
        <f>Lang_GoTo&amp;" "&amp;HL_TOP_ACTV_14_Cost_Summary_Output</f>
        <v>Go to Training Activity #3 (Not in Use) Detailed Cost Summary</v>
      </c>
    </row>
    <row r="567" spans="1:8" s="10" customFormat="1" x14ac:dyDescent="0.2"/>
    <row r="568" spans="1:8" s="13" customFormat="1" x14ac:dyDescent="0.2">
      <c r="A568" s="12" t="s">
        <v>127</v>
      </c>
      <c r="B568" s="13" t="str">
        <f>HL_TOP_ACTV_14_Name&amp;" "&amp;Lang_Other_Direct_Costs_Outputs</f>
        <v>Training Activity #3 (Not in Use) Other Direct Costs - Outputs</v>
      </c>
    </row>
    <row r="569" spans="1:8" s="10" customFormat="1" outlineLevel="1" x14ac:dyDescent="0.2"/>
    <row r="570" spans="1:8" s="10" customFormat="1" outlineLevel="1" x14ac:dyDescent="0.2">
      <c r="C570" s="114" t="str">
        <f>HL_TOP_ACTV_14_Name</f>
        <v>Training Activity #3 (Not in Use)</v>
      </c>
    </row>
    <row r="571" spans="1:8" s="10" customFormat="1" outlineLevel="1" x14ac:dyDescent="0.2">
      <c r="E571" s="86" t="str">
        <f>TRAIN_Lu!$D$100&amp;" "&amp;Lang_Cost&amp;" ("&amp;TRAIN_Lu!$D$81&amp;")"</f>
        <v>Financial Cost (LCU)</v>
      </c>
      <c r="F571" s="86" t="str">
        <f>TRAIN_Lu!$D$101&amp;" "&amp;Lang_Cost&amp;" ("&amp;TRAIN_Lu!$D$81&amp;")"</f>
        <v>Economic Cost (LCU)</v>
      </c>
      <c r="G571" s="86" t="str">
        <f>TRAIN_Lu!$D$100&amp;" "&amp;Lang_Cost&amp;" ("&amp;TRAIN_Lu!$D$80&amp;")"</f>
        <v>Financial Cost (USD)</v>
      </c>
      <c r="H571" s="86" t="str">
        <f>TRAIN_Lu!$D$101&amp;" "&amp;Lang_Cost&amp;" ("&amp;TRAIN_Lu!$D$80&amp;")"</f>
        <v>Economic Cost (USD)</v>
      </c>
    </row>
    <row r="572" spans="1:8" s="10" customFormat="1" outlineLevel="1" x14ac:dyDescent="0.2">
      <c r="D572" s="49" t="str">
        <f>TRAIN_DETAILED_COST_WKSHT!D281</f>
        <v>Other Direct Costs (ODC) Category 1</v>
      </c>
      <c r="E572" s="115">
        <f>IF(DD_TOP_ACTV_14_Detailed_Currency_Used=2,TRAIN_DETAILED_COST_WKSHT!$F281*TRAIN_DETAILED_COST_WKSHT!G281,TRAIN_DETAILED_COST_WKSHT!$F281*(TRAIN_DETAILED_COST_WKSHT!G281*TOP_ACTV_14_Exchange_Rate))</f>
        <v>0</v>
      </c>
      <c r="F572" s="115">
        <f>IF(DD_TOP_ACTV_14_Detailed_Currency_Used=2,TRAIN_DETAILED_COST_WKSHT!$F281*TRAIN_DETAILED_COST_WKSHT!H281,TRAIN_DETAILED_COST_WKSHT!$F281*(TRAIN_DETAILED_COST_WKSHT!H281*TOP_ACTV_14_Exchange_Rate))</f>
        <v>0</v>
      </c>
      <c r="G572" s="116">
        <f t="shared" ref="G572:G581" si="54">E572/TOP_ACTV_14_Exchange_Rate</f>
        <v>0</v>
      </c>
      <c r="H572" s="116">
        <f t="shared" ref="H572:H581" si="55">F572/TOP_ACTV_14_Exchange_Rate</f>
        <v>0</v>
      </c>
    </row>
    <row r="573" spans="1:8" s="10" customFormat="1" outlineLevel="1" x14ac:dyDescent="0.2">
      <c r="D573" s="49" t="str">
        <f>TRAIN_DETAILED_COST_WKSHT!D282</f>
        <v>Other Direct Costs (ODC) Category 2</v>
      </c>
      <c r="E573" s="115">
        <f>IF(DD_TOP_ACTV_14_Detailed_Currency_Used=2,TRAIN_DETAILED_COST_WKSHT!$F282*TRAIN_DETAILED_COST_WKSHT!G282,TRAIN_DETAILED_COST_WKSHT!$F282*(TRAIN_DETAILED_COST_WKSHT!G282*TOP_ACTV_14_Exchange_Rate))</f>
        <v>0</v>
      </c>
      <c r="F573" s="115">
        <f>IF(DD_TOP_ACTV_14_Detailed_Currency_Used=2,TRAIN_DETAILED_COST_WKSHT!$F282*TRAIN_DETAILED_COST_WKSHT!H282,TRAIN_DETAILED_COST_WKSHT!$F282*(TRAIN_DETAILED_COST_WKSHT!H282*TOP_ACTV_14_Exchange_Rate))</f>
        <v>0</v>
      </c>
      <c r="G573" s="116">
        <f t="shared" si="54"/>
        <v>0</v>
      </c>
      <c r="H573" s="116">
        <f t="shared" si="55"/>
        <v>0</v>
      </c>
    </row>
    <row r="574" spans="1:8" s="10" customFormat="1" outlineLevel="1" x14ac:dyDescent="0.2">
      <c r="D574" s="49" t="str">
        <f>TRAIN_DETAILED_COST_WKSHT!D283</f>
        <v>Other Direct Costs (ODC) Category 3</v>
      </c>
      <c r="E574" s="115">
        <f>IF(DD_TOP_ACTV_14_Detailed_Currency_Used=2,TRAIN_DETAILED_COST_WKSHT!$F283*TRAIN_DETAILED_COST_WKSHT!G283,TRAIN_DETAILED_COST_WKSHT!$F283*(TRAIN_DETAILED_COST_WKSHT!G283*TOP_ACTV_14_Exchange_Rate))</f>
        <v>0</v>
      </c>
      <c r="F574" s="115">
        <f>IF(DD_TOP_ACTV_14_Detailed_Currency_Used=2,TRAIN_DETAILED_COST_WKSHT!$F283*TRAIN_DETAILED_COST_WKSHT!H283,TRAIN_DETAILED_COST_WKSHT!$F283*(TRAIN_DETAILED_COST_WKSHT!H283*TOP_ACTV_14_Exchange_Rate))</f>
        <v>0</v>
      </c>
      <c r="G574" s="116">
        <f t="shared" si="54"/>
        <v>0</v>
      </c>
      <c r="H574" s="116">
        <f t="shared" si="55"/>
        <v>0</v>
      </c>
    </row>
    <row r="575" spans="1:8" s="10" customFormat="1" outlineLevel="1" x14ac:dyDescent="0.2">
      <c r="D575" s="49" t="str">
        <f>TRAIN_DETAILED_COST_WKSHT!D284</f>
        <v>Other Direct Costs (ODC) Category 4</v>
      </c>
      <c r="E575" s="115">
        <f>IF(DD_TOP_ACTV_14_Detailed_Currency_Used=2,TRAIN_DETAILED_COST_WKSHT!$F284*TRAIN_DETAILED_COST_WKSHT!G284,TRAIN_DETAILED_COST_WKSHT!$F284*(TRAIN_DETAILED_COST_WKSHT!G284*TOP_ACTV_14_Exchange_Rate))</f>
        <v>0</v>
      </c>
      <c r="F575" s="115">
        <f>IF(DD_TOP_ACTV_14_Detailed_Currency_Used=2,TRAIN_DETAILED_COST_WKSHT!$F284*TRAIN_DETAILED_COST_WKSHT!H284,TRAIN_DETAILED_COST_WKSHT!$F284*(TRAIN_DETAILED_COST_WKSHT!H284*TOP_ACTV_14_Exchange_Rate))</f>
        <v>0</v>
      </c>
      <c r="G575" s="116">
        <f t="shared" si="54"/>
        <v>0</v>
      </c>
      <c r="H575" s="116">
        <f t="shared" si="55"/>
        <v>0</v>
      </c>
    </row>
    <row r="576" spans="1:8" s="10" customFormat="1" outlineLevel="1" x14ac:dyDescent="0.2">
      <c r="D576" s="49" t="str">
        <f>TRAIN_DETAILED_COST_WKSHT!D285</f>
        <v>Other Direct Costs (ODC) Category 5</v>
      </c>
      <c r="E576" s="115">
        <f>IF(DD_TOP_ACTV_14_Detailed_Currency_Used=2,TRAIN_DETAILED_COST_WKSHT!$F285*TRAIN_DETAILED_COST_WKSHT!G285,TRAIN_DETAILED_COST_WKSHT!$F285*(TRAIN_DETAILED_COST_WKSHT!G285*TOP_ACTV_14_Exchange_Rate))</f>
        <v>0</v>
      </c>
      <c r="F576" s="115">
        <f>IF(DD_TOP_ACTV_14_Detailed_Currency_Used=2,TRAIN_DETAILED_COST_WKSHT!$F285*TRAIN_DETAILED_COST_WKSHT!H285,TRAIN_DETAILED_COST_WKSHT!$F285*(TRAIN_DETAILED_COST_WKSHT!H285*TOP_ACTV_14_Exchange_Rate))</f>
        <v>0</v>
      </c>
      <c r="G576" s="116">
        <f t="shared" si="54"/>
        <v>0</v>
      </c>
      <c r="H576" s="116">
        <f t="shared" si="55"/>
        <v>0</v>
      </c>
    </row>
    <row r="577" spans="1:8" s="10" customFormat="1" outlineLevel="1" x14ac:dyDescent="0.2">
      <c r="D577" s="49" t="str">
        <f>TRAIN_DETAILED_COST_WKSHT!D286</f>
        <v>Other Direct Costs (ODC) Category 6</v>
      </c>
      <c r="E577" s="115">
        <f>IF(DD_TOP_ACTV_14_Detailed_Currency_Used=2,TRAIN_DETAILED_COST_WKSHT!$F286*TRAIN_DETAILED_COST_WKSHT!G286,TRAIN_DETAILED_COST_WKSHT!$F286*(TRAIN_DETAILED_COST_WKSHT!G286*TOP_ACTV_14_Exchange_Rate))</f>
        <v>0</v>
      </c>
      <c r="F577" s="115">
        <f>IF(DD_TOP_ACTV_14_Detailed_Currency_Used=2,TRAIN_DETAILED_COST_WKSHT!$F286*TRAIN_DETAILED_COST_WKSHT!H286,TRAIN_DETAILED_COST_WKSHT!$F286*(TRAIN_DETAILED_COST_WKSHT!H286*TOP_ACTV_14_Exchange_Rate))</f>
        <v>0</v>
      </c>
      <c r="G577" s="116">
        <f t="shared" si="54"/>
        <v>0</v>
      </c>
      <c r="H577" s="116">
        <f t="shared" si="55"/>
        <v>0</v>
      </c>
    </row>
    <row r="578" spans="1:8" s="10" customFormat="1" outlineLevel="1" x14ac:dyDescent="0.2">
      <c r="D578" s="49" t="str">
        <f>TRAIN_DETAILED_COST_WKSHT!D287</f>
        <v>Other Direct Costs (ODC) Category 7</v>
      </c>
      <c r="E578" s="115">
        <f>IF(DD_TOP_ACTV_14_Detailed_Currency_Used=2,TRAIN_DETAILED_COST_WKSHT!$F287*TRAIN_DETAILED_COST_WKSHT!G287,TRAIN_DETAILED_COST_WKSHT!$F287*(TRAIN_DETAILED_COST_WKSHT!G287*TOP_ACTV_14_Exchange_Rate))</f>
        <v>0</v>
      </c>
      <c r="F578" s="115">
        <f>IF(DD_TOP_ACTV_14_Detailed_Currency_Used=2,TRAIN_DETAILED_COST_WKSHT!$F287*TRAIN_DETAILED_COST_WKSHT!H287,TRAIN_DETAILED_COST_WKSHT!$F287*(TRAIN_DETAILED_COST_WKSHT!H287*TOP_ACTV_14_Exchange_Rate))</f>
        <v>0</v>
      </c>
      <c r="G578" s="116">
        <f t="shared" si="54"/>
        <v>0</v>
      </c>
      <c r="H578" s="116">
        <f t="shared" si="55"/>
        <v>0</v>
      </c>
    </row>
    <row r="579" spans="1:8" s="10" customFormat="1" outlineLevel="1" x14ac:dyDescent="0.2">
      <c r="D579" s="49" t="str">
        <f>TRAIN_DETAILED_COST_WKSHT!D288</f>
        <v>Other Direct Costs (ODC) Category 8</v>
      </c>
      <c r="E579" s="115">
        <f>IF(DD_TOP_ACTV_14_Detailed_Currency_Used=2,TRAIN_DETAILED_COST_WKSHT!$F288*TRAIN_DETAILED_COST_WKSHT!G288,TRAIN_DETAILED_COST_WKSHT!$F288*(TRAIN_DETAILED_COST_WKSHT!G288*TOP_ACTV_14_Exchange_Rate))</f>
        <v>0</v>
      </c>
      <c r="F579" s="115">
        <f>IF(DD_TOP_ACTV_14_Detailed_Currency_Used=2,TRAIN_DETAILED_COST_WKSHT!$F288*TRAIN_DETAILED_COST_WKSHT!H288,TRAIN_DETAILED_COST_WKSHT!$F288*(TRAIN_DETAILED_COST_WKSHT!H288*TOP_ACTV_14_Exchange_Rate))</f>
        <v>0</v>
      </c>
      <c r="G579" s="116">
        <f t="shared" si="54"/>
        <v>0</v>
      </c>
      <c r="H579" s="116">
        <f t="shared" si="55"/>
        <v>0</v>
      </c>
    </row>
    <row r="580" spans="1:8" s="10" customFormat="1" outlineLevel="1" x14ac:dyDescent="0.2">
      <c r="D580" s="49" t="str">
        <f>TRAIN_DETAILED_COST_WKSHT!D289</f>
        <v>Other Direct Costs (ODC) Category 9</v>
      </c>
      <c r="E580" s="115">
        <f>IF(DD_TOP_ACTV_14_Detailed_Currency_Used=2,TRAIN_DETAILED_COST_WKSHT!$F289*TRAIN_DETAILED_COST_WKSHT!G289,TRAIN_DETAILED_COST_WKSHT!$F289*(TRAIN_DETAILED_COST_WKSHT!G289*TOP_ACTV_14_Exchange_Rate))</f>
        <v>0</v>
      </c>
      <c r="F580" s="115">
        <f>IF(DD_TOP_ACTV_14_Detailed_Currency_Used=2,TRAIN_DETAILED_COST_WKSHT!$F289*TRAIN_DETAILED_COST_WKSHT!H289,TRAIN_DETAILED_COST_WKSHT!$F289*(TRAIN_DETAILED_COST_WKSHT!H289*TOP_ACTV_14_Exchange_Rate))</f>
        <v>0</v>
      </c>
      <c r="G580" s="116">
        <f t="shared" si="54"/>
        <v>0</v>
      </c>
      <c r="H580" s="116">
        <f t="shared" si="55"/>
        <v>0</v>
      </c>
    </row>
    <row r="581" spans="1:8" s="10" customFormat="1" outlineLevel="1" x14ac:dyDescent="0.2">
      <c r="D581" s="49" t="str">
        <f>TRAIN_DETAILED_COST_WKSHT!D290</f>
        <v>Other Direct Costs (ODC) Category 10</v>
      </c>
      <c r="E581" s="115">
        <f>IF(DD_TOP_ACTV_14_Detailed_Currency_Used=2,TRAIN_DETAILED_COST_WKSHT!$F290*TRAIN_DETAILED_COST_WKSHT!G290,TRAIN_DETAILED_COST_WKSHT!$F290*(TRAIN_DETAILED_COST_WKSHT!G290*TOP_ACTV_14_Exchange_Rate))</f>
        <v>0</v>
      </c>
      <c r="F581" s="115">
        <f>IF(DD_TOP_ACTV_14_Detailed_Currency_Used=2,TRAIN_DETAILED_COST_WKSHT!$F290*TRAIN_DETAILED_COST_WKSHT!H290,TRAIN_DETAILED_COST_WKSHT!$F290*(TRAIN_DETAILED_COST_WKSHT!H290*TOP_ACTV_14_Exchange_Rate))</f>
        <v>0</v>
      </c>
      <c r="G581" s="116">
        <f t="shared" si="54"/>
        <v>0</v>
      </c>
      <c r="H581" s="116">
        <f t="shared" si="55"/>
        <v>0</v>
      </c>
    </row>
    <row r="582" spans="1:8" s="10" customFormat="1" outlineLevel="1" x14ac:dyDescent="0.2">
      <c r="D582" s="48" t="str">
        <f>Lang_Other_Direct_Costs</f>
        <v>Other Direct Costs</v>
      </c>
      <c r="E582" s="120">
        <f>SUM(E572:E581)</f>
        <v>0</v>
      </c>
      <c r="F582" s="120">
        <f>SUM(F572:F581)</f>
        <v>0</v>
      </c>
      <c r="G582" s="121">
        <f>SUM(G572:G581)</f>
        <v>0</v>
      </c>
      <c r="H582" s="121">
        <f>SUM(H572:H581)</f>
        <v>0</v>
      </c>
    </row>
    <row r="583" spans="1:8" s="10" customFormat="1" outlineLevel="1" x14ac:dyDescent="0.2"/>
    <row r="584" spans="1:8" s="10" customFormat="1" outlineLevel="1" x14ac:dyDescent="0.2">
      <c r="D584" s="76" t="str">
        <f>Lang_GoTo&amp;" "&amp;HL_TOP_ACTV_14_Other_Direct_Costs</f>
        <v>Go to Training Activity #3 (Not in Use) - Detailed Other Direct Cost Assumptions</v>
      </c>
    </row>
    <row r="585" spans="1:8" s="10" customFormat="1" outlineLevel="1" x14ac:dyDescent="0.2">
      <c r="D585" s="76" t="str">
        <f>Lang_GoTo&amp;" "&amp;HL_TOP_ACTV_14_Cost_Summary_Output</f>
        <v>Go to Training Activity #3 (Not in Use) Detailed Cost Summary</v>
      </c>
    </row>
    <row r="586" spans="1:8" s="10" customFormat="1" x14ac:dyDescent="0.2"/>
    <row r="587" spans="1:8" s="13" customFormat="1" x14ac:dyDescent="0.2">
      <c r="A587" s="12" t="s">
        <v>127</v>
      </c>
      <c r="B587" s="13" t="str">
        <f>C589&amp;" "&amp;Lang_Personnel_Outputs</f>
        <v>Training Activity #4 (Not in Use) Personnel - Outputs</v>
      </c>
    </row>
    <row r="588" spans="1:8" s="10" customFormat="1" outlineLevel="1" x14ac:dyDescent="0.2"/>
    <row r="589" spans="1:8" s="10" customFormat="1" outlineLevel="1" x14ac:dyDescent="0.2">
      <c r="C589" s="114" t="str">
        <f>HL_LVL2_ACTV_2_Name</f>
        <v>Training Activity #4 (Not in Use)</v>
      </c>
    </row>
    <row r="590" spans="1:8" s="10" customFormat="1" outlineLevel="1" x14ac:dyDescent="0.2">
      <c r="E590" s="86" t="str">
        <f>TRAIN_Lu!$D$135&amp;" "&amp;Lang_Cost&amp;" ("&amp;TRAIN_Lu!$D$116&amp;")"</f>
        <v>Financial Cost (LCU)</v>
      </c>
      <c r="F590" s="86" t="str">
        <f>TRAIN_Lu!$D$136&amp;" "&amp;Lang_Cost&amp;" ("&amp;TRAIN_Lu!$D$116&amp;")"</f>
        <v>Economic Cost (LCU)</v>
      </c>
      <c r="G590" s="86" t="str">
        <f>TRAIN_Lu!$D$135&amp;" "&amp;Lang_Cost&amp;" ("&amp;TRAIN_Lu!$D$115&amp;")"</f>
        <v>Financial Cost (USD)</v>
      </c>
      <c r="H590" s="86" t="str">
        <f>TRAIN_Lu!$D$136&amp;" "&amp;Lang_Cost&amp;" ("&amp;TRAIN_Lu!$D$115&amp;")"</f>
        <v>Economic Cost (USD)</v>
      </c>
    </row>
    <row r="591" spans="1:8" s="10" customFormat="1" outlineLevel="1" x14ac:dyDescent="0.2">
      <c r="D591" s="49" t="str">
        <f>TRAIN_DETAILED_COST_WKSHT!D321</f>
        <v>Personnel Category 1</v>
      </c>
      <c r="E591" s="115">
        <f>IF(DD_LVL2_ACTV_2_Currency_Selected=2,TRAIN_DETAILED_COST_WKSHT!$F321*TRAIN_DETAILED_COST_WKSHT!G321,TRAIN_DETAILED_COST_WKSHT!$F321*(TRAIN_DETAILED_COST_WKSHT!G321*LVL2_ACTV_2_Exchange_Rate))</f>
        <v>0</v>
      </c>
      <c r="F591" s="115">
        <f>IF(DD_LVL2_ACTV_2_Currency_Selected=2,TRAIN_DETAILED_COST_WKSHT!$F321*TRAIN_DETAILED_COST_WKSHT!H321,TRAIN_DETAILED_COST_WKSHT!$F321*(TRAIN_DETAILED_COST_WKSHT!H321*LVL2_ACTV_2_Exchange_Rate))</f>
        <v>0</v>
      </c>
      <c r="G591" s="116">
        <f t="shared" ref="G591:G605" si="56">IFERROR(E591/LVL2_ACTV_2_Exchange_Rate,0)</f>
        <v>0</v>
      </c>
      <c r="H591" s="116">
        <f t="shared" ref="H591:H605" si="57">IFERROR(F591/LVL2_ACTV_2_Exchange_Rate,0)</f>
        <v>0</v>
      </c>
    </row>
    <row r="592" spans="1:8" s="10" customFormat="1" outlineLevel="1" x14ac:dyDescent="0.2">
      <c r="D592" s="49" t="str">
        <f>TRAIN_DETAILED_COST_WKSHT!D322</f>
        <v>Personnel Category 2</v>
      </c>
      <c r="E592" s="115">
        <f>IF(DD_LVL2_ACTV_2_Currency_Selected=2,TRAIN_DETAILED_COST_WKSHT!$F322*TRAIN_DETAILED_COST_WKSHT!G322,TRAIN_DETAILED_COST_WKSHT!$F322*(TRAIN_DETAILED_COST_WKSHT!G322*LVL2_ACTV_2_Exchange_Rate))</f>
        <v>0</v>
      </c>
      <c r="F592" s="115">
        <f>IF(DD_LVL2_ACTV_2_Currency_Selected=2,TRAIN_DETAILED_COST_WKSHT!$F322*TRAIN_DETAILED_COST_WKSHT!H322,TRAIN_DETAILED_COST_WKSHT!$F322*(TRAIN_DETAILED_COST_WKSHT!H322*LVL2_ACTV_2_Exchange_Rate))</f>
        <v>0</v>
      </c>
      <c r="G592" s="116">
        <f t="shared" si="56"/>
        <v>0</v>
      </c>
      <c r="H592" s="116">
        <f t="shared" si="57"/>
        <v>0</v>
      </c>
    </row>
    <row r="593" spans="4:8" s="10" customFormat="1" outlineLevel="1" x14ac:dyDescent="0.2">
      <c r="D593" s="49" t="str">
        <f>TRAIN_DETAILED_COST_WKSHT!D323</f>
        <v>Personnel Category 3</v>
      </c>
      <c r="E593" s="115">
        <f>IF(DD_LVL2_ACTV_2_Currency_Selected=2,TRAIN_DETAILED_COST_WKSHT!$F323*TRAIN_DETAILED_COST_WKSHT!G323,TRAIN_DETAILED_COST_WKSHT!$F323*(TRAIN_DETAILED_COST_WKSHT!G323*LVL2_ACTV_2_Exchange_Rate))</f>
        <v>0</v>
      </c>
      <c r="F593" s="115">
        <f>IF(DD_LVL2_ACTV_2_Currency_Selected=2,TRAIN_DETAILED_COST_WKSHT!$F323*TRAIN_DETAILED_COST_WKSHT!H323,TRAIN_DETAILED_COST_WKSHT!$F323*(TRAIN_DETAILED_COST_WKSHT!H323*LVL2_ACTV_2_Exchange_Rate))</f>
        <v>0</v>
      </c>
      <c r="G593" s="116">
        <f t="shared" si="56"/>
        <v>0</v>
      </c>
      <c r="H593" s="116">
        <f t="shared" si="57"/>
        <v>0</v>
      </c>
    </row>
    <row r="594" spans="4:8" s="10" customFormat="1" outlineLevel="1" x14ac:dyDescent="0.2">
      <c r="D594" s="49" t="str">
        <f>TRAIN_DETAILED_COST_WKSHT!D324</f>
        <v>Personnel Category 4</v>
      </c>
      <c r="E594" s="115">
        <f>IF(DD_LVL2_ACTV_2_Currency_Selected=2,TRAIN_DETAILED_COST_WKSHT!$F324*TRAIN_DETAILED_COST_WKSHT!G324,TRAIN_DETAILED_COST_WKSHT!$F324*(TRAIN_DETAILED_COST_WKSHT!G324*LVL2_ACTV_2_Exchange_Rate))</f>
        <v>0</v>
      </c>
      <c r="F594" s="115">
        <f>IF(DD_LVL2_ACTV_2_Currency_Selected=2,TRAIN_DETAILED_COST_WKSHT!$F324*TRAIN_DETAILED_COST_WKSHT!H324,TRAIN_DETAILED_COST_WKSHT!$F324*(TRAIN_DETAILED_COST_WKSHT!H324*LVL2_ACTV_2_Exchange_Rate))</f>
        <v>0</v>
      </c>
      <c r="G594" s="116">
        <f t="shared" si="56"/>
        <v>0</v>
      </c>
      <c r="H594" s="116">
        <f t="shared" si="57"/>
        <v>0</v>
      </c>
    </row>
    <row r="595" spans="4:8" s="10" customFormat="1" outlineLevel="1" x14ac:dyDescent="0.2">
      <c r="D595" s="49" t="str">
        <f>TRAIN_DETAILED_COST_WKSHT!D325</f>
        <v>Personnel Category 5</v>
      </c>
      <c r="E595" s="115">
        <f>IF(DD_LVL2_ACTV_2_Currency_Selected=2,TRAIN_DETAILED_COST_WKSHT!$F325*TRAIN_DETAILED_COST_WKSHT!G325,TRAIN_DETAILED_COST_WKSHT!$F325*(TRAIN_DETAILED_COST_WKSHT!G325*LVL2_ACTV_2_Exchange_Rate))</f>
        <v>0</v>
      </c>
      <c r="F595" s="115">
        <f>IF(DD_LVL2_ACTV_2_Currency_Selected=2,TRAIN_DETAILED_COST_WKSHT!$F325*TRAIN_DETAILED_COST_WKSHT!H325,TRAIN_DETAILED_COST_WKSHT!$F325*(TRAIN_DETAILED_COST_WKSHT!H325*LVL2_ACTV_2_Exchange_Rate))</f>
        <v>0</v>
      </c>
      <c r="G595" s="116">
        <f t="shared" si="56"/>
        <v>0</v>
      </c>
      <c r="H595" s="116">
        <f t="shared" si="57"/>
        <v>0</v>
      </c>
    </row>
    <row r="596" spans="4:8" s="10" customFormat="1" outlineLevel="1" x14ac:dyDescent="0.2">
      <c r="D596" s="49" t="str">
        <f>TRAIN_DETAILED_COST_WKSHT!D326</f>
        <v>Personnel Category 6</v>
      </c>
      <c r="E596" s="115">
        <f>IF(DD_LVL2_ACTV_2_Currency_Selected=2,TRAIN_DETAILED_COST_WKSHT!$F326*TRAIN_DETAILED_COST_WKSHT!G326,TRAIN_DETAILED_COST_WKSHT!$F326*(TRAIN_DETAILED_COST_WKSHT!G326*LVL2_ACTV_2_Exchange_Rate))</f>
        <v>0</v>
      </c>
      <c r="F596" s="115">
        <f>IF(DD_LVL2_ACTV_2_Currency_Selected=2,TRAIN_DETAILED_COST_WKSHT!$F326*TRAIN_DETAILED_COST_WKSHT!H326,TRAIN_DETAILED_COST_WKSHT!$F326*(TRAIN_DETAILED_COST_WKSHT!H326*LVL2_ACTV_2_Exchange_Rate))</f>
        <v>0</v>
      </c>
      <c r="G596" s="116">
        <f t="shared" si="56"/>
        <v>0</v>
      </c>
      <c r="H596" s="116">
        <f t="shared" si="57"/>
        <v>0</v>
      </c>
    </row>
    <row r="597" spans="4:8" s="10" customFormat="1" outlineLevel="1" x14ac:dyDescent="0.2">
      <c r="D597" s="49" t="str">
        <f>TRAIN_DETAILED_COST_WKSHT!D327</f>
        <v>Personnel Category 7</v>
      </c>
      <c r="E597" s="115">
        <f>IF(DD_LVL2_ACTV_2_Currency_Selected=2,TRAIN_DETAILED_COST_WKSHT!$F327*TRAIN_DETAILED_COST_WKSHT!G327,TRAIN_DETAILED_COST_WKSHT!$F327*(TRAIN_DETAILED_COST_WKSHT!G327*LVL2_ACTV_2_Exchange_Rate))</f>
        <v>0</v>
      </c>
      <c r="F597" s="115">
        <f>IF(DD_LVL2_ACTV_2_Currency_Selected=2,TRAIN_DETAILED_COST_WKSHT!$F327*TRAIN_DETAILED_COST_WKSHT!H327,TRAIN_DETAILED_COST_WKSHT!$F327*(TRAIN_DETAILED_COST_WKSHT!H327*LVL2_ACTV_2_Exchange_Rate))</f>
        <v>0</v>
      </c>
      <c r="G597" s="116">
        <f t="shared" si="56"/>
        <v>0</v>
      </c>
      <c r="H597" s="116">
        <f t="shared" si="57"/>
        <v>0</v>
      </c>
    </row>
    <row r="598" spans="4:8" s="10" customFormat="1" outlineLevel="1" x14ac:dyDescent="0.2">
      <c r="D598" s="49" t="str">
        <f>TRAIN_DETAILED_COST_WKSHT!D328</f>
        <v>Personnel Category 8</v>
      </c>
      <c r="E598" s="115">
        <f>IF(DD_LVL2_ACTV_2_Currency_Selected=2,TRAIN_DETAILED_COST_WKSHT!$F328*TRAIN_DETAILED_COST_WKSHT!G328,TRAIN_DETAILED_COST_WKSHT!$F328*(TRAIN_DETAILED_COST_WKSHT!G328*LVL2_ACTV_2_Exchange_Rate))</f>
        <v>0</v>
      </c>
      <c r="F598" s="115">
        <f>IF(DD_LVL2_ACTV_2_Currency_Selected=2,TRAIN_DETAILED_COST_WKSHT!$F328*TRAIN_DETAILED_COST_WKSHT!H328,TRAIN_DETAILED_COST_WKSHT!$F328*(TRAIN_DETAILED_COST_WKSHT!H328*LVL2_ACTV_2_Exchange_Rate))</f>
        <v>0</v>
      </c>
      <c r="G598" s="116">
        <f t="shared" si="56"/>
        <v>0</v>
      </c>
      <c r="H598" s="116">
        <f t="shared" si="57"/>
        <v>0</v>
      </c>
    </row>
    <row r="599" spans="4:8" s="10" customFormat="1" outlineLevel="1" x14ac:dyDescent="0.2">
      <c r="D599" s="49" t="str">
        <f>TRAIN_DETAILED_COST_WKSHT!D329</f>
        <v>Personnel Category 9</v>
      </c>
      <c r="E599" s="115">
        <f>IF(DD_LVL2_ACTV_2_Currency_Selected=2,TRAIN_DETAILED_COST_WKSHT!$F329*TRAIN_DETAILED_COST_WKSHT!G329,TRAIN_DETAILED_COST_WKSHT!$F329*(TRAIN_DETAILED_COST_WKSHT!G329*LVL2_ACTV_2_Exchange_Rate))</f>
        <v>0</v>
      </c>
      <c r="F599" s="115">
        <f>IF(DD_LVL2_ACTV_2_Currency_Selected=2,TRAIN_DETAILED_COST_WKSHT!$F329*TRAIN_DETAILED_COST_WKSHT!H329,TRAIN_DETAILED_COST_WKSHT!$F329*(TRAIN_DETAILED_COST_WKSHT!H329*LVL2_ACTV_2_Exchange_Rate))</f>
        <v>0</v>
      </c>
      <c r="G599" s="116">
        <f t="shared" si="56"/>
        <v>0</v>
      </c>
      <c r="H599" s="116">
        <f t="shared" si="57"/>
        <v>0</v>
      </c>
    </row>
    <row r="600" spans="4:8" s="10" customFormat="1" outlineLevel="1" x14ac:dyDescent="0.2">
      <c r="D600" s="49" t="str">
        <f>TRAIN_DETAILED_COST_WKSHT!D330</f>
        <v>Personnel Category 10</v>
      </c>
      <c r="E600" s="115">
        <f>IF(DD_LVL2_ACTV_2_Currency_Selected=2,TRAIN_DETAILED_COST_WKSHT!$F330*TRAIN_DETAILED_COST_WKSHT!G330,TRAIN_DETAILED_COST_WKSHT!$F330*(TRAIN_DETAILED_COST_WKSHT!G330*LVL2_ACTV_2_Exchange_Rate))</f>
        <v>0</v>
      </c>
      <c r="F600" s="115">
        <f>IF(DD_LVL2_ACTV_2_Currency_Selected=2,TRAIN_DETAILED_COST_WKSHT!$F330*TRAIN_DETAILED_COST_WKSHT!H330,TRAIN_DETAILED_COST_WKSHT!$F330*(TRAIN_DETAILED_COST_WKSHT!H330*LVL2_ACTV_2_Exchange_Rate))</f>
        <v>0</v>
      </c>
      <c r="G600" s="116">
        <f t="shared" si="56"/>
        <v>0</v>
      </c>
      <c r="H600" s="116">
        <f t="shared" si="57"/>
        <v>0</v>
      </c>
    </row>
    <row r="601" spans="4:8" s="10" customFormat="1" outlineLevel="1" x14ac:dyDescent="0.2">
      <c r="D601" s="49" t="str">
        <f>TRAIN_DETAILED_COST_WKSHT!D331</f>
        <v>Personnel Category 11</v>
      </c>
      <c r="E601" s="115">
        <f>IF(DD_LVL2_ACTV_2_Currency_Selected=2,TRAIN_DETAILED_COST_WKSHT!$F331*TRAIN_DETAILED_COST_WKSHT!G331,TRAIN_DETAILED_COST_WKSHT!$F331*(TRAIN_DETAILED_COST_WKSHT!G331*LVL2_ACTV_2_Exchange_Rate))</f>
        <v>0</v>
      </c>
      <c r="F601" s="115">
        <f>IF(DD_LVL2_ACTV_2_Currency_Selected=2,TRAIN_DETAILED_COST_WKSHT!$F331*TRAIN_DETAILED_COST_WKSHT!H331,TRAIN_DETAILED_COST_WKSHT!$F331*(TRAIN_DETAILED_COST_WKSHT!H331*LVL2_ACTV_2_Exchange_Rate))</f>
        <v>0</v>
      </c>
      <c r="G601" s="116">
        <f t="shared" si="56"/>
        <v>0</v>
      </c>
      <c r="H601" s="116">
        <f t="shared" si="57"/>
        <v>0</v>
      </c>
    </row>
    <row r="602" spans="4:8" s="10" customFormat="1" outlineLevel="1" x14ac:dyDescent="0.2">
      <c r="D602" s="49" t="str">
        <f>TRAIN_DETAILED_COST_WKSHT!D332</f>
        <v>Personnel Category 12</v>
      </c>
      <c r="E602" s="115">
        <f>IF(DD_LVL2_ACTV_2_Currency_Selected=2,TRAIN_DETAILED_COST_WKSHT!$F332*TRAIN_DETAILED_COST_WKSHT!G332,TRAIN_DETAILED_COST_WKSHT!$F332*(TRAIN_DETAILED_COST_WKSHT!G332*LVL2_ACTV_2_Exchange_Rate))</f>
        <v>0</v>
      </c>
      <c r="F602" s="115">
        <f>IF(DD_LVL2_ACTV_2_Currency_Selected=2,TRAIN_DETAILED_COST_WKSHT!$F332*TRAIN_DETAILED_COST_WKSHT!H332,TRAIN_DETAILED_COST_WKSHT!$F332*(TRAIN_DETAILED_COST_WKSHT!H332*LVL2_ACTV_2_Exchange_Rate))</f>
        <v>0</v>
      </c>
      <c r="G602" s="116">
        <f t="shared" si="56"/>
        <v>0</v>
      </c>
      <c r="H602" s="116">
        <f t="shared" si="57"/>
        <v>0</v>
      </c>
    </row>
    <row r="603" spans="4:8" s="10" customFormat="1" outlineLevel="1" x14ac:dyDescent="0.2">
      <c r="D603" s="49" t="str">
        <f>TRAIN_DETAILED_COST_WKSHT!D333</f>
        <v>Personnel Category 13</v>
      </c>
      <c r="E603" s="115">
        <f>IF(DD_LVL2_ACTV_2_Currency_Selected=2,TRAIN_DETAILED_COST_WKSHT!$F333*TRAIN_DETAILED_COST_WKSHT!G333,TRAIN_DETAILED_COST_WKSHT!$F333*(TRAIN_DETAILED_COST_WKSHT!G333*LVL2_ACTV_2_Exchange_Rate))</f>
        <v>0</v>
      </c>
      <c r="F603" s="115">
        <f>IF(DD_LVL2_ACTV_2_Currency_Selected=2,TRAIN_DETAILED_COST_WKSHT!$F333*TRAIN_DETAILED_COST_WKSHT!H333,TRAIN_DETAILED_COST_WKSHT!$F333*(TRAIN_DETAILED_COST_WKSHT!H333*LVL2_ACTV_2_Exchange_Rate))</f>
        <v>0</v>
      </c>
      <c r="G603" s="116">
        <f t="shared" si="56"/>
        <v>0</v>
      </c>
      <c r="H603" s="116">
        <f t="shared" si="57"/>
        <v>0</v>
      </c>
    </row>
    <row r="604" spans="4:8" s="10" customFormat="1" outlineLevel="1" x14ac:dyDescent="0.2">
      <c r="D604" s="49" t="str">
        <f>TRAIN_DETAILED_COST_WKSHT!D334</f>
        <v>Personnel Category 14</v>
      </c>
      <c r="E604" s="115">
        <f>IF(DD_LVL2_ACTV_2_Currency_Selected=2,TRAIN_DETAILED_COST_WKSHT!$F334*TRAIN_DETAILED_COST_WKSHT!G334,TRAIN_DETAILED_COST_WKSHT!$F334*(TRAIN_DETAILED_COST_WKSHT!G334*LVL2_ACTV_2_Exchange_Rate))</f>
        <v>0</v>
      </c>
      <c r="F604" s="115">
        <f>IF(DD_LVL2_ACTV_2_Currency_Selected=2,TRAIN_DETAILED_COST_WKSHT!$F334*TRAIN_DETAILED_COST_WKSHT!H334,TRAIN_DETAILED_COST_WKSHT!$F334*(TRAIN_DETAILED_COST_WKSHT!H334*LVL2_ACTV_2_Exchange_Rate))</f>
        <v>0</v>
      </c>
      <c r="G604" s="116">
        <f t="shared" si="56"/>
        <v>0</v>
      </c>
      <c r="H604" s="116">
        <f t="shared" si="57"/>
        <v>0</v>
      </c>
    </row>
    <row r="605" spans="4:8" s="10" customFormat="1" outlineLevel="1" x14ac:dyDescent="0.2">
      <c r="D605" s="49" t="str">
        <f>TRAIN_DETAILED_COST_WKSHT!D335</f>
        <v>Personnel Category 15</v>
      </c>
      <c r="E605" s="115">
        <f>IF(DD_LVL2_ACTV_2_Currency_Selected=2,TRAIN_DETAILED_COST_WKSHT!$F335*TRAIN_DETAILED_COST_WKSHT!G335,TRAIN_DETAILED_COST_WKSHT!$F335*(TRAIN_DETAILED_COST_WKSHT!G335*LVL2_ACTV_2_Exchange_Rate))</f>
        <v>0</v>
      </c>
      <c r="F605" s="115">
        <f>IF(DD_LVL2_ACTV_2_Currency_Selected=2,TRAIN_DETAILED_COST_WKSHT!$F335*TRAIN_DETAILED_COST_WKSHT!H335,TRAIN_DETAILED_COST_WKSHT!$F335*(TRAIN_DETAILED_COST_WKSHT!H335*LVL2_ACTV_2_Exchange_Rate))</f>
        <v>0</v>
      </c>
      <c r="G605" s="116">
        <f t="shared" si="56"/>
        <v>0</v>
      </c>
      <c r="H605" s="116">
        <f t="shared" si="57"/>
        <v>0</v>
      </c>
    </row>
    <row r="606" spans="4:8" s="10" customFormat="1" outlineLevel="1" x14ac:dyDescent="0.2">
      <c r="D606" s="48" t="str">
        <f>Lang_Personnel</f>
        <v>Personnel</v>
      </c>
      <c r="E606" s="120">
        <f>SUM(E591:E605)</f>
        <v>0</v>
      </c>
      <c r="F606" s="120">
        <f>SUM(F591:F605)</f>
        <v>0</v>
      </c>
      <c r="G606" s="121">
        <f>SUM(G591:G605)</f>
        <v>0</v>
      </c>
      <c r="H606" s="121">
        <f>SUM(H591:H605)</f>
        <v>0</v>
      </c>
    </row>
    <row r="607" spans="4:8" s="10" customFormat="1" outlineLevel="1" x14ac:dyDescent="0.2"/>
    <row r="608" spans="4:8" s="10" customFormat="1" outlineLevel="1" x14ac:dyDescent="0.2"/>
    <row r="609" spans="1:8" s="10" customFormat="1" outlineLevel="1" x14ac:dyDescent="0.2">
      <c r="D609" s="76" t="str">
        <f>Lang_GoTo&amp;" "&amp;HL_LVL2_ACTV_2_Personnel_Assumptions</f>
        <v>Go to Training Activity #4 (Not in Use) - Detailed Personnel Cost Assumptions</v>
      </c>
    </row>
    <row r="610" spans="1:8" s="10" customFormat="1" outlineLevel="1" x14ac:dyDescent="0.2">
      <c r="D610" s="76" t="str">
        <f>Lang_GoTo&amp;" "&amp;HL_LVL2_ACTV_2_Cost_Summary_Output</f>
        <v>Go to Training Activity #4 (Not in Use) Detailed Cost Summary</v>
      </c>
    </row>
    <row r="611" spans="1:8" s="10" customFormat="1" x14ac:dyDescent="0.2"/>
    <row r="612" spans="1:8" s="13" customFormat="1" x14ac:dyDescent="0.2">
      <c r="A612" s="12" t="s">
        <v>127</v>
      </c>
      <c r="B612" s="13" t="str">
        <f>C614&amp;" "&amp;Lang_Allowances_Outputs</f>
        <v>Training Activity #4 (Not in Use) Allowances - Outputs</v>
      </c>
    </row>
    <row r="613" spans="1:8" s="10" customFormat="1" outlineLevel="1" x14ac:dyDescent="0.2"/>
    <row r="614" spans="1:8" s="10" customFormat="1" outlineLevel="1" x14ac:dyDescent="0.2">
      <c r="C614" s="114" t="str">
        <f>HL_LVL2_ACTV_2_Name</f>
        <v>Training Activity #4 (Not in Use)</v>
      </c>
    </row>
    <row r="615" spans="1:8" s="10" customFormat="1" outlineLevel="1" x14ac:dyDescent="0.2">
      <c r="E615" s="86" t="str">
        <f>TRAIN_Lu!$D$135&amp;" "&amp;Lang_Cost&amp;" ("&amp;TRAIN_Lu!$D$116&amp;")"</f>
        <v>Financial Cost (LCU)</v>
      </c>
      <c r="F615" s="86" t="str">
        <f>TRAIN_Lu!$D$136&amp;" "&amp;Lang_Cost&amp;" ("&amp;TRAIN_Lu!$D$116&amp;")"</f>
        <v>Economic Cost (LCU)</v>
      </c>
      <c r="G615" s="86" t="str">
        <f>TRAIN_Lu!$D$135&amp;" "&amp;Lang_Cost&amp;" ("&amp;TRAIN_Lu!$D$115&amp;")"</f>
        <v>Financial Cost (USD)</v>
      </c>
      <c r="H615" s="86" t="str">
        <f>TRAIN_Lu!$D$136&amp;" "&amp;Lang_Cost&amp;" ("&amp;TRAIN_Lu!$D$115&amp;")"</f>
        <v>Economic Cost (USD)</v>
      </c>
    </row>
    <row r="616" spans="1:8" s="10" customFormat="1" outlineLevel="1" x14ac:dyDescent="0.2">
      <c r="D616" s="49" t="str">
        <f>TRAIN_DETAILED_COST_WKSHT!D344</f>
        <v>Allowances Category 1</v>
      </c>
      <c r="E616" s="115">
        <f>IF(DD_LVL2_ACTV_2_Currency_Selected=2,TRAIN_DETAILED_COST_WKSHT!$F344*TRAIN_DETAILED_COST_WKSHT!G344,TRAIN_DETAILED_COST_WKSHT!$F344*(TRAIN_DETAILED_COST_WKSHT!G344*LVL2_ACTV_2_Exchange_Rate))</f>
        <v>0</v>
      </c>
      <c r="F616" s="115">
        <f>IF(DD_LVL2_ACTV_2_Currency_Selected=2,TRAIN_DETAILED_COST_WKSHT!$F344*TRAIN_DETAILED_COST_WKSHT!H344,TRAIN_DETAILED_COST_WKSHT!$F344*(TRAIN_DETAILED_COST_WKSHT!H344*LVL2_ACTV_2_Exchange_Rate))</f>
        <v>0</v>
      </c>
      <c r="G616" s="116">
        <f t="shared" ref="G616:G625" si="58">E616/LVL2_ACTV_2_Exchange_Rate</f>
        <v>0</v>
      </c>
      <c r="H616" s="116">
        <f t="shared" ref="H616:H625" si="59">F616/LVL2_ACTV_2_Exchange_Rate</f>
        <v>0</v>
      </c>
    </row>
    <row r="617" spans="1:8" s="10" customFormat="1" outlineLevel="1" x14ac:dyDescent="0.2">
      <c r="D617" s="49" t="str">
        <f>TRAIN_DETAILED_COST_WKSHT!D345</f>
        <v>Allowances Category 2</v>
      </c>
      <c r="E617" s="115">
        <f>IF(DD_LVL2_ACTV_2_Currency_Selected=2,TRAIN_DETAILED_COST_WKSHT!$F345*TRAIN_DETAILED_COST_WKSHT!G345,TRAIN_DETAILED_COST_WKSHT!$F345*(TRAIN_DETAILED_COST_WKSHT!G345*LVL2_ACTV_2_Exchange_Rate))</f>
        <v>0</v>
      </c>
      <c r="F617" s="115">
        <f>IF(DD_LVL2_ACTV_2_Currency_Selected=2,TRAIN_DETAILED_COST_WKSHT!$F345*TRAIN_DETAILED_COST_WKSHT!H345,TRAIN_DETAILED_COST_WKSHT!$F345*(TRAIN_DETAILED_COST_WKSHT!H345*LVL2_ACTV_2_Exchange_Rate))</f>
        <v>0</v>
      </c>
      <c r="G617" s="116">
        <f t="shared" si="58"/>
        <v>0</v>
      </c>
      <c r="H617" s="116">
        <f t="shared" si="59"/>
        <v>0</v>
      </c>
    </row>
    <row r="618" spans="1:8" s="10" customFormat="1" outlineLevel="1" x14ac:dyDescent="0.2">
      <c r="D618" s="49" t="str">
        <f>TRAIN_DETAILED_COST_WKSHT!D346</f>
        <v>Allowances Category 3</v>
      </c>
      <c r="E618" s="115">
        <f>IF(DD_LVL2_ACTV_2_Currency_Selected=2,TRAIN_DETAILED_COST_WKSHT!$F346*TRAIN_DETAILED_COST_WKSHT!G346,TRAIN_DETAILED_COST_WKSHT!$F346*(TRAIN_DETAILED_COST_WKSHT!G346*LVL2_ACTV_2_Exchange_Rate))</f>
        <v>0</v>
      </c>
      <c r="F618" s="115">
        <f>IF(DD_LVL2_ACTV_2_Currency_Selected=2,TRAIN_DETAILED_COST_WKSHT!$F346*TRAIN_DETAILED_COST_WKSHT!H346,TRAIN_DETAILED_COST_WKSHT!$F346*(TRAIN_DETAILED_COST_WKSHT!H346*LVL2_ACTV_2_Exchange_Rate))</f>
        <v>0</v>
      </c>
      <c r="G618" s="116">
        <f t="shared" si="58"/>
        <v>0</v>
      </c>
      <c r="H618" s="116">
        <f t="shared" si="59"/>
        <v>0</v>
      </c>
    </row>
    <row r="619" spans="1:8" s="10" customFormat="1" outlineLevel="1" x14ac:dyDescent="0.2">
      <c r="D619" s="49" t="str">
        <f>TRAIN_DETAILED_COST_WKSHT!D347</f>
        <v>Allowances Category 4</v>
      </c>
      <c r="E619" s="115">
        <f>IF(DD_LVL2_ACTV_2_Currency_Selected=2,TRAIN_DETAILED_COST_WKSHT!$F347*TRAIN_DETAILED_COST_WKSHT!G347,TRAIN_DETAILED_COST_WKSHT!$F347*(TRAIN_DETAILED_COST_WKSHT!G347*LVL2_ACTV_2_Exchange_Rate))</f>
        <v>0</v>
      </c>
      <c r="F619" s="115">
        <f>IF(DD_LVL2_ACTV_2_Currency_Selected=2,TRAIN_DETAILED_COST_WKSHT!$F347*TRAIN_DETAILED_COST_WKSHT!H347,TRAIN_DETAILED_COST_WKSHT!$F347*(TRAIN_DETAILED_COST_WKSHT!H347*LVL2_ACTV_2_Exchange_Rate))</f>
        <v>0</v>
      </c>
      <c r="G619" s="116">
        <f t="shared" si="58"/>
        <v>0</v>
      </c>
      <c r="H619" s="116">
        <f t="shared" si="59"/>
        <v>0</v>
      </c>
    </row>
    <row r="620" spans="1:8" s="10" customFormat="1" outlineLevel="1" x14ac:dyDescent="0.2">
      <c r="D620" s="49" t="str">
        <f>TRAIN_DETAILED_COST_WKSHT!D348</f>
        <v>Allowances Category 5</v>
      </c>
      <c r="E620" s="115">
        <f>IF(DD_LVL2_ACTV_2_Currency_Selected=2,TRAIN_DETAILED_COST_WKSHT!$F348*TRAIN_DETAILED_COST_WKSHT!G348,TRAIN_DETAILED_COST_WKSHT!$F348*(TRAIN_DETAILED_COST_WKSHT!G348*LVL2_ACTV_2_Exchange_Rate))</f>
        <v>0</v>
      </c>
      <c r="F620" s="115">
        <f>IF(DD_LVL2_ACTV_2_Currency_Selected=2,TRAIN_DETAILED_COST_WKSHT!$F348*TRAIN_DETAILED_COST_WKSHT!H348,TRAIN_DETAILED_COST_WKSHT!$F348*(TRAIN_DETAILED_COST_WKSHT!H348*LVL2_ACTV_2_Exchange_Rate))</f>
        <v>0</v>
      </c>
      <c r="G620" s="116">
        <f t="shared" si="58"/>
        <v>0</v>
      </c>
      <c r="H620" s="116">
        <f t="shared" si="59"/>
        <v>0</v>
      </c>
    </row>
    <row r="621" spans="1:8" s="10" customFormat="1" outlineLevel="1" x14ac:dyDescent="0.2">
      <c r="D621" s="49" t="str">
        <f>TRAIN_DETAILED_COST_WKSHT!D349</f>
        <v>Allowances Category 6</v>
      </c>
      <c r="E621" s="115">
        <f>IF(DD_LVL2_ACTV_2_Currency_Selected=2,TRAIN_DETAILED_COST_WKSHT!$F349*TRAIN_DETAILED_COST_WKSHT!G349,TRAIN_DETAILED_COST_WKSHT!$F349*(TRAIN_DETAILED_COST_WKSHT!G349*LVL2_ACTV_2_Exchange_Rate))</f>
        <v>0</v>
      </c>
      <c r="F621" s="115">
        <f>IF(DD_LVL2_ACTV_2_Currency_Selected=2,TRAIN_DETAILED_COST_WKSHT!$F349*TRAIN_DETAILED_COST_WKSHT!H349,TRAIN_DETAILED_COST_WKSHT!$F349*(TRAIN_DETAILED_COST_WKSHT!H349*LVL2_ACTV_2_Exchange_Rate))</f>
        <v>0</v>
      </c>
      <c r="G621" s="116">
        <f t="shared" si="58"/>
        <v>0</v>
      </c>
      <c r="H621" s="116">
        <f t="shared" si="59"/>
        <v>0</v>
      </c>
    </row>
    <row r="622" spans="1:8" s="10" customFormat="1" outlineLevel="1" x14ac:dyDescent="0.2">
      <c r="D622" s="49" t="str">
        <f>TRAIN_DETAILED_COST_WKSHT!D350</f>
        <v>Allowances Category 7</v>
      </c>
      <c r="E622" s="115">
        <f>IF(DD_LVL2_ACTV_2_Currency_Selected=2,TRAIN_DETAILED_COST_WKSHT!$F350*TRAIN_DETAILED_COST_WKSHT!G350,TRAIN_DETAILED_COST_WKSHT!$F350*(TRAIN_DETAILED_COST_WKSHT!G350*LVL2_ACTV_2_Exchange_Rate))</f>
        <v>0</v>
      </c>
      <c r="F622" s="115">
        <f>IF(DD_LVL2_ACTV_2_Currency_Selected=2,TRAIN_DETAILED_COST_WKSHT!$F350*TRAIN_DETAILED_COST_WKSHT!H350,TRAIN_DETAILED_COST_WKSHT!$F350*(TRAIN_DETAILED_COST_WKSHT!H350*LVL2_ACTV_2_Exchange_Rate))</f>
        <v>0</v>
      </c>
      <c r="G622" s="116">
        <f t="shared" si="58"/>
        <v>0</v>
      </c>
      <c r="H622" s="116">
        <f t="shared" si="59"/>
        <v>0</v>
      </c>
    </row>
    <row r="623" spans="1:8" s="10" customFormat="1" outlineLevel="1" x14ac:dyDescent="0.2">
      <c r="D623" s="49" t="str">
        <f>TRAIN_DETAILED_COST_WKSHT!D351</f>
        <v>Allowances Category 8</v>
      </c>
      <c r="E623" s="115">
        <f>IF(DD_LVL2_ACTV_2_Currency_Selected=2,TRAIN_DETAILED_COST_WKSHT!$F351*TRAIN_DETAILED_COST_WKSHT!G351,TRAIN_DETAILED_COST_WKSHT!$F351*(TRAIN_DETAILED_COST_WKSHT!G351*LVL2_ACTV_2_Exchange_Rate))</f>
        <v>0</v>
      </c>
      <c r="F623" s="115">
        <f>IF(DD_LVL2_ACTV_2_Currency_Selected=2,TRAIN_DETAILED_COST_WKSHT!$F351*TRAIN_DETAILED_COST_WKSHT!H351,TRAIN_DETAILED_COST_WKSHT!$F351*(TRAIN_DETAILED_COST_WKSHT!H351*LVL2_ACTV_2_Exchange_Rate))</f>
        <v>0</v>
      </c>
      <c r="G623" s="116">
        <f t="shared" si="58"/>
        <v>0</v>
      </c>
      <c r="H623" s="116">
        <f t="shared" si="59"/>
        <v>0</v>
      </c>
    </row>
    <row r="624" spans="1:8" s="10" customFormat="1" outlineLevel="1" x14ac:dyDescent="0.2">
      <c r="D624" s="49" t="str">
        <f>TRAIN_DETAILED_COST_WKSHT!D352</f>
        <v>Allowances Category 9</v>
      </c>
      <c r="E624" s="115">
        <f>IF(DD_LVL2_ACTV_2_Currency_Selected=2,TRAIN_DETAILED_COST_WKSHT!$F352*TRAIN_DETAILED_COST_WKSHT!G352,TRAIN_DETAILED_COST_WKSHT!$F352*(TRAIN_DETAILED_COST_WKSHT!G352*LVL2_ACTV_2_Exchange_Rate))</f>
        <v>0</v>
      </c>
      <c r="F624" s="115">
        <f>IF(DD_LVL2_ACTV_2_Currency_Selected=2,TRAIN_DETAILED_COST_WKSHT!$F352*TRAIN_DETAILED_COST_WKSHT!H352,TRAIN_DETAILED_COST_WKSHT!$F352*(TRAIN_DETAILED_COST_WKSHT!H352*LVL2_ACTV_2_Exchange_Rate))</f>
        <v>0</v>
      </c>
      <c r="G624" s="116">
        <f t="shared" si="58"/>
        <v>0</v>
      </c>
      <c r="H624" s="116">
        <f t="shared" si="59"/>
        <v>0</v>
      </c>
    </row>
    <row r="625" spans="1:8" s="10" customFormat="1" outlineLevel="1" x14ac:dyDescent="0.2">
      <c r="D625" s="49" t="str">
        <f>TRAIN_DETAILED_COST_WKSHT!D353</f>
        <v>Allowances Category 10</v>
      </c>
      <c r="E625" s="115">
        <f>IF(DD_LVL2_ACTV_2_Currency_Selected=2,TRAIN_DETAILED_COST_WKSHT!$F353*TRAIN_DETAILED_COST_WKSHT!G353,TRAIN_DETAILED_COST_WKSHT!$F353*(TRAIN_DETAILED_COST_WKSHT!G353*LVL2_ACTV_2_Exchange_Rate))</f>
        <v>0</v>
      </c>
      <c r="F625" s="115">
        <f>IF(DD_LVL2_ACTV_2_Currency_Selected=2,TRAIN_DETAILED_COST_WKSHT!$F353*TRAIN_DETAILED_COST_WKSHT!H353,TRAIN_DETAILED_COST_WKSHT!$F353*(TRAIN_DETAILED_COST_WKSHT!H353*LVL2_ACTV_2_Exchange_Rate))</f>
        <v>0</v>
      </c>
      <c r="G625" s="116">
        <f t="shared" si="58"/>
        <v>0</v>
      </c>
      <c r="H625" s="116">
        <f t="shared" si="59"/>
        <v>0</v>
      </c>
    </row>
    <row r="626" spans="1:8" s="10" customFormat="1" outlineLevel="1" x14ac:dyDescent="0.2">
      <c r="D626" s="48" t="str">
        <f>Lang_Allowances</f>
        <v>Allowances</v>
      </c>
      <c r="E626" s="120">
        <f>SUM(E616:E625)</f>
        <v>0</v>
      </c>
      <c r="F626" s="120">
        <f>SUM(F616:F625)</f>
        <v>0</v>
      </c>
      <c r="G626" s="121">
        <f>SUM(G616:G625)</f>
        <v>0</v>
      </c>
      <c r="H626" s="121">
        <f>SUM(H616:H625)</f>
        <v>0</v>
      </c>
    </row>
    <row r="627" spans="1:8" s="10" customFormat="1" outlineLevel="1" x14ac:dyDescent="0.2"/>
    <row r="628" spans="1:8" s="10" customFormat="1" outlineLevel="1" x14ac:dyDescent="0.2"/>
    <row r="629" spans="1:8" s="10" customFormat="1" outlineLevel="1" x14ac:dyDescent="0.2">
      <c r="D629" s="76" t="str">
        <f>Lang_GoTo&amp;" "&amp;HL_LVL2_ACTV_2_Ass_A</f>
        <v>Go to Training Activity #4 (Not in Use) - Detailed Allowance Cost Assumptions</v>
      </c>
    </row>
    <row r="630" spans="1:8" s="10" customFormat="1" outlineLevel="1" x14ac:dyDescent="0.2">
      <c r="D630" s="76" t="str">
        <f>Lang_GoTo&amp;" "&amp;HL_LVL2_ACTV_2_Cost_Summary_Output</f>
        <v>Go to Training Activity #4 (Not in Use) Detailed Cost Summary</v>
      </c>
    </row>
    <row r="631" spans="1:8" s="10" customFormat="1" x14ac:dyDescent="0.2"/>
    <row r="632" spans="1:8" s="13" customFormat="1" x14ac:dyDescent="0.2">
      <c r="A632" s="12" t="s">
        <v>127</v>
      </c>
      <c r="B632" s="13" t="str">
        <f>C634&amp;" "&amp;Lang_Supplies_And_Materials_Outputs</f>
        <v>Training Activity #4 (Not in Use) Supplies and Materials - Outputs</v>
      </c>
    </row>
    <row r="633" spans="1:8" s="10" customFormat="1" outlineLevel="1" x14ac:dyDescent="0.2"/>
    <row r="634" spans="1:8" s="10" customFormat="1" outlineLevel="1" x14ac:dyDescent="0.2">
      <c r="C634" s="114" t="str">
        <f>HL_LVL2_ACTV_2_Name</f>
        <v>Training Activity #4 (Not in Use)</v>
      </c>
    </row>
    <row r="635" spans="1:8" s="10" customFormat="1" outlineLevel="1" x14ac:dyDescent="0.2">
      <c r="E635" s="86" t="str">
        <f>TRAIN_Lu!$D$135&amp;" "&amp;Lang_Cost&amp;" ("&amp;TRAIN_Lu!$D$116&amp;")"</f>
        <v>Financial Cost (LCU)</v>
      </c>
      <c r="F635" s="86" t="str">
        <f>TRAIN_Lu!$D$136&amp;" "&amp;Lang_Cost&amp;" ("&amp;TRAIN_Lu!$D$116&amp;")"</f>
        <v>Economic Cost (LCU)</v>
      </c>
      <c r="G635" s="86" t="str">
        <f>TRAIN_Lu!$D$135&amp;" "&amp;Lang_Cost&amp;" ("&amp;TRAIN_Lu!$D$115&amp;")"</f>
        <v>Financial Cost (USD)</v>
      </c>
      <c r="H635" s="86" t="str">
        <f>TRAIN_Lu!$D$136&amp;" "&amp;Lang_Cost&amp;" ("&amp;TRAIN_Lu!$D$115&amp;")"</f>
        <v>Economic Cost (USD)</v>
      </c>
    </row>
    <row r="636" spans="1:8" s="10" customFormat="1" outlineLevel="1" x14ac:dyDescent="0.2">
      <c r="D636" s="49" t="str">
        <f>TRAIN_DETAILED_COST_WKSHT!D362</f>
        <v>Supplies and Materials Category 1</v>
      </c>
      <c r="E636" s="115">
        <f>IF(DD_LVL2_ACTV_2_Currency_Selected=2,TRAIN_DETAILED_COST_WKSHT!$F362*TRAIN_DETAILED_COST_WKSHT!G362,TRAIN_DETAILED_COST_WKSHT!$F362*(TRAIN_DETAILED_COST_WKSHT!G362*LVL2_ACTV_2_Exchange_Rate))</f>
        <v>0</v>
      </c>
      <c r="F636" s="115">
        <f>IF(DD_LVL2_ACTV_2_Currency_Selected=2,TRAIN_DETAILED_COST_WKSHT!$F362*TRAIN_DETAILED_COST_WKSHT!H362,TRAIN_DETAILED_COST_WKSHT!$F362*(TRAIN_DETAILED_COST_WKSHT!H362*LVL2_ACTV_2_Exchange_Rate))</f>
        <v>0</v>
      </c>
      <c r="G636" s="116">
        <f t="shared" ref="G636:G645" si="60">E636/LVL2_ACTV_2_Exchange_Rate</f>
        <v>0</v>
      </c>
      <c r="H636" s="116">
        <f t="shared" ref="H636:H645" si="61">F636/LVL2_ACTV_2_Exchange_Rate</f>
        <v>0</v>
      </c>
    </row>
    <row r="637" spans="1:8" s="10" customFormat="1" outlineLevel="1" x14ac:dyDescent="0.2">
      <c r="D637" s="49" t="str">
        <f>TRAIN_DETAILED_COST_WKSHT!D363</f>
        <v>Supplies and Materials Category 2</v>
      </c>
      <c r="E637" s="115">
        <f>IF(DD_LVL2_ACTV_2_Currency_Selected=2,TRAIN_DETAILED_COST_WKSHT!$F363*TRAIN_DETAILED_COST_WKSHT!G363,TRAIN_DETAILED_COST_WKSHT!$F363*(TRAIN_DETAILED_COST_WKSHT!G363*LVL2_ACTV_2_Exchange_Rate))</f>
        <v>0</v>
      </c>
      <c r="F637" s="115">
        <f>IF(DD_LVL2_ACTV_2_Currency_Selected=2,TRAIN_DETAILED_COST_WKSHT!$F363*TRAIN_DETAILED_COST_WKSHT!H363,TRAIN_DETAILED_COST_WKSHT!$F363*(TRAIN_DETAILED_COST_WKSHT!H363*LVL2_ACTV_2_Exchange_Rate))</f>
        <v>0</v>
      </c>
      <c r="G637" s="116">
        <f t="shared" si="60"/>
        <v>0</v>
      </c>
      <c r="H637" s="116">
        <f t="shared" si="61"/>
        <v>0</v>
      </c>
    </row>
    <row r="638" spans="1:8" s="10" customFormat="1" outlineLevel="1" x14ac:dyDescent="0.2">
      <c r="D638" s="49" t="str">
        <f>TRAIN_DETAILED_COST_WKSHT!D364</f>
        <v>Supplies and Materials Category 3</v>
      </c>
      <c r="E638" s="115">
        <f>IF(DD_LVL2_ACTV_2_Currency_Selected=2,TRAIN_DETAILED_COST_WKSHT!$F364*TRAIN_DETAILED_COST_WKSHT!G364,TRAIN_DETAILED_COST_WKSHT!$F364*(TRAIN_DETAILED_COST_WKSHT!G364*LVL2_ACTV_2_Exchange_Rate))</f>
        <v>0</v>
      </c>
      <c r="F638" s="115">
        <f>IF(DD_LVL2_ACTV_2_Currency_Selected=2,TRAIN_DETAILED_COST_WKSHT!$F364*TRAIN_DETAILED_COST_WKSHT!H364,TRAIN_DETAILED_COST_WKSHT!$F364*(TRAIN_DETAILED_COST_WKSHT!H364*LVL2_ACTV_2_Exchange_Rate))</f>
        <v>0</v>
      </c>
      <c r="G638" s="116">
        <f t="shared" si="60"/>
        <v>0</v>
      </c>
      <c r="H638" s="116">
        <f t="shared" si="61"/>
        <v>0</v>
      </c>
    </row>
    <row r="639" spans="1:8" s="10" customFormat="1" outlineLevel="1" x14ac:dyDescent="0.2">
      <c r="D639" s="49" t="str">
        <f>TRAIN_DETAILED_COST_WKSHT!D365</f>
        <v>Supplies and Materials Category 4</v>
      </c>
      <c r="E639" s="115">
        <f>IF(DD_LVL2_ACTV_2_Currency_Selected=2,TRAIN_DETAILED_COST_WKSHT!$F365*TRAIN_DETAILED_COST_WKSHT!G365,TRAIN_DETAILED_COST_WKSHT!$F365*(TRAIN_DETAILED_COST_WKSHT!G365*LVL2_ACTV_2_Exchange_Rate))</f>
        <v>0</v>
      </c>
      <c r="F639" s="115">
        <f>IF(DD_LVL2_ACTV_2_Currency_Selected=2,TRAIN_DETAILED_COST_WKSHT!$F365*TRAIN_DETAILED_COST_WKSHT!H365,TRAIN_DETAILED_COST_WKSHT!$F365*(TRAIN_DETAILED_COST_WKSHT!H365*LVL2_ACTV_2_Exchange_Rate))</f>
        <v>0</v>
      </c>
      <c r="G639" s="116">
        <f t="shared" si="60"/>
        <v>0</v>
      </c>
      <c r="H639" s="116">
        <f t="shared" si="61"/>
        <v>0</v>
      </c>
    </row>
    <row r="640" spans="1:8" s="10" customFormat="1" outlineLevel="1" x14ac:dyDescent="0.2">
      <c r="D640" s="49" t="str">
        <f>TRAIN_DETAILED_COST_WKSHT!D366</f>
        <v>Supplies and Materials Category 5</v>
      </c>
      <c r="E640" s="115">
        <f>IF(DD_LVL2_ACTV_2_Currency_Selected=2,TRAIN_DETAILED_COST_WKSHT!$F366*TRAIN_DETAILED_COST_WKSHT!G366,TRAIN_DETAILED_COST_WKSHT!$F366*(TRAIN_DETAILED_COST_WKSHT!G366*LVL2_ACTV_2_Exchange_Rate))</f>
        <v>0</v>
      </c>
      <c r="F640" s="115">
        <f>IF(DD_LVL2_ACTV_2_Currency_Selected=2,TRAIN_DETAILED_COST_WKSHT!$F366*TRAIN_DETAILED_COST_WKSHT!H366,TRAIN_DETAILED_COST_WKSHT!$F366*(TRAIN_DETAILED_COST_WKSHT!H366*LVL2_ACTV_2_Exchange_Rate))</f>
        <v>0</v>
      </c>
      <c r="G640" s="116">
        <f t="shared" si="60"/>
        <v>0</v>
      </c>
      <c r="H640" s="116">
        <f t="shared" si="61"/>
        <v>0</v>
      </c>
    </row>
    <row r="641" spans="1:8" s="10" customFormat="1" outlineLevel="1" x14ac:dyDescent="0.2">
      <c r="D641" s="49" t="str">
        <f>TRAIN_DETAILED_COST_WKSHT!D367</f>
        <v>Supplies and Materials Category 6</v>
      </c>
      <c r="E641" s="115">
        <f>IF(DD_LVL2_ACTV_2_Currency_Selected=2,TRAIN_DETAILED_COST_WKSHT!$F367*TRAIN_DETAILED_COST_WKSHT!G367,TRAIN_DETAILED_COST_WKSHT!$F367*(TRAIN_DETAILED_COST_WKSHT!G367*LVL2_ACTV_2_Exchange_Rate))</f>
        <v>0</v>
      </c>
      <c r="F641" s="115">
        <f>IF(DD_LVL2_ACTV_2_Currency_Selected=2,TRAIN_DETAILED_COST_WKSHT!$F367*TRAIN_DETAILED_COST_WKSHT!H367,TRAIN_DETAILED_COST_WKSHT!$F367*(TRAIN_DETAILED_COST_WKSHT!H367*LVL2_ACTV_2_Exchange_Rate))</f>
        <v>0</v>
      </c>
      <c r="G641" s="116">
        <f t="shared" si="60"/>
        <v>0</v>
      </c>
      <c r="H641" s="116">
        <f t="shared" si="61"/>
        <v>0</v>
      </c>
    </row>
    <row r="642" spans="1:8" s="10" customFormat="1" outlineLevel="1" x14ac:dyDescent="0.2">
      <c r="D642" s="49" t="str">
        <f>TRAIN_DETAILED_COST_WKSHT!D368</f>
        <v>Supplies and Materials Category 7</v>
      </c>
      <c r="E642" s="115">
        <f>IF(DD_LVL2_ACTV_2_Currency_Selected=2,TRAIN_DETAILED_COST_WKSHT!$F368*TRAIN_DETAILED_COST_WKSHT!G368,TRAIN_DETAILED_COST_WKSHT!$F368*(TRAIN_DETAILED_COST_WKSHT!G368*LVL2_ACTV_2_Exchange_Rate))</f>
        <v>0</v>
      </c>
      <c r="F642" s="115">
        <f>IF(DD_LVL2_ACTV_2_Currency_Selected=2,TRAIN_DETAILED_COST_WKSHT!$F368*TRAIN_DETAILED_COST_WKSHT!H368,TRAIN_DETAILED_COST_WKSHT!$F368*(TRAIN_DETAILED_COST_WKSHT!H368*LVL2_ACTV_2_Exchange_Rate))</f>
        <v>0</v>
      </c>
      <c r="G642" s="116">
        <f t="shared" si="60"/>
        <v>0</v>
      </c>
      <c r="H642" s="116">
        <f t="shared" si="61"/>
        <v>0</v>
      </c>
    </row>
    <row r="643" spans="1:8" s="10" customFormat="1" outlineLevel="1" x14ac:dyDescent="0.2">
      <c r="D643" s="49" t="str">
        <f>TRAIN_DETAILED_COST_WKSHT!D369</f>
        <v>Supplies and Materials Category 8</v>
      </c>
      <c r="E643" s="115">
        <f>IF(DD_LVL2_ACTV_2_Currency_Selected=2,TRAIN_DETAILED_COST_WKSHT!$F369*TRAIN_DETAILED_COST_WKSHT!G369,TRAIN_DETAILED_COST_WKSHT!$F369*(TRAIN_DETAILED_COST_WKSHT!G369*LVL2_ACTV_2_Exchange_Rate))</f>
        <v>0</v>
      </c>
      <c r="F643" s="115">
        <f>IF(DD_LVL2_ACTV_2_Currency_Selected=2,TRAIN_DETAILED_COST_WKSHT!$F369*TRAIN_DETAILED_COST_WKSHT!H369,TRAIN_DETAILED_COST_WKSHT!$F369*(TRAIN_DETAILED_COST_WKSHT!H369*LVL2_ACTV_2_Exchange_Rate))</f>
        <v>0</v>
      </c>
      <c r="G643" s="116">
        <f t="shared" si="60"/>
        <v>0</v>
      </c>
      <c r="H643" s="116">
        <f t="shared" si="61"/>
        <v>0</v>
      </c>
    </row>
    <row r="644" spans="1:8" s="10" customFormat="1" outlineLevel="1" x14ac:dyDescent="0.2">
      <c r="D644" s="49" t="str">
        <f>TRAIN_DETAILED_COST_WKSHT!D370</f>
        <v>Supplies and Materials Category 9</v>
      </c>
      <c r="E644" s="115">
        <f>IF(DD_LVL2_ACTV_2_Currency_Selected=2,TRAIN_DETAILED_COST_WKSHT!$F370*TRAIN_DETAILED_COST_WKSHT!G370,TRAIN_DETAILED_COST_WKSHT!$F370*(TRAIN_DETAILED_COST_WKSHT!G370*LVL2_ACTV_2_Exchange_Rate))</f>
        <v>0</v>
      </c>
      <c r="F644" s="115">
        <f>IF(DD_LVL2_ACTV_2_Currency_Selected=2,TRAIN_DETAILED_COST_WKSHT!$F370*TRAIN_DETAILED_COST_WKSHT!H370,TRAIN_DETAILED_COST_WKSHT!$F370*(TRAIN_DETAILED_COST_WKSHT!H370*LVL2_ACTV_2_Exchange_Rate))</f>
        <v>0</v>
      </c>
      <c r="G644" s="116">
        <f t="shared" si="60"/>
        <v>0</v>
      </c>
      <c r="H644" s="116">
        <f t="shared" si="61"/>
        <v>0</v>
      </c>
    </row>
    <row r="645" spans="1:8" s="10" customFormat="1" outlineLevel="1" x14ac:dyDescent="0.2">
      <c r="D645" s="49" t="str">
        <f>TRAIN_DETAILED_COST_WKSHT!D371</f>
        <v>Supplies and Materials Category 10</v>
      </c>
      <c r="E645" s="115">
        <f>IF(DD_LVL2_ACTV_2_Currency_Selected=2,TRAIN_DETAILED_COST_WKSHT!$F371*TRAIN_DETAILED_COST_WKSHT!G371,TRAIN_DETAILED_COST_WKSHT!$F371*(TRAIN_DETAILED_COST_WKSHT!G371*LVL2_ACTV_2_Exchange_Rate))</f>
        <v>0</v>
      </c>
      <c r="F645" s="115">
        <f>IF(DD_LVL2_ACTV_2_Currency_Selected=2,TRAIN_DETAILED_COST_WKSHT!$F371*TRAIN_DETAILED_COST_WKSHT!H371,TRAIN_DETAILED_COST_WKSHT!$F371*(TRAIN_DETAILED_COST_WKSHT!H371*LVL2_ACTV_2_Exchange_Rate))</f>
        <v>0</v>
      </c>
      <c r="G645" s="116">
        <f t="shared" si="60"/>
        <v>0</v>
      </c>
      <c r="H645" s="116">
        <f t="shared" si="61"/>
        <v>0</v>
      </c>
    </row>
    <row r="646" spans="1:8" s="10" customFormat="1" outlineLevel="1" x14ac:dyDescent="0.2">
      <c r="D646" s="48" t="str">
        <f>Lang_Supplies_And_Materials</f>
        <v>Supplies and Materials</v>
      </c>
      <c r="E646" s="120">
        <f>SUM(E636:E645)</f>
        <v>0</v>
      </c>
      <c r="F646" s="120">
        <f>SUM(F636:F645)</f>
        <v>0</v>
      </c>
      <c r="G646" s="121">
        <f>SUM(G636:G645)</f>
        <v>0</v>
      </c>
      <c r="H646" s="121">
        <f>SUM(H636:H645)</f>
        <v>0</v>
      </c>
    </row>
    <row r="647" spans="1:8" s="10" customFormat="1" outlineLevel="1" x14ac:dyDescent="0.2"/>
    <row r="648" spans="1:8" s="10" customFormat="1" outlineLevel="1" x14ac:dyDescent="0.2"/>
    <row r="649" spans="1:8" s="10" customFormat="1" outlineLevel="1" x14ac:dyDescent="0.2">
      <c r="D649" s="76" t="str">
        <f>Lang_GoTo&amp;" "&amp;HL_LVL2_ACTV_2_Supplies_and_Materials</f>
        <v>Go to Training Activity #4 (Not in Use) - Detailed Supply and Material Cost Assumptions</v>
      </c>
    </row>
    <row r="650" spans="1:8" s="10" customFormat="1" outlineLevel="1" x14ac:dyDescent="0.2">
      <c r="D650" s="76" t="str">
        <f>Lang_GoTo&amp;" "&amp;HL_LVL2_ACTV_2_Cost_Summary_Output</f>
        <v>Go to Training Activity #4 (Not in Use) Detailed Cost Summary</v>
      </c>
    </row>
    <row r="651" spans="1:8" s="10" customFormat="1" x14ac:dyDescent="0.2"/>
    <row r="652" spans="1:8" s="13" customFormat="1" x14ac:dyDescent="0.2">
      <c r="A652" s="12" t="s">
        <v>127</v>
      </c>
      <c r="B652" s="13" t="str">
        <f>C654&amp;" "&amp;Lang_Other_Direct_Costs_Outputs</f>
        <v>Training Activity #4 (Not in Use) Other Direct Costs - Outputs</v>
      </c>
    </row>
    <row r="653" spans="1:8" s="10" customFormat="1" outlineLevel="1" x14ac:dyDescent="0.2"/>
    <row r="654" spans="1:8" s="10" customFormat="1" outlineLevel="1" x14ac:dyDescent="0.2">
      <c r="C654" s="114" t="str">
        <f>HL_LVL2_ACTV_2_Name</f>
        <v>Training Activity #4 (Not in Use)</v>
      </c>
    </row>
    <row r="655" spans="1:8" s="10" customFormat="1" outlineLevel="1" x14ac:dyDescent="0.2">
      <c r="E655" s="86" t="str">
        <f>TRAIN_Lu!$D$135&amp;" "&amp;Lang_Cost&amp;" ("&amp;TRAIN_Lu!$D$116&amp;")"</f>
        <v>Financial Cost (LCU)</v>
      </c>
      <c r="F655" s="86" t="str">
        <f>TRAIN_Lu!$D$136&amp;" "&amp;Lang_Cost&amp;" ("&amp;TRAIN_Lu!$D$116&amp;")"</f>
        <v>Economic Cost (LCU)</v>
      </c>
      <c r="G655" s="86" t="str">
        <f>TRAIN_Lu!$D$135&amp;" "&amp;Lang_Cost&amp;" ("&amp;TRAIN_Lu!$D$115&amp;")"</f>
        <v>Financial Cost (USD)</v>
      </c>
      <c r="H655" s="86" t="str">
        <f>TRAIN_Lu!$D$136&amp;" "&amp;Lang_Cost&amp;" ("&amp;TRAIN_Lu!$D$115&amp;")"</f>
        <v>Economic Cost (USD)</v>
      </c>
    </row>
    <row r="656" spans="1:8" s="10" customFormat="1" outlineLevel="1" x14ac:dyDescent="0.2">
      <c r="D656" s="49" t="str">
        <f>TRAIN_DETAILED_COST_WKSHT!D380</f>
        <v>Other Direct Costs (ODC) Category 1</v>
      </c>
      <c r="E656" s="115">
        <f>IF(DD_LVL2_ACTV_2_Currency_Selected=2,TRAIN_DETAILED_COST_WKSHT!$F380*TRAIN_DETAILED_COST_WKSHT!G380,TRAIN_DETAILED_COST_WKSHT!$F380*(TRAIN_DETAILED_COST_WKSHT!G380*LVL2_ACTV_2_Exchange_Rate))</f>
        <v>0</v>
      </c>
      <c r="F656" s="115">
        <f>IF(DD_LVL2_ACTV_2_Currency_Selected=2,TRAIN_DETAILED_COST_WKSHT!$F380*TRAIN_DETAILED_COST_WKSHT!H380,TRAIN_DETAILED_COST_WKSHT!$F380*(TRAIN_DETAILED_COST_WKSHT!H380*LVL2_ACTV_2_Exchange_Rate))</f>
        <v>0</v>
      </c>
      <c r="G656" s="116">
        <f t="shared" ref="G656:G665" si="62">E656/LVL2_ACTV_2_Exchange_Rate</f>
        <v>0</v>
      </c>
      <c r="H656" s="116">
        <f t="shared" ref="H656:H665" si="63">F656/LVL2_ACTV_2_Exchange_Rate</f>
        <v>0</v>
      </c>
    </row>
    <row r="657" spans="1:8" s="10" customFormat="1" outlineLevel="1" x14ac:dyDescent="0.2">
      <c r="D657" s="49" t="str">
        <f>TRAIN_DETAILED_COST_WKSHT!D381</f>
        <v>Other Direct Costs (ODC) Category 2</v>
      </c>
      <c r="E657" s="115">
        <f>IF(DD_LVL2_ACTV_2_Currency_Selected=2,TRAIN_DETAILED_COST_WKSHT!$F381*TRAIN_DETAILED_COST_WKSHT!G381,TRAIN_DETAILED_COST_WKSHT!$F381*(TRAIN_DETAILED_COST_WKSHT!G381*LVL2_ACTV_2_Exchange_Rate))</f>
        <v>0</v>
      </c>
      <c r="F657" s="115">
        <f>IF(DD_LVL2_ACTV_2_Currency_Selected=2,TRAIN_DETAILED_COST_WKSHT!$F381*TRAIN_DETAILED_COST_WKSHT!H381,TRAIN_DETAILED_COST_WKSHT!$F381*(TRAIN_DETAILED_COST_WKSHT!H381*LVL2_ACTV_2_Exchange_Rate))</f>
        <v>0</v>
      </c>
      <c r="G657" s="116">
        <f t="shared" si="62"/>
        <v>0</v>
      </c>
      <c r="H657" s="116">
        <f t="shared" si="63"/>
        <v>0</v>
      </c>
    </row>
    <row r="658" spans="1:8" s="10" customFormat="1" outlineLevel="1" x14ac:dyDescent="0.2">
      <c r="D658" s="49" t="str">
        <f>TRAIN_DETAILED_COST_WKSHT!D382</f>
        <v>Other Direct Costs (ODC) Category 3</v>
      </c>
      <c r="E658" s="115">
        <f>IF(DD_LVL2_ACTV_2_Currency_Selected=2,TRAIN_DETAILED_COST_WKSHT!$F382*TRAIN_DETAILED_COST_WKSHT!G382,TRAIN_DETAILED_COST_WKSHT!$F382*(TRAIN_DETAILED_COST_WKSHT!G382*LVL2_ACTV_2_Exchange_Rate))</f>
        <v>0</v>
      </c>
      <c r="F658" s="115">
        <f>IF(DD_LVL2_ACTV_2_Currency_Selected=2,TRAIN_DETAILED_COST_WKSHT!$F382*TRAIN_DETAILED_COST_WKSHT!H382,TRAIN_DETAILED_COST_WKSHT!$F382*(TRAIN_DETAILED_COST_WKSHT!H382*LVL2_ACTV_2_Exchange_Rate))</f>
        <v>0</v>
      </c>
      <c r="G658" s="116">
        <f t="shared" si="62"/>
        <v>0</v>
      </c>
      <c r="H658" s="116">
        <f t="shared" si="63"/>
        <v>0</v>
      </c>
    </row>
    <row r="659" spans="1:8" s="10" customFormat="1" outlineLevel="1" x14ac:dyDescent="0.2">
      <c r="D659" s="49" t="str">
        <f>TRAIN_DETAILED_COST_WKSHT!D383</f>
        <v>Other Direct Costs (ODC) Category 4</v>
      </c>
      <c r="E659" s="115">
        <f>IF(DD_LVL2_ACTV_2_Currency_Selected=2,TRAIN_DETAILED_COST_WKSHT!$F383*TRAIN_DETAILED_COST_WKSHT!G383,TRAIN_DETAILED_COST_WKSHT!$F383*(TRAIN_DETAILED_COST_WKSHT!G383*LVL2_ACTV_2_Exchange_Rate))</f>
        <v>0</v>
      </c>
      <c r="F659" s="115">
        <f>IF(DD_LVL2_ACTV_2_Currency_Selected=2,TRAIN_DETAILED_COST_WKSHT!$F383*TRAIN_DETAILED_COST_WKSHT!H383,TRAIN_DETAILED_COST_WKSHT!$F383*(TRAIN_DETAILED_COST_WKSHT!H383*LVL2_ACTV_2_Exchange_Rate))</f>
        <v>0</v>
      </c>
      <c r="G659" s="116">
        <f t="shared" si="62"/>
        <v>0</v>
      </c>
      <c r="H659" s="116">
        <f t="shared" si="63"/>
        <v>0</v>
      </c>
    </row>
    <row r="660" spans="1:8" s="10" customFormat="1" outlineLevel="1" x14ac:dyDescent="0.2">
      <c r="D660" s="49" t="str">
        <f>TRAIN_DETAILED_COST_WKSHT!D384</f>
        <v>Other Direct Costs (ODC) Category 5</v>
      </c>
      <c r="E660" s="115">
        <f>IF(DD_LVL2_ACTV_2_Currency_Selected=2,TRAIN_DETAILED_COST_WKSHT!$F384*TRAIN_DETAILED_COST_WKSHT!G384,TRAIN_DETAILED_COST_WKSHT!$F384*(TRAIN_DETAILED_COST_WKSHT!G384*LVL2_ACTV_2_Exchange_Rate))</f>
        <v>0</v>
      </c>
      <c r="F660" s="115">
        <f>IF(DD_LVL2_ACTV_2_Currency_Selected=2,TRAIN_DETAILED_COST_WKSHT!$F384*TRAIN_DETAILED_COST_WKSHT!H384,TRAIN_DETAILED_COST_WKSHT!$F384*(TRAIN_DETAILED_COST_WKSHT!H384*LVL2_ACTV_2_Exchange_Rate))</f>
        <v>0</v>
      </c>
      <c r="G660" s="116">
        <f t="shared" si="62"/>
        <v>0</v>
      </c>
      <c r="H660" s="116">
        <f t="shared" si="63"/>
        <v>0</v>
      </c>
    </row>
    <row r="661" spans="1:8" s="10" customFormat="1" outlineLevel="1" x14ac:dyDescent="0.2">
      <c r="D661" s="49" t="str">
        <f>TRAIN_DETAILED_COST_WKSHT!D385</f>
        <v>Other Direct Costs (ODC) Category 6</v>
      </c>
      <c r="E661" s="115">
        <f>IF(DD_LVL2_ACTV_2_Currency_Selected=2,TRAIN_DETAILED_COST_WKSHT!$F385*TRAIN_DETAILED_COST_WKSHT!G385,TRAIN_DETAILED_COST_WKSHT!$F385*(TRAIN_DETAILED_COST_WKSHT!G385*LVL2_ACTV_2_Exchange_Rate))</f>
        <v>0</v>
      </c>
      <c r="F661" s="115">
        <f>IF(DD_LVL2_ACTV_2_Currency_Selected=2,TRAIN_DETAILED_COST_WKSHT!$F385*TRAIN_DETAILED_COST_WKSHT!H385,TRAIN_DETAILED_COST_WKSHT!$F385*(TRAIN_DETAILED_COST_WKSHT!H385*LVL2_ACTV_2_Exchange_Rate))</f>
        <v>0</v>
      </c>
      <c r="G661" s="116">
        <f t="shared" si="62"/>
        <v>0</v>
      </c>
      <c r="H661" s="116">
        <f t="shared" si="63"/>
        <v>0</v>
      </c>
    </row>
    <row r="662" spans="1:8" s="10" customFormat="1" outlineLevel="1" x14ac:dyDescent="0.2">
      <c r="D662" s="49" t="str">
        <f>TRAIN_DETAILED_COST_WKSHT!D386</f>
        <v>Other Direct Costs (ODC) Category 7</v>
      </c>
      <c r="E662" s="115">
        <f>IF(DD_LVL2_ACTV_2_Currency_Selected=2,TRAIN_DETAILED_COST_WKSHT!$F386*TRAIN_DETAILED_COST_WKSHT!G386,TRAIN_DETAILED_COST_WKSHT!$F386*(TRAIN_DETAILED_COST_WKSHT!G386*LVL2_ACTV_2_Exchange_Rate))</f>
        <v>0</v>
      </c>
      <c r="F662" s="115">
        <f>IF(DD_LVL2_ACTV_2_Currency_Selected=2,TRAIN_DETAILED_COST_WKSHT!$F386*TRAIN_DETAILED_COST_WKSHT!H386,TRAIN_DETAILED_COST_WKSHT!$F386*(TRAIN_DETAILED_COST_WKSHT!H386*LVL2_ACTV_2_Exchange_Rate))</f>
        <v>0</v>
      </c>
      <c r="G662" s="116">
        <f t="shared" si="62"/>
        <v>0</v>
      </c>
      <c r="H662" s="116">
        <f t="shared" si="63"/>
        <v>0</v>
      </c>
    </row>
    <row r="663" spans="1:8" s="10" customFormat="1" outlineLevel="1" x14ac:dyDescent="0.2">
      <c r="D663" s="49" t="str">
        <f>TRAIN_DETAILED_COST_WKSHT!D387</f>
        <v>Other Direct Costs (ODC) Category 8</v>
      </c>
      <c r="E663" s="115">
        <f>IF(DD_LVL2_ACTV_2_Currency_Selected=2,TRAIN_DETAILED_COST_WKSHT!$F387*TRAIN_DETAILED_COST_WKSHT!G387,TRAIN_DETAILED_COST_WKSHT!$F387*(TRAIN_DETAILED_COST_WKSHT!G387*LVL2_ACTV_2_Exchange_Rate))</f>
        <v>0</v>
      </c>
      <c r="F663" s="115">
        <f>IF(DD_LVL2_ACTV_2_Currency_Selected=2,TRAIN_DETAILED_COST_WKSHT!$F387*TRAIN_DETAILED_COST_WKSHT!H387,TRAIN_DETAILED_COST_WKSHT!$F387*(TRAIN_DETAILED_COST_WKSHT!H387*LVL2_ACTV_2_Exchange_Rate))</f>
        <v>0</v>
      </c>
      <c r="G663" s="116">
        <f t="shared" si="62"/>
        <v>0</v>
      </c>
      <c r="H663" s="116">
        <f t="shared" si="63"/>
        <v>0</v>
      </c>
    </row>
    <row r="664" spans="1:8" s="10" customFormat="1" outlineLevel="1" x14ac:dyDescent="0.2">
      <c r="D664" s="49" t="str">
        <f>TRAIN_DETAILED_COST_WKSHT!D388</f>
        <v>Other Direct Costs (ODC) Category 9</v>
      </c>
      <c r="E664" s="115">
        <f>IF(DD_LVL2_ACTV_2_Currency_Selected=2,TRAIN_DETAILED_COST_WKSHT!$F388*TRAIN_DETAILED_COST_WKSHT!G388,TRAIN_DETAILED_COST_WKSHT!$F388*(TRAIN_DETAILED_COST_WKSHT!G388*LVL2_ACTV_2_Exchange_Rate))</f>
        <v>0</v>
      </c>
      <c r="F664" s="115">
        <f>IF(DD_LVL2_ACTV_2_Currency_Selected=2,TRAIN_DETAILED_COST_WKSHT!$F388*TRAIN_DETAILED_COST_WKSHT!H388,TRAIN_DETAILED_COST_WKSHT!$F388*(TRAIN_DETAILED_COST_WKSHT!H388*LVL2_ACTV_2_Exchange_Rate))</f>
        <v>0</v>
      </c>
      <c r="G664" s="116">
        <f t="shared" si="62"/>
        <v>0</v>
      </c>
      <c r="H664" s="116">
        <f t="shared" si="63"/>
        <v>0</v>
      </c>
    </row>
    <row r="665" spans="1:8" s="10" customFormat="1" outlineLevel="1" x14ac:dyDescent="0.2">
      <c r="D665" s="49" t="str">
        <f>TRAIN_DETAILED_COST_WKSHT!D389</f>
        <v>Other Direct Costs (ODC) Category 10</v>
      </c>
      <c r="E665" s="115">
        <f>IF(DD_LVL2_ACTV_2_Currency_Selected=2,TRAIN_DETAILED_COST_WKSHT!$F389*TRAIN_DETAILED_COST_WKSHT!G389,TRAIN_DETAILED_COST_WKSHT!$F389*(TRAIN_DETAILED_COST_WKSHT!G389*LVL2_ACTV_2_Exchange_Rate))</f>
        <v>0</v>
      </c>
      <c r="F665" s="115">
        <f>IF(DD_LVL2_ACTV_2_Currency_Selected=2,TRAIN_DETAILED_COST_WKSHT!$F389*TRAIN_DETAILED_COST_WKSHT!H389,TRAIN_DETAILED_COST_WKSHT!$F389*(TRAIN_DETAILED_COST_WKSHT!H389*LVL2_ACTV_2_Exchange_Rate))</f>
        <v>0</v>
      </c>
      <c r="G665" s="116">
        <f t="shared" si="62"/>
        <v>0</v>
      </c>
      <c r="H665" s="116">
        <f t="shared" si="63"/>
        <v>0</v>
      </c>
    </row>
    <row r="666" spans="1:8" s="10" customFormat="1" outlineLevel="1" x14ac:dyDescent="0.2">
      <c r="D666" s="48" t="str">
        <f>Lang_Other_Direct_Costs</f>
        <v>Other Direct Costs</v>
      </c>
      <c r="E666" s="120">
        <f>SUM(E656:E665)</f>
        <v>0</v>
      </c>
      <c r="F666" s="120">
        <f>SUM(F656:F665)</f>
        <v>0</v>
      </c>
      <c r="G666" s="121">
        <f>SUM(G656:G665)</f>
        <v>0</v>
      </c>
      <c r="H666" s="121">
        <f>SUM(H656:H665)</f>
        <v>0</v>
      </c>
    </row>
    <row r="667" spans="1:8" s="10" customFormat="1" outlineLevel="1" x14ac:dyDescent="0.2"/>
    <row r="668" spans="1:8" s="10" customFormat="1" outlineLevel="1" x14ac:dyDescent="0.2">
      <c r="D668" s="76" t="str">
        <f>Lang_GoTo&amp;" "&amp;HL_LVL2_ACTV_2_Other_Direct_Costs</f>
        <v>Go to Training Activity #4 (Not in Use) - Detailed Other Direct Cost Assumptions</v>
      </c>
    </row>
    <row r="669" spans="1:8" s="10" customFormat="1" outlineLevel="1" x14ac:dyDescent="0.2">
      <c r="D669" s="76" t="str">
        <f>Lang_GoTo&amp;" "&amp;HL_LVL2_ACTV_2_Cost_Summary_Output</f>
        <v>Go to Training Activity #4 (Not in Use) Detailed Cost Summary</v>
      </c>
    </row>
    <row r="670" spans="1:8" s="10" customFormat="1" x14ac:dyDescent="0.2"/>
    <row r="671" spans="1:8" s="13" customFormat="1" x14ac:dyDescent="0.2">
      <c r="A671" s="12" t="s">
        <v>127</v>
      </c>
      <c r="B671" s="13" t="str">
        <f>HL_TOP_ACTV_3_Name&amp;" "&amp;Lang_Personnel_Outputs</f>
        <v xml:space="preserve"> Sensitisation Activity # 1 (Not in Use) Personnel - Outputs</v>
      </c>
    </row>
    <row r="672" spans="1:8" s="10" customFormat="1" outlineLevel="1" x14ac:dyDescent="0.2"/>
    <row r="673" spans="3:8" s="10" customFormat="1" outlineLevel="1" x14ac:dyDescent="0.2">
      <c r="C673" s="114" t="str">
        <f>HL_TOP_ACTV_3_Name</f>
        <v xml:space="preserve"> Sensitisation Activity # 1 (Not in Use)</v>
      </c>
    </row>
    <row r="674" spans="3:8" s="10" customFormat="1" outlineLevel="1" x14ac:dyDescent="0.2">
      <c r="E674" s="86" t="str">
        <f>SENS_Lu!$D$32&amp;" "&amp;Lang_Cost&amp;" ("&amp;SENS_Lu!$D$13&amp;")"</f>
        <v>Financial Cost (LCU)</v>
      </c>
      <c r="F674" s="86" t="str">
        <f>SENS_Lu!$D$33&amp;" "&amp;Lang_Cost&amp;" ("&amp;SENS_Lu!$D$13&amp;")"</f>
        <v>Economic Cost (LCU)</v>
      </c>
      <c r="G674" s="86" t="str">
        <f>SENS_Lu!$D$32&amp;" "&amp;Lang_Cost&amp;" ("&amp;SENS_Lu!$D$12&amp;")"</f>
        <v>Financial Cost (USD)</v>
      </c>
      <c r="H674" s="86" t="str">
        <f>SENS_Lu!$D$33&amp;" "&amp;Lang_Cost&amp;" ("&amp;SENS_Lu!$D$12&amp;")"</f>
        <v>Economic Cost (USD)</v>
      </c>
    </row>
    <row r="675" spans="3:8" s="10" customFormat="1" outlineLevel="1" x14ac:dyDescent="0.2">
      <c r="D675" s="49" t="str">
        <f>SENS_DETAILED_COST_WKSHT!D28</f>
        <v>Personnel Category 1</v>
      </c>
      <c r="E675" s="115">
        <f>IF(DD_TOP_ACTV_3_Detailed_Currency_Used=2,SENS_DETAILED_COST_WKSHT!$F28*SENS_DETAILED_COST_WKSHT!G28,SENS_DETAILED_COST_WKSHT!$F28*(SENS_DETAILED_COST_WKSHT!G28*TOP_ACTV_3_Exchange_Rate))</f>
        <v>0</v>
      </c>
      <c r="F675" s="115">
        <f>IF(DD_TOP_ACTV_3_Detailed_Currency_Used=2,SENS_DETAILED_COST_WKSHT!$F28*SENS_DETAILED_COST_WKSHT!H28,SENS_DETAILED_COST_WKSHT!$F28*(SENS_DETAILED_COST_WKSHT!H28*TOP_ACTV_3_Exchange_Rate))</f>
        <v>0</v>
      </c>
      <c r="G675" s="116">
        <f t="shared" ref="G675:G689" si="64">IFERROR(E675/TOP_ACTV_3_Exchange_Rate,0)</f>
        <v>0</v>
      </c>
      <c r="H675" s="116">
        <f t="shared" ref="H675:H689" si="65">IFERROR(F675/TOP_ACTV_3_Exchange_Rate,0)</f>
        <v>0</v>
      </c>
    </row>
    <row r="676" spans="3:8" s="10" customFormat="1" outlineLevel="1" x14ac:dyDescent="0.2">
      <c r="D676" s="49" t="str">
        <f>SENS_DETAILED_COST_WKSHT!D29</f>
        <v>Personnel Category 2</v>
      </c>
      <c r="E676" s="115">
        <f>IF(DD_TOP_ACTV_3_Detailed_Currency_Used=2,SENS_DETAILED_COST_WKSHT!$F29*SENS_DETAILED_COST_WKSHT!G29,SENS_DETAILED_COST_WKSHT!$F29*(SENS_DETAILED_COST_WKSHT!G29*TOP_ACTV_3_Exchange_Rate))</f>
        <v>0</v>
      </c>
      <c r="F676" s="115">
        <f>IF(DD_TOP_ACTV_3_Detailed_Currency_Used=2,SENS_DETAILED_COST_WKSHT!$F29*SENS_DETAILED_COST_WKSHT!H29,SENS_DETAILED_COST_WKSHT!$F29*(SENS_DETAILED_COST_WKSHT!H29*TOP_ACTV_3_Exchange_Rate))</f>
        <v>0</v>
      </c>
      <c r="G676" s="116">
        <f t="shared" si="64"/>
        <v>0</v>
      </c>
      <c r="H676" s="116">
        <f t="shared" si="65"/>
        <v>0</v>
      </c>
    </row>
    <row r="677" spans="3:8" s="10" customFormat="1" outlineLevel="1" x14ac:dyDescent="0.2">
      <c r="D677" s="49" t="str">
        <f>SENS_DETAILED_COST_WKSHT!D30</f>
        <v>Personnel Category 3</v>
      </c>
      <c r="E677" s="115">
        <f>IF(DD_TOP_ACTV_3_Detailed_Currency_Used=2,SENS_DETAILED_COST_WKSHT!$F30*SENS_DETAILED_COST_WKSHT!G30,SENS_DETAILED_COST_WKSHT!$F30*(SENS_DETAILED_COST_WKSHT!G30*TOP_ACTV_3_Exchange_Rate))</f>
        <v>0</v>
      </c>
      <c r="F677" s="115">
        <f>IF(DD_TOP_ACTV_3_Detailed_Currency_Used=2,SENS_DETAILED_COST_WKSHT!$F30*SENS_DETAILED_COST_WKSHT!H30,SENS_DETAILED_COST_WKSHT!$F30*(SENS_DETAILED_COST_WKSHT!H30*TOP_ACTV_3_Exchange_Rate))</f>
        <v>0</v>
      </c>
      <c r="G677" s="116">
        <f t="shared" si="64"/>
        <v>0</v>
      </c>
      <c r="H677" s="116">
        <f t="shared" si="65"/>
        <v>0</v>
      </c>
    </row>
    <row r="678" spans="3:8" s="10" customFormat="1" outlineLevel="1" x14ac:dyDescent="0.2">
      <c r="D678" s="49" t="str">
        <f>SENS_DETAILED_COST_WKSHT!D31</f>
        <v>Personnel Category 4</v>
      </c>
      <c r="E678" s="115">
        <f>IF(DD_TOP_ACTV_3_Detailed_Currency_Used=2,SENS_DETAILED_COST_WKSHT!$F31*SENS_DETAILED_COST_WKSHT!G31,SENS_DETAILED_COST_WKSHT!$F31*(SENS_DETAILED_COST_WKSHT!G31*TOP_ACTV_3_Exchange_Rate))</f>
        <v>0</v>
      </c>
      <c r="F678" s="115">
        <f>IF(DD_TOP_ACTV_3_Detailed_Currency_Used=2,SENS_DETAILED_COST_WKSHT!$F31*SENS_DETAILED_COST_WKSHT!H31,SENS_DETAILED_COST_WKSHT!$F31*(SENS_DETAILED_COST_WKSHT!H31*TOP_ACTV_3_Exchange_Rate))</f>
        <v>0</v>
      </c>
      <c r="G678" s="116">
        <f t="shared" si="64"/>
        <v>0</v>
      </c>
      <c r="H678" s="116">
        <f t="shared" si="65"/>
        <v>0</v>
      </c>
    </row>
    <row r="679" spans="3:8" s="10" customFormat="1" outlineLevel="1" x14ac:dyDescent="0.2">
      <c r="D679" s="49" t="str">
        <f>SENS_DETAILED_COST_WKSHT!D32</f>
        <v>Personnel Category 5</v>
      </c>
      <c r="E679" s="115">
        <f>IF(DD_TOP_ACTV_3_Detailed_Currency_Used=2,SENS_DETAILED_COST_WKSHT!$F32*SENS_DETAILED_COST_WKSHT!G32,SENS_DETAILED_COST_WKSHT!$F32*(SENS_DETAILED_COST_WKSHT!G32*TOP_ACTV_3_Exchange_Rate))</f>
        <v>0</v>
      </c>
      <c r="F679" s="115">
        <f>IF(DD_TOP_ACTV_3_Detailed_Currency_Used=2,SENS_DETAILED_COST_WKSHT!$F32*SENS_DETAILED_COST_WKSHT!H32,SENS_DETAILED_COST_WKSHT!$F32*(SENS_DETAILED_COST_WKSHT!H32*TOP_ACTV_3_Exchange_Rate))</f>
        <v>0</v>
      </c>
      <c r="G679" s="116">
        <f t="shared" si="64"/>
        <v>0</v>
      </c>
      <c r="H679" s="116">
        <f t="shared" si="65"/>
        <v>0</v>
      </c>
    </row>
    <row r="680" spans="3:8" s="10" customFormat="1" outlineLevel="1" x14ac:dyDescent="0.2">
      <c r="D680" s="49" t="str">
        <f>SENS_DETAILED_COST_WKSHT!D33</f>
        <v>Personnel Category 6</v>
      </c>
      <c r="E680" s="115">
        <f>IF(DD_TOP_ACTV_3_Detailed_Currency_Used=2,SENS_DETAILED_COST_WKSHT!$F33*SENS_DETAILED_COST_WKSHT!G33,SENS_DETAILED_COST_WKSHT!$F33*(SENS_DETAILED_COST_WKSHT!G33*TOP_ACTV_3_Exchange_Rate))</f>
        <v>0</v>
      </c>
      <c r="F680" s="115">
        <f>IF(DD_TOP_ACTV_3_Detailed_Currency_Used=2,SENS_DETAILED_COST_WKSHT!$F33*SENS_DETAILED_COST_WKSHT!H33,SENS_DETAILED_COST_WKSHT!$F33*(SENS_DETAILED_COST_WKSHT!H33*TOP_ACTV_3_Exchange_Rate))</f>
        <v>0</v>
      </c>
      <c r="G680" s="116">
        <f t="shared" si="64"/>
        <v>0</v>
      </c>
      <c r="H680" s="116">
        <f t="shared" si="65"/>
        <v>0</v>
      </c>
    </row>
    <row r="681" spans="3:8" s="10" customFormat="1" outlineLevel="1" x14ac:dyDescent="0.2">
      <c r="D681" s="49" t="str">
        <f>SENS_DETAILED_COST_WKSHT!D34</f>
        <v>Personnel Category 7</v>
      </c>
      <c r="E681" s="115">
        <f>IF(DD_TOP_ACTV_3_Detailed_Currency_Used=2,SENS_DETAILED_COST_WKSHT!$F34*SENS_DETAILED_COST_WKSHT!G34,SENS_DETAILED_COST_WKSHT!$F34*(SENS_DETAILED_COST_WKSHT!G34*TOP_ACTV_3_Exchange_Rate))</f>
        <v>0</v>
      </c>
      <c r="F681" s="115">
        <f>IF(DD_TOP_ACTV_3_Detailed_Currency_Used=2,SENS_DETAILED_COST_WKSHT!$F34*SENS_DETAILED_COST_WKSHT!H34,SENS_DETAILED_COST_WKSHT!$F34*(SENS_DETAILED_COST_WKSHT!H34*TOP_ACTV_3_Exchange_Rate))</f>
        <v>0</v>
      </c>
      <c r="G681" s="116">
        <f t="shared" si="64"/>
        <v>0</v>
      </c>
      <c r="H681" s="116">
        <f t="shared" si="65"/>
        <v>0</v>
      </c>
    </row>
    <row r="682" spans="3:8" s="10" customFormat="1" outlineLevel="1" x14ac:dyDescent="0.2">
      <c r="D682" s="49" t="str">
        <f>SENS_DETAILED_COST_WKSHT!D35</f>
        <v>Personnel Category 8</v>
      </c>
      <c r="E682" s="115">
        <f>IF(DD_TOP_ACTV_3_Detailed_Currency_Used=2,SENS_DETAILED_COST_WKSHT!$F35*SENS_DETAILED_COST_WKSHT!G35,SENS_DETAILED_COST_WKSHT!$F35*(SENS_DETAILED_COST_WKSHT!G35*TOP_ACTV_3_Exchange_Rate))</f>
        <v>0</v>
      </c>
      <c r="F682" s="115">
        <f>IF(DD_TOP_ACTV_3_Detailed_Currency_Used=2,SENS_DETAILED_COST_WKSHT!$F35*SENS_DETAILED_COST_WKSHT!H35,SENS_DETAILED_COST_WKSHT!$F35*(SENS_DETAILED_COST_WKSHT!H35*TOP_ACTV_3_Exchange_Rate))</f>
        <v>0</v>
      </c>
      <c r="G682" s="116">
        <f t="shared" si="64"/>
        <v>0</v>
      </c>
      <c r="H682" s="116">
        <f t="shared" si="65"/>
        <v>0</v>
      </c>
    </row>
    <row r="683" spans="3:8" s="10" customFormat="1" outlineLevel="1" x14ac:dyDescent="0.2">
      <c r="D683" s="49" t="str">
        <f>SENS_DETAILED_COST_WKSHT!D36</f>
        <v>Personnel Category 9</v>
      </c>
      <c r="E683" s="115">
        <f>IF(DD_TOP_ACTV_3_Detailed_Currency_Used=2,SENS_DETAILED_COST_WKSHT!$F36*SENS_DETAILED_COST_WKSHT!G36,SENS_DETAILED_COST_WKSHT!$F36*(SENS_DETAILED_COST_WKSHT!G36*TOP_ACTV_3_Exchange_Rate))</f>
        <v>0</v>
      </c>
      <c r="F683" s="115">
        <f>IF(DD_TOP_ACTV_3_Detailed_Currency_Used=2,SENS_DETAILED_COST_WKSHT!$F36*SENS_DETAILED_COST_WKSHT!H36,SENS_DETAILED_COST_WKSHT!$F36*(SENS_DETAILED_COST_WKSHT!H36*TOP_ACTV_3_Exchange_Rate))</f>
        <v>0</v>
      </c>
      <c r="G683" s="116">
        <f t="shared" si="64"/>
        <v>0</v>
      </c>
      <c r="H683" s="116">
        <f t="shared" si="65"/>
        <v>0</v>
      </c>
    </row>
    <row r="684" spans="3:8" s="10" customFormat="1" outlineLevel="1" x14ac:dyDescent="0.2">
      <c r="D684" s="49" t="str">
        <f>SENS_DETAILED_COST_WKSHT!D37</f>
        <v>Personnel Category 10</v>
      </c>
      <c r="E684" s="115">
        <f>IF(DD_TOP_ACTV_3_Detailed_Currency_Used=2,SENS_DETAILED_COST_WKSHT!$F37*SENS_DETAILED_COST_WKSHT!G37,SENS_DETAILED_COST_WKSHT!$F37*(SENS_DETAILED_COST_WKSHT!G37*TOP_ACTV_3_Exchange_Rate))</f>
        <v>0</v>
      </c>
      <c r="F684" s="115">
        <f>IF(DD_TOP_ACTV_3_Detailed_Currency_Used=2,SENS_DETAILED_COST_WKSHT!$F37*SENS_DETAILED_COST_WKSHT!H37,SENS_DETAILED_COST_WKSHT!$F37*(SENS_DETAILED_COST_WKSHT!H37*TOP_ACTV_3_Exchange_Rate))</f>
        <v>0</v>
      </c>
      <c r="G684" s="116">
        <f t="shared" si="64"/>
        <v>0</v>
      </c>
      <c r="H684" s="116">
        <f t="shared" si="65"/>
        <v>0</v>
      </c>
    </row>
    <row r="685" spans="3:8" s="10" customFormat="1" outlineLevel="1" x14ac:dyDescent="0.2">
      <c r="D685" s="49" t="str">
        <f>SENS_DETAILED_COST_WKSHT!D38</f>
        <v>Personnel Category 11</v>
      </c>
      <c r="E685" s="115">
        <f>IF(DD_TOP_ACTV_3_Detailed_Currency_Used=2,SENS_DETAILED_COST_WKSHT!$F38*SENS_DETAILED_COST_WKSHT!G38,SENS_DETAILED_COST_WKSHT!$F38*(SENS_DETAILED_COST_WKSHT!G38*TOP_ACTV_3_Exchange_Rate))</f>
        <v>0</v>
      </c>
      <c r="F685" s="115">
        <f>IF(DD_TOP_ACTV_3_Detailed_Currency_Used=2,SENS_DETAILED_COST_WKSHT!$F38*SENS_DETAILED_COST_WKSHT!H38,SENS_DETAILED_COST_WKSHT!$F38*(SENS_DETAILED_COST_WKSHT!H38*TOP_ACTV_3_Exchange_Rate))</f>
        <v>0</v>
      </c>
      <c r="G685" s="116">
        <f t="shared" si="64"/>
        <v>0</v>
      </c>
      <c r="H685" s="116">
        <f t="shared" si="65"/>
        <v>0</v>
      </c>
    </row>
    <row r="686" spans="3:8" s="10" customFormat="1" outlineLevel="1" x14ac:dyDescent="0.2">
      <c r="D686" s="49" t="str">
        <f>SENS_DETAILED_COST_WKSHT!D39</f>
        <v>Personnel Category 12</v>
      </c>
      <c r="E686" s="115">
        <f>IF(DD_TOP_ACTV_3_Detailed_Currency_Used=2,SENS_DETAILED_COST_WKSHT!$F39*SENS_DETAILED_COST_WKSHT!G39,SENS_DETAILED_COST_WKSHT!$F39*(SENS_DETAILED_COST_WKSHT!G39*TOP_ACTV_3_Exchange_Rate))</f>
        <v>0</v>
      </c>
      <c r="F686" s="115">
        <f>IF(DD_TOP_ACTV_3_Detailed_Currency_Used=2,SENS_DETAILED_COST_WKSHT!$F39*SENS_DETAILED_COST_WKSHT!H39,SENS_DETAILED_COST_WKSHT!$F39*(SENS_DETAILED_COST_WKSHT!H39*TOP_ACTV_3_Exchange_Rate))</f>
        <v>0</v>
      </c>
      <c r="G686" s="116">
        <f t="shared" si="64"/>
        <v>0</v>
      </c>
      <c r="H686" s="116">
        <f t="shared" si="65"/>
        <v>0</v>
      </c>
    </row>
    <row r="687" spans="3:8" s="10" customFormat="1" outlineLevel="1" x14ac:dyDescent="0.2">
      <c r="D687" s="49" t="str">
        <f>SENS_DETAILED_COST_WKSHT!D40</f>
        <v>Personnel Category 13</v>
      </c>
      <c r="E687" s="115">
        <f>IF(DD_TOP_ACTV_3_Detailed_Currency_Used=2,SENS_DETAILED_COST_WKSHT!$F40*SENS_DETAILED_COST_WKSHT!G40,SENS_DETAILED_COST_WKSHT!$F40*(SENS_DETAILED_COST_WKSHT!G40*TOP_ACTV_3_Exchange_Rate))</f>
        <v>0</v>
      </c>
      <c r="F687" s="115">
        <f>IF(DD_TOP_ACTV_3_Detailed_Currency_Used=2,SENS_DETAILED_COST_WKSHT!$F40*SENS_DETAILED_COST_WKSHT!H40,SENS_DETAILED_COST_WKSHT!$F40*(SENS_DETAILED_COST_WKSHT!H40*TOP_ACTV_3_Exchange_Rate))</f>
        <v>0</v>
      </c>
      <c r="G687" s="116">
        <f t="shared" si="64"/>
        <v>0</v>
      </c>
      <c r="H687" s="116">
        <f t="shared" si="65"/>
        <v>0</v>
      </c>
    </row>
    <row r="688" spans="3:8" s="10" customFormat="1" outlineLevel="1" x14ac:dyDescent="0.2">
      <c r="D688" s="49" t="str">
        <f>SENS_DETAILED_COST_WKSHT!D41</f>
        <v>Personnel Category 14</v>
      </c>
      <c r="E688" s="115">
        <f>IF(DD_TOP_ACTV_3_Detailed_Currency_Used=2,SENS_DETAILED_COST_WKSHT!$F41*SENS_DETAILED_COST_WKSHT!G41,SENS_DETAILED_COST_WKSHT!$F41*(SENS_DETAILED_COST_WKSHT!G41*TOP_ACTV_3_Exchange_Rate))</f>
        <v>0</v>
      </c>
      <c r="F688" s="115">
        <f>IF(DD_TOP_ACTV_3_Detailed_Currency_Used=2,SENS_DETAILED_COST_WKSHT!$F41*SENS_DETAILED_COST_WKSHT!H41,SENS_DETAILED_COST_WKSHT!$F41*(SENS_DETAILED_COST_WKSHT!H41*TOP_ACTV_3_Exchange_Rate))</f>
        <v>0</v>
      </c>
      <c r="G688" s="116">
        <f t="shared" si="64"/>
        <v>0</v>
      </c>
      <c r="H688" s="116">
        <f t="shared" si="65"/>
        <v>0</v>
      </c>
    </row>
    <row r="689" spans="1:8" s="10" customFormat="1" outlineLevel="1" x14ac:dyDescent="0.2">
      <c r="D689" s="49" t="str">
        <f>SENS_DETAILED_COST_WKSHT!D42</f>
        <v>Personnel Category 15</v>
      </c>
      <c r="E689" s="115">
        <f>IF(DD_TOP_ACTV_3_Detailed_Currency_Used=2,SENS_DETAILED_COST_WKSHT!$F42*SENS_DETAILED_COST_WKSHT!G42,SENS_DETAILED_COST_WKSHT!$F42*(SENS_DETAILED_COST_WKSHT!G42*TOP_ACTV_3_Exchange_Rate))</f>
        <v>0</v>
      </c>
      <c r="F689" s="115">
        <f>IF(DD_TOP_ACTV_3_Detailed_Currency_Used=2,SENS_DETAILED_COST_WKSHT!$F42*SENS_DETAILED_COST_WKSHT!H42,SENS_DETAILED_COST_WKSHT!$F42*(SENS_DETAILED_COST_WKSHT!H42*TOP_ACTV_3_Exchange_Rate))</f>
        <v>0</v>
      </c>
      <c r="G689" s="116">
        <f t="shared" si="64"/>
        <v>0</v>
      </c>
      <c r="H689" s="116">
        <f t="shared" si="65"/>
        <v>0</v>
      </c>
    </row>
    <row r="690" spans="1:8" s="10" customFormat="1" outlineLevel="1" x14ac:dyDescent="0.2">
      <c r="D690" s="48" t="str">
        <f>Lang_Personnel</f>
        <v>Personnel</v>
      </c>
      <c r="E690" s="120">
        <f>SUM(E675:E689)</f>
        <v>0</v>
      </c>
      <c r="F690" s="120">
        <f>SUM(F675:F689)</f>
        <v>0</v>
      </c>
      <c r="G690" s="121">
        <f>SUM(G675:G689)</f>
        <v>0</v>
      </c>
      <c r="H690" s="121">
        <f>SUM(H675:H689)</f>
        <v>0</v>
      </c>
    </row>
    <row r="691" spans="1:8" s="10" customFormat="1" outlineLevel="1" x14ac:dyDescent="0.2"/>
    <row r="692" spans="1:8" s="10" customFormat="1" outlineLevel="1" x14ac:dyDescent="0.2"/>
    <row r="693" spans="1:8" s="10" customFormat="1" outlineLevel="1" x14ac:dyDescent="0.2">
      <c r="D693" s="76" t="str">
        <f>Lang_GoTo&amp;" "&amp;HL_TOP_ACTV_3_Personnel_Assumptions</f>
        <v>Go to  Sensitisation Activity # 1 (Not in Use) - Detailed Personnel Cost Assumptions</v>
      </c>
    </row>
    <row r="694" spans="1:8" s="10" customFormat="1" outlineLevel="1" x14ac:dyDescent="0.2">
      <c r="D694" s="76" t="str">
        <f>Lang_GoTo&amp;" "&amp;HL_TOP_ACTV_3_Cost_Summary_Output</f>
        <v>Go to  Sensitisation Activity # 1 (Not in Use) Detailed Cost Summary</v>
      </c>
    </row>
    <row r="695" spans="1:8" s="10" customFormat="1" x14ac:dyDescent="0.2"/>
    <row r="696" spans="1:8" s="13" customFormat="1" x14ac:dyDescent="0.2">
      <c r="A696" s="12" t="s">
        <v>127</v>
      </c>
      <c r="B696" s="13" t="str">
        <f>HL_TOP_ACTV_3_Name&amp;" "&amp;Lang_Allowances_Outputs</f>
        <v xml:space="preserve"> Sensitisation Activity # 1 (Not in Use) Allowances - Outputs</v>
      </c>
    </row>
    <row r="697" spans="1:8" s="10" customFormat="1" outlineLevel="1" x14ac:dyDescent="0.2"/>
    <row r="698" spans="1:8" s="10" customFormat="1" outlineLevel="1" x14ac:dyDescent="0.2">
      <c r="C698" s="114" t="str">
        <f>HL_TOP_ACTV_3_Name</f>
        <v xml:space="preserve"> Sensitisation Activity # 1 (Not in Use)</v>
      </c>
    </row>
    <row r="699" spans="1:8" s="10" customFormat="1" outlineLevel="1" x14ac:dyDescent="0.2">
      <c r="E699" s="86" t="str">
        <f>SENS_Lu!$D$32&amp;" "&amp;Lang_Cost&amp;" ("&amp;SENS_Lu!$D$13&amp;")"</f>
        <v>Financial Cost (LCU)</v>
      </c>
      <c r="F699" s="86" t="str">
        <f>SENS_Lu!$D$33&amp;" "&amp;Lang_Cost&amp;" ("&amp;SENS_Lu!$D$13&amp;")"</f>
        <v>Economic Cost (LCU)</v>
      </c>
      <c r="G699" s="86" t="str">
        <f>SENS_Lu!$D$32&amp;" "&amp;Lang_Cost&amp;" ("&amp;SENS_Lu!$D$12&amp;")"</f>
        <v>Financial Cost (USD)</v>
      </c>
      <c r="H699" s="86" t="str">
        <f>SENS_Lu!$D$33&amp;" "&amp;Lang_Cost&amp;" ("&amp;SENS_Lu!$D$12&amp;")"</f>
        <v>Economic Cost (USD)</v>
      </c>
    </row>
    <row r="700" spans="1:8" s="10" customFormat="1" outlineLevel="1" x14ac:dyDescent="0.2">
      <c r="D700" s="49" t="str">
        <f>SENS_DETAILED_COST_WKSHT!D51</f>
        <v>Allowances Category 1</v>
      </c>
      <c r="E700" s="115">
        <f>IF(DD_TOP_ACTV_3_Detailed_Currency_Used=2,SENS_DETAILED_COST_WKSHT!$F51*SENS_DETAILED_COST_WKSHT!G51,SENS_DETAILED_COST_WKSHT!$F51*(SENS_DETAILED_COST_WKSHT!G51*TOP_ACTV_3_Exchange_Rate))</f>
        <v>0</v>
      </c>
      <c r="F700" s="115">
        <f>IF(DD_TOP_ACTV_3_Detailed_Currency_Used=2,SENS_DETAILED_COST_WKSHT!$F51*SENS_DETAILED_COST_WKSHT!H51,SENS_DETAILED_COST_WKSHT!$F51*(SENS_DETAILED_COST_WKSHT!H51*TOP_ACTV_3_Exchange_Rate))</f>
        <v>0</v>
      </c>
      <c r="G700" s="116">
        <f t="shared" ref="G700:G709" si="66">E700/TOP_ACTV_3_Exchange_Rate</f>
        <v>0</v>
      </c>
      <c r="H700" s="116">
        <f t="shared" ref="H700:H709" si="67">F700/TOP_ACTV_3_Exchange_Rate</f>
        <v>0</v>
      </c>
    </row>
    <row r="701" spans="1:8" s="10" customFormat="1" outlineLevel="1" x14ac:dyDescent="0.2">
      <c r="D701" s="49" t="str">
        <f>SENS_DETAILED_COST_WKSHT!D52</f>
        <v>Allowances Category 2</v>
      </c>
      <c r="E701" s="115">
        <f>IF(DD_TOP_ACTV_3_Detailed_Currency_Used=2,SENS_DETAILED_COST_WKSHT!$F52*SENS_DETAILED_COST_WKSHT!G52,SENS_DETAILED_COST_WKSHT!$F52*(SENS_DETAILED_COST_WKSHT!G52*TOP_ACTV_3_Exchange_Rate))</f>
        <v>0</v>
      </c>
      <c r="F701" s="115">
        <f>IF(DD_TOP_ACTV_3_Detailed_Currency_Used=2,SENS_DETAILED_COST_WKSHT!$F52*SENS_DETAILED_COST_WKSHT!H52,SENS_DETAILED_COST_WKSHT!$F52*(SENS_DETAILED_COST_WKSHT!H52*TOP_ACTV_3_Exchange_Rate))</f>
        <v>0</v>
      </c>
      <c r="G701" s="116">
        <f t="shared" si="66"/>
        <v>0</v>
      </c>
      <c r="H701" s="116">
        <f t="shared" si="67"/>
        <v>0</v>
      </c>
    </row>
    <row r="702" spans="1:8" s="10" customFormat="1" outlineLevel="1" x14ac:dyDescent="0.2">
      <c r="D702" s="49" t="str">
        <f>SENS_DETAILED_COST_WKSHT!D53</f>
        <v>Allowances Category 3</v>
      </c>
      <c r="E702" s="115">
        <f>IF(DD_TOP_ACTV_3_Detailed_Currency_Used=2,SENS_DETAILED_COST_WKSHT!$F53*SENS_DETAILED_COST_WKSHT!G53,SENS_DETAILED_COST_WKSHT!$F53*(SENS_DETAILED_COST_WKSHT!G53*TOP_ACTV_3_Exchange_Rate))</f>
        <v>0</v>
      </c>
      <c r="F702" s="115">
        <f>IF(DD_TOP_ACTV_3_Detailed_Currency_Used=2,SENS_DETAILED_COST_WKSHT!$F53*SENS_DETAILED_COST_WKSHT!H53,SENS_DETAILED_COST_WKSHT!$F53*(SENS_DETAILED_COST_WKSHT!H53*TOP_ACTV_3_Exchange_Rate))</f>
        <v>0</v>
      </c>
      <c r="G702" s="116">
        <f t="shared" si="66"/>
        <v>0</v>
      </c>
      <c r="H702" s="116">
        <f t="shared" si="67"/>
        <v>0</v>
      </c>
    </row>
    <row r="703" spans="1:8" s="10" customFormat="1" outlineLevel="1" x14ac:dyDescent="0.2">
      <c r="D703" s="49" t="str">
        <f>SENS_DETAILED_COST_WKSHT!D54</f>
        <v>Allowances Category 4</v>
      </c>
      <c r="E703" s="115">
        <f>IF(DD_TOP_ACTV_3_Detailed_Currency_Used=2,SENS_DETAILED_COST_WKSHT!$F54*SENS_DETAILED_COST_WKSHT!G54,SENS_DETAILED_COST_WKSHT!$F54*(SENS_DETAILED_COST_WKSHT!G54*TOP_ACTV_3_Exchange_Rate))</f>
        <v>0</v>
      </c>
      <c r="F703" s="115">
        <f>IF(DD_TOP_ACTV_3_Detailed_Currency_Used=2,SENS_DETAILED_COST_WKSHT!$F54*SENS_DETAILED_COST_WKSHT!H54,SENS_DETAILED_COST_WKSHT!$F54*(SENS_DETAILED_COST_WKSHT!H54*TOP_ACTV_3_Exchange_Rate))</f>
        <v>0</v>
      </c>
      <c r="G703" s="116">
        <f t="shared" si="66"/>
        <v>0</v>
      </c>
      <c r="H703" s="116">
        <f t="shared" si="67"/>
        <v>0</v>
      </c>
    </row>
    <row r="704" spans="1:8" s="10" customFormat="1" outlineLevel="1" x14ac:dyDescent="0.2">
      <c r="D704" s="49" t="str">
        <f>SENS_DETAILED_COST_WKSHT!D55</f>
        <v>Allowances Category 5</v>
      </c>
      <c r="E704" s="115">
        <f>IF(DD_TOP_ACTV_3_Detailed_Currency_Used=2,SENS_DETAILED_COST_WKSHT!$F55*SENS_DETAILED_COST_WKSHT!G55,SENS_DETAILED_COST_WKSHT!$F55*(SENS_DETAILED_COST_WKSHT!G55*TOP_ACTV_3_Exchange_Rate))</f>
        <v>0</v>
      </c>
      <c r="F704" s="115">
        <f>IF(DD_TOP_ACTV_3_Detailed_Currency_Used=2,SENS_DETAILED_COST_WKSHT!$F55*SENS_DETAILED_COST_WKSHT!H55,SENS_DETAILED_COST_WKSHT!$F55*(SENS_DETAILED_COST_WKSHT!H55*TOP_ACTV_3_Exchange_Rate))</f>
        <v>0</v>
      </c>
      <c r="G704" s="116">
        <f t="shared" si="66"/>
        <v>0</v>
      </c>
      <c r="H704" s="116">
        <f t="shared" si="67"/>
        <v>0</v>
      </c>
    </row>
    <row r="705" spans="1:8" s="10" customFormat="1" outlineLevel="1" x14ac:dyDescent="0.2">
      <c r="D705" s="49" t="str">
        <f>SENS_DETAILED_COST_WKSHT!D56</f>
        <v>Allowances Category 6</v>
      </c>
      <c r="E705" s="115">
        <f>IF(DD_TOP_ACTV_3_Detailed_Currency_Used=2,SENS_DETAILED_COST_WKSHT!$F56*SENS_DETAILED_COST_WKSHT!G56,SENS_DETAILED_COST_WKSHT!$F56*(SENS_DETAILED_COST_WKSHT!G56*TOP_ACTV_3_Exchange_Rate))</f>
        <v>0</v>
      </c>
      <c r="F705" s="115">
        <f>IF(DD_TOP_ACTV_3_Detailed_Currency_Used=2,SENS_DETAILED_COST_WKSHT!$F56*SENS_DETAILED_COST_WKSHT!H56,SENS_DETAILED_COST_WKSHT!$F56*(SENS_DETAILED_COST_WKSHT!H56*TOP_ACTV_3_Exchange_Rate))</f>
        <v>0</v>
      </c>
      <c r="G705" s="116">
        <f t="shared" si="66"/>
        <v>0</v>
      </c>
      <c r="H705" s="116">
        <f t="shared" si="67"/>
        <v>0</v>
      </c>
    </row>
    <row r="706" spans="1:8" s="10" customFormat="1" outlineLevel="1" x14ac:dyDescent="0.2">
      <c r="D706" s="49" t="str">
        <f>SENS_DETAILED_COST_WKSHT!D57</f>
        <v>Allowances Category 7</v>
      </c>
      <c r="E706" s="115">
        <f>IF(DD_TOP_ACTV_3_Detailed_Currency_Used=2,SENS_DETAILED_COST_WKSHT!$F57*SENS_DETAILED_COST_WKSHT!G57,SENS_DETAILED_COST_WKSHT!$F57*(SENS_DETAILED_COST_WKSHT!G57*TOP_ACTV_3_Exchange_Rate))</f>
        <v>0</v>
      </c>
      <c r="F706" s="115">
        <f>IF(DD_TOP_ACTV_3_Detailed_Currency_Used=2,SENS_DETAILED_COST_WKSHT!$F57*SENS_DETAILED_COST_WKSHT!H57,SENS_DETAILED_COST_WKSHT!$F57*(SENS_DETAILED_COST_WKSHT!H57*TOP_ACTV_3_Exchange_Rate))</f>
        <v>0</v>
      </c>
      <c r="G706" s="116">
        <f t="shared" si="66"/>
        <v>0</v>
      </c>
      <c r="H706" s="116">
        <f t="shared" si="67"/>
        <v>0</v>
      </c>
    </row>
    <row r="707" spans="1:8" s="10" customFormat="1" outlineLevel="1" x14ac:dyDescent="0.2">
      <c r="D707" s="49" t="str">
        <f>SENS_DETAILED_COST_WKSHT!D58</f>
        <v>Allowances Category 8</v>
      </c>
      <c r="E707" s="115">
        <f>IF(DD_TOP_ACTV_3_Detailed_Currency_Used=2,SENS_DETAILED_COST_WKSHT!$F58*SENS_DETAILED_COST_WKSHT!G58,SENS_DETAILED_COST_WKSHT!$F58*(SENS_DETAILED_COST_WKSHT!G58*TOP_ACTV_3_Exchange_Rate))</f>
        <v>0</v>
      </c>
      <c r="F707" s="115">
        <f>IF(DD_TOP_ACTV_3_Detailed_Currency_Used=2,SENS_DETAILED_COST_WKSHT!$F58*SENS_DETAILED_COST_WKSHT!H58,SENS_DETAILED_COST_WKSHT!$F58*(SENS_DETAILED_COST_WKSHT!H58*TOP_ACTV_3_Exchange_Rate))</f>
        <v>0</v>
      </c>
      <c r="G707" s="116">
        <f t="shared" si="66"/>
        <v>0</v>
      </c>
      <c r="H707" s="116">
        <f t="shared" si="67"/>
        <v>0</v>
      </c>
    </row>
    <row r="708" spans="1:8" s="10" customFormat="1" outlineLevel="1" x14ac:dyDescent="0.2">
      <c r="D708" s="49" t="str">
        <f>SENS_DETAILED_COST_WKSHT!D59</f>
        <v>Allowances Category 9</v>
      </c>
      <c r="E708" s="115">
        <f>IF(DD_TOP_ACTV_3_Detailed_Currency_Used=2,SENS_DETAILED_COST_WKSHT!$F59*SENS_DETAILED_COST_WKSHT!G59,SENS_DETAILED_COST_WKSHT!$F59*(SENS_DETAILED_COST_WKSHT!G59*TOP_ACTV_3_Exchange_Rate))</f>
        <v>0</v>
      </c>
      <c r="F708" s="115">
        <f>IF(DD_TOP_ACTV_3_Detailed_Currency_Used=2,SENS_DETAILED_COST_WKSHT!$F59*SENS_DETAILED_COST_WKSHT!H59,SENS_DETAILED_COST_WKSHT!$F59*(SENS_DETAILED_COST_WKSHT!H59*TOP_ACTV_3_Exchange_Rate))</f>
        <v>0</v>
      </c>
      <c r="G708" s="116">
        <f t="shared" si="66"/>
        <v>0</v>
      </c>
      <c r="H708" s="116">
        <f t="shared" si="67"/>
        <v>0</v>
      </c>
    </row>
    <row r="709" spans="1:8" s="10" customFormat="1" outlineLevel="1" x14ac:dyDescent="0.2">
      <c r="D709" s="49" t="str">
        <f>SENS_DETAILED_COST_WKSHT!D60</f>
        <v>Allowances Category 10</v>
      </c>
      <c r="E709" s="115">
        <f>IF(DD_TOP_ACTV_3_Detailed_Currency_Used=2,SENS_DETAILED_COST_WKSHT!$F60*SENS_DETAILED_COST_WKSHT!G60,SENS_DETAILED_COST_WKSHT!$F60*(SENS_DETAILED_COST_WKSHT!G60*TOP_ACTV_3_Exchange_Rate))</f>
        <v>0</v>
      </c>
      <c r="F709" s="115">
        <f>IF(DD_TOP_ACTV_3_Detailed_Currency_Used=2,SENS_DETAILED_COST_WKSHT!$F60*SENS_DETAILED_COST_WKSHT!H60,SENS_DETAILED_COST_WKSHT!$F60*(SENS_DETAILED_COST_WKSHT!H60*TOP_ACTV_3_Exchange_Rate))</f>
        <v>0</v>
      </c>
      <c r="G709" s="116">
        <f t="shared" si="66"/>
        <v>0</v>
      </c>
      <c r="H709" s="116">
        <f t="shared" si="67"/>
        <v>0</v>
      </c>
    </row>
    <row r="710" spans="1:8" s="10" customFormat="1" outlineLevel="1" x14ac:dyDescent="0.2">
      <c r="D710" s="48" t="str">
        <f>Lang_Allowances</f>
        <v>Allowances</v>
      </c>
      <c r="E710" s="120">
        <f>SUM(E700:E709)</f>
        <v>0</v>
      </c>
      <c r="F710" s="120">
        <f>SUM(F700:F709)</f>
        <v>0</v>
      </c>
      <c r="G710" s="121">
        <f>SUM(G700:G709)</f>
        <v>0</v>
      </c>
      <c r="H710" s="121">
        <f>SUM(H700:H709)</f>
        <v>0</v>
      </c>
    </row>
    <row r="711" spans="1:8" s="10" customFormat="1" outlineLevel="1" x14ac:dyDescent="0.2"/>
    <row r="712" spans="1:8" s="10" customFormat="1" outlineLevel="1" x14ac:dyDescent="0.2"/>
    <row r="713" spans="1:8" s="10" customFormat="1" outlineLevel="1" x14ac:dyDescent="0.2">
      <c r="D713" s="76" t="str">
        <f>Lang_GoTo&amp;" "&amp;HL_TOP_ACTV_3_Ass_A</f>
        <v>Go to  Sensitisation Activity # 1 (Not in Use) - Detailed Allowance Cost Assumptions</v>
      </c>
    </row>
    <row r="714" spans="1:8" s="10" customFormat="1" outlineLevel="1" x14ac:dyDescent="0.2">
      <c r="D714" s="76" t="str">
        <f>Lang_GoTo&amp;" "&amp;HL_TOP_ACTV_3_Cost_Summary_Output</f>
        <v>Go to  Sensitisation Activity # 1 (Not in Use) Detailed Cost Summary</v>
      </c>
    </row>
    <row r="715" spans="1:8" s="10" customFormat="1" x14ac:dyDescent="0.2"/>
    <row r="716" spans="1:8" s="13" customFormat="1" x14ac:dyDescent="0.2">
      <c r="A716" s="12" t="s">
        <v>127</v>
      </c>
      <c r="B716" s="13" t="str">
        <f>HL_TOP_ACTV_3_Name&amp;" "&amp;Lang_Supplies_And_Materials_Outputs</f>
        <v xml:space="preserve"> Sensitisation Activity # 1 (Not in Use) Supplies and Materials - Outputs</v>
      </c>
    </row>
    <row r="717" spans="1:8" s="10" customFormat="1" outlineLevel="1" x14ac:dyDescent="0.2"/>
    <row r="718" spans="1:8" s="10" customFormat="1" outlineLevel="1" x14ac:dyDescent="0.2">
      <c r="C718" s="114" t="str">
        <f>HL_TOP_ACTV_3_Name</f>
        <v xml:space="preserve"> Sensitisation Activity # 1 (Not in Use)</v>
      </c>
    </row>
    <row r="719" spans="1:8" s="10" customFormat="1" outlineLevel="1" x14ac:dyDescent="0.2">
      <c r="E719" s="86" t="str">
        <f>SENS_Lu!$D$32&amp;" "&amp;Lang_Cost&amp;" ("&amp;SENS_Lu!$D$13&amp;")"</f>
        <v>Financial Cost (LCU)</v>
      </c>
      <c r="F719" s="86" t="str">
        <f>SENS_Lu!$D$33&amp;" "&amp;Lang_Cost&amp;" ("&amp;SENS_Lu!$D$13&amp;")"</f>
        <v>Economic Cost (LCU)</v>
      </c>
      <c r="G719" s="86" t="str">
        <f>SENS_Lu!$D$32&amp;" "&amp;Lang_Cost&amp;" ("&amp;SENS_Lu!$D$12&amp;")"</f>
        <v>Financial Cost (USD)</v>
      </c>
      <c r="H719" s="86" t="str">
        <f>SENS_Lu!$D$33&amp;" "&amp;Lang_Cost&amp;" ("&amp;SENS_Lu!$D$12&amp;")"</f>
        <v>Economic Cost (USD)</v>
      </c>
    </row>
    <row r="720" spans="1:8" s="10" customFormat="1" outlineLevel="1" x14ac:dyDescent="0.2">
      <c r="D720" s="49" t="str">
        <f>SENS_DETAILED_COST_WKSHT!D69</f>
        <v>Supplies and Materials Category 1</v>
      </c>
      <c r="E720" s="115">
        <f>IF(DD_TOP_ACTV_3_Detailed_Currency_Used=2,SENS_DETAILED_COST_WKSHT!$F69*SENS_DETAILED_COST_WKSHT!G69,SENS_DETAILED_COST_WKSHT!$F69*(SENS_DETAILED_COST_WKSHT!G69*TOP_ACTV_3_Exchange_Rate))</f>
        <v>0</v>
      </c>
      <c r="F720" s="115">
        <f>IF(DD_TOP_ACTV_3_Detailed_Currency_Used=2,SENS_DETAILED_COST_WKSHT!$F69*SENS_DETAILED_COST_WKSHT!H69,SENS_DETAILED_COST_WKSHT!$F69*(SENS_DETAILED_COST_WKSHT!H69*TOP_ACTV_3_Exchange_Rate))</f>
        <v>0</v>
      </c>
      <c r="G720" s="116">
        <f t="shared" ref="G720:G729" si="68">E720/TOP_ACTV_3_Exchange_Rate</f>
        <v>0</v>
      </c>
      <c r="H720" s="116">
        <f t="shared" ref="H720:H729" si="69">F720/TOP_ACTV_3_Exchange_Rate</f>
        <v>0</v>
      </c>
    </row>
    <row r="721" spans="1:8" s="10" customFormat="1" outlineLevel="1" x14ac:dyDescent="0.2">
      <c r="D721" s="49" t="str">
        <f>SENS_DETAILED_COST_WKSHT!D70</f>
        <v>Supplies and Materials Category 2</v>
      </c>
      <c r="E721" s="115">
        <f>IF(DD_TOP_ACTV_3_Detailed_Currency_Used=2,SENS_DETAILED_COST_WKSHT!$F70*SENS_DETAILED_COST_WKSHT!G70,SENS_DETAILED_COST_WKSHT!$F70*(SENS_DETAILED_COST_WKSHT!G70*TOP_ACTV_3_Exchange_Rate))</f>
        <v>0</v>
      </c>
      <c r="F721" s="115">
        <f>IF(DD_TOP_ACTV_3_Detailed_Currency_Used=2,SENS_DETAILED_COST_WKSHT!$F70*SENS_DETAILED_COST_WKSHT!H70,SENS_DETAILED_COST_WKSHT!$F70*(SENS_DETAILED_COST_WKSHT!H70*TOP_ACTV_3_Exchange_Rate))</f>
        <v>0</v>
      </c>
      <c r="G721" s="116">
        <f t="shared" si="68"/>
        <v>0</v>
      </c>
      <c r="H721" s="116">
        <f t="shared" si="69"/>
        <v>0</v>
      </c>
    </row>
    <row r="722" spans="1:8" s="10" customFormat="1" outlineLevel="1" x14ac:dyDescent="0.2">
      <c r="D722" s="49" t="str">
        <f>SENS_DETAILED_COST_WKSHT!D71</f>
        <v>Supplies and Materials Category 3</v>
      </c>
      <c r="E722" s="115">
        <f>IF(DD_TOP_ACTV_3_Detailed_Currency_Used=2,SENS_DETAILED_COST_WKSHT!$F71*SENS_DETAILED_COST_WKSHT!G71,SENS_DETAILED_COST_WKSHT!$F71*(SENS_DETAILED_COST_WKSHT!G71*TOP_ACTV_3_Exchange_Rate))</f>
        <v>0</v>
      </c>
      <c r="F722" s="115">
        <f>IF(DD_TOP_ACTV_3_Detailed_Currency_Used=2,SENS_DETAILED_COST_WKSHT!$F71*SENS_DETAILED_COST_WKSHT!H71,SENS_DETAILED_COST_WKSHT!$F71*(SENS_DETAILED_COST_WKSHT!H71*TOP_ACTV_3_Exchange_Rate))</f>
        <v>0</v>
      </c>
      <c r="G722" s="116">
        <f t="shared" si="68"/>
        <v>0</v>
      </c>
      <c r="H722" s="116">
        <f t="shared" si="69"/>
        <v>0</v>
      </c>
    </row>
    <row r="723" spans="1:8" s="10" customFormat="1" outlineLevel="1" x14ac:dyDescent="0.2">
      <c r="D723" s="49" t="str">
        <f>SENS_DETAILED_COST_WKSHT!D72</f>
        <v>Supplies and Materials Category 4</v>
      </c>
      <c r="E723" s="115">
        <f>IF(DD_TOP_ACTV_3_Detailed_Currency_Used=2,SENS_DETAILED_COST_WKSHT!$F72*SENS_DETAILED_COST_WKSHT!G72,SENS_DETAILED_COST_WKSHT!$F72*(SENS_DETAILED_COST_WKSHT!G72*TOP_ACTV_3_Exchange_Rate))</f>
        <v>0</v>
      </c>
      <c r="F723" s="115">
        <f>IF(DD_TOP_ACTV_3_Detailed_Currency_Used=2,SENS_DETAILED_COST_WKSHT!$F72*SENS_DETAILED_COST_WKSHT!H72,SENS_DETAILED_COST_WKSHT!$F72*(SENS_DETAILED_COST_WKSHT!H72*TOP_ACTV_3_Exchange_Rate))</f>
        <v>0</v>
      </c>
      <c r="G723" s="116">
        <f t="shared" si="68"/>
        <v>0</v>
      </c>
      <c r="H723" s="116">
        <f t="shared" si="69"/>
        <v>0</v>
      </c>
    </row>
    <row r="724" spans="1:8" s="10" customFormat="1" outlineLevel="1" x14ac:dyDescent="0.2">
      <c r="D724" s="49" t="str">
        <f>SENS_DETAILED_COST_WKSHT!D73</f>
        <v>Supplies and Materials Category 5</v>
      </c>
      <c r="E724" s="115">
        <f>IF(DD_TOP_ACTV_3_Detailed_Currency_Used=2,SENS_DETAILED_COST_WKSHT!$F73*SENS_DETAILED_COST_WKSHT!G73,SENS_DETAILED_COST_WKSHT!$F73*(SENS_DETAILED_COST_WKSHT!G73*TOP_ACTV_3_Exchange_Rate))</f>
        <v>0</v>
      </c>
      <c r="F724" s="115">
        <f>IF(DD_TOP_ACTV_3_Detailed_Currency_Used=2,SENS_DETAILED_COST_WKSHT!$F73*SENS_DETAILED_COST_WKSHT!H73,SENS_DETAILED_COST_WKSHT!$F73*(SENS_DETAILED_COST_WKSHT!H73*TOP_ACTV_3_Exchange_Rate))</f>
        <v>0</v>
      </c>
      <c r="G724" s="116">
        <f t="shared" si="68"/>
        <v>0</v>
      </c>
      <c r="H724" s="116">
        <f t="shared" si="69"/>
        <v>0</v>
      </c>
    </row>
    <row r="725" spans="1:8" s="10" customFormat="1" outlineLevel="1" x14ac:dyDescent="0.2">
      <c r="D725" s="49" t="str">
        <f>SENS_DETAILED_COST_WKSHT!D74</f>
        <v>Supplies and Materials Category 6</v>
      </c>
      <c r="E725" s="115">
        <f>IF(DD_TOP_ACTV_3_Detailed_Currency_Used=2,SENS_DETAILED_COST_WKSHT!$F74*SENS_DETAILED_COST_WKSHT!G74,SENS_DETAILED_COST_WKSHT!$F74*(SENS_DETAILED_COST_WKSHT!G74*TOP_ACTV_3_Exchange_Rate))</f>
        <v>0</v>
      </c>
      <c r="F725" s="115">
        <f>IF(DD_TOP_ACTV_3_Detailed_Currency_Used=2,SENS_DETAILED_COST_WKSHT!$F74*SENS_DETAILED_COST_WKSHT!H74,SENS_DETAILED_COST_WKSHT!$F74*(SENS_DETAILED_COST_WKSHT!H74*TOP_ACTV_3_Exchange_Rate))</f>
        <v>0</v>
      </c>
      <c r="G725" s="116">
        <f t="shared" si="68"/>
        <v>0</v>
      </c>
      <c r="H725" s="116">
        <f t="shared" si="69"/>
        <v>0</v>
      </c>
    </row>
    <row r="726" spans="1:8" s="10" customFormat="1" outlineLevel="1" x14ac:dyDescent="0.2">
      <c r="D726" s="49" t="str">
        <f>SENS_DETAILED_COST_WKSHT!D75</f>
        <v>Supplies and Materials Category 7</v>
      </c>
      <c r="E726" s="115">
        <f>IF(DD_TOP_ACTV_3_Detailed_Currency_Used=2,SENS_DETAILED_COST_WKSHT!$F75*SENS_DETAILED_COST_WKSHT!G75,SENS_DETAILED_COST_WKSHT!$F75*(SENS_DETAILED_COST_WKSHT!G75*TOP_ACTV_3_Exchange_Rate))</f>
        <v>0</v>
      </c>
      <c r="F726" s="115">
        <f>IF(DD_TOP_ACTV_3_Detailed_Currency_Used=2,SENS_DETAILED_COST_WKSHT!$F75*SENS_DETAILED_COST_WKSHT!H75,SENS_DETAILED_COST_WKSHT!$F75*(SENS_DETAILED_COST_WKSHT!H75*TOP_ACTV_3_Exchange_Rate))</f>
        <v>0</v>
      </c>
      <c r="G726" s="116">
        <f t="shared" si="68"/>
        <v>0</v>
      </c>
      <c r="H726" s="116">
        <f t="shared" si="69"/>
        <v>0</v>
      </c>
    </row>
    <row r="727" spans="1:8" s="10" customFormat="1" outlineLevel="1" x14ac:dyDescent="0.2">
      <c r="D727" s="49" t="str">
        <f>SENS_DETAILED_COST_WKSHT!D76</f>
        <v>Supplies and Materials Category 8</v>
      </c>
      <c r="E727" s="115">
        <f>IF(DD_TOP_ACTV_3_Detailed_Currency_Used=2,SENS_DETAILED_COST_WKSHT!$F76*SENS_DETAILED_COST_WKSHT!G76,SENS_DETAILED_COST_WKSHT!$F76*(SENS_DETAILED_COST_WKSHT!G76*TOP_ACTV_3_Exchange_Rate))</f>
        <v>0</v>
      </c>
      <c r="F727" s="115">
        <f>IF(DD_TOP_ACTV_3_Detailed_Currency_Used=2,SENS_DETAILED_COST_WKSHT!$F76*SENS_DETAILED_COST_WKSHT!H76,SENS_DETAILED_COST_WKSHT!$F76*(SENS_DETAILED_COST_WKSHT!H76*TOP_ACTV_3_Exchange_Rate))</f>
        <v>0</v>
      </c>
      <c r="G727" s="116">
        <f t="shared" si="68"/>
        <v>0</v>
      </c>
      <c r="H727" s="116">
        <f t="shared" si="69"/>
        <v>0</v>
      </c>
    </row>
    <row r="728" spans="1:8" s="10" customFormat="1" outlineLevel="1" x14ac:dyDescent="0.2">
      <c r="D728" s="49" t="str">
        <f>SENS_DETAILED_COST_WKSHT!D77</f>
        <v>Supplies and Materials Category 9</v>
      </c>
      <c r="E728" s="115">
        <f>IF(DD_TOP_ACTV_3_Detailed_Currency_Used=2,SENS_DETAILED_COST_WKSHT!$F77*SENS_DETAILED_COST_WKSHT!G77,SENS_DETAILED_COST_WKSHT!$F77*(SENS_DETAILED_COST_WKSHT!G77*TOP_ACTV_3_Exchange_Rate))</f>
        <v>0</v>
      </c>
      <c r="F728" s="115">
        <f>IF(DD_TOP_ACTV_3_Detailed_Currency_Used=2,SENS_DETAILED_COST_WKSHT!$F77*SENS_DETAILED_COST_WKSHT!H77,SENS_DETAILED_COST_WKSHT!$F77*(SENS_DETAILED_COST_WKSHT!H77*TOP_ACTV_3_Exchange_Rate))</f>
        <v>0</v>
      </c>
      <c r="G728" s="116">
        <f t="shared" si="68"/>
        <v>0</v>
      </c>
      <c r="H728" s="116">
        <f t="shared" si="69"/>
        <v>0</v>
      </c>
    </row>
    <row r="729" spans="1:8" s="10" customFormat="1" outlineLevel="1" x14ac:dyDescent="0.2">
      <c r="D729" s="49" t="str">
        <f>SENS_DETAILED_COST_WKSHT!D78</f>
        <v>Supplies and Materials Category 10</v>
      </c>
      <c r="E729" s="115">
        <f>IF(DD_TOP_ACTV_3_Detailed_Currency_Used=2,SENS_DETAILED_COST_WKSHT!$F78*SENS_DETAILED_COST_WKSHT!G78,SENS_DETAILED_COST_WKSHT!$F78*(SENS_DETAILED_COST_WKSHT!G78*TOP_ACTV_3_Exchange_Rate))</f>
        <v>0</v>
      </c>
      <c r="F729" s="115">
        <f>IF(DD_TOP_ACTV_3_Detailed_Currency_Used=2,SENS_DETAILED_COST_WKSHT!$F78*SENS_DETAILED_COST_WKSHT!H78,SENS_DETAILED_COST_WKSHT!$F78*(SENS_DETAILED_COST_WKSHT!H78*TOP_ACTV_3_Exchange_Rate))</f>
        <v>0</v>
      </c>
      <c r="G729" s="116">
        <f t="shared" si="68"/>
        <v>0</v>
      </c>
      <c r="H729" s="116">
        <f t="shared" si="69"/>
        <v>0</v>
      </c>
    </row>
    <row r="730" spans="1:8" s="10" customFormat="1" outlineLevel="1" x14ac:dyDescent="0.2">
      <c r="D730" s="48" t="str">
        <f>Lang_Supplies_And_Materials</f>
        <v>Supplies and Materials</v>
      </c>
      <c r="E730" s="120">
        <f>SUM(E720:E729)</f>
        <v>0</v>
      </c>
      <c r="F730" s="120">
        <f>SUM(F720:F729)</f>
        <v>0</v>
      </c>
      <c r="G730" s="121">
        <f>SUM(G720:G729)</f>
        <v>0</v>
      </c>
      <c r="H730" s="121">
        <f>SUM(H720:H729)</f>
        <v>0</v>
      </c>
    </row>
    <row r="731" spans="1:8" s="10" customFormat="1" outlineLevel="1" x14ac:dyDescent="0.2"/>
    <row r="732" spans="1:8" s="10" customFormat="1" outlineLevel="1" x14ac:dyDescent="0.2"/>
    <row r="733" spans="1:8" s="10" customFormat="1" outlineLevel="1" x14ac:dyDescent="0.2">
      <c r="D733" s="76" t="str">
        <f>Lang_GoTo&amp;" "&amp;HL_TOP_ACTV_3_Supplies_and_Materials</f>
        <v>Go to  Sensitisation Activity # 1 (Not in Use) - Detailed Supply and Material Cost Assumptions</v>
      </c>
    </row>
    <row r="734" spans="1:8" s="10" customFormat="1" outlineLevel="1" x14ac:dyDescent="0.2">
      <c r="D734" s="76" t="str">
        <f>Lang_GoTo&amp;" "&amp;HL_TOP_ACTV_3_Cost_Summary_Output</f>
        <v>Go to  Sensitisation Activity # 1 (Not in Use) Detailed Cost Summary</v>
      </c>
    </row>
    <row r="735" spans="1:8" s="10" customFormat="1" x14ac:dyDescent="0.2"/>
    <row r="736" spans="1:8" s="13" customFormat="1" x14ac:dyDescent="0.2">
      <c r="A736" s="12" t="s">
        <v>127</v>
      </c>
      <c r="B736" s="13" t="str">
        <f>HL_TOP_ACTV_3_Name&amp;" "&amp;Lang_Other_Direct_Costs_Outputs</f>
        <v xml:space="preserve"> Sensitisation Activity # 1 (Not in Use) Other Direct Costs - Outputs</v>
      </c>
    </row>
    <row r="737" spans="3:8" s="10" customFormat="1" outlineLevel="1" x14ac:dyDescent="0.2"/>
    <row r="738" spans="3:8" s="10" customFormat="1" outlineLevel="1" x14ac:dyDescent="0.2">
      <c r="C738" s="114" t="str">
        <f>HL_TOP_ACTV_3_Name</f>
        <v xml:space="preserve"> Sensitisation Activity # 1 (Not in Use)</v>
      </c>
    </row>
    <row r="739" spans="3:8" s="10" customFormat="1" outlineLevel="1" x14ac:dyDescent="0.2">
      <c r="E739" s="86" t="str">
        <f>SENS_Lu!$D$32&amp;" "&amp;Lang_Cost&amp;" ("&amp;SENS_Lu!$D$13&amp;")"</f>
        <v>Financial Cost (LCU)</v>
      </c>
      <c r="F739" s="86" t="str">
        <f>SENS_Lu!$D$33&amp;" "&amp;Lang_Cost&amp;" ("&amp;SENS_Lu!$D$13&amp;")"</f>
        <v>Economic Cost (LCU)</v>
      </c>
      <c r="G739" s="86" t="str">
        <f>SENS_Lu!$D$32&amp;" "&amp;Lang_Cost&amp;" ("&amp;SENS_Lu!$D$12&amp;")"</f>
        <v>Financial Cost (USD)</v>
      </c>
      <c r="H739" s="86" t="str">
        <f>SENS_Lu!$D$33&amp;" "&amp;Lang_Cost&amp;" ("&amp;SENS_Lu!$D$12&amp;")"</f>
        <v>Economic Cost (USD)</v>
      </c>
    </row>
    <row r="740" spans="3:8" s="10" customFormat="1" outlineLevel="1" x14ac:dyDescent="0.2">
      <c r="D740" s="49" t="str">
        <f>SENS_DETAILED_COST_WKSHT!D87</f>
        <v>Other Direct Costs (ODC) Category 1</v>
      </c>
      <c r="E740" s="115">
        <f>IF(DD_TOP_ACTV_3_Detailed_Currency_Used=2,SENS_DETAILED_COST_WKSHT!$F87*SENS_DETAILED_COST_WKSHT!G87,SENS_DETAILED_COST_WKSHT!$F87*(SENS_DETAILED_COST_WKSHT!G87*TOP_ACTV_3_Exchange_Rate))</f>
        <v>0</v>
      </c>
      <c r="F740" s="115">
        <f>IF(DD_TOP_ACTV_3_Detailed_Currency_Used=2,SENS_DETAILED_COST_WKSHT!$F87*SENS_DETAILED_COST_WKSHT!H87,SENS_DETAILED_COST_WKSHT!$F87*(SENS_DETAILED_COST_WKSHT!H87*TOP_ACTV_3_Exchange_Rate))</f>
        <v>0</v>
      </c>
      <c r="G740" s="116">
        <f t="shared" ref="G740:G749" si="70">E740/TOP_ACTV_3_Exchange_Rate</f>
        <v>0</v>
      </c>
      <c r="H740" s="116">
        <f t="shared" ref="H740:H749" si="71">F740/TOP_ACTV_3_Exchange_Rate</f>
        <v>0</v>
      </c>
    </row>
    <row r="741" spans="3:8" s="10" customFormat="1" outlineLevel="1" x14ac:dyDescent="0.2">
      <c r="D741" s="49" t="str">
        <f>SENS_DETAILED_COST_WKSHT!D88</f>
        <v>Other Direct Costs (ODC) Category 2</v>
      </c>
      <c r="E741" s="115">
        <f>IF(DD_TOP_ACTV_3_Detailed_Currency_Used=2,SENS_DETAILED_COST_WKSHT!$F88*SENS_DETAILED_COST_WKSHT!G88,SENS_DETAILED_COST_WKSHT!$F88*(SENS_DETAILED_COST_WKSHT!G88*TOP_ACTV_3_Exchange_Rate))</f>
        <v>0</v>
      </c>
      <c r="F741" s="115">
        <f>IF(DD_TOP_ACTV_3_Detailed_Currency_Used=2,SENS_DETAILED_COST_WKSHT!$F88*SENS_DETAILED_COST_WKSHT!H88,SENS_DETAILED_COST_WKSHT!$F88*(SENS_DETAILED_COST_WKSHT!H88*TOP_ACTV_3_Exchange_Rate))</f>
        <v>0</v>
      </c>
      <c r="G741" s="116">
        <f t="shared" si="70"/>
        <v>0</v>
      </c>
      <c r="H741" s="116">
        <f t="shared" si="71"/>
        <v>0</v>
      </c>
    </row>
    <row r="742" spans="3:8" s="10" customFormat="1" outlineLevel="1" x14ac:dyDescent="0.2">
      <c r="D742" s="49" t="str">
        <f>SENS_DETAILED_COST_WKSHT!D89</f>
        <v>Other Direct Costs (ODC) Category 3</v>
      </c>
      <c r="E742" s="115">
        <f>IF(DD_TOP_ACTV_3_Detailed_Currency_Used=2,SENS_DETAILED_COST_WKSHT!$F89*SENS_DETAILED_COST_WKSHT!G89,SENS_DETAILED_COST_WKSHT!$F89*(SENS_DETAILED_COST_WKSHT!G89*TOP_ACTV_3_Exchange_Rate))</f>
        <v>0</v>
      </c>
      <c r="F742" s="115">
        <f>IF(DD_TOP_ACTV_3_Detailed_Currency_Used=2,SENS_DETAILED_COST_WKSHT!$F89*SENS_DETAILED_COST_WKSHT!H89,SENS_DETAILED_COST_WKSHT!$F89*(SENS_DETAILED_COST_WKSHT!H89*TOP_ACTV_3_Exchange_Rate))</f>
        <v>0</v>
      </c>
      <c r="G742" s="116">
        <f t="shared" si="70"/>
        <v>0</v>
      </c>
      <c r="H742" s="116">
        <f t="shared" si="71"/>
        <v>0</v>
      </c>
    </row>
    <row r="743" spans="3:8" s="10" customFormat="1" outlineLevel="1" x14ac:dyDescent="0.2">
      <c r="D743" s="49" t="str">
        <f>SENS_DETAILED_COST_WKSHT!D90</f>
        <v>Other Direct Costs (ODC) Category 4</v>
      </c>
      <c r="E743" s="115">
        <f>IF(DD_TOP_ACTV_3_Detailed_Currency_Used=2,SENS_DETAILED_COST_WKSHT!$F90*SENS_DETAILED_COST_WKSHT!G90,SENS_DETAILED_COST_WKSHT!$F90*(SENS_DETAILED_COST_WKSHT!G90*TOP_ACTV_3_Exchange_Rate))</f>
        <v>0</v>
      </c>
      <c r="F743" s="115">
        <f>IF(DD_TOP_ACTV_3_Detailed_Currency_Used=2,SENS_DETAILED_COST_WKSHT!$F90*SENS_DETAILED_COST_WKSHT!H90,SENS_DETAILED_COST_WKSHT!$F90*(SENS_DETAILED_COST_WKSHT!H90*TOP_ACTV_3_Exchange_Rate))</f>
        <v>0</v>
      </c>
      <c r="G743" s="116">
        <f t="shared" si="70"/>
        <v>0</v>
      </c>
      <c r="H743" s="116">
        <f t="shared" si="71"/>
        <v>0</v>
      </c>
    </row>
    <row r="744" spans="3:8" s="10" customFormat="1" outlineLevel="1" x14ac:dyDescent="0.2">
      <c r="D744" s="49" t="str">
        <f>SENS_DETAILED_COST_WKSHT!D91</f>
        <v>Other Direct Costs (ODC) Category 5</v>
      </c>
      <c r="E744" s="115">
        <f>IF(DD_TOP_ACTV_3_Detailed_Currency_Used=2,SENS_DETAILED_COST_WKSHT!$F91*SENS_DETAILED_COST_WKSHT!G91,SENS_DETAILED_COST_WKSHT!$F91*(SENS_DETAILED_COST_WKSHT!G91*TOP_ACTV_3_Exchange_Rate))</f>
        <v>0</v>
      </c>
      <c r="F744" s="115">
        <f>IF(DD_TOP_ACTV_3_Detailed_Currency_Used=2,SENS_DETAILED_COST_WKSHT!$F91*SENS_DETAILED_COST_WKSHT!H91,SENS_DETAILED_COST_WKSHT!$F91*(SENS_DETAILED_COST_WKSHT!H91*TOP_ACTV_3_Exchange_Rate))</f>
        <v>0</v>
      </c>
      <c r="G744" s="116">
        <f t="shared" si="70"/>
        <v>0</v>
      </c>
      <c r="H744" s="116">
        <f t="shared" si="71"/>
        <v>0</v>
      </c>
    </row>
    <row r="745" spans="3:8" s="10" customFormat="1" outlineLevel="1" x14ac:dyDescent="0.2">
      <c r="D745" s="49" t="str">
        <f>SENS_DETAILED_COST_WKSHT!D92</f>
        <v>Other Direct Costs (ODC) Category 6</v>
      </c>
      <c r="E745" s="115">
        <f>IF(DD_TOP_ACTV_3_Detailed_Currency_Used=2,SENS_DETAILED_COST_WKSHT!$F92*SENS_DETAILED_COST_WKSHT!G92,SENS_DETAILED_COST_WKSHT!$F92*(SENS_DETAILED_COST_WKSHT!G92*TOP_ACTV_3_Exchange_Rate))</f>
        <v>0</v>
      </c>
      <c r="F745" s="115">
        <f>IF(DD_TOP_ACTV_3_Detailed_Currency_Used=2,SENS_DETAILED_COST_WKSHT!$F92*SENS_DETAILED_COST_WKSHT!H92,SENS_DETAILED_COST_WKSHT!$F92*(SENS_DETAILED_COST_WKSHT!H92*TOP_ACTV_3_Exchange_Rate))</f>
        <v>0</v>
      </c>
      <c r="G745" s="116">
        <f t="shared" si="70"/>
        <v>0</v>
      </c>
      <c r="H745" s="116">
        <f t="shared" si="71"/>
        <v>0</v>
      </c>
    </row>
    <row r="746" spans="3:8" s="10" customFormat="1" outlineLevel="1" x14ac:dyDescent="0.2">
      <c r="D746" s="49" t="str">
        <f>SENS_DETAILED_COST_WKSHT!D93</f>
        <v>Other Direct Costs (ODC) Category 7</v>
      </c>
      <c r="E746" s="115">
        <f>IF(DD_TOP_ACTV_3_Detailed_Currency_Used=2,SENS_DETAILED_COST_WKSHT!$F93*SENS_DETAILED_COST_WKSHT!G93,SENS_DETAILED_COST_WKSHT!$F93*(SENS_DETAILED_COST_WKSHT!G93*TOP_ACTV_3_Exchange_Rate))</f>
        <v>0</v>
      </c>
      <c r="F746" s="115">
        <f>IF(DD_TOP_ACTV_3_Detailed_Currency_Used=2,SENS_DETAILED_COST_WKSHT!$F93*SENS_DETAILED_COST_WKSHT!H93,SENS_DETAILED_COST_WKSHT!$F93*(SENS_DETAILED_COST_WKSHT!H93*TOP_ACTV_3_Exchange_Rate))</f>
        <v>0</v>
      </c>
      <c r="G746" s="116">
        <f t="shared" si="70"/>
        <v>0</v>
      </c>
      <c r="H746" s="116">
        <f t="shared" si="71"/>
        <v>0</v>
      </c>
    </row>
    <row r="747" spans="3:8" s="10" customFormat="1" outlineLevel="1" x14ac:dyDescent="0.2">
      <c r="D747" s="49" t="str">
        <f>SENS_DETAILED_COST_WKSHT!D94</f>
        <v>Other Direct Costs (ODC) Category 8</v>
      </c>
      <c r="E747" s="115">
        <f>IF(DD_TOP_ACTV_3_Detailed_Currency_Used=2,SENS_DETAILED_COST_WKSHT!$F94*SENS_DETAILED_COST_WKSHT!G94,SENS_DETAILED_COST_WKSHT!$F94*(SENS_DETAILED_COST_WKSHT!G94*TOP_ACTV_3_Exchange_Rate))</f>
        <v>0</v>
      </c>
      <c r="F747" s="115">
        <f>IF(DD_TOP_ACTV_3_Detailed_Currency_Used=2,SENS_DETAILED_COST_WKSHT!$F94*SENS_DETAILED_COST_WKSHT!H94,SENS_DETAILED_COST_WKSHT!$F94*(SENS_DETAILED_COST_WKSHT!H94*TOP_ACTV_3_Exchange_Rate))</f>
        <v>0</v>
      </c>
      <c r="G747" s="116">
        <f t="shared" si="70"/>
        <v>0</v>
      </c>
      <c r="H747" s="116">
        <f t="shared" si="71"/>
        <v>0</v>
      </c>
    </row>
    <row r="748" spans="3:8" s="10" customFormat="1" outlineLevel="1" x14ac:dyDescent="0.2">
      <c r="D748" s="49" t="str">
        <f>SENS_DETAILED_COST_WKSHT!D95</f>
        <v>Other Direct Costs (ODC) Category 9</v>
      </c>
      <c r="E748" s="115">
        <f>IF(DD_TOP_ACTV_3_Detailed_Currency_Used=2,SENS_DETAILED_COST_WKSHT!$F95*SENS_DETAILED_COST_WKSHT!G95,SENS_DETAILED_COST_WKSHT!$F95*(SENS_DETAILED_COST_WKSHT!G95*TOP_ACTV_3_Exchange_Rate))</f>
        <v>0</v>
      </c>
      <c r="F748" s="115">
        <f>IF(DD_TOP_ACTV_3_Detailed_Currency_Used=2,SENS_DETAILED_COST_WKSHT!$F95*SENS_DETAILED_COST_WKSHT!H95,SENS_DETAILED_COST_WKSHT!$F95*(SENS_DETAILED_COST_WKSHT!H95*TOP_ACTV_3_Exchange_Rate))</f>
        <v>0</v>
      </c>
      <c r="G748" s="116">
        <f t="shared" si="70"/>
        <v>0</v>
      </c>
      <c r="H748" s="116">
        <f t="shared" si="71"/>
        <v>0</v>
      </c>
    </row>
    <row r="749" spans="3:8" s="10" customFormat="1" outlineLevel="1" x14ac:dyDescent="0.2">
      <c r="D749" s="49" t="str">
        <f>SENS_DETAILED_COST_WKSHT!D96</f>
        <v>Other Direct Costs (ODC) Category 10</v>
      </c>
      <c r="E749" s="115">
        <f>IF(DD_TOP_ACTV_3_Detailed_Currency_Used=2,SENS_DETAILED_COST_WKSHT!$F96*SENS_DETAILED_COST_WKSHT!G96,SENS_DETAILED_COST_WKSHT!$F96*(SENS_DETAILED_COST_WKSHT!G96*TOP_ACTV_3_Exchange_Rate))</f>
        <v>0</v>
      </c>
      <c r="F749" s="115">
        <f>IF(DD_TOP_ACTV_3_Detailed_Currency_Used=2,SENS_DETAILED_COST_WKSHT!$F96*SENS_DETAILED_COST_WKSHT!H96,SENS_DETAILED_COST_WKSHT!$F96*(SENS_DETAILED_COST_WKSHT!H96*TOP_ACTV_3_Exchange_Rate))</f>
        <v>0</v>
      </c>
      <c r="G749" s="116">
        <f t="shared" si="70"/>
        <v>0</v>
      </c>
      <c r="H749" s="116">
        <f t="shared" si="71"/>
        <v>0</v>
      </c>
    </row>
    <row r="750" spans="3:8" s="10" customFormat="1" outlineLevel="1" x14ac:dyDescent="0.2">
      <c r="D750" s="48" t="str">
        <f>Lang_Other_Direct_Costs</f>
        <v>Other Direct Costs</v>
      </c>
      <c r="E750" s="120">
        <f>SUM(E740:E749)</f>
        <v>0</v>
      </c>
      <c r="F750" s="120">
        <f>SUM(F740:F749)</f>
        <v>0</v>
      </c>
      <c r="G750" s="121">
        <f>SUM(G740:G749)</f>
        <v>0</v>
      </c>
      <c r="H750" s="121">
        <f>SUM(H740:H749)</f>
        <v>0</v>
      </c>
    </row>
    <row r="751" spans="3:8" s="10" customFormat="1" outlineLevel="1" x14ac:dyDescent="0.2"/>
    <row r="752" spans="3:8" s="10" customFormat="1" outlineLevel="1" x14ac:dyDescent="0.2">
      <c r="D752" s="76" t="str">
        <f>Lang_GoTo&amp;" "&amp;HL_TOP_ACTV_3_Other_Direct_Costs</f>
        <v>Go to  Sensitisation Activity # 1 (Not in Use) - Detailed Other Direct Cost Assumptions</v>
      </c>
    </row>
    <row r="753" spans="1:8" s="10" customFormat="1" outlineLevel="1" x14ac:dyDescent="0.2">
      <c r="D753" s="76" t="str">
        <f>Lang_GoTo&amp;" "&amp;HL_TOP_ACTV_3_Cost_Summary_Output</f>
        <v>Go to  Sensitisation Activity # 1 (Not in Use) Detailed Cost Summary</v>
      </c>
    </row>
    <row r="754" spans="1:8" s="10" customFormat="1" x14ac:dyDescent="0.2"/>
    <row r="755" spans="1:8" s="13" customFormat="1" x14ac:dyDescent="0.2">
      <c r="A755" s="12" t="s">
        <v>127</v>
      </c>
      <c r="B755" s="13" t="str">
        <f>HL_TOP_ACTV_10_Name&amp;" "&amp;Lang_Personnel_Outputs</f>
        <v xml:space="preserve"> Sensitisation Activity # 2 (Not in Use) Personnel - Outputs</v>
      </c>
    </row>
    <row r="756" spans="1:8" s="10" customFormat="1" outlineLevel="1" x14ac:dyDescent="0.2"/>
    <row r="757" spans="1:8" s="10" customFormat="1" outlineLevel="1" x14ac:dyDescent="0.2">
      <c r="C757" s="114" t="str">
        <f>HL_TOP_ACTV_10_Name</f>
        <v xml:space="preserve"> Sensitisation Activity # 2 (Not in Use)</v>
      </c>
    </row>
    <row r="758" spans="1:8" s="10" customFormat="1" outlineLevel="1" x14ac:dyDescent="0.2">
      <c r="E758" s="86" t="str">
        <f>SENS_Lu!$D$67&amp;" "&amp;Lang_Cost&amp;" ("&amp;SENS_Lu!$D$48&amp;")"</f>
        <v>Financial Cost (LCU)</v>
      </c>
      <c r="F758" s="86" t="str">
        <f>SENS_Lu!$D$68&amp;" "&amp;Lang_Cost&amp;" ("&amp;SENS_Lu!$D$48&amp;")"</f>
        <v>Economic Cost (LCU)</v>
      </c>
      <c r="G758" s="86" t="str">
        <f>SENS_Lu!$D$67&amp;" "&amp;Lang_Cost&amp;" ("&amp;SENS_Lu!$D$47&amp;")"</f>
        <v>Financial Cost (USD)</v>
      </c>
      <c r="H758" s="86" t="str">
        <f>SENS_Lu!$D$68&amp;" "&amp;Lang_Cost&amp;" ("&amp;SENS_Lu!$D$47&amp;")"</f>
        <v>Economic Cost (USD)</v>
      </c>
    </row>
    <row r="759" spans="1:8" s="10" customFormat="1" outlineLevel="1" x14ac:dyDescent="0.2">
      <c r="D759" s="49" t="str">
        <f>SENS_DETAILED_COST_WKSHT!D125</f>
        <v>Personnel Category 1</v>
      </c>
      <c r="E759" s="115">
        <f>IF(DD_TOP_ACTV_10_Detailed_Currency_Used=2,SENS_DETAILED_COST_WKSHT!$F125*SENS_DETAILED_COST_WKSHT!G125,SENS_DETAILED_COST_WKSHT!$F125*(SENS_DETAILED_COST_WKSHT!G125*TOP_ACTV_10_Exchange_Rate))</f>
        <v>0</v>
      </c>
      <c r="F759" s="115">
        <f>IF(DD_TOP_ACTV_10_Detailed_Currency_Used=2,SENS_DETAILED_COST_WKSHT!$F125*SENS_DETAILED_COST_WKSHT!H125,SENS_DETAILED_COST_WKSHT!$F125*(SENS_DETAILED_COST_WKSHT!H125*TOP_ACTV_10_Exchange_Rate))</f>
        <v>0</v>
      </c>
      <c r="G759" s="116">
        <f t="shared" ref="G759:G773" si="72">IFERROR(E759/TOP_ACTV_10_Exchange_Rate,0)</f>
        <v>0</v>
      </c>
      <c r="H759" s="116">
        <f t="shared" ref="H759:H773" si="73">IFERROR(F759/TOP_ACTV_10_Exchange_Rate,0)</f>
        <v>0</v>
      </c>
    </row>
    <row r="760" spans="1:8" s="10" customFormat="1" outlineLevel="1" x14ac:dyDescent="0.2">
      <c r="D760" s="49" t="str">
        <f>SENS_DETAILED_COST_WKSHT!D126</f>
        <v>Personnel Category 2</v>
      </c>
      <c r="E760" s="115">
        <f>IF(DD_TOP_ACTV_10_Detailed_Currency_Used=2,SENS_DETAILED_COST_WKSHT!$F126*SENS_DETAILED_COST_WKSHT!G126,SENS_DETAILED_COST_WKSHT!$F126*(SENS_DETAILED_COST_WKSHT!G126*TOP_ACTV_10_Exchange_Rate))</f>
        <v>0</v>
      </c>
      <c r="F760" s="115">
        <f>IF(DD_TOP_ACTV_10_Detailed_Currency_Used=2,SENS_DETAILED_COST_WKSHT!$F126*SENS_DETAILED_COST_WKSHT!H126,SENS_DETAILED_COST_WKSHT!$F126*(SENS_DETAILED_COST_WKSHT!H126*TOP_ACTV_10_Exchange_Rate))</f>
        <v>0</v>
      </c>
      <c r="G760" s="116">
        <f t="shared" si="72"/>
        <v>0</v>
      </c>
      <c r="H760" s="116">
        <f t="shared" si="73"/>
        <v>0</v>
      </c>
    </row>
    <row r="761" spans="1:8" s="10" customFormat="1" outlineLevel="1" x14ac:dyDescent="0.2">
      <c r="D761" s="49" t="str">
        <f>SENS_DETAILED_COST_WKSHT!D127</f>
        <v>Personnel Category 3</v>
      </c>
      <c r="E761" s="115">
        <f>IF(DD_TOP_ACTV_10_Detailed_Currency_Used=2,SENS_DETAILED_COST_WKSHT!$F127*SENS_DETAILED_COST_WKSHT!G127,SENS_DETAILED_COST_WKSHT!$F127*(SENS_DETAILED_COST_WKSHT!G127*TOP_ACTV_10_Exchange_Rate))</f>
        <v>0</v>
      </c>
      <c r="F761" s="115">
        <f>IF(DD_TOP_ACTV_10_Detailed_Currency_Used=2,SENS_DETAILED_COST_WKSHT!$F127*SENS_DETAILED_COST_WKSHT!H127,SENS_DETAILED_COST_WKSHT!$F127*(SENS_DETAILED_COST_WKSHT!H127*TOP_ACTV_10_Exchange_Rate))</f>
        <v>0</v>
      </c>
      <c r="G761" s="116">
        <f t="shared" si="72"/>
        <v>0</v>
      </c>
      <c r="H761" s="116">
        <f t="shared" si="73"/>
        <v>0</v>
      </c>
    </row>
    <row r="762" spans="1:8" s="10" customFormat="1" outlineLevel="1" x14ac:dyDescent="0.2">
      <c r="D762" s="49" t="str">
        <f>SENS_DETAILED_COST_WKSHT!D128</f>
        <v>Personnel Category 4</v>
      </c>
      <c r="E762" s="115">
        <f>IF(DD_TOP_ACTV_10_Detailed_Currency_Used=2,SENS_DETAILED_COST_WKSHT!$F128*SENS_DETAILED_COST_WKSHT!G128,SENS_DETAILED_COST_WKSHT!$F128*(SENS_DETAILED_COST_WKSHT!G128*TOP_ACTV_10_Exchange_Rate))</f>
        <v>0</v>
      </c>
      <c r="F762" s="115">
        <f>IF(DD_TOP_ACTV_10_Detailed_Currency_Used=2,SENS_DETAILED_COST_WKSHT!$F128*SENS_DETAILED_COST_WKSHT!H128,SENS_DETAILED_COST_WKSHT!$F128*(SENS_DETAILED_COST_WKSHT!H128*TOP_ACTV_10_Exchange_Rate))</f>
        <v>0</v>
      </c>
      <c r="G762" s="116">
        <f t="shared" si="72"/>
        <v>0</v>
      </c>
      <c r="H762" s="116">
        <f t="shared" si="73"/>
        <v>0</v>
      </c>
    </row>
    <row r="763" spans="1:8" s="10" customFormat="1" outlineLevel="1" x14ac:dyDescent="0.2">
      <c r="D763" s="49" t="str">
        <f>SENS_DETAILED_COST_WKSHT!D129</f>
        <v>Personnel Category 5</v>
      </c>
      <c r="E763" s="115">
        <f>IF(DD_TOP_ACTV_10_Detailed_Currency_Used=2,SENS_DETAILED_COST_WKSHT!$F129*SENS_DETAILED_COST_WKSHT!G129,SENS_DETAILED_COST_WKSHT!$F129*(SENS_DETAILED_COST_WKSHT!G129*TOP_ACTV_10_Exchange_Rate))</f>
        <v>0</v>
      </c>
      <c r="F763" s="115">
        <f>IF(DD_TOP_ACTV_10_Detailed_Currency_Used=2,SENS_DETAILED_COST_WKSHT!$F129*SENS_DETAILED_COST_WKSHT!H129,SENS_DETAILED_COST_WKSHT!$F129*(SENS_DETAILED_COST_WKSHT!H129*TOP_ACTV_10_Exchange_Rate))</f>
        <v>0</v>
      </c>
      <c r="G763" s="116">
        <f t="shared" si="72"/>
        <v>0</v>
      </c>
      <c r="H763" s="116">
        <f t="shared" si="73"/>
        <v>0</v>
      </c>
    </row>
    <row r="764" spans="1:8" s="10" customFormat="1" outlineLevel="1" x14ac:dyDescent="0.2">
      <c r="D764" s="49" t="str">
        <f>SENS_DETAILED_COST_WKSHT!D130</f>
        <v>Personnel Category 6</v>
      </c>
      <c r="E764" s="115">
        <f>IF(DD_TOP_ACTV_10_Detailed_Currency_Used=2,SENS_DETAILED_COST_WKSHT!$F130*SENS_DETAILED_COST_WKSHT!G130,SENS_DETAILED_COST_WKSHT!$F130*(SENS_DETAILED_COST_WKSHT!G130*TOP_ACTV_10_Exchange_Rate))</f>
        <v>0</v>
      </c>
      <c r="F764" s="115">
        <f>IF(DD_TOP_ACTV_10_Detailed_Currency_Used=2,SENS_DETAILED_COST_WKSHT!$F130*SENS_DETAILED_COST_WKSHT!H130,SENS_DETAILED_COST_WKSHT!$F130*(SENS_DETAILED_COST_WKSHT!H130*TOP_ACTV_10_Exchange_Rate))</f>
        <v>0</v>
      </c>
      <c r="G764" s="116">
        <f t="shared" si="72"/>
        <v>0</v>
      </c>
      <c r="H764" s="116">
        <f t="shared" si="73"/>
        <v>0</v>
      </c>
    </row>
    <row r="765" spans="1:8" s="10" customFormat="1" outlineLevel="1" x14ac:dyDescent="0.2">
      <c r="D765" s="49" t="str">
        <f>SENS_DETAILED_COST_WKSHT!D131</f>
        <v>Personnel Category 7</v>
      </c>
      <c r="E765" s="115">
        <f>IF(DD_TOP_ACTV_10_Detailed_Currency_Used=2,SENS_DETAILED_COST_WKSHT!$F131*SENS_DETAILED_COST_WKSHT!G131,SENS_DETAILED_COST_WKSHT!$F131*(SENS_DETAILED_COST_WKSHT!G131*TOP_ACTV_10_Exchange_Rate))</f>
        <v>0</v>
      </c>
      <c r="F765" s="115">
        <f>IF(DD_TOP_ACTV_10_Detailed_Currency_Used=2,SENS_DETAILED_COST_WKSHT!$F131*SENS_DETAILED_COST_WKSHT!H131,SENS_DETAILED_COST_WKSHT!$F131*(SENS_DETAILED_COST_WKSHT!H131*TOP_ACTV_10_Exchange_Rate))</f>
        <v>0</v>
      </c>
      <c r="G765" s="116">
        <f t="shared" si="72"/>
        <v>0</v>
      </c>
      <c r="H765" s="116">
        <f t="shared" si="73"/>
        <v>0</v>
      </c>
    </row>
    <row r="766" spans="1:8" s="10" customFormat="1" outlineLevel="1" x14ac:dyDescent="0.2">
      <c r="D766" s="49" t="str">
        <f>SENS_DETAILED_COST_WKSHT!D132</f>
        <v>Personnel Category 8</v>
      </c>
      <c r="E766" s="115">
        <f>IF(DD_TOP_ACTV_10_Detailed_Currency_Used=2,SENS_DETAILED_COST_WKSHT!$F132*SENS_DETAILED_COST_WKSHT!G132,SENS_DETAILED_COST_WKSHT!$F132*(SENS_DETAILED_COST_WKSHT!G132*TOP_ACTV_10_Exchange_Rate))</f>
        <v>0</v>
      </c>
      <c r="F766" s="115">
        <f>IF(DD_TOP_ACTV_10_Detailed_Currency_Used=2,SENS_DETAILED_COST_WKSHT!$F132*SENS_DETAILED_COST_WKSHT!H132,SENS_DETAILED_COST_WKSHT!$F132*(SENS_DETAILED_COST_WKSHT!H132*TOP_ACTV_10_Exchange_Rate))</f>
        <v>0</v>
      </c>
      <c r="G766" s="116">
        <f t="shared" si="72"/>
        <v>0</v>
      </c>
      <c r="H766" s="116">
        <f t="shared" si="73"/>
        <v>0</v>
      </c>
    </row>
    <row r="767" spans="1:8" s="10" customFormat="1" outlineLevel="1" x14ac:dyDescent="0.2">
      <c r="D767" s="49" t="str">
        <f>SENS_DETAILED_COST_WKSHT!D133</f>
        <v>Personnel Category 9</v>
      </c>
      <c r="E767" s="115">
        <f>IF(DD_TOP_ACTV_10_Detailed_Currency_Used=2,SENS_DETAILED_COST_WKSHT!$F133*SENS_DETAILED_COST_WKSHT!G133,SENS_DETAILED_COST_WKSHT!$F133*(SENS_DETAILED_COST_WKSHT!G133*TOP_ACTV_10_Exchange_Rate))</f>
        <v>0</v>
      </c>
      <c r="F767" s="115">
        <f>IF(DD_TOP_ACTV_10_Detailed_Currency_Used=2,SENS_DETAILED_COST_WKSHT!$F133*SENS_DETAILED_COST_WKSHT!H133,SENS_DETAILED_COST_WKSHT!$F133*(SENS_DETAILED_COST_WKSHT!H133*TOP_ACTV_10_Exchange_Rate))</f>
        <v>0</v>
      </c>
      <c r="G767" s="116">
        <f t="shared" si="72"/>
        <v>0</v>
      </c>
      <c r="H767" s="116">
        <f t="shared" si="73"/>
        <v>0</v>
      </c>
    </row>
    <row r="768" spans="1:8" s="10" customFormat="1" outlineLevel="1" x14ac:dyDescent="0.2">
      <c r="D768" s="49" t="str">
        <f>SENS_DETAILED_COST_WKSHT!D134</f>
        <v>Personnel Category 10</v>
      </c>
      <c r="E768" s="115">
        <f>IF(DD_TOP_ACTV_10_Detailed_Currency_Used=2,SENS_DETAILED_COST_WKSHT!$F134*SENS_DETAILED_COST_WKSHT!G134,SENS_DETAILED_COST_WKSHT!$F134*(SENS_DETAILED_COST_WKSHT!G134*TOP_ACTV_10_Exchange_Rate))</f>
        <v>0</v>
      </c>
      <c r="F768" s="115">
        <f>IF(DD_TOP_ACTV_10_Detailed_Currency_Used=2,SENS_DETAILED_COST_WKSHT!$F134*SENS_DETAILED_COST_WKSHT!H134,SENS_DETAILED_COST_WKSHT!$F134*(SENS_DETAILED_COST_WKSHT!H134*TOP_ACTV_10_Exchange_Rate))</f>
        <v>0</v>
      </c>
      <c r="G768" s="116">
        <f t="shared" si="72"/>
        <v>0</v>
      </c>
      <c r="H768" s="116">
        <f t="shared" si="73"/>
        <v>0</v>
      </c>
    </row>
    <row r="769" spans="1:8" s="10" customFormat="1" outlineLevel="1" x14ac:dyDescent="0.2">
      <c r="D769" s="49" t="str">
        <f>SENS_DETAILED_COST_WKSHT!D135</f>
        <v>Personnel Category 11</v>
      </c>
      <c r="E769" s="115">
        <f>IF(DD_TOP_ACTV_10_Detailed_Currency_Used=2,SENS_DETAILED_COST_WKSHT!$F135*SENS_DETAILED_COST_WKSHT!G135,SENS_DETAILED_COST_WKSHT!$F135*(SENS_DETAILED_COST_WKSHT!G135*TOP_ACTV_10_Exchange_Rate))</f>
        <v>0</v>
      </c>
      <c r="F769" s="115">
        <f>IF(DD_TOP_ACTV_10_Detailed_Currency_Used=2,SENS_DETAILED_COST_WKSHT!$F135*SENS_DETAILED_COST_WKSHT!H135,SENS_DETAILED_COST_WKSHT!$F135*(SENS_DETAILED_COST_WKSHT!H135*TOP_ACTV_10_Exchange_Rate))</f>
        <v>0</v>
      </c>
      <c r="G769" s="116">
        <f t="shared" si="72"/>
        <v>0</v>
      </c>
      <c r="H769" s="116">
        <f t="shared" si="73"/>
        <v>0</v>
      </c>
    </row>
    <row r="770" spans="1:8" s="10" customFormat="1" outlineLevel="1" x14ac:dyDescent="0.2">
      <c r="D770" s="49" t="str">
        <f>SENS_DETAILED_COST_WKSHT!D136</f>
        <v>Personnel Category 12</v>
      </c>
      <c r="E770" s="115">
        <f>IF(DD_TOP_ACTV_10_Detailed_Currency_Used=2,SENS_DETAILED_COST_WKSHT!$F136*SENS_DETAILED_COST_WKSHT!G136,SENS_DETAILED_COST_WKSHT!$F136*(SENS_DETAILED_COST_WKSHT!G136*TOP_ACTV_10_Exchange_Rate))</f>
        <v>0</v>
      </c>
      <c r="F770" s="115">
        <f>IF(DD_TOP_ACTV_10_Detailed_Currency_Used=2,SENS_DETAILED_COST_WKSHT!$F136*SENS_DETAILED_COST_WKSHT!H136,SENS_DETAILED_COST_WKSHT!$F136*(SENS_DETAILED_COST_WKSHT!H136*TOP_ACTV_10_Exchange_Rate))</f>
        <v>0</v>
      </c>
      <c r="G770" s="116">
        <f t="shared" si="72"/>
        <v>0</v>
      </c>
      <c r="H770" s="116">
        <f t="shared" si="73"/>
        <v>0</v>
      </c>
    </row>
    <row r="771" spans="1:8" s="10" customFormat="1" outlineLevel="1" x14ac:dyDescent="0.2">
      <c r="D771" s="49" t="str">
        <f>SENS_DETAILED_COST_WKSHT!D137</f>
        <v>Personnel Category 13</v>
      </c>
      <c r="E771" s="115">
        <f>IF(DD_TOP_ACTV_10_Detailed_Currency_Used=2,SENS_DETAILED_COST_WKSHT!$F137*SENS_DETAILED_COST_WKSHT!G137,SENS_DETAILED_COST_WKSHT!$F137*(SENS_DETAILED_COST_WKSHT!G137*TOP_ACTV_10_Exchange_Rate))</f>
        <v>0</v>
      </c>
      <c r="F771" s="115">
        <f>IF(DD_TOP_ACTV_10_Detailed_Currency_Used=2,SENS_DETAILED_COST_WKSHT!$F137*SENS_DETAILED_COST_WKSHT!H137,SENS_DETAILED_COST_WKSHT!$F137*(SENS_DETAILED_COST_WKSHT!H137*TOP_ACTV_10_Exchange_Rate))</f>
        <v>0</v>
      </c>
      <c r="G771" s="116">
        <f t="shared" si="72"/>
        <v>0</v>
      </c>
      <c r="H771" s="116">
        <f t="shared" si="73"/>
        <v>0</v>
      </c>
    </row>
    <row r="772" spans="1:8" s="10" customFormat="1" outlineLevel="1" x14ac:dyDescent="0.2">
      <c r="D772" s="49" t="str">
        <f>SENS_DETAILED_COST_WKSHT!D138</f>
        <v>Personnel Category 14</v>
      </c>
      <c r="E772" s="115">
        <f>IF(DD_TOP_ACTV_10_Detailed_Currency_Used=2,SENS_DETAILED_COST_WKSHT!$F138*SENS_DETAILED_COST_WKSHT!G138,SENS_DETAILED_COST_WKSHT!$F138*(SENS_DETAILED_COST_WKSHT!G138*TOP_ACTV_10_Exchange_Rate))</f>
        <v>0</v>
      </c>
      <c r="F772" s="115">
        <f>IF(DD_TOP_ACTV_10_Detailed_Currency_Used=2,SENS_DETAILED_COST_WKSHT!$F138*SENS_DETAILED_COST_WKSHT!H138,SENS_DETAILED_COST_WKSHT!$F138*(SENS_DETAILED_COST_WKSHT!H138*TOP_ACTV_10_Exchange_Rate))</f>
        <v>0</v>
      </c>
      <c r="G772" s="116">
        <f t="shared" si="72"/>
        <v>0</v>
      </c>
      <c r="H772" s="116">
        <f t="shared" si="73"/>
        <v>0</v>
      </c>
    </row>
    <row r="773" spans="1:8" s="10" customFormat="1" outlineLevel="1" x14ac:dyDescent="0.2">
      <c r="D773" s="49" t="str">
        <f>SENS_DETAILED_COST_WKSHT!D139</f>
        <v>Personnel Category 15</v>
      </c>
      <c r="E773" s="115">
        <f>IF(DD_TOP_ACTV_10_Detailed_Currency_Used=2,SENS_DETAILED_COST_WKSHT!$F139*SENS_DETAILED_COST_WKSHT!G139,SENS_DETAILED_COST_WKSHT!$F139*(SENS_DETAILED_COST_WKSHT!G139*TOP_ACTV_10_Exchange_Rate))</f>
        <v>0</v>
      </c>
      <c r="F773" s="115">
        <f>IF(DD_TOP_ACTV_10_Detailed_Currency_Used=2,SENS_DETAILED_COST_WKSHT!$F139*SENS_DETAILED_COST_WKSHT!H139,SENS_DETAILED_COST_WKSHT!$F139*(SENS_DETAILED_COST_WKSHT!H139*TOP_ACTV_10_Exchange_Rate))</f>
        <v>0</v>
      </c>
      <c r="G773" s="116">
        <f t="shared" si="72"/>
        <v>0</v>
      </c>
      <c r="H773" s="116">
        <f t="shared" si="73"/>
        <v>0</v>
      </c>
    </row>
    <row r="774" spans="1:8" s="10" customFormat="1" outlineLevel="1" x14ac:dyDescent="0.2">
      <c r="D774" s="48" t="str">
        <f>Lang_Personnel</f>
        <v>Personnel</v>
      </c>
      <c r="E774" s="120">
        <f>SUM(E759:E773)</f>
        <v>0</v>
      </c>
      <c r="F774" s="120">
        <f>SUM(F759:F773)</f>
        <v>0</v>
      </c>
      <c r="G774" s="121">
        <f>SUM(G759:G773)</f>
        <v>0</v>
      </c>
      <c r="H774" s="121">
        <f>SUM(H759:H773)</f>
        <v>0</v>
      </c>
    </row>
    <row r="775" spans="1:8" s="10" customFormat="1" outlineLevel="1" x14ac:dyDescent="0.2"/>
    <row r="776" spans="1:8" s="10" customFormat="1" outlineLevel="1" x14ac:dyDescent="0.2"/>
    <row r="777" spans="1:8" s="10" customFormat="1" outlineLevel="1" x14ac:dyDescent="0.2">
      <c r="D777" s="76" t="str">
        <f>Lang_GoTo&amp;" "&amp;HL_TOP_ACTV_10_Personnel_Assumptions</f>
        <v>Go to  Sensitisation Activity # 2 (Not in Use) - Detailed Personnel Cost Assumptions</v>
      </c>
    </row>
    <row r="778" spans="1:8" s="10" customFormat="1" outlineLevel="1" x14ac:dyDescent="0.2">
      <c r="D778" s="76" t="str">
        <f>Lang_GoTo&amp;" "&amp;HL_TOP_ACTV_10_Cost_Summary_Output</f>
        <v>Go to  Sensitisation Activity # 2 (Not in Use) Detailed Cost Summary</v>
      </c>
    </row>
    <row r="779" spans="1:8" s="10" customFormat="1" x14ac:dyDescent="0.2"/>
    <row r="780" spans="1:8" s="13" customFormat="1" x14ac:dyDescent="0.2">
      <c r="A780" s="12" t="s">
        <v>127</v>
      </c>
      <c r="B780" s="13" t="str">
        <f>HL_TOP_ACTV_10_Name&amp;" "&amp;Lang_Allowances_Outputs</f>
        <v xml:space="preserve"> Sensitisation Activity # 2 (Not in Use) Allowances - Outputs</v>
      </c>
    </row>
    <row r="781" spans="1:8" s="10" customFormat="1" outlineLevel="1" x14ac:dyDescent="0.2"/>
    <row r="782" spans="1:8" s="10" customFormat="1" outlineLevel="1" x14ac:dyDescent="0.2">
      <c r="C782" s="114" t="str">
        <f>HL_TOP_ACTV_10_Name</f>
        <v xml:space="preserve"> Sensitisation Activity # 2 (Not in Use)</v>
      </c>
    </row>
    <row r="783" spans="1:8" s="10" customFormat="1" outlineLevel="1" x14ac:dyDescent="0.2">
      <c r="E783" s="86" t="str">
        <f>SENS_Lu!$D$67&amp;" "&amp;Lang_Cost&amp;" ("&amp;SENS_Lu!$D$48&amp;")"</f>
        <v>Financial Cost (LCU)</v>
      </c>
      <c r="F783" s="86" t="str">
        <f>SENS_Lu!$D$68&amp;" "&amp;Lang_Cost&amp;" ("&amp;SENS_Lu!$D$48&amp;")"</f>
        <v>Economic Cost (LCU)</v>
      </c>
      <c r="G783" s="86" t="str">
        <f>SENS_Lu!$D$67&amp;" "&amp;Lang_Cost&amp;" ("&amp;SENS_Lu!$D$47&amp;")"</f>
        <v>Financial Cost (USD)</v>
      </c>
      <c r="H783" s="86" t="str">
        <f>SENS_Lu!$D$68&amp;" "&amp;Lang_Cost&amp;" ("&amp;SENS_Lu!$D$47&amp;")"</f>
        <v>Economic Cost (USD)</v>
      </c>
    </row>
    <row r="784" spans="1:8" s="10" customFormat="1" outlineLevel="1" x14ac:dyDescent="0.2">
      <c r="D784" s="49" t="str">
        <f>SENS_DETAILED_COST_WKSHT!D148</f>
        <v>Allowances Category 1</v>
      </c>
      <c r="E784" s="115">
        <f>IF(DD_TOP_ACTV_10_Detailed_Currency_Used=2,SENS_DETAILED_COST_WKSHT!$F148*SENS_DETAILED_COST_WKSHT!G148,SENS_DETAILED_COST_WKSHT!$F148*(SENS_DETAILED_COST_WKSHT!G148*TOP_ACTV_10_Exchange_Rate))</f>
        <v>0</v>
      </c>
      <c r="F784" s="115">
        <f>IF(DD_TOP_ACTV_10_Detailed_Currency_Used=2,SENS_DETAILED_COST_WKSHT!$F148*SENS_DETAILED_COST_WKSHT!H148,SENS_DETAILED_COST_WKSHT!$F148*(SENS_DETAILED_COST_WKSHT!H148*TOP_ACTV_10_Exchange_Rate))</f>
        <v>0</v>
      </c>
      <c r="G784" s="116">
        <f t="shared" ref="G784:G793" si="74">E784/TOP_ACTV_10_Exchange_Rate</f>
        <v>0</v>
      </c>
      <c r="H784" s="116">
        <f t="shared" ref="H784:H793" si="75">F784/TOP_ACTV_10_Exchange_Rate</f>
        <v>0</v>
      </c>
    </row>
    <row r="785" spans="1:8" s="10" customFormat="1" outlineLevel="1" x14ac:dyDescent="0.2">
      <c r="D785" s="49" t="str">
        <f>SENS_DETAILED_COST_WKSHT!D149</f>
        <v>Allowances Category 2</v>
      </c>
      <c r="E785" s="115">
        <f>IF(DD_TOP_ACTV_10_Detailed_Currency_Used=2,SENS_DETAILED_COST_WKSHT!$F149*SENS_DETAILED_COST_WKSHT!G149,SENS_DETAILED_COST_WKSHT!$F149*(SENS_DETAILED_COST_WKSHT!G149*TOP_ACTV_10_Exchange_Rate))</f>
        <v>0</v>
      </c>
      <c r="F785" s="115">
        <f>IF(DD_TOP_ACTV_10_Detailed_Currency_Used=2,SENS_DETAILED_COST_WKSHT!$F149*SENS_DETAILED_COST_WKSHT!H149,SENS_DETAILED_COST_WKSHT!$F149*(SENS_DETAILED_COST_WKSHT!H149*TOP_ACTV_10_Exchange_Rate))</f>
        <v>0</v>
      </c>
      <c r="G785" s="116">
        <f t="shared" si="74"/>
        <v>0</v>
      </c>
      <c r="H785" s="116">
        <f t="shared" si="75"/>
        <v>0</v>
      </c>
    </row>
    <row r="786" spans="1:8" s="10" customFormat="1" outlineLevel="1" x14ac:dyDescent="0.2">
      <c r="D786" s="49" t="str">
        <f>SENS_DETAILED_COST_WKSHT!D150</f>
        <v>Allowances Category 3</v>
      </c>
      <c r="E786" s="115">
        <f>IF(DD_TOP_ACTV_10_Detailed_Currency_Used=2,SENS_DETAILED_COST_WKSHT!$F150*SENS_DETAILED_COST_WKSHT!G150,SENS_DETAILED_COST_WKSHT!$F150*(SENS_DETAILED_COST_WKSHT!G150*TOP_ACTV_10_Exchange_Rate))</f>
        <v>0</v>
      </c>
      <c r="F786" s="115">
        <f>IF(DD_TOP_ACTV_10_Detailed_Currency_Used=2,SENS_DETAILED_COST_WKSHT!$F150*SENS_DETAILED_COST_WKSHT!H150,SENS_DETAILED_COST_WKSHT!$F150*(SENS_DETAILED_COST_WKSHT!H150*TOP_ACTV_10_Exchange_Rate))</f>
        <v>0</v>
      </c>
      <c r="G786" s="116">
        <f t="shared" si="74"/>
        <v>0</v>
      </c>
      <c r="H786" s="116">
        <f t="shared" si="75"/>
        <v>0</v>
      </c>
    </row>
    <row r="787" spans="1:8" s="10" customFormat="1" outlineLevel="1" x14ac:dyDescent="0.2">
      <c r="D787" s="49" t="str">
        <f>SENS_DETAILED_COST_WKSHT!D151</f>
        <v>Allowances Category 4</v>
      </c>
      <c r="E787" s="115">
        <f>IF(DD_TOP_ACTV_10_Detailed_Currency_Used=2,SENS_DETAILED_COST_WKSHT!$F151*SENS_DETAILED_COST_WKSHT!G151,SENS_DETAILED_COST_WKSHT!$F151*(SENS_DETAILED_COST_WKSHT!G151*TOP_ACTV_10_Exchange_Rate))</f>
        <v>0</v>
      </c>
      <c r="F787" s="115">
        <f>IF(DD_TOP_ACTV_10_Detailed_Currency_Used=2,SENS_DETAILED_COST_WKSHT!$F151*SENS_DETAILED_COST_WKSHT!H151,SENS_DETAILED_COST_WKSHT!$F151*(SENS_DETAILED_COST_WKSHT!H151*TOP_ACTV_10_Exchange_Rate))</f>
        <v>0</v>
      </c>
      <c r="G787" s="116">
        <f t="shared" si="74"/>
        <v>0</v>
      </c>
      <c r="H787" s="116">
        <f t="shared" si="75"/>
        <v>0</v>
      </c>
    </row>
    <row r="788" spans="1:8" s="10" customFormat="1" outlineLevel="1" x14ac:dyDescent="0.2">
      <c r="D788" s="49" t="str">
        <f>SENS_DETAILED_COST_WKSHT!D152</f>
        <v>Allowances Category 5</v>
      </c>
      <c r="E788" s="115">
        <f>IF(DD_TOP_ACTV_10_Detailed_Currency_Used=2,SENS_DETAILED_COST_WKSHT!$F152*SENS_DETAILED_COST_WKSHT!G152,SENS_DETAILED_COST_WKSHT!$F152*(SENS_DETAILED_COST_WKSHT!G152*TOP_ACTV_10_Exchange_Rate))</f>
        <v>0</v>
      </c>
      <c r="F788" s="115">
        <f>IF(DD_TOP_ACTV_10_Detailed_Currency_Used=2,SENS_DETAILED_COST_WKSHT!$F152*SENS_DETAILED_COST_WKSHT!H152,SENS_DETAILED_COST_WKSHT!$F152*(SENS_DETAILED_COST_WKSHT!H152*TOP_ACTV_10_Exchange_Rate))</f>
        <v>0</v>
      </c>
      <c r="G788" s="116">
        <f t="shared" si="74"/>
        <v>0</v>
      </c>
      <c r="H788" s="116">
        <f t="shared" si="75"/>
        <v>0</v>
      </c>
    </row>
    <row r="789" spans="1:8" s="10" customFormat="1" outlineLevel="1" x14ac:dyDescent="0.2">
      <c r="D789" s="49" t="str">
        <f>SENS_DETAILED_COST_WKSHT!D153</f>
        <v>Allowances Category 6</v>
      </c>
      <c r="E789" s="115">
        <f>IF(DD_TOP_ACTV_10_Detailed_Currency_Used=2,SENS_DETAILED_COST_WKSHT!$F153*SENS_DETAILED_COST_WKSHT!G153,SENS_DETAILED_COST_WKSHT!$F153*(SENS_DETAILED_COST_WKSHT!G153*TOP_ACTV_10_Exchange_Rate))</f>
        <v>0</v>
      </c>
      <c r="F789" s="115">
        <f>IF(DD_TOP_ACTV_10_Detailed_Currency_Used=2,SENS_DETAILED_COST_WKSHT!$F153*SENS_DETAILED_COST_WKSHT!H153,SENS_DETAILED_COST_WKSHT!$F153*(SENS_DETAILED_COST_WKSHT!H153*TOP_ACTV_10_Exchange_Rate))</f>
        <v>0</v>
      </c>
      <c r="G789" s="116">
        <f t="shared" si="74"/>
        <v>0</v>
      </c>
      <c r="H789" s="116">
        <f t="shared" si="75"/>
        <v>0</v>
      </c>
    </row>
    <row r="790" spans="1:8" s="10" customFormat="1" outlineLevel="1" x14ac:dyDescent="0.2">
      <c r="D790" s="49" t="str">
        <f>SENS_DETAILED_COST_WKSHT!D154</f>
        <v>Allowances Category 7</v>
      </c>
      <c r="E790" s="115">
        <f>IF(DD_TOP_ACTV_10_Detailed_Currency_Used=2,SENS_DETAILED_COST_WKSHT!$F154*SENS_DETAILED_COST_WKSHT!G154,SENS_DETAILED_COST_WKSHT!$F154*(SENS_DETAILED_COST_WKSHT!G154*TOP_ACTV_10_Exchange_Rate))</f>
        <v>0</v>
      </c>
      <c r="F790" s="115">
        <f>IF(DD_TOP_ACTV_10_Detailed_Currency_Used=2,SENS_DETAILED_COST_WKSHT!$F154*SENS_DETAILED_COST_WKSHT!H154,SENS_DETAILED_COST_WKSHT!$F154*(SENS_DETAILED_COST_WKSHT!H154*TOP_ACTV_10_Exchange_Rate))</f>
        <v>0</v>
      </c>
      <c r="G790" s="116">
        <f t="shared" si="74"/>
        <v>0</v>
      </c>
      <c r="H790" s="116">
        <f t="shared" si="75"/>
        <v>0</v>
      </c>
    </row>
    <row r="791" spans="1:8" s="10" customFormat="1" outlineLevel="1" x14ac:dyDescent="0.2">
      <c r="D791" s="49" t="str">
        <f>SENS_DETAILED_COST_WKSHT!D155</f>
        <v>Allowances Category 8</v>
      </c>
      <c r="E791" s="115">
        <f>IF(DD_TOP_ACTV_10_Detailed_Currency_Used=2,SENS_DETAILED_COST_WKSHT!$F155*SENS_DETAILED_COST_WKSHT!G155,SENS_DETAILED_COST_WKSHT!$F155*(SENS_DETAILED_COST_WKSHT!G155*TOP_ACTV_10_Exchange_Rate))</f>
        <v>0</v>
      </c>
      <c r="F791" s="115">
        <f>IF(DD_TOP_ACTV_10_Detailed_Currency_Used=2,SENS_DETAILED_COST_WKSHT!$F155*SENS_DETAILED_COST_WKSHT!H155,SENS_DETAILED_COST_WKSHT!$F155*(SENS_DETAILED_COST_WKSHT!H155*TOP_ACTV_10_Exchange_Rate))</f>
        <v>0</v>
      </c>
      <c r="G791" s="116">
        <f t="shared" si="74"/>
        <v>0</v>
      </c>
      <c r="H791" s="116">
        <f t="shared" si="75"/>
        <v>0</v>
      </c>
    </row>
    <row r="792" spans="1:8" s="10" customFormat="1" outlineLevel="1" x14ac:dyDescent="0.2">
      <c r="D792" s="49" t="str">
        <f>SENS_DETAILED_COST_WKSHT!D156</f>
        <v>Allowances Category 9</v>
      </c>
      <c r="E792" s="115">
        <f>IF(DD_TOP_ACTV_10_Detailed_Currency_Used=2,SENS_DETAILED_COST_WKSHT!$F156*SENS_DETAILED_COST_WKSHT!G156,SENS_DETAILED_COST_WKSHT!$F156*(SENS_DETAILED_COST_WKSHT!G156*TOP_ACTV_10_Exchange_Rate))</f>
        <v>0</v>
      </c>
      <c r="F792" s="115">
        <f>IF(DD_TOP_ACTV_10_Detailed_Currency_Used=2,SENS_DETAILED_COST_WKSHT!$F156*SENS_DETAILED_COST_WKSHT!H156,SENS_DETAILED_COST_WKSHT!$F156*(SENS_DETAILED_COST_WKSHT!H156*TOP_ACTV_10_Exchange_Rate))</f>
        <v>0</v>
      </c>
      <c r="G792" s="116">
        <f t="shared" si="74"/>
        <v>0</v>
      </c>
      <c r="H792" s="116">
        <f t="shared" si="75"/>
        <v>0</v>
      </c>
    </row>
    <row r="793" spans="1:8" s="10" customFormat="1" outlineLevel="1" x14ac:dyDescent="0.2">
      <c r="D793" s="49" t="str">
        <f>SENS_DETAILED_COST_WKSHT!D157</f>
        <v>Allowances Category 10</v>
      </c>
      <c r="E793" s="115">
        <f>IF(DD_TOP_ACTV_10_Detailed_Currency_Used=2,SENS_DETAILED_COST_WKSHT!$F157*SENS_DETAILED_COST_WKSHT!G157,SENS_DETAILED_COST_WKSHT!$F157*(SENS_DETAILED_COST_WKSHT!G157*TOP_ACTV_10_Exchange_Rate))</f>
        <v>0</v>
      </c>
      <c r="F793" s="115">
        <f>IF(DD_TOP_ACTV_10_Detailed_Currency_Used=2,SENS_DETAILED_COST_WKSHT!$F157*SENS_DETAILED_COST_WKSHT!H157,SENS_DETAILED_COST_WKSHT!$F157*(SENS_DETAILED_COST_WKSHT!H157*TOP_ACTV_10_Exchange_Rate))</f>
        <v>0</v>
      </c>
      <c r="G793" s="116">
        <f t="shared" si="74"/>
        <v>0</v>
      </c>
      <c r="H793" s="116">
        <f t="shared" si="75"/>
        <v>0</v>
      </c>
    </row>
    <row r="794" spans="1:8" s="10" customFormat="1" outlineLevel="1" x14ac:dyDescent="0.2">
      <c r="D794" s="48" t="str">
        <f>Lang_Allowances</f>
        <v>Allowances</v>
      </c>
      <c r="E794" s="120">
        <f>SUM(E784:E793)</f>
        <v>0</v>
      </c>
      <c r="F794" s="120">
        <f>SUM(F784:F793)</f>
        <v>0</v>
      </c>
      <c r="G794" s="121">
        <f>SUM(G784:G793)</f>
        <v>0</v>
      </c>
      <c r="H794" s="121">
        <f>SUM(H784:H793)</f>
        <v>0</v>
      </c>
    </row>
    <row r="795" spans="1:8" s="10" customFormat="1" outlineLevel="1" x14ac:dyDescent="0.2"/>
    <row r="796" spans="1:8" s="10" customFormat="1" outlineLevel="1" x14ac:dyDescent="0.2"/>
    <row r="797" spans="1:8" s="10" customFormat="1" outlineLevel="1" x14ac:dyDescent="0.2">
      <c r="D797" s="76" t="str">
        <f>Lang_GoTo&amp;" "&amp;HL_TOP_ACTV_10_Ass_A</f>
        <v>Go to  Sensitisation Activity # 2 (Not in Use) - Detailed Allowance Cost Assumptions</v>
      </c>
    </row>
    <row r="798" spans="1:8" s="10" customFormat="1" outlineLevel="1" x14ac:dyDescent="0.2">
      <c r="D798" s="76" t="str">
        <f>Lang_GoTo&amp;" "&amp;HL_TOP_ACTV_10_Cost_Summary_Output</f>
        <v>Go to  Sensitisation Activity # 2 (Not in Use) Detailed Cost Summary</v>
      </c>
    </row>
    <row r="799" spans="1:8" s="10" customFormat="1" x14ac:dyDescent="0.2"/>
    <row r="800" spans="1:8" s="13" customFormat="1" x14ac:dyDescent="0.2">
      <c r="A800" s="12" t="s">
        <v>127</v>
      </c>
      <c r="B800" s="13" t="str">
        <f>HL_TOP_ACTV_10_Name&amp;" "&amp;Lang_Supplies_And_Materials_Outputs</f>
        <v xml:space="preserve"> Sensitisation Activity # 2 (Not in Use) Supplies and Materials - Outputs</v>
      </c>
    </row>
    <row r="801" spans="3:8" s="10" customFormat="1" outlineLevel="1" x14ac:dyDescent="0.2"/>
    <row r="802" spans="3:8" s="10" customFormat="1" outlineLevel="1" x14ac:dyDescent="0.2">
      <c r="C802" s="114" t="str">
        <f>HL_TOP_ACTV_10_Name</f>
        <v xml:space="preserve"> Sensitisation Activity # 2 (Not in Use)</v>
      </c>
    </row>
    <row r="803" spans="3:8" s="10" customFormat="1" outlineLevel="1" x14ac:dyDescent="0.2">
      <c r="E803" s="86" t="str">
        <f>SENS_Lu!$D$67&amp;" "&amp;Lang_Cost&amp;" ("&amp;SENS_Lu!$D$48&amp;")"</f>
        <v>Financial Cost (LCU)</v>
      </c>
      <c r="F803" s="86" t="str">
        <f>SENS_Lu!$D$68&amp;" "&amp;Lang_Cost&amp;" ("&amp;SENS_Lu!$D$48&amp;")"</f>
        <v>Economic Cost (LCU)</v>
      </c>
      <c r="G803" s="86" t="str">
        <f>SENS_Lu!$D$67&amp;" "&amp;Lang_Cost&amp;" ("&amp;SENS_Lu!$D$47&amp;")"</f>
        <v>Financial Cost (USD)</v>
      </c>
      <c r="H803" s="86" t="str">
        <f>SENS_Lu!$D$68&amp;" "&amp;Lang_Cost&amp;" ("&amp;SENS_Lu!$D$47&amp;")"</f>
        <v>Economic Cost (USD)</v>
      </c>
    </row>
    <row r="804" spans="3:8" s="10" customFormat="1" outlineLevel="1" x14ac:dyDescent="0.2">
      <c r="D804" s="49" t="str">
        <f>SENS_DETAILED_COST_WKSHT!D166</f>
        <v>Supplies and Materials Category 1</v>
      </c>
      <c r="E804" s="115">
        <f>IF(DD_TOP_ACTV_10_Detailed_Currency_Used=2,SENS_DETAILED_COST_WKSHT!$F166*SENS_DETAILED_COST_WKSHT!G166,SENS_DETAILED_COST_WKSHT!$F166*(SENS_DETAILED_COST_WKSHT!G166*TOP_ACTV_10_Exchange_Rate))</f>
        <v>0</v>
      </c>
      <c r="F804" s="115">
        <f>IF(DD_TOP_ACTV_10_Detailed_Currency_Used=2,SENS_DETAILED_COST_WKSHT!$F166*SENS_DETAILED_COST_WKSHT!H166,SENS_DETAILED_COST_WKSHT!$F166*(SENS_DETAILED_COST_WKSHT!H166*TOP_ACTV_10_Exchange_Rate))</f>
        <v>0</v>
      </c>
      <c r="G804" s="116">
        <f t="shared" ref="G804:G813" si="76">E804/TOP_ACTV_10_Exchange_Rate</f>
        <v>0</v>
      </c>
      <c r="H804" s="116">
        <f t="shared" ref="H804:H813" si="77">F804/TOP_ACTV_10_Exchange_Rate</f>
        <v>0</v>
      </c>
    </row>
    <row r="805" spans="3:8" s="10" customFormat="1" outlineLevel="1" x14ac:dyDescent="0.2">
      <c r="D805" s="49" t="str">
        <f>SENS_DETAILED_COST_WKSHT!D167</f>
        <v>Supplies and Materials Category 2</v>
      </c>
      <c r="E805" s="115">
        <f>IF(DD_TOP_ACTV_10_Detailed_Currency_Used=2,SENS_DETAILED_COST_WKSHT!$F167*SENS_DETAILED_COST_WKSHT!G167,SENS_DETAILED_COST_WKSHT!$F167*(SENS_DETAILED_COST_WKSHT!G167*TOP_ACTV_10_Exchange_Rate))</f>
        <v>0</v>
      </c>
      <c r="F805" s="115">
        <f>IF(DD_TOP_ACTV_10_Detailed_Currency_Used=2,SENS_DETAILED_COST_WKSHT!$F167*SENS_DETAILED_COST_WKSHT!H167,SENS_DETAILED_COST_WKSHT!$F167*(SENS_DETAILED_COST_WKSHT!H167*TOP_ACTV_10_Exchange_Rate))</f>
        <v>0</v>
      </c>
      <c r="G805" s="116">
        <f t="shared" si="76"/>
        <v>0</v>
      </c>
      <c r="H805" s="116">
        <f t="shared" si="77"/>
        <v>0</v>
      </c>
    </row>
    <row r="806" spans="3:8" s="10" customFormat="1" outlineLevel="1" x14ac:dyDescent="0.2">
      <c r="D806" s="49" t="str">
        <f>SENS_DETAILED_COST_WKSHT!D168</f>
        <v>Supplies and Materials Category 3</v>
      </c>
      <c r="E806" s="115">
        <f>IF(DD_TOP_ACTV_10_Detailed_Currency_Used=2,SENS_DETAILED_COST_WKSHT!$F168*SENS_DETAILED_COST_WKSHT!G168,SENS_DETAILED_COST_WKSHT!$F168*(SENS_DETAILED_COST_WKSHT!G168*TOP_ACTV_10_Exchange_Rate))</f>
        <v>0</v>
      </c>
      <c r="F806" s="115">
        <f>IF(DD_TOP_ACTV_10_Detailed_Currency_Used=2,SENS_DETAILED_COST_WKSHT!$F168*SENS_DETAILED_COST_WKSHT!H168,SENS_DETAILED_COST_WKSHT!$F168*(SENS_DETAILED_COST_WKSHT!H168*TOP_ACTV_10_Exchange_Rate))</f>
        <v>0</v>
      </c>
      <c r="G806" s="116">
        <f t="shared" si="76"/>
        <v>0</v>
      </c>
      <c r="H806" s="116">
        <f t="shared" si="77"/>
        <v>0</v>
      </c>
    </row>
    <row r="807" spans="3:8" s="10" customFormat="1" outlineLevel="1" x14ac:dyDescent="0.2">
      <c r="D807" s="49" t="str">
        <f>SENS_DETAILED_COST_WKSHT!D169</f>
        <v>Supplies and Materials Category 4</v>
      </c>
      <c r="E807" s="115">
        <f>IF(DD_TOP_ACTV_10_Detailed_Currency_Used=2,SENS_DETAILED_COST_WKSHT!$F169*SENS_DETAILED_COST_WKSHT!G169,SENS_DETAILED_COST_WKSHT!$F169*(SENS_DETAILED_COST_WKSHT!G169*TOP_ACTV_10_Exchange_Rate))</f>
        <v>0</v>
      </c>
      <c r="F807" s="115">
        <f>IF(DD_TOP_ACTV_10_Detailed_Currency_Used=2,SENS_DETAILED_COST_WKSHT!$F169*SENS_DETAILED_COST_WKSHT!H169,SENS_DETAILED_COST_WKSHT!$F169*(SENS_DETAILED_COST_WKSHT!H169*TOP_ACTV_10_Exchange_Rate))</f>
        <v>0</v>
      </c>
      <c r="G807" s="116">
        <f t="shared" si="76"/>
        <v>0</v>
      </c>
      <c r="H807" s="116">
        <f t="shared" si="77"/>
        <v>0</v>
      </c>
    </row>
    <row r="808" spans="3:8" s="10" customFormat="1" outlineLevel="1" x14ac:dyDescent="0.2">
      <c r="D808" s="49" t="str">
        <f>SENS_DETAILED_COST_WKSHT!D170</f>
        <v>Supplies and Materials Category 5</v>
      </c>
      <c r="E808" s="115">
        <f>IF(DD_TOP_ACTV_10_Detailed_Currency_Used=2,SENS_DETAILED_COST_WKSHT!$F170*SENS_DETAILED_COST_WKSHT!G170,SENS_DETAILED_COST_WKSHT!$F170*(SENS_DETAILED_COST_WKSHT!G170*TOP_ACTV_10_Exchange_Rate))</f>
        <v>0</v>
      </c>
      <c r="F808" s="115">
        <f>IF(DD_TOP_ACTV_10_Detailed_Currency_Used=2,SENS_DETAILED_COST_WKSHT!$F170*SENS_DETAILED_COST_WKSHT!H170,SENS_DETAILED_COST_WKSHT!$F170*(SENS_DETAILED_COST_WKSHT!H170*TOP_ACTV_10_Exchange_Rate))</f>
        <v>0</v>
      </c>
      <c r="G808" s="116">
        <f t="shared" si="76"/>
        <v>0</v>
      </c>
      <c r="H808" s="116">
        <f t="shared" si="77"/>
        <v>0</v>
      </c>
    </row>
    <row r="809" spans="3:8" s="10" customFormat="1" outlineLevel="1" x14ac:dyDescent="0.2">
      <c r="D809" s="49" t="str">
        <f>SENS_DETAILED_COST_WKSHT!D171</f>
        <v>Supplies and Materials Category 6</v>
      </c>
      <c r="E809" s="115">
        <f>IF(DD_TOP_ACTV_10_Detailed_Currency_Used=2,SENS_DETAILED_COST_WKSHT!$F171*SENS_DETAILED_COST_WKSHT!G171,SENS_DETAILED_COST_WKSHT!$F171*(SENS_DETAILED_COST_WKSHT!G171*TOP_ACTV_10_Exchange_Rate))</f>
        <v>0</v>
      </c>
      <c r="F809" s="115">
        <f>IF(DD_TOP_ACTV_10_Detailed_Currency_Used=2,SENS_DETAILED_COST_WKSHT!$F171*SENS_DETAILED_COST_WKSHT!H171,SENS_DETAILED_COST_WKSHT!$F171*(SENS_DETAILED_COST_WKSHT!H171*TOP_ACTV_10_Exchange_Rate))</f>
        <v>0</v>
      </c>
      <c r="G809" s="116">
        <f t="shared" si="76"/>
        <v>0</v>
      </c>
      <c r="H809" s="116">
        <f t="shared" si="77"/>
        <v>0</v>
      </c>
    </row>
    <row r="810" spans="3:8" s="10" customFormat="1" outlineLevel="1" x14ac:dyDescent="0.2">
      <c r="D810" s="49" t="str">
        <f>SENS_DETAILED_COST_WKSHT!D172</f>
        <v>Supplies and Materials Category 7</v>
      </c>
      <c r="E810" s="115">
        <f>IF(DD_TOP_ACTV_10_Detailed_Currency_Used=2,SENS_DETAILED_COST_WKSHT!$F172*SENS_DETAILED_COST_WKSHT!G172,SENS_DETAILED_COST_WKSHT!$F172*(SENS_DETAILED_COST_WKSHT!G172*TOP_ACTV_10_Exchange_Rate))</f>
        <v>0</v>
      </c>
      <c r="F810" s="115">
        <f>IF(DD_TOP_ACTV_10_Detailed_Currency_Used=2,SENS_DETAILED_COST_WKSHT!$F172*SENS_DETAILED_COST_WKSHT!H172,SENS_DETAILED_COST_WKSHT!$F172*(SENS_DETAILED_COST_WKSHT!H172*TOP_ACTV_10_Exchange_Rate))</f>
        <v>0</v>
      </c>
      <c r="G810" s="116">
        <f t="shared" si="76"/>
        <v>0</v>
      </c>
      <c r="H810" s="116">
        <f t="shared" si="77"/>
        <v>0</v>
      </c>
    </row>
    <row r="811" spans="3:8" s="10" customFormat="1" outlineLevel="1" x14ac:dyDescent="0.2">
      <c r="D811" s="49" t="str">
        <f>SENS_DETAILED_COST_WKSHT!D173</f>
        <v>Supplies and Materials Category 8</v>
      </c>
      <c r="E811" s="115">
        <f>IF(DD_TOP_ACTV_10_Detailed_Currency_Used=2,SENS_DETAILED_COST_WKSHT!$F173*SENS_DETAILED_COST_WKSHT!G173,SENS_DETAILED_COST_WKSHT!$F173*(SENS_DETAILED_COST_WKSHT!G173*TOP_ACTV_10_Exchange_Rate))</f>
        <v>0</v>
      </c>
      <c r="F811" s="115">
        <f>IF(DD_TOP_ACTV_10_Detailed_Currency_Used=2,SENS_DETAILED_COST_WKSHT!$F173*SENS_DETAILED_COST_WKSHT!H173,SENS_DETAILED_COST_WKSHT!$F173*(SENS_DETAILED_COST_WKSHT!H173*TOP_ACTV_10_Exchange_Rate))</f>
        <v>0</v>
      </c>
      <c r="G811" s="116">
        <f t="shared" si="76"/>
        <v>0</v>
      </c>
      <c r="H811" s="116">
        <f t="shared" si="77"/>
        <v>0</v>
      </c>
    </row>
    <row r="812" spans="3:8" s="10" customFormat="1" outlineLevel="1" x14ac:dyDescent="0.2">
      <c r="D812" s="49" t="str">
        <f>SENS_DETAILED_COST_WKSHT!D174</f>
        <v>Supplies and Materials Category 9</v>
      </c>
      <c r="E812" s="115">
        <f>IF(DD_TOP_ACTV_10_Detailed_Currency_Used=2,SENS_DETAILED_COST_WKSHT!$F174*SENS_DETAILED_COST_WKSHT!G174,SENS_DETAILED_COST_WKSHT!$F174*(SENS_DETAILED_COST_WKSHT!G174*TOP_ACTV_10_Exchange_Rate))</f>
        <v>0</v>
      </c>
      <c r="F812" s="115">
        <f>IF(DD_TOP_ACTV_10_Detailed_Currency_Used=2,SENS_DETAILED_COST_WKSHT!$F174*SENS_DETAILED_COST_WKSHT!H174,SENS_DETAILED_COST_WKSHT!$F174*(SENS_DETAILED_COST_WKSHT!H174*TOP_ACTV_10_Exchange_Rate))</f>
        <v>0</v>
      </c>
      <c r="G812" s="116">
        <f t="shared" si="76"/>
        <v>0</v>
      </c>
      <c r="H812" s="116">
        <f t="shared" si="77"/>
        <v>0</v>
      </c>
    </row>
    <row r="813" spans="3:8" s="10" customFormat="1" outlineLevel="1" x14ac:dyDescent="0.2">
      <c r="D813" s="49" t="str">
        <f>SENS_DETAILED_COST_WKSHT!D175</f>
        <v>Supplies and Materials Category 10</v>
      </c>
      <c r="E813" s="115">
        <f>IF(DD_TOP_ACTV_10_Detailed_Currency_Used=2,SENS_DETAILED_COST_WKSHT!$F175*SENS_DETAILED_COST_WKSHT!G175,SENS_DETAILED_COST_WKSHT!$F175*(SENS_DETAILED_COST_WKSHT!G175*TOP_ACTV_10_Exchange_Rate))</f>
        <v>0</v>
      </c>
      <c r="F813" s="115">
        <f>IF(DD_TOP_ACTV_10_Detailed_Currency_Used=2,SENS_DETAILED_COST_WKSHT!$F175*SENS_DETAILED_COST_WKSHT!H175,SENS_DETAILED_COST_WKSHT!$F175*(SENS_DETAILED_COST_WKSHT!H175*TOP_ACTV_10_Exchange_Rate))</f>
        <v>0</v>
      </c>
      <c r="G813" s="116">
        <f t="shared" si="76"/>
        <v>0</v>
      </c>
      <c r="H813" s="116">
        <f t="shared" si="77"/>
        <v>0</v>
      </c>
    </row>
    <row r="814" spans="3:8" s="10" customFormat="1" outlineLevel="1" x14ac:dyDescent="0.2">
      <c r="D814" s="48" t="str">
        <f>Lang_Supplies_And_Materials</f>
        <v>Supplies and Materials</v>
      </c>
      <c r="E814" s="120">
        <f>SUM(E804:E813)</f>
        <v>0</v>
      </c>
      <c r="F814" s="120">
        <f>SUM(F804:F813)</f>
        <v>0</v>
      </c>
      <c r="G814" s="121">
        <f>SUM(G804:G813)</f>
        <v>0</v>
      </c>
      <c r="H814" s="121">
        <f>SUM(H804:H813)</f>
        <v>0</v>
      </c>
    </row>
    <row r="815" spans="3:8" s="10" customFormat="1" outlineLevel="1" x14ac:dyDescent="0.2"/>
    <row r="816" spans="3:8" s="10" customFormat="1" outlineLevel="1" x14ac:dyDescent="0.2"/>
    <row r="817" spans="1:8" s="10" customFormat="1" outlineLevel="1" x14ac:dyDescent="0.2">
      <c r="D817" s="76" t="str">
        <f>Lang_GoTo&amp;" "&amp;HL_TOP_ACTV_10_Supplies_and_Materials</f>
        <v>Go to  Sensitisation Activity # 2 (Not in Use) - Detailed Supply and Material Cost Assumptions</v>
      </c>
    </row>
    <row r="818" spans="1:8" s="10" customFormat="1" outlineLevel="1" x14ac:dyDescent="0.2">
      <c r="D818" s="76" t="str">
        <f>Lang_GoTo&amp;" "&amp;HL_TOP_ACTV_10_Cost_Summary_Output</f>
        <v>Go to  Sensitisation Activity # 2 (Not in Use) Detailed Cost Summary</v>
      </c>
    </row>
    <row r="819" spans="1:8" s="10" customFormat="1" x14ac:dyDescent="0.2"/>
    <row r="820" spans="1:8" s="13" customFormat="1" x14ac:dyDescent="0.2">
      <c r="A820" s="12" t="s">
        <v>127</v>
      </c>
      <c r="B820" s="13" t="str">
        <f>HL_TOP_ACTV_10_Name&amp;" "&amp;Lang_Other_Direct_Costs_Outputs</f>
        <v xml:space="preserve"> Sensitisation Activity # 2 (Not in Use) Other Direct Costs - Outputs</v>
      </c>
    </row>
    <row r="821" spans="1:8" s="10" customFormat="1" outlineLevel="1" x14ac:dyDescent="0.2"/>
    <row r="822" spans="1:8" s="10" customFormat="1" outlineLevel="1" x14ac:dyDescent="0.2">
      <c r="C822" s="114" t="str">
        <f>HL_TOP_ACTV_10_Name</f>
        <v xml:space="preserve"> Sensitisation Activity # 2 (Not in Use)</v>
      </c>
    </row>
    <row r="823" spans="1:8" s="10" customFormat="1" outlineLevel="1" x14ac:dyDescent="0.2">
      <c r="E823" s="86" t="str">
        <f>SENS_Lu!$D$67&amp;" "&amp;Lang_Cost&amp;" ("&amp;SENS_Lu!$D$48&amp;")"</f>
        <v>Financial Cost (LCU)</v>
      </c>
      <c r="F823" s="86" t="str">
        <f>SENS_Lu!$D$68&amp;" "&amp;Lang_Cost&amp;" ("&amp;SENS_Lu!$D$48&amp;")"</f>
        <v>Economic Cost (LCU)</v>
      </c>
      <c r="G823" s="86" t="str">
        <f>SENS_Lu!$D$67&amp;" "&amp;Lang_Cost&amp;" ("&amp;SENS_Lu!$D$47&amp;")"</f>
        <v>Financial Cost (USD)</v>
      </c>
      <c r="H823" s="86" t="str">
        <f>SENS_Lu!$D$68&amp;" "&amp;Lang_Cost&amp;" ("&amp;SENS_Lu!$D$47&amp;")"</f>
        <v>Economic Cost (USD)</v>
      </c>
    </row>
    <row r="824" spans="1:8" s="10" customFormat="1" outlineLevel="1" x14ac:dyDescent="0.2">
      <c r="D824" s="49" t="str">
        <f>SENS_DETAILED_COST_WKSHT!D184</f>
        <v>Other Direct Costs (ODC) Category 1</v>
      </c>
      <c r="E824" s="115">
        <f>IF(DD_TOP_ACTV_10_Detailed_Currency_Used=2,SENS_DETAILED_COST_WKSHT!$F184*SENS_DETAILED_COST_WKSHT!G184,SENS_DETAILED_COST_WKSHT!$F184*(SENS_DETAILED_COST_WKSHT!G184*TOP_ACTV_10_Exchange_Rate))</f>
        <v>0</v>
      </c>
      <c r="F824" s="115">
        <f>IF(DD_TOP_ACTV_10_Detailed_Currency_Used=2,SENS_DETAILED_COST_WKSHT!$F184*SENS_DETAILED_COST_WKSHT!H184,SENS_DETAILED_COST_WKSHT!$F184*(SENS_DETAILED_COST_WKSHT!H184*TOP_ACTV_10_Exchange_Rate))</f>
        <v>0</v>
      </c>
      <c r="G824" s="116">
        <f t="shared" ref="G824:G833" si="78">E824/TOP_ACTV_10_Exchange_Rate</f>
        <v>0</v>
      </c>
      <c r="H824" s="116">
        <f t="shared" ref="H824:H833" si="79">F824/TOP_ACTV_10_Exchange_Rate</f>
        <v>0</v>
      </c>
    </row>
    <row r="825" spans="1:8" s="10" customFormat="1" outlineLevel="1" x14ac:dyDescent="0.2">
      <c r="D825" s="49" t="str">
        <f>SENS_DETAILED_COST_WKSHT!D185</f>
        <v>Other Direct Costs (ODC) Category 2</v>
      </c>
      <c r="E825" s="115">
        <f>IF(DD_TOP_ACTV_10_Detailed_Currency_Used=2,SENS_DETAILED_COST_WKSHT!$F185*SENS_DETAILED_COST_WKSHT!G185,SENS_DETAILED_COST_WKSHT!$F185*(SENS_DETAILED_COST_WKSHT!G185*TOP_ACTV_10_Exchange_Rate))</f>
        <v>0</v>
      </c>
      <c r="F825" s="115">
        <f>IF(DD_TOP_ACTV_10_Detailed_Currency_Used=2,SENS_DETAILED_COST_WKSHT!$F185*SENS_DETAILED_COST_WKSHT!H185,SENS_DETAILED_COST_WKSHT!$F185*(SENS_DETAILED_COST_WKSHT!H185*TOP_ACTV_10_Exchange_Rate))</f>
        <v>0</v>
      </c>
      <c r="G825" s="116">
        <f t="shared" si="78"/>
        <v>0</v>
      </c>
      <c r="H825" s="116">
        <f t="shared" si="79"/>
        <v>0</v>
      </c>
    </row>
    <row r="826" spans="1:8" s="10" customFormat="1" outlineLevel="1" x14ac:dyDescent="0.2">
      <c r="D826" s="49" t="str">
        <f>SENS_DETAILED_COST_WKSHT!D186</f>
        <v>Other Direct Costs (ODC) Category 3</v>
      </c>
      <c r="E826" s="115">
        <f>IF(DD_TOP_ACTV_10_Detailed_Currency_Used=2,SENS_DETAILED_COST_WKSHT!$F186*SENS_DETAILED_COST_WKSHT!G186,SENS_DETAILED_COST_WKSHT!$F186*(SENS_DETAILED_COST_WKSHT!G186*TOP_ACTV_10_Exchange_Rate))</f>
        <v>0</v>
      </c>
      <c r="F826" s="115">
        <f>IF(DD_TOP_ACTV_10_Detailed_Currency_Used=2,SENS_DETAILED_COST_WKSHT!$F186*SENS_DETAILED_COST_WKSHT!H186,SENS_DETAILED_COST_WKSHT!$F186*(SENS_DETAILED_COST_WKSHT!H186*TOP_ACTV_10_Exchange_Rate))</f>
        <v>0</v>
      </c>
      <c r="G826" s="116">
        <f t="shared" si="78"/>
        <v>0</v>
      </c>
      <c r="H826" s="116">
        <f t="shared" si="79"/>
        <v>0</v>
      </c>
    </row>
    <row r="827" spans="1:8" s="10" customFormat="1" outlineLevel="1" x14ac:dyDescent="0.2">
      <c r="D827" s="49" t="str">
        <f>SENS_DETAILED_COST_WKSHT!D187</f>
        <v>Other Direct Costs (ODC) Category 4</v>
      </c>
      <c r="E827" s="115">
        <f>IF(DD_TOP_ACTV_10_Detailed_Currency_Used=2,SENS_DETAILED_COST_WKSHT!$F187*SENS_DETAILED_COST_WKSHT!G187,SENS_DETAILED_COST_WKSHT!$F187*(SENS_DETAILED_COST_WKSHT!G187*TOP_ACTV_10_Exchange_Rate))</f>
        <v>0</v>
      </c>
      <c r="F827" s="115">
        <f>IF(DD_TOP_ACTV_10_Detailed_Currency_Used=2,SENS_DETAILED_COST_WKSHT!$F187*SENS_DETAILED_COST_WKSHT!H187,SENS_DETAILED_COST_WKSHT!$F187*(SENS_DETAILED_COST_WKSHT!H187*TOP_ACTV_10_Exchange_Rate))</f>
        <v>0</v>
      </c>
      <c r="G827" s="116">
        <f t="shared" si="78"/>
        <v>0</v>
      </c>
      <c r="H827" s="116">
        <f t="shared" si="79"/>
        <v>0</v>
      </c>
    </row>
    <row r="828" spans="1:8" s="10" customFormat="1" outlineLevel="1" x14ac:dyDescent="0.2">
      <c r="D828" s="49" t="str">
        <f>SENS_DETAILED_COST_WKSHT!D188</f>
        <v>Other Direct Costs (ODC) Category 5</v>
      </c>
      <c r="E828" s="115">
        <f>IF(DD_TOP_ACTV_10_Detailed_Currency_Used=2,SENS_DETAILED_COST_WKSHT!$F188*SENS_DETAILED_COST_WKSHT!G188,SENS_DETAILED_COST_WKSHT!$F188*(SENS_DETAILED_COST_WKSHT!G188*TOP_ACTV_10_Exchange_Rate))</f>
        <v>0</v>
      </c>
      <c r="F828" s="115">
        <f>IF(DD_TOP_ACTV_10_Detailed_Currency_Used=2,SENS_DETAILED_COST_WKSHT!$F188*SENS_DETAILED_COST_WKSHT!H188,SENS_DETAILED_COST_WKSHT!$F188*(SENS_DETAILED_COST_WKSHT!H188*TOP_ACTV_10_Exchange_Rate))</f>
        <v>0</v>
      </c>
      <c r="G828" s="116">
        <f t="shared" si="78"/>
        <v>0</v>
      </c>
      <c r="H828" s="116">
        <f t="shared" si="79"/>
        <v>0</v>
      </c>
    </row>
    <row r="829" spans="1:8" s="10" customFormat="1" outlineLevel="1" x14ac:dyDescent="0.2">
      <c r="D829" s="49" t="str">
        <f>SENS_DETAILED_COST_WKSHT!D189</f>
        <v>Other Direct Costs (ODC) Category 6</v>
      </c>
      <c r="E829" s="115">
        <f>IF(DD_TOP_ACTV_10_Detailed_Currency_Used=2,SENS_DETAILED_COST_WKSHT!$F189*SENS_DETAILED_COST_WKSHT!G189,SENS_DETAILED_COST_WKSHT!$F189*(SENS_DETAILED_COST_WKSHT!G189*TOP_ACTV_10_Exchange_Rate))</f>
        <v>0</v>
      </c>
      <c r="F829" s="115">
        <f>IF(DD_TOP_ACTV_10_Detailed_Currency_Used=2,SENS_DETAILED_COST_WKSHT!$F189*SENS_DETAILED_COST_WKSHT!H189,SENS_DETAILED_COST_WKSHT!$F189*(SENS_DETAILED_COST_WKSHT!H189*TOP_ACTV_10_Exchange_Rate))</f>
        <v>0</v>
      </c>
      <c r="G829" s="116">
        <f t="shared" si="78"/>
        <v>0</v>
      </c>
      <c r="H829" s="116">
        <f t="shared" si="79"/>
        <v>0</v>
      </c>
    </row>
    <row r="830" spans="1:8" s="10" customFormat="1" outlineLevel="1" x14ac:dyDescent="0.2">
      <c r="D830" s="49" t="str">
        <f>SENS_DETAILED_COST_WKSHT!D190</f>
        <v>Other Direct Costs (ODC) Category 7</v>
      </c>
      <c r="E830" s="115">
        <f>IF(DD_TOP_ACTV_10_Detailed_Currency_Used=2,SENS_DETAILED_COST_WKSHT!$F190*SENS_DETAILED_COST_WKSHT!G190,SENS_DETAILED_COST_WKSHT!$F190*(SENS_DETAILED_COST_WKSHT!G190*TOP_ACTV_10_Exchange_Rate))</f>
        <v>0</v>
      </c>
      <c r="F830" s="115">
        <f>IF(DD_TOP_ACTV_10_Detailed_Currency_Used=2,SENS_DETAILED_COST_WKSHT!$F190*SENS_DETAILED_COST_WKSHT!H190,SENS_DETAILED_COST_WKSHT!$F190*(SENS_DETAILED_COST_WKSHT!H190*TOP_ACTV_10_Exchange_Rate))</f>
        <v>0</v>
      </c>
      <c r="G830" s="116">
        <f t="shared" si="78"/>
        <v>0</v>
      </c>
      <c r="H830" s="116">
        <f t="shared" si="79"/>
        <v>0</v>
      </c>
    </row>
    <row r="831" spans="1:8" s="10" customFormat="1" outlineLevel="1" x14ac:dyDescent="0.2">
      <c r="D831" s="49" t="str">
        <f>SENS_DETAILED_COST_WKSHT!D191</f>
        <v>Other Direct Costs (ODC) Category 8</v>
      </c>
      <c r="E831" s="115">
        <f>IF(DD_TOP_ACTV_10_Detailed_Currency_Used=2,SENS_DETAILED_COST_WKSHT!$F191*SENS_DETAILED_COST_WKSHT!G191,SENS_DETAILED_COST_WKSHT!$F191*(SENS_DETAILED_COST_WKSHT!G191*TOP_ACTV_10_Exchange_Rate))</f>
        <v>0</v>
      </c>
      <c r="F831" s="115">
        <f>IF(DD_TOP_ACTV_10_Detailed_Currency_Used=2,SENS_DETAILED_COST_WKSHT!$F191*SENS_DETAILED_COST_WKSHT!H191,SENS_DETAILED_COST_WKSHT!$F191*(SENS_DETAILED_COST_WKSHT!H191*TOP_ACTV_10_Exchange_Rate))</f>
        <v>0</v>
      </c>
      <c r="G831" s="116">
        <f t="shared" si="78"/>
        <v>0</v>
      </c>
      <c r="H831" s="116">
        <f t="shared" si="79"/>
        <v>0</v>
      </c>
    </row>
    <row r="832" spans="1:8" s="10" customFormat="1" outlineLevel="1" x14ac:dyDescent="0.2">
      <c r="D832" s="49" t="str">
        <f>SENS_DETAILED_COST_WKSHT!D192</f>
        <v>Other Direct Costs (ODC) Category 9</v>
      </c>
      <c r="E832" s="115">
        <f>IF(DD_TOP_ACTV_10_Detailed_Currency_Used=2,SENS_DETAILED_COST_WKSHT!$F192*SENS_DETAILED_COST_WKSHT!G192,SENS_DETAILED_COST_WKSHT!$F192*(SENS_DETAILED_COST_WKSHT!G192*TOP_ACTV_10_Exchange_Rate))</f>
        <v>0</v>
      </c>
      <c r="F832" s="115">
        <f>IF(DD_TOP_ACTV_10_Detailed_Currency_Used=2,SENS_DETAILED_COST_WKSHT!$F192*SENS_DETAILED_COST_WKSHT!H192,SENS_DETAILED_COST_WKSHT!$F192*(SENS_DETAILED_COST_WKSHT!H192*TOP_ACTV_10_Exchange_Rate))</f>
        <v>0</v>
      </c>
      <c r="G832" s="116">
        <f t="shared" si="78"/>
        <v>0</v>
      </c>
      <c r="H832" s="116">
        <f t="shared" si="79"/>
        <v>0</v>
      </c>
    </row>
    <row r="833" spans="1:8" s="10" customFormat="1" outlineLevel="1" x14ac:dyDescent="0.2">
      <c r="D833" s="49" t="str">
        <f>SENS_DETAILED_COST_WKSHT!D193</f>
        <v>Other Direct Costs (ODC) Category 10</v>
      </c>
      <c r="E833" s="115">
        <f>IF(DD_TOP_ACTV_10_Detailed_Currency_Used=2,SENS_DETAILED_COST_WKSHT!$F193*SENS_DETAILED_COST_WKSHT!G193,SENS_DETAILED_COST_WKSHT!$F193*(SENS_DETAILED_COST_WKSHT!G193*TOP_ACTV_10_Exchange_Rate))</f>
        <v>0</v>
      </c>
      <c r="F833" s="115">
        <f>IF(DD_TOP_ACTV_10_Detailed_Currency_Used=2,SENS_DETAILED_COST_WKSHT!$F193*SENS_DETAILED_COST_WKSHT!H193,SENS_DETAILED_COST_WKSHT!$F193*(SENS_DETAILED_COST_WKSHT!H193*TOP_ACTV_10_Exchange_Rate))</f>
        <v>0</v>
      </c>
      <c r="G833" s="116">
        <f t="shared" si="78"/>
        <v>0</v>
      </c>
      <c r="H833" s="116">
        <f t="shared" si="79"/>
        <v>0</v>
      </c>
    </row>
    <row r="834" spans="1:8" s="10" customFormat="1" outlineLevel="1" x14ac:dyDescent="0.2">
      <c r="D834" s="48" t="str">
        <f>Lang_Other_Direct_Costs</f>
        <v>Other Direct Costs</v>
      </c>
      <c r="E834" s="120">
        <f>SUM(E824:E833)</f>
        <v>0</v>
      </c>
      <c r="F834" s="120">
        <f>SUM(F824:F833)</f>
        <v>0</v>
      </c>
      <c r="G834" s="121">
        <f>SUM(G824:G833)</f>
        <v>0</v>
      </c>
      <c r="H834" s="121">
        <f>SUM(H824:H833)</f>
        <v>0</v>
      </c>
    </row>
    <row r="835" spans="1:8" s="10" customFormat="1" outlineLevel="1" x14ac:dyDescent="0.2"/>
    <row r="836" spans="1:8" s="10" customFormat="1" outlineLevel="1" x14ac:dyDescent="0.2">
      <c r="D836" s="76" t="str">
        <f>Lang_GoTo&amp;" "&amp;HL_TOP_ACTV_10_Other_Direct_Costs</f>
        <v>Go to  Sensitisation Activity # 2 (Not in Use) - Detailed Other Direct Cost Assumptions</v>
      </c>
    </row>
    <row r="837" spans="1:8" s="10" customFormat="1" outlineLevel="1" x14ac:dyDescent="0.2">
      <c r="D837" s="76" t="str">
        <f>Lang_GoTo&amp;" "&amp;HL_TOP_ACTV_10_Cost_Summary_Output</f>
        <v>Go to  Sensitisation Activity # 2 (Not in Use) Detailed Cost Summary</v>
      </c>
    </row>
    <row r="838" spans="1:8" s="10" customFormat="1" x14ac:dyDescent="0.2"/>
    <row r="839" spans="1:8" s="13" customFormat="1" x14ac:dyDescent="0.2">
      <c r="A839" s="12" t="s">
        <v>127</v>
      </c>
      <c r="B839" s="13" t="str">
        <f>HL_TOP_ACTV_11_Name&amp;" "&amp;Lang_Personnel_Outputs</f>
        <v xml:space="preserve"> Sensitisation Activity # 3 (Not in Use) Personnel - Outputs</v>
      </c>
    </row>
    <row r="840" spans="1:8" s="10" customFormat="1" outlineLevel="1" x14ac:dyDescent="0.2"/>
    <row r="841" spans="1:8" s="10" customFormat="1" outlineLevel="1" x14ac:dyDescent="0.2">
      <c r="C841" s="114" t="str">
        <f>HL_TOP_ACTV_11_Name</f>
        <v xml:space="preserve"> Sensitisation Activity # 3 (Not in Use)</v>
      </c>
    </row>
    <row r="842" spans="1:8" s="10" customFormat="1" outlineLevel="1" x14ac:dyDescent="0.2">
      <c r="E842" s="86" t="str">
        <f>SENS_Lu!$D$102&amp;" "&amp;Lang_Cost&amp;" ("&amp;SENS_Lu!$D$83&amp;")"</f>
        <v>Financial Cost (LCU)</v>
      </c>
      <c r="F842" s="86" t="str">
        <f>SENS_Lu!$D$103&amp;" "&amp;Lang_Cost&amp;" ("&amp;SENS_Lu!$D$83&amp;")"</f>
        <v>Economic Cost (LCU)</v>
      </c>
      <c r="G842" s="86" t="str">
        <f>SENS_Lu!$D$102&amp;" "&amp;Lang_Cost&amp;" ("&amp;SENS_Lu!$D$82&amp;")"</f>
        <v>Financial Cost (USD)</v>
      </c>
      <c r="H842" s="86" t="str">
        <f>SENS_Lu!$D$103&amp;" "&amp;Lang_Cost&amp;" ("&amp;SENS_Lu!$D$82&amp;")"</f>
        <v>Economic Cost (USD)</v>
      </c>
    </row>
    <row r="843" spans="1:8" s="10" customFormat="1" outlineLevel="1" x14ac:dyDescent="0.2">
      <c r="D843" s="49" t="str">
        <f>SENS_DETAILED_COST_WKSHT!D222</f>
        <v>Personnel Category 1</v>
      </c>
      <c r="E843" s="115">
        <f>IF(DD_TOP_ACTV_11_Detailed_Currency_Used=2,SENS_DETAILED_COST_WKSHT!$F222*SENS_DETAILED_COST_WKSHT!G222,SENS_DETAILED_COST_WKSHT!$F222*(SENS_DETAILED_COST_WKSHT!G222*TOP_ACTV_11_Exchange_Rate))</f>
        <v>0</v>
      </c>
      <c r="F843" s="115">
        <f>IF(DD_TOP_ACTV_11_Detailed_Currency_Used=2,SENS_DETAILED_COST_WKSHT!$F222*SENS_DETAILED_COST_WKSHT!H222,SENS_DETAILED_COST_WKSHT!$F222*(SENS_DETAILED_COST_WKSHT!H222*TOP_ACTV_11_Exchange_Rate))</f>
        <v>0</v>
      </c>
      <c r="G843" s="116">
        <f t="shared" ref="G843:G857" si="80">IFERROR(E843/TOP_ACTV_11_Exchange_Rate,0)</f>
        <v>0</v>
      </c>
      <c r="H843" s="116">
        <f t="shared" ref="H843:H857" si="81">IFERROR(F843/TOP_ACTV_11_Exchange_Rate,0)</f>
        <v>0</v>
      </c>
    </row>
    <row r="844" spans="1:8" s="10" customFormat="1" outlineLevel="1" x14ac:dyDescent="0.2">
      <c r="D844" s="49" t="str">
        <f>SENS_DETAILED_COST_WKSHT!D223</f>
        <v>Personnel Category 2</v>
      </c>
      <c r="E844" s="115">
        <f>IF(DD_TOP_ACTV_11_Detailed_Currency_Used=2,SENS_DETAILED_COST_WKSHT!$F223*SENS_DETAILED_COST_WKSHT!G223,SENS_DETAILED_COST_WKSHT!$F223*(SENS_DETAILED_COST_WKSHT!G223*TOP_ACTV_11_Exchange_Rate))</f>
        <v>0</v>
      </c>
      <c r="F844" s="115">
        <f>IF(DD_TOP_ACTV_11_Detailed_Currency_Used=2,SENS_DETAILED_COST_WKSHT!$F223*SENS_DETAILED_COST_WKSHT!H223,SENS_DETAILED_COST_WKSHT!$F223*(SENS_DETAILED_COST_WKSHT!H223*TOP_ACTV_11_Exchange_Rate))</f>
        <v>0</v>
      </c>
      <c r="G844" s="116">
        <f t="shared" si="80"/>
        <v>0</v>
      </c>
      <c r="H844" s="116">
        <f t="shared" si="81"/>
        <v>0</v>
      </c>
    </row>
    <row r="845" spans="1:8" s="10" customFormat="1" outlineLevel="1" x14ac:dyDescent="0.2">
      <c r="D845" s="49" t="str">
        <f>SENS_DETAILED_COST_WKSHT!D224</f>
        <v>Personnel Category 3</v>
      </c>
      <c r="E845" s="115">
        <f>IF(DD_TOP_ACTV_11_Detailed_Currency_Used=2,SENS_DETAILED_COST_WKSHT!$F224*SENS_DETAILED_COST_WKSHT!G224,SENS_DETAILED_COST_WKSHT!$F224*(SENS_DETAILED_COST_WKSHT!G224*TOP_ACTV_11_Exchange_Rate))</f>
        <v>0</v>
      </c>
      <c r="F845" s="115">
        <f>IF(DD_TOP_ACTV_11_Detailed_Currency_Used=2,SENS_DETAILED_COST_WKSHT!$F224*SENS_DETAILED_COST_WKSHT!H224,SENS_DETAILED_COST_WKSHT!$F224*(SENS_DETAILED_COST_WKSHT!H224*TOP_ACTV_11_Exchange_Rate))</f>
        <v>0</v>
      </c>
      <c r="G845" s="116">
        <f t="shared" si="80"/>
        <v>0</v>
      </c>
      <c r="H845" s="116">
        <f t="shared" si="81"/>
        <v>0</v>
      </c>
    </row>
    <row r="846" spans="1:8" s="10" customFormat="1" outlineLevel="1" x14ac:dyDescent="0.2">
      <c r="D846" s="49" t="str">
        <f>SENS_DETAILED_COST_WKSHT!D225</f>
        <v>Personnel Category 4</v>
      </c>
      <c r="E846" s="115">
        <f>IF(DD_TOP_ACTV_11_Detailed_Currency_Used=2,SENS_DETAILED_COST_WKSHT!$F225*SENS_DETAILED_COST_WKSHT!G225,SENS_DETAILED_COST_WKSHT!$F225*(SENS_DETAILED_COST_WKSHT!G225*TOP_ACTV_11_Exchange_Rate))</f>
        <v>0</v>
      </c>
      <c r="F846" s="115">
        <f>IF(DD_TOP_ACTV_11_Detailed_Currency_Used=2,SENS_DETAILED_COST_WKSHT!$F225*SENS_DETAILED_COST_WKSHT!H225,SENS_DETAILED_COST_WKSHT!$F225*(SENS_DETAILED_COST_WKSHT!H225*TOP_ACTV_11_Exchange_Rate))</f>
        <v>0</v>
      </c>
      <c r="G846" s="116">
        <f t="shared" si="80"/>
        <v>0</v>
      </c>
      <c r="H846" s="116">
        <f t="shared" si="81"/>
        <v>0</v>
      </c>
    </row>
    <row r="847" spans="1:8" s="10" customFormat="1" outlineLevel="1" x14ac:dyDescent="0.2">
      <c r="D847" s="49" t="str">
        <f>SENS_DETAILED_COST_WKSHT!D226</f>
        <v>Personnel Category 5</v>
      </c>
      <c r="E847" s="115">
        <f>IF(DD_TOP_ACTV_11_Detailed_Currency_Used=2,SENS_DETAILED_COST_WKSHT!$F226*SENS_DETAILED_COST_WKSHT!G226,SENS_DETAILED_COST_WKSHT!$F226*(SENS_DETAILED_COST_WKSHT!G226*TOP_ACTV_11_Exchange_Rate))</f>
        <v>0</v>
      </c>
      <c r="F847" s="115">
        <f>IF(DD_TOP_ACTV_11_Detailed_Currency_Used=2,SENS_DETAILED_COST_WKSHT!$F226*SENS_DETAILED_COST_WKSHT!H226,SENS_DETAILED_COST_WKSHT!$F226*(SENS_DETAILED_COST_WKSHT!H226*TOP_ACTV_11_Exchange_Rate))</f>
        <v>0</v>
      </c>
      <c r="G847" s="116">
        <f t="shared" si="80"/>
        <v>0</v>
      </c>
      <c r="H847" s="116">
        <f t="shared" si="81"/>
        <v>0</v>
      </c>
    </row>
    <row r="848" spans="1:8" s="10" customFormat="1" outlineLevel="1" x14ac:dyDescent="0.2">
      <c r="D848" s="49" t="str">
        <f>SENS_DETAILED_COST_WKSHT!D227</f>
        <v>Personnel Category 6</v>
      </c>
      <c r="E848" s="115">
        <f>IF(DD_TOP_ACTV_11_Detailed_Currency_Used=2,SENS_DETAILED_COST_WKSHT!$F227*SENS_DETAILED_COST_WKSHT!G227,SENS_DETAILED_COST_WKSHT!$F227*(SENS_DETAILED_COST_WKSHT!G227*TOP_ACTV_11_Exchange_Rate))</f>
        <v>0</v>
      </c>
      <c r="F848" s="115">
        <f>IF(DD_TOP_ACTV_11_Detailed_Currency_Used=2,SENS_DETAILED_COST_WKSHT!$F227*SENS_DETAILED_COST_WKSHT!H227,SENS_DETAILED_COST_WKSHT!$F227*(SENS_DETAILED_COST_WKSHT!H227*TOP_ACTV_11_Exchange_Rate))</f>
        <v>0</v>
      </c>
      <c r="G848" s="116">
        <f t="shared" si="80"/>
        <v>0</v>
      </c>
      <c r="H848" s="116">
        <f t="shared" si="81"/>
        <v>0</v>
      </c>
    </row>
    <row r="849" spans="1:8" s="10" customFormat="1" outlineLevel="1" x14ac:dyDescent="0.2">
      <c r="D849" s="49" t="str">
        <f>SENS_DETAILED_COST_WKSHT!D228</f>
        <v>Personnel Category 7</v>
      </c>
      <c r="E849" s="115">
        <f>IF(DD_TOP_ACTV_11_Detailed_Currency_Used=2,SENS_DETAILED_COST_WKSHT!$F228*SENS_DETAILED_COST_WKSHT!G228,SENS_DETAILED_COST_WKSHT!$F228*(SENS_DETAILED_COST_WKSHT!G228*TOP_ACTV_11_Exchange_Rate))</f>
        <v>0</v>
      </c>
      <c r="F849" s="115">
        <f>IF(DD_TOP_ACTV_11_Detailed_Currency_Used=2,SENS_DETAILED_COST_WKSHT!$F228*SENS_DETAILED_COST_WKSHT!H228,SENS_DETAILED_COST_WKSHT!$F228*(SENS_DETAILED_COST_WKSHT!H228*TOP_ACTV_11_Exchange_Rate))</f>
        <v>0</v>
      </c>
      <c r="G849" s="116">
        <f t="shared" si="80"/>
        <v>0</v>
      </c>
      <c r="H849" s="116">
        <f t="shared" si="81"/>
        <v>0</v>
      </c>
    </row>
    <row r="850" spans="1:8" s="10" customFormat="1" outlineLevel="1" x14ac:dyDescent="0.2">
      <c r="D850" s="49" t="str">
        <f>SENS_DETAILED_COST_WKSHT!D229</f>
        <v>Personnel Category 8</v>
      </c>
      <c r="E850" s="115">
        <f>IF(DD_TOP_ACTV_11_Detailed_Currency_Used=2,SENS_DETAILED_COST_WKSHT!$F229*SENS_DETAILED_COST_WKSHT!G229,SENS_DETAILED_COST_WKSHT!$F229*(SENS_DETAILED_COST_WKSHT!G229*TOP_ACTV_11_Exchange_Rate))</f>
        <v>0</v>
      </c>
      <c r="F850" s="115">
        <f>IF(DD_TOP_ACTV_11_Detailed_Currency_Used=2,SENS_DETAILED_COST_WKSHT!$F229*SENS_DETAILED_COST_WKSHT!H229,SENS_DETAILED_COST_WKSHT!$F229*(SENS_DETAILED_COST_WKSHT!H229*TOP_ACTV_11_Exchange_Rate))</f>
        <v>0</v>
      </c>
      <c r="G850" s="116">
        <f t="shared" si="80"/>
        <v>0</v>
      </c>
      <c r="H850" s="116">
        <f t="shared" si="81"/>
        <v>0</v>
      </c>
    </row>
    <row r="851" spans="1:8" s="10" customFormat="1" outlineLevel="1" x14ac:dyDescent="0.2">
      <c r="D851" s="49" t="str">
        <f>SENS_DETAILED_COST_WKSHT!D230</f>
        <v>Personnel Category 9</v>
      </c>
      <c r="E851" s="115">
        <f>IF(DD_TOP_ACTV_11_Detailed_Currency_Used=2,SENS_DETAILED_COST_WKSHT!$F230*SENS_DETAILED_COST_WKSHT!G230,SENS_DETAILED_COST_WKSHT!$F230*(SENS_DETAILED_COST_WKSHT!G230*TOP_ACTV_11_Exchange_Rate))</f>
        <v>0</v>
      </c>
      <c r="F851" s="115">
        <f>IF(DD_TOP_ACTV_11_Detailed_Currency_Used=2,SENS_DETAILED_COST_WKSHT!$F230*SENS_DETAILED_COST_WKSHT!H230,SENS_DETAILED_COST_WKSHT!$F230*(SENS_DETAILED_COST_WKSHT!H230*TOP_ACTV_11_Exchange_Rate))</f>
        <v>0</v>
      </c>
      <c r="G851" s="116">
        <f t="shared" si="80"/>
        <v>0</v>
      </c>
      <c r="H851" s="116">
        <f t="shared" si="81"/>
        <v>0</v>
      </c>
    </row>
    <row r="852" spans="1:8" s="10" customFormat="1" outlineLevel="1" x14ac:dyDescent="0.2">
      <c r="D852" s="49" t="str">
        <f>SENS_DETAILED_COST_WKSHT!D231</f>
        <v>Personnel Category 10</v>
      </c>
      <c r="E852" s="115">
        <f>IF(DD_TOP_ACTV_11_Detailed_Currency_Used=2,SENS_DETAILED_COST_WKSHT!$F231*SENS_DETAILED_COST_WKSHT!G231,SENS_DETAILED_COST_WKSHT!$F231*(SENS_DETAILED_COST_WKSHT!G231*TOP_ACTV_11_Exchange_Rate))</f>
        <v>0</v>
      </c>
      <c r="F852" s="115">
        <f>IF(DD_TOP_ACTV_11_Detailed_Currency_Used=2,SENS_DETAILED_COST_WKSHT!$F231*SENS_DETAILED_COST_WKSHT!H231,SENS_DETAILED_COST_WKSHT!$F231*(SENS_DETAILED_COST_WKSHT!H231*TOP_ACTV_11_Exchange_Rate))</f>
        <v>0</v>
      </c>
      <c r="G852" s="116">
        <f t="shared" si="80"/>
        <v>0</v>
      </c>
      <c r="H852" s="116">
        <f t="shared" si="81"/>
        <v>0</v>
      </c>
    </row>
    <row r="853" spans="1:8" s="10" customFormat="1" outlineLevel="1" x14ac:dyDescent="0.2">
      <c r="D853" s="49" t="str">
        <f>SENS_DETAILED_COST_WKSHT!D232</f>
        <v>Personnel Category 11</v>
      </c>
      <c r="E853" s="115">
        <f>IF(DD_TOP_ACTV_11_Detailed_Currency_Used=2,SENS_DETAILED_COST_WKSHT!$F232*SENS_DETAILED_COST_WKSHT!G232,SENS_DETAILED_COST_WKSHT!$F232*(SENS_DETAILED_COST_WKSHT!G232*TOP_ACTV_11_Exchange_Rate))</f>
        <v>0</v>
      </c>
      <c r="F853" s="115">
        <f>IF(DD_TOP_ACTV_11_Detailed_Currency_Used=2,SENS_DETAILED_COST_WKSHT!$F232*SENS_DETAILED_COST_WKSHT!H232,SENS_DETAILED_COST_WKSHT!$F232*(SENS_DETAILED_COST_WKSHT!H232*TOP_ACTV_11_Exchange_Rate))</f>
        <v>0</v>
      </c>
      <c r="G853" s="116">
        <f t="shared" si="80"/>
        <v>0</v>
      </c>
      <c r="H853" s="116">
        <f t="shared" si="81"/>
        <v>0</v>
      </c>
    </row>
    <row r="854" spans="1:8" s="10" customFormat="1" outlineLevel="1" x14ac:dyDescent="0.2">
      <c r="D854" s="49" t="str">
        <f>SENS_DETAILED_COST_WKSHT!D233</f>
        <v>Personnel Category 12</v>
      </c>
      <c r="E854" s="115">
        <f>IF(DD_TOP_ACTV_11_Detailed_Currency_Used=2,SENS_DETAILED_COST_WKSHT!$F233*SENS_DETAILED_COST_WKSHT!G233,SENS_DETAILED_COST_WKSHT!$F233*(SENS_DETAILED_COST_WKSHT!G233*TOP_ACTV_11_Exchange_Rate))</f>
        <v>0</v>
      </c>
      <c r="F854" s="115">
        <f>IF(DD_TOP_ACTV_11_Detailed_Currency_Used=2,SENS_DETAILED_COST_WKSHT!$F233*SENS_DETAILED_COST_WKSHT!H233,SENS_DETAILED_COST_WKSHT!$F233*(SENS_DETAILED_COST_WKSHT!H233*TOP_ACTV_11_Exchange_Rate))</f>
        <v>0</v>
      </c>
      <c r="G854" s="116">
        <f t="shared" si="80"/>
        <v>0</v>
      </c>
      <c r="H854" s="116">
        <f t="shared" si="81"/>
        <v>0</v>
      </c>
    </row>
    <row r="855" spans="1:8" s="10" customFormat="1" outlineLevel="1" x14ac:dyDescent="0.2">
      <c r="D855" s="49" t="str">
        <f>SENS_DETAILED_COST_WKSHT!D234</f>
        <v>Personnel Category 13</v>
      </c>
      <c r="E855" s="115">
        <f>IF(DD_TOP_ACTV_11_Detailed_Currency_Used=2,SENS_DETAILED_COST_WKSHT!$F234*SENS_DETAILED_COST_WKSHT!G234,SENS_DETAILED_COST_WKSHT!$F234*(SENS_DETAILED_COST_WKSHT!G234*TOP_ACTV_11_Exchange_Rate))</f>
        <v>0</v>
      </c>
      <c r="F855" s="115">
        <f>IF(DD_TOP_ACTV_11_Detailed_Currency_Used=2,SENS_DETAILED_COST_WKSHT!$F234*SENS_DETAILED_COST_WKSHT!H234,SENS_DETAILED_COST_WKSHT!$F234*(SENS_DETAILED_COST_WKSHT!H234*TOP_ACTV_11_Exchange_Rate))</f>
        <v>0</v>
      </c>
      <c r="G855" s="116">
        <f t="shared" si="80"/>
        <v>0</v>
      </c>
      <c r="H855" s="116">
        <f t="shared" si="81"/>
        <v>0</v>
      </c>
    </row>
    <row r="856" spans="1:8" s="10" customFormat="1" outlineLevel="1" x14ac:dyDescent="0.2">
      <c r="D856" s="49" t="str">
        <f>SENS_DETAILED_COST_WKSHT!D235</f>
        <v>Personnel Category 14</v>
      </c>
      <c r="E856" s="115">
        <f>IF(DD_TOP_ACTV_11_Detailed_Currency_Used=2,SENS_DETAILED_COST_WKSHT!$F235*SENS_DETAILED_COST_WKSHT!G235,SENS_DETAILED_COST_WKSHT!$F235*(SENS_DETAILED_COST_WKSHT!G235*TOP_ACTV_11_Exchange_Rate))</f>
        <v>0</v>
      </c>
      <c r="F856" s="115">
        <f>IF(DD_TOP_ACTV_11_Detailed_Currency_Used=2,SENS_DETAILED_COST_WKSHT!$F235*SENS_DETAILED_COST_WKSHT!H235,SENS_DETAILED_COST_WKSHT!$F235*(SENS_DETAILED_COST_WKSHT!H235*TOP_ACTV_11_Exchange_Rate))</f>
        <v>0</v>
      </c>
      <c r="G856" s="116">
        <f t="shared" si="80"/>
        <v>0</v>
      </c>
      <c r="H856" s="116">
        <f t="shared" si="81"/>
        <v>0</v>
      </c>
    </row>
    <row r="857" spans="1:8" s="10" customFormat="1" outlineLevel="1" x14ac:dyDescent="0.2">
      <c r="D857" s="49" t="str">
        <f>SENS_DETAILED_COST_WKSHT!D236</f>
        <v>Personnel Category 15</v>
      </c>
      <c r="E857" s="115">
        <f>IF(DD_TOP_ACTV_11_Detailed_Currency_Used=2,SENS_DETAILED_COST_WKSHT!$F236*SENS_DETAILED_COST_WKSHT!G236,SENS_DETAILED_COST_WKSHT!$F236*(SENS_DETAILED_COST_WKSHT!G236*TOP_ACTV_11_Exchange_Rate))</f>
        <v>0</v>
      </c>
      <c r="F857" s="115">
        <f>IF(DD_TOP_ACTV_11_Detailed_Currency_Used=2,SENS_DETAILED_COST_WKSHT!$F236*SENS_DETAILED_COST_WKSHT!H236,SENS_DETAILED_COST_WKSHT!$F236*(SENS_DETAILED_COST_WKSHT!H236*TOP_ACTV_11_Exchange_Rate))</f>
        <v>0</v>
      </c>
      <c r="G857" s="116">
        <f t="shared" si="80"/>
        <v>0</v>
      </c>
      <c r="H857" s="116">
        <f t="shared" si="81"/>
        <v>0</v>
      </c>
    </row>
    <row r="858" spans="1:8" s="10" customFormat="1" outlineLevel="1" x14ac:dyDescent="0.2">
      <c r="D858" s="48" t="str">
        <f>Lang_Personnel</f>
        <v>Personnel</v>
      </c>
      <c r="E858" s="120">
        <f>SUM(E843:E857)</f>
        <v>0</v>
      </c>
      <c r="F858" s="120">
        <f>SUM(F843:F857)</f>
        <v>0</v>
      </c>
      <c r="G858" s="121">
        <f>SUM(G843:G857)</f>
        <v>0</v>
      </c>
      <c r="H858" s="121">
        <f>SUM(H843:H857)</f>
        <v>0</v>
      </c>
    </row>
    <row r="859" spans="1:8" s="10" customFormat="1" outlineLevel="1" x14ac:dyDescent="0.2"/>
    <row r="860" spans="1:8" s="10" customFormat="1" outlineLevel="1" x14ac:dyDescent="0.2"/>
    <row r="861" spans="1:8" s="10" customFormat="1" outlineLevel="1" x14ac:dyDescent="0.2">
      <c r="D861" s="76" t="str">
        <f>Lang_GoTo&amp;" "&amp;HL_TOP_ACTV_11_Personnel_Assumptions</f>
        <v>Go to  Sensitisation Activity # 3 (Not in Use) - Detailed Personnel Cost Assumptions</v>
      </c>
    </row>
    <row r="862" spans="1:8" s="10" customFormat="1" outlineLevel="1" x14ac:dyDescent="0.2">
      <c r="D862" s="76" t="str">
        <f>Lang_GoTo&amp;" "&amp;HL_TOP_ACTV_11_Cost_Summary_Output</f>
        <v>Go to  Sensitisation Activity # 3 (Not in Use) Detailed Cost Summary</v>
      </c>
    </row>
    <row r="863" spans="1:8" s="10" customFormat="1" x14ac:dyDescent="0.2"/>
    <row r="864" spans="1:8" s="13" customFormat="1" x14ac:dyDescent="0.2">
      <c r="A864" s="12" t="s">
        <v>127</v>
      </c>
      <c r="B864" s="13" t="str">
        <f>HL_TOP_ACTV_11_Name&amp;" "&amp;Lang_Allowances_Outputs</f>
        <v xml:space="preserve"> Sensitisation Activity # 3 (Not in Use) Allowances - Outputs</v>
      </c>
    </row>
    <row r="865" spans="3:8" s="10" customFormat="1" outlineLevel="1" x14ac:dyDescent="0.2"/>
    <row r="866" spans="3:8" s="10" customFormat="1" outlineLevel="1" x14ac:dyDescent="0.2">
      <c r="C866" s="114" t="str">
        <f>HL_TOP_ACTV_11_Name</f>
        <v xml:space="preserve"> Sensitisation Activity # 3 (Not in Use)</v>
      </c>
    </row>
    <row r="867" spans="3:8" s="10" customFormat="1" outlineLevel="1" x14ac:dyDescent="0.2">
      <c r="E867" s="86" t="str">
        <f>SENS_Lu!$D$102&amp;" "&amp;Lang_Cost&amp;" ("&amp;SENS_Lu!$D$83&amp;")"</f>
        <v>Financial Cost (LCU)</v>
      </c>
      <c r="F867" s="86" t="str">
        <f>SENS_Lu!$D$103&amp;" "&amp;Lang_Cost&amp;" ("&amp;SENS_Lu!$D$83&amp;")"</f>
        <v>Economic Cost (LCU)</v>
      </c>
      <c r="G867" s="86" t="str">
        <f>SENS_Lu!$D$102&amp;" "&amp;Lang_Cost&amp;" ("&amp;SENS_Lu!$D$82&amp;")"</f>
        <v>Financial Cost (USD)</v>
      </c>
      <c r="H867" s="86" t="str">
        <f>SENS_Lu!$D$103&amp;" "&amp;Lang_Cost&amp;" ("&amp;SENS_Lu!$D$82&amp;")"</f>
        <v>Economic Cost (USD)</v>
      </c>
    </row>
    <row r="868" spans="3:8" s="10" customFormat="1" outlineLevel="1" x14ac:dyDescent="0.2">
      <c r="D868" s="49" t="str">
        <f>SENS_DETAILED_COST_WKSHT!D245</f>
        <v>Allowances Category 1</v>
      </c>
      <c r="E868" s="115">
        <f>IF(DD_TOP_ACTV_11_Detailed_Currency_Used=2,SENS_DETAILED_COST_WKSHT!$F245*SENS_DETAILED_COST_WKSHT!G245,SENS_DETAILED_COST_WKSHT!$F245*(SENS_DETAILED_COST_WKSHT!G245*TOP_ACTV_11_Exchange_Rate))</f>
        <v>0</v>
      </c>
      <c r="F868" s="115">
        <f>IF(DD_TOP_ACTV_11_Detailed_Currency_Used=2,SENS_DETAILED_COST_WKSHT!$F245*SENS_DETAILED_COST_WKSHT!H245,SENS_DETAILED_COST_WKSHT!$F245*(SENS_DETAILED_COST_WKSHT!H245*TOP_ACTV_11_Exchange_Rate))</f>
        <v>0</v>
      </c>
      <c r="G868" s="116">
        <f t="shared" ref="G868:G877" si="82">E868/TOP_ACTV_11_Exchange_Rate</f>
        <v>0</v>
      </c>
      <c r="H868" s="116">
        <f t="shared" ref="H868:H877" si="83">F868/TOP_ACTV_11_Exchange_Rate</f>
        <v>0</v>
      </c>
    </row>
    <row r="869" spans="3:8" s="10" customFormat="1" outlineLevel="1" x14ac:dyDescent="0.2">
      <c r="D869" s="49" t="str">
        <f>SENS_DETAILED_COST_WKSHT!D246</f>
        <v>Allowances Category 2</v>
      </c>
      <c r="E869" s="115">
        <f>IF(DD_TOP_ACTV_11_Detailed_Currency_Used=2,SENS_DETAILED_COST_WKSHT!$F246*SENS_DETAILED_COST_WKSHT!G246,SENS_DETAILED_COST_WKSHT!$F246*(SENS_DETAILED_COST_WKSHT!G246*TOP_ACTV_11_Exchange_Rate))</f>
        <v>0</v>
      </c>
      <c r="F869" s="115">
        <f>IF(DD_TOP_ACTV_11_Detailed_Currency_Used=2,SENS_DETAILED_COST_WKSHT!$F246*SENS_DETAILED_COST_WKSHT!H246,SENS_DETAILED_COST_WKSHT!$F246*(SENS_DETAILED_COST_WKSHT!H246*TOP_ACTV_11_Exchange_Rate))</f>
        <v>0</v>
      </c>
      <c r="G869" s="116">
        <f t="shared" si="82"/>
        <v>0</v>
      </c>
      <c r="H869" s="116">
        <f t="shared" si="83"/>
        <v>0</v>
      </c>
    </row>
    <row r="870" spans="3:8" s="10" customFormat="1" outlineLevel="1" x14ac:dyDescent="0.2">
      <c r="D870" s="49" t="str">
        <f>SENS_DETAILED_COST_WKSHT!D247</f>
        <v>Allowances Category 3</v>
      </c>
      <c r="E870" s="115">
        <f>IF(DD_TOP_ACTV_11_Detailed_Currency_Used=2,SENS_DETAILED_COST_WKSHT!$F247*SENS_DETAILED_COST_WKSHT!G247,SENS_DETAILED_COST_WKSHT!$F247*(SENS_DETAILED_COST_WKSHT!G247*TOP_ACTV_11_Exchange_Rate))</f>
        <v>0</v>
      </c>
      <c r="F870" s="115">
        <f>IF(DD_TOP_ACTV_11_Detailed_Currency_Used=2,SENS_DETAILED_COST_WKSHT!$F247*SENS_DETAILED_COST_WKSHT!H247,SENS_DETAILED_COST_WKSHT!$F247*(SENS_DETAILED_COST_WKSHT!H247*TOP_ACTV_11_Exchange_Rate))</f>
        <v>0</v>
      </c>
      <c r="G870" s="116">
        <f t="shared" si="82"/>
        <v>0</v>
      </c>
      <c r="H870" s="116">
        <f t="shared" si="83"/>
        <v>0</v>
      </c>
    </row>
    <row r="871" spans="3:8" s="10" customFormat="1" outlineLevel="1" x14ac:dyDescent="0.2">
      <c r="D871" s="49" t="str">
        <f>SENS_DETAILED_COST_WKSHT!D248</f>
        <v>Allowances Category 4</v>
      </c>
      <c r="E871" s="115">
        <f>IF(DD_TOP_ACTV_11_Detailed_Currency_Used=2,SENS_DETAILED_COST_WKSHT!$F248*SENS_DETAILED_COST_WKSHT!G248,SENS_DETAILED_COST_WKSHT!$F248*(SENS_DETAILED_COST_WKSHT!G248*TOP_ACTV_11_Exchange_Rate))</f>
        <v>0</v>
      </c>
      <c r="F871" s="115">
        <f>IF(DD_TOP_ACTV_11_Detailed_Currency_Used=2,SENS_DETAILED_COST_WKSHT!$F248*SENS_DETAILED_COST_WKSHT!H248,SENS_DETAILED_COST_WKSHT!$F248*(SENS_DETAILED_COST_WKSHT!H248*TOP_ACTV_11_Exchange_Rate))</f>
        <v>0</v>
      </c>
      <c r="G871" s="116">
        <f t="shared" si="82"/>
        <v>0</v>
      </c>
      <c r="H871" s="116">
        <f t="shared" si="83"/>
        <v>0</v>
      </c>
    </row>
    <row r="872" spans="3:8" s="10" customFormat="1" outlineLevel="1" x14ac:dyDescent="0.2">
      <c r="D872" s="49" t="str">
        <f>SENS_DETAILED_COST_WKSHT!D249</f>
        <v>Allowances Category 5</v>
      </c>
      <c r="E872" s="115">
        <f>IF(DD_TOP_ACTV_11_Detailed_Currency_Used=2,SENS_DETAILED_COST_WKSHT!$F249*SENS_DETAILED_COST_WKSHT!G249,SENS_DETAILED_COST_WKSHT!$F249*(SENS_DETAILED_COST_WKSHT!G249*TOP_ACTV_11_Exchange_Rate))</f>
        <v>0</v>
      </c>
      <c r="F872" s="115">
        <f>IF(DD_TOP_ACTV_11_Detailed_Currency_Used=2,SENS_DETAILED_COST_WKSHT!$F249*SENS_DETAILED_COST_WKSHT!H249,SENS_DETAILED_COST_WKSHT!$F249*(SENS_DETAILED_COST_WKSHT!H249*TOP_ACTV_11_Exchange_Rate))</f>
        <v>0</v>
      </c>
      <c r="G872" s="116">
        <f t="shared" si="82"/>
        <v>0</v>
      </c>
      <c r="H872" s="116">
        <f t="shared" si="83"/>
        <v>0</v>
      </c>
    </row>
    <row r="873" spans="3:8" s="10" customFormat="1" outlineLevel="1" x14ac:dyDescent="0.2">
      <c r="D873" s="49" t="str">
        <f>SENS_DETAILED_COST_WKSHT!D250</f>
        <v>Allowances Category 6</v>
      </c>
      <c r="E873" s="115">
        <f>IF(DD_TOP_ACTV_11_Detailed_Currency_Used=2,SENS_DETAILED_COST_WKSHT!$F250*SENS_DETAILED_COST_WKSHT!G250,SENS_DETAILED_COST_WKSHT!$F250*(SENS_DETAILED_COST_WKSHT!G250*TOP_ACTV_11_Exchange_Rate))</f>
        <v>0</v>
      </c>
      <c r="F873" s="115">
        <f>IF(DD_TOP_ACTV_11_Detailed_Currency_Used=2,SENS_DETAILED_COST_WKSHT!$F250*SENS_DETAILED_COST_WKSHT!H250,SENS_DETAILED_COST_WKSHT!$F250*(SENS_DETAILED_COST_WKSHT!H250*TOP_ACTV_11_Exchange_Rate))</f>
        <v>0</v>
      </c>
      <c r="G873" s="116">
        <f t="shared" si="82"/>
        <v>0</v>
      </c>
      <c r="H873" s="116">
        <f t="shared" si="83"/>
        <v>0</v>
      </c>
    </row>
    <row r="874" spans="3:8" s="10" customFormat="1" outlineLevel="1" x14ac:dyDescent="0.2">
      <c r="D874" s="49" t="str">
        <f>SENS_DETAILED_COST_WKSHT!D251</f>
        <v>Allowances Category 7</v>
      </c>
      <c r="E874" s="115">
        <f>IF(DD_TOP_ACTV_11_Detailed_Currency_Used=2,SENS_DETAILED_COST_WKSHT!$F251*SENS_DETAILED_COST_WKSHT!G251,SENS_DETAILED_COST_WKSHT!$F251*(SENS_DETAILED_COST_WKSHT!G251*TOP_ACTV_11_Exchange_Rate))</f>
        <v>0</v>
      </c>
      <c r="F874" s="115">
        <f>IF(DD_TOP_ACTV_11_Detailed_Currency_Used=2,SENS_DETAILED_COST_WKSHT!$F251*SENS_DETAILED_COST_WKSHT!H251,SENS_DETAILED_COST_WKSHT!$F251*(SENS_DETAILED_COST_WKSHT!H251*TOP_ACTV_11_Exchange_Rate))</f>
        <v>0</v>
      </c>
      <c r="G874" s="116">
        <f t="shared" si="82"/>
        <v>0</v>
      </c>
      <c r="H874" s="116">
        <f t="shared" si="83"/>
        <v>0</v>
      </c>
    </row>
    <row r="875" spans="3:8" s="10" customFormat="1" outlineLevel="1" x14ac:dyDescent="0.2">
      <c r="D875" s="49" t="str">
        <f>SENS_DETAILED_COST_WKSHT!D252</f>
        <v>Allowances Category 8</v>
      </c>
      <c r="E875" s="115">
        <f>IF(DD_TOP_ACTV_11_Detailed_Currency_Used=2,SENS_DETAILED_COST_WKSHT!$F252*SENS_DETAILED_COST_WKSHT!G252,SENS_DETAILED_COST_WKSHT!$F252*(SENS_DETAILED_COST_WKSHT!G252*TOP_ACTV_11_Exchange_Rate))</f>
        <v>0</v>
      </c>
      <c r="F875" s="115">
        <f>IF(DD_TOP_ACTV_11_Detailed_Currency_Used=2,SENS_DETAILED_COST_WKSHT!$F252*SENS_DETAILED_COST_WKSHT!H252,SENS_DETAILED_COST_WKSHT!$F252*(SENS_DETAILED_COST_WKSHT!H252*TOP_ACTV_11_Exchange_Rate))</f>
        <v>0</v>
      </c>
      <c r="G875" s="116">
        <f t="shared" si="82"/>
        <v>0</v>
      </c>
      <c r="H875" s="116">
        <f t="shared" si="83"/>
        <v>0</v>
      </c>
    </row>
    <row r="876" spans="3:8" s="10" customFormat="1" outlineLevel="1" x14ac:dyDescent="0.2">
      <c r="D876" s="49" t="str">
        <f>SENS_DETAILED_COST_WKSHT!D253</f>
        <v>Allowances Category 9</v>
      </c>
      <c r="E876" s="115">
        <f>IF(DD_TOP_ACTV_11_Detailed_Currency_Used=2,SENS_DETAILED_COST_WKSHT!$F253*SENS_DETAILED_COST_WKSHT!G253,SENS_DETAILED_COST_WKSHT!$F253*(SENS_DETAILED_COST_WKSHT!G253*TOP_ACTV_11_Exchange_Rate))</f>
        <v>0</v>
      </c>
      <c r="F876" s="115">
        <f>IF(DD_TOP_ACTV_11_Detailed_Currency_Used=2,SENS_DETAILED_COST_WKSHT!$F253*SENS_DETAILED_COST_WKSHT!H253,SENS_DETAILED_COST_WKSHT!$F253*(SENS_DETAILED_COST_WKSHT!H253*TOP_ACTV_11_Exchange_Rate))</f>
        <v>0</v>
      </c>
      <c r="G876" s="116">
        <f t="shared" si="82"/>
        <v>0</v>
      </c>
      <c r="H876" s="116">
        <f t="shared" si="83"/>
        <v>0</v>
      </c>
    </row>
    <row r="877" spans="3:8" s="10" customFormat="1" outlineLevel="1" x14ac:dyDescent="0.2">
      <c r="D877" s="49" t="str">
        <f>SENS_DETAILED_COST_WKSHT!D254</f>
        <v>Allowances Category 10</v>
      </c>
      <c r="E877" s="115">
        <f>IF(DD_TOP_ACTV_11_Detailed_Currency_Used=2,SENS_DETAILED_COST_WKSHT!$F254*SENS_DETAILED_COST_WKSHT!G254,SENS_DETAILED_COST_WKSHT!$F254*(SENS_DETAILED_COST_WKSHT!G254*TOP_ACTV_11_Exchange_Rate))</f>
        <v>0</v>
      </c>
      <c r="F877" s="115">
        <f>IF(DD_TOP_ACTV_11_Detailed_Currency_Used=2,SENS_DETAILED_COST_WKSHT!$F254*SENS_DETAILED_COST_WKSHT!H254,SENS_DETAILED_COST_WKSHT!$F254*(SENS_DETAILED_COST_WKSHT!H254*TOP_ACTV_11_Exchange_Rate))</f>
        <v>0</v>
      </c>
      <c r="G877" s="116">
        <f t="shared" si="82"/>
        <v>0</v>
      </c>
      <c r="H877" s="116">
        <f t="shared" si="83"/>
        <v>0</v>
      </c>
    </row>
    <row r="878" spans="3:8" s="10" customFormat="1" outlineLevel="1" x14ac:dyDescent="0.2">
      <c r="D878" s="48" t="str">
        <f>Lang_Allowances</f>
        <v>Allowances</v>
      </c>
      <c r="E878" s="120">
        <f>SUM(E868:E877)</f>
        <v>0</v>
      </c>
      <c r="F878" s="120">
        <f>SUM(F868:F877)</f>
        <v>0</v>
      </c>
      <c r="G878" s="121">
        <f>SUM(G868:G877)</f>
        <v>0</v>
      </c>
      <c r="H878" s="121">
        <f>SUM(H868:H877)</f>
        <v>0</v>
      </c>
    </row>
    <row r="879" spans="3:8" s="10" customFormat="1" outlineLevel="1" x14ac:dyDescent="0.2"/>
    <row r="880" spans="3:8" s="10" customFormat="1" outlineLevel="1" x14ac:dyDescent="0.2"/>
    <row r="881" spans="1:8" s="10" customFormat="1" outlineLevel="1" x14ac:dyDescent="0.2">
      <c r="D881" s="76" t="str">
        <f>Lang_GoTo&amp;" "&amp;HL_TOP_ACTV_11_Ass_A</f>
        <v>Go to  Sensitisation Activity # 3 (Not in Use) - Detailed Allowance Cost Assumptions</v>
      </c>
    </row>
    <row r="882" spans="1:8" s="10" customFormat="1" outlineLevel="1" x14ac:dyDescent="0.2">
      <c r="D882" s="76" t="str">
        <f>Lang_GoTo&amp;" "&amp;HL_TOP_ACTV_11_Cost_Summary_Output</f>
        <v>Go to  Sensitisation Activity # 3 (Not in Use) Detailed Cost Summary</v>
      </c>
    </row>
    <row r="883" spans="1:8" s="10" customFormat="1" x14ac:dyDescent="0.2"/>
    <row r="884" spans="1:8" s="13" customFormat="1" x14ac:dyDescent="0.2">
      <c r="A884" s="12" t="s">
        <v>127</v>
      </c>
      <c r="B884" s="13" t="str">
        <f>HL_TOP_ACTV_11_Name&amp;" "&amp;Lang_Supplies_And_Materials_Outputs</f>
        <v xml:space="preserve"> Sensitisation Activity # 3 (Not in Use) Supplies and Materials - Outputs</v>
      </c>
    </row>
    <row r="885" spans="1:8" s="10" customFormat="1" outlineLevel="1" x14ac:dyDescent="0.2"/>
    <row r="886" spans="1:8" s="10" customFormat="1" outlineLevel="1" x14ac:dyDescent="0.2">
      <c r="C886" s="114" t="str">
        <f>HL_TOP_ACTV_11_Name</f>
        <v xml:space="preserve"> Sensitisation Activity # 3 (Not in Use)</v>
      </c>
    </row>
    <row r="887" spans="1:8" s="10" customFormat="1" outlineLevel="1" x14ac:dyDescent="0.2">
      <c r="E887" s="86" t="str">
        <f>SENS_Lu!$D$102&amp;" "&amp;Lang_Cost&amp;" ("&amp;SENS_Lu!$D$83&amp;")"</f>
        <v>Financial Cost (LCU)</v>
      </c>
      <c r="F887" s="86" t="str">
        <f>SENS_Lu!$D$103&amp;" "&amp;Lang_Cost&amp;" ("&amp;SENS_Lu!$D$83&amp;")"</f>
        <v>Economic Cost (LCU)</v>
      </c>
      <c r="G887" s="86" t="str">
        <f>SENS_Lu!$D$102&amp;" "&amp;Lang_Cost&amp;" ("&amp;SENS_Lu!$D$82&amp;")"</f>
        <v>Financial Cost (USD)</v>
      </c>
      <c r="H887" s="86" t="str">
        <f>SENS_Lu!$D$103&amp;" "&amp;Lang_Cost&amp;" ("&amp;SENS_Lu!$D$82&amp;")"</f>
        <v>Economic Cost (USD)</v>
      </c>
    </row>
    <row r="888" spans="1:8" s="10" customFormat="1" outlineLevel="1" x14ac:dyDescent="0.2">
      <c r="D888" s="49" t="str">
        <f>SENS_DETAILED_COST_WKSHT!D263</f>
        <v>Supplies and Materials Category 1</v>
      </c>
      <c r="E888" s="115">
        <f>IF(DD_TOP_ACTV_11_Detailed_Currency_Used=2,SENS_DETAILED_COST_WKSHT!$F263*SENS_DETAILED_COST_WKSHT!G263,SENS_DETAILED_COST_WKSHT!$F263*(SENS_DETAILED_COST_WKSHT!G263*TOP_ACTV_11_Exchange_Rate))</f>
        <v>0</v>
      </c>
      <c r="F888" s="115">
        <f>IF(DD_TOP_ACTV_11_Detailed_Currency_Used=2,SENS_DETAILED_COST_WKSHT!$F263*SENS_DETAILED_COST_WKSHT!H263,SENS_DETAILED_COST_WKSHT!$F263*(SENS_DETAILED_COST_WKSHT!H263*TOP_ACTV_11_Exchange_Rate))</f>
        <v>0</v>
      </c>
      <c r="G888" s="116">
        <f t="shared" ref="G888:G897" si="84">E888/TOP_ACTV_11_Exchange_Rate</f>
        <v>0</v>
      </c>
      <c r="H888" s="116">
        <f t="shared" ref="H888:H897" si="85">F888/TOP_ACTV_11_Exchange_Rate</f>
        <v>0</v>
      </c>
    </row>
    <row r="889" spans="1:8" s="10" customFormat="1" outlineLevel="1" x14ac:dyDescent="0.2">
      <c r="D889" s="49" t="str">
        <f>SENS_DETAILED_COST_WKSHT!D264</f>
        <v>Supplies and Materials Category 2</v>
      </c>
      <c r="E889" s="115">
        <f>IF(DD_TOP_ACTV_11_Detailed_Currency_Used=2,SENS_DETAILED_COST_WKSHT!$F264*SENS_DETAILED_COST_WKSHT!G264,SENS_DETAILED_COST_WKSHT!$F264*(SENS_DETAILED_COST_WKSHT!G264*TOP_ACTV_11_Exchange_Rate))</f>
        <v>0</v>
      </c>
      <c r="F889" s="115">
        <f>IF(DD_TOP_ACTV_11_Detailed_Currency_Used=2,SENS_DETAILED_COST_WKSHT!$F264*SENS_DETAILED_COST_WKSHT!H264,SENS_DETAILED_COST_WKSHT!$F264*(SENS_DETAILED_COST_WKSHT!H264*TOP_ACTV_11_Exchange_Rate))</f>
        <v>0</v>
      </c>
      <c r="G889" s="116">
        <f t="shared" si="84"/>
        <v>0</v>
      </c>
      <c r="H889" s="116">
        <f t="shared" si="85"/>
        <v>0</v>
      </c>
    </row>
    <row r="890" spans="1:8" s="10" customFormat="1" outlineLevel="1" x14ac:dyDescent="0.2">
      <c r="D890" s="49" t="str">
        <f>SENS_DETAILED_COST_WKSHT!D265</f>
        <v>Supplies and Materials Category 3</v>
      </c>
      <c r="E890" s="115">
        <f>IF(DD_TOP_ACTV_11_Detailed_Currency_Used=2,SENS_DETAILED_COST_WKSHT!$F265*SENS_DETAILED_COST_WKSHT!G265,SENS_DETAILED_COST_WKSHT!$F265*(SENS_DETAILED_COST_WKSHT!G265*TOP_ACTV_11_Exchange_Rate))</f>
        <v>0</v>
      </c>
      <c r="F890" s="115">
        <f>IF(DD_TOP_ACTV_11_Detailed_Currency_Used=2,SENS_DETAILED_COST_WKSHT!$F265*SENS_DETAILED_COST_WKSHT!H265,SENS_DETAILED_COST_WKSHT!$F265*(SENS_DETAILED_COST_WKSHT!H265*TOP_ACTV_11_Exchange_Rate))</f>
        <v>0</v>
      </c>
      <c r="G890" s="116">
        <f t="shared" si="84"/>
        <v>0</v>
      </c>
      <c r="H890" s="116">
        <f t="shared" si="85"/>
        <v>0</v>
      </c>
    </row>
    <row r="891" spans="1:8" s="10" customFormat="1" outlineLevel="1" x14ac:dyDescent="0.2">
      <c r="D891" s="49" t="str">
        <f>SENS_DETAILED_COST_WKSHT!D266</f>
        <v>Supplies and Materials Category 4</v>
      </c>
      <c r="E891" s="115">
        <f>IF(DD_TOP_ACTV_11_Detailed_Currency_Used=2,SENS_DETAILED_COST_WKSHT!$F266*SENS_DETAILED_COST_WKSHT!G266,SENS_DETAILED_COST_WKSHT!$F266*(SENS_DETAILED_COST_WKSHT!G266*TOP_ACTV_11_Exchange_Rate))</f>
        <v>0</v>
      </c>
      <c r="F891" s="115">
        <f>IF(DD_TOP_ACTV_11_Detailed_Currency_Used=2,SENS_DETAILED_COST_WKSHT!$F266*SENS_DETAILED_COST_WKSHT!H266,SENS_DETAILED_COST_WKSHT!$F266*(SENS_DETAILED_COST_WKSHT!H266*TOP_ACTV_11_Exchange_Rate))</f>
        <v>0</v>
      </c>
      <c r="G891" s="116">
        <f t="shared" si="84"/>
        <v>0</v>
      </c>
      <c r="H891" s="116">
        <f t="shared" si="85"/>
        <v>0</v>
      </c>
    </row>
    <row r="892" spans="1:8" s="10" customFormat="1" outlineLevel="1" x14ac:dyDescent="0.2">
      <c r="D892" s="49" t="str">
        <f>SENS_DETAILED_COST_WKSHT!D267</f>
        <v>Supplies and Materials Category 5</v>
      </c>
      <c r="E892" s="115">
        <f>IF(DD_TOP_ACTV_11_Detailed_Currency_Used=2,SENS_DETAILED_COST_WKSHT!$F267*SENS_DETAILED_COST_WKSHT!G267,SENS_DETAILED_COST_WKSHT!$F267*(SENS_DETAILED_COST_WKSHT!G267*TOP_ACTV_11_Exchange_Rate))</f>
        <v>0</v>
      </c>
      <c r="F892" s="115">
        <f>IF(DD_TOP_ACTV_11_Detailed_Currency_Used=2,SENS_DETAILED_COST_WKSHT!$F267*SENS_DETAILED_COST_WKSHT!H267,SENS_DETAILED_COST_WKSHT!$F267*(SENS_DETAILED_COST_WKSHT!H267*TOP_ACTV_11_Exchange_Rate))</f>
        <v>0</v>
      </c>
      <c r="G892" s="116">
        <f t="shared" si="84"/>
        <v>0</v>
      </c>
      <c r="H892" s="116">
        <f t="shared" si="85"/>
        <v>0</v>
      </c>
    </row>
    <row r="893" spans="1:8" s="10" customFormat="1" outlineLevel="1" x14ac:dyDescent="0.2">
      <c r="D893" s="49" t="str">
        <f>SENS_DETAILED_COST_WKSHT!D268</f>
        <v>Supplies and Materials Category 6</v>
      </c>
      <c r="E893" s="115">
        <f>IF(DD_TOP_ACTV_11_Detailed_Currency_Used=2,SENS_DETAILED_COST_WKSHT!$F268*SENS_DETAILED_COST_WKSHT!G268,SENS_DETAILED_COST_WKSHT!$F268*(SENS_DETAILED_COST_WKSHT!G268*TOP_ACTV_11_Exchange_Rate))</f>
        <v>0</v>
      </c>
      <c r="F893" s="115">
        <f>IF(DD_TOP_ACTV_11_Detailed_Currency_Used=2,SENS_DETAILED_COST_WKSHT!$F268*SENS_DETAILED_COST_WKSHT!H268,SENS_DETAILED_COST_WKSHT!$F268*(SENS_DETAILED_COST_WKSHT!H268*TOP_ACTV_11_Exchange_Rate))</f>
        <v>0</v>
      </c>
      <c r="G893" s="116">
        <f t="shared" si="84"/>
        <v>0</v>
      </c>
      <c r="H893" s="116">
        <f t="shared" si="85"/>
        <v>0</v>
      </c>
    </row>
    <row r="894" spans="1:8" s="10" customFormat="1" outlineLevel="1" x14ac:dyDescent="0.2">
      <c r="D894" s="49" t="str">
        <f>SENS_DETAILED_COST_WKSHT!D269</f>
        <v>Supplies and Materials Category 7</v>
      </c>
      <c r="E894" s="115">
        <f>IF(DD_TOP_ACTV_11_Detailed_Currency_Used=2,SENS_DETAILED_COST_WKSHT!$F269*SENS_DETAILED_COST_WKSHT!G269,SENS_DETAILED_COST_WKSHT!$F269*(SENS_DETAILED_COST_WKSHT!G269*TOP_ACTV_11_Exchange_Rate))</f>
        <v>0</v>
      </c>
      <c r="F894" s="115">
        <f>IF(DD_TOP_ACTV_11_Detailed_Currency_Used=2,SENS_DETAILED_COST_WKSHT!$F269*SENS_DETAILED_COST_WKSHT!H269,SENS_DETAILED_COST_WKSHT!$F269*(SENS_DETAILED_COST_WKSHT!H269*TOP_ACTV_11_Exchange_Rate))</f>
        <v>0</v>
      </c>
      <c r="G894" s="116">
        <f t="shared" si="84"/>
        <v>0</v>
      </c>
      <c r="H894" s="116">
        <f t="shared" si="85"/>
        <v>0</v>
      </c>
    </row>
    <row r="895" spans="1:8" s="10" customFormat="1" outlineLevel="1" x14ac:dyDescent="0.2">
      <c r="D895" s="49" t="str">
        <f>SENS_DETAILED_COST_WKSHT!D270</f>
        <v>Supplies and Materials Category 8</v>
      </c>
      <c r="E895" s="115">
        <f>IF(DD_TOP_ACTV_11_Detailed_Currency_Used=2,SENS_DETAILED_COST_WKSHT!$F270*SENS_DETAILED_COST_WKSHT!G270,SENS_DETAILED_COST_WKSHT!$F270*(SENS_DETAILED_COST_WKSHT!G270*TOP_ACTV_11_Exchange_Rate))</f>
        <v>0</v>
      </c>
      <c r="F895" s="115">
        <f>IF(DD_TOP_ACTV_11_Detailed_Currency_Used=2,SENS_DETAILED_COST_WKSHT!$F270*SENS_DETAILED_COST_WKSHT!H270,SENS_DETAILED_COST_WKSHT!$F270*(SENS_DETAILED_COST_WKSHT!H270*TOP_ACTV_11_Exchange_Rate))</f>
        <v>0</v>
      </c>
      <c r="G895" s="116">
        <f t="shared" si="84"/>
        <v>0</v>
      </c>
      <c r="H895" s="116">
        <f t="shared" si="85"/>
        <v>0</v>
      </c>
    </row>
    <row r="896" spans="1:8" s="10" customFormat="1" outlineLevel="1" x14ac:dyDescent="0.2">
      <c r="D896" s="49" t="str">
        <f>SENS_DETAILED_COST_WKSHT!D271</f>
        <v>Supplies and Materials Category 9</v>
      </c>
      <c r="E896" s="115">
        <f>IF(DD_TOP_ACTV_11_Detailed_Currency_Used=2,SENS_DETAILED_COST_WKSHT!$F271*SENS_DETAILED_COST_WKSHT!G271,SENS_DETAILED_COST_WKSHT!$F271*(SENS_DETAILED_COST_WKSHT!G271*TOP_ACTV_11_Exchange_Rate))</f>
        <v>0</v>
      </c>
      <c r="F896" s="115">
        <f>IF(DD_TOP_ACTV_11_Detailed_Currency_Used=2,SENS_DETAILED_COST_WKSHT!$F271*SENS_DETAILED_COST_WKSHT!H271,SENS_DETAILED_COST_WKSHT!$F271*(SENS_DETAILED_COST_WKSHT!H271*TOP_ACTV_11_Exchange_Rate))</f>
        <v>0</v>
      </c>
      <c r="G896" s="116">
        <f t="shared" si="84"/>
        <v>0</v>
      </c>
      <c r="H896" s="116">
        <f t="shared" si="85"/>
        <v>0</v>
      </c>
    </row>
    <row r="897" spans="1:8" s="10" customFormat="1" outlineLevel="1" x14ac:dyDescent="0.2">
      <c r="D897" s="49" t="str">
        <f>SENS_DETAILED_COST_WKSHT!D272</f>
        <v>Supplies and Materials Category 10</v>
      </c>
      <c r="E897" s="115">
        <f>IF(DD_TOP_ACTV_11_Detailed_Currency_Used=2,SENS_DETAILED_COST_WKSHT!$F272*SENS_DETAILED_COST_WKSHT!G272,SENS_DETAILED_COST_WKSHT!$F272*(SENS_DETAILED_COST_WKSHT!G272*TOP_ACTV_11_Exchange_Rate))</f>
        <v>0</v>
      </c>
      <c r="F897" s="115">
        <f>IF(DD_TOP_ACTV_11_Detailed_Currency_Used=2,SENS_DETAILED_COST_WKSHT!$F272*SENS_DETAILED_COST_WKSHT!H272,SENS_DETAILED_COST_WKSHT!$F272*(SENS_DETAILED_COST_WKSHT!H272*TOP_ACTV_11_Exchange_Rate))</f>
        <v>0</v>
      </c>
      <c r="G897" s="116">
        <f t="shared" si="84"/>
        <v>0</v>
      </c>
      <c r="H897" s="116">
        <f t="shared" si="85"/>
        <v>0</v>
      </c>
    </row>
    <row r="898" spans="1:8" s="10" customFormat="1" outlineLevel="1" x14ac:dyDescent="0.2">
      <c r="D898" s="48" t="str">
        <f>Lang_Supplies_And_Materials</f>
        <v>Supplies and Materials</v>
      </c>
      <c r="E898" s="120">
        <f>SUM(E888:E897)</f>
        <v>0</v>
      </c>
      <c r="F898" s="120">
        <f>SUM(F888:F897)</f>
        <v>0</v>
      </c>
      <c r="G898" s="121">
        <f>SUM(G888:G897)</f>
        <v>0</v>
      </c>
      <c r="H898" s="121">
        <f>SUM(H888:H897)</f>
        <v>0</v>
      </c>
    </row>
    <row r="899" spans="1:8" s="10" customFormat="1" outlineLevel="1" x14ac:dyDescent="0.2"/>
    <row r="900" spans="1:8" s="10" customFormat="1" outlineLevel="1" x14ac:dyDescent="0.2"/>
    <row r="901" spans="1:8" s="10" customFormat="1" outlineLevel="1" x14ac:dyDescent="0.2">
      <c r="D901" s="76" t="str">
        <f>Lang_GoTo&amp;" "&amp;HL_TOP_ACTV_11_Supplies_and_Materials</f>
        <v>Go to  Sensitisation Activity # 3 (Not in Use) - Detailed Supply and Material Cost Assumptions</v>
      </c>
    </row>
    <row r="902" spans="1:8" s="10" customFormat="1" outlineLevel="1" x14ac:dyDescent="0.2">
      <c r="D902" s="76" t="str">
        <f>Lang_GoTo&amp;" "&amp;HL_TOP_ACTV_11_Cost_Summary_Output</f>
        <v>Go to  Sensitisation Activity # 3 (Not in Use) Detailed Cost Summary</v>
      </c>
    </row>
    <row r="903" spans="1:8" s="10" customFormat="1" x14ac:dyDescent="0.2"/>
    <row r="904" spans="1:8" s="13" customFormat="1" x14ac:dyDescent="0.2">
      <c r="A904" s="12" t="s">
        <v>127</v>
      </c>
      <c r="B904" s="13" t="str">
        <f>HL_TOP_ACTV_11_Name&amp;" "&amp;Lang_Other_Direct_Costs_Outputs</f>
        <v xml:space="preserve"> Sensitisation Activity # 3 (Not in Use) Other Direct Costs - Outputs</v>
      </c>
    </row>
    <row r="905" spans="1:8" s="10" customFormat="1" outlineLevel="1" x14ac:dyDescent="0.2"/>
    <row r="906" spans="1:8" s="10" customFormat="1" outlineLevel="1" x14ac:dyDescent="0.2">
      <c r="C906" s="114" t="str">
        <f>HL_TOP_ACTV_11_Name</f>
        <v xml:space="preserve"> Sensitisation Activity # 3 (Not in Use)</v>
      </c>
    </row>
    <row r="907" spans="1:8" s="10" customFormat="1" outlineLevel="1" x14ac:dyDescent="0.2">
      <c r="E907" s="86" t="str">
        <f>SENS_Lu!$D$102&amp;" "&amp;Lang_Cost&amp;" ("&amp;SENS_Lu!$D$83&amp;")"</f>
        <v>Financial Cost (LCU)</v>
      </c>
      <c r="F907" s="86" t="str">
        <f>SENS_Lu!$D$103&amp;" "&amp;Lang_Cost&amp;" ("&amp;SENS_Lu!$D$83&amp;")"</f>
        <v>Economic Cost (LCU)</v>
      </c>
      <c r="G907" s="86" t="str">
        <f>SENS_Lu!$D$102&amp;" "&amp;Lang_Cost&amp;" ("&amp;SENS_Lu!$D$82&amp;")"</f>
        <v>Financial Cost (USD)</v>
      </c>
      <c r="H907" s="86" t="str">
        <f>SENS_Lu!$D$103&amp;" "&amp;Lang_Cost&amp;" ("&amp;SENS_Lu!$D$82&amp;")"</f>
        <v>Economic Cost (USD)</v>
      </c>
    </row>
    <row r="908" spans="1:8" s="10" customFormat="1" outlineLevel="1" x14ac:dyDescent="0.2">
      <c r="D908" s="49" t="str">
        <f>SENS_DETAILED_COST_WKSHT!D281</f>
        <v>Other Direct Costs (ODC) Category 1</v>
      </c>
      <c r="E908" s="115">
        <f>IF(DD_TOP_ACTV_11_Detailed_Currency_Used=2,SENS_DETAILED_COST_WKSHT!$F281*SENS_DETAILED_COST_WKSHT!G281,SENS_DETAILED_COST_WKSHT!$F281*(SENS_DETAILED_COST_WKSHT!G281*TOP_ACTV_11_Exchange_Rate))</f>
        <v>0</v>
      </c>
      <c r="F908" s="115">
        <f>IF(DD_TOP_ACTV_11_Detailed_Currency_Used=2,SENS_DETAILED_COST_WKSHT!$F281*SENS_DETAILED_COST_WKSHT!H281,SENS_DETAILED_COST_WKSHT!$F281*(SENS_DETAILED_COST_WKSHT!H281*TOP_ACTV_11_Exchange_Rate))</f>
        <v>0</v>
      </c>
      <c r="G908" s="116">
        <f t="shared" ref="G908:G917" si="86">E908/TOP_ACTV_11_Exchange_Rate</f>
        <v>0</v>
      </c>
      <c r="H908" s="116">
        <f t="shared" ref="H908:H917" si="87">F908/TOP_ACTV_11_Exchange_Rate</f>
        <v>0</v>
      </c>
    </row>
    <row r="909" spans="1:8" s="10" customFormat="1" outlineLevel="1" x14ac:dyDescent="0.2">
      <c r="D909" s="49" t="str">
        <f>SENS_DETAILED_COST_WKSHT!D282</f>
        <v>Other Direct Costs (ODC) Category 2</v>
      </c>
      <c r="E909" s="115">
        <f>IF(DD_TOP_ACTV_11_Detailed_Currency_Used=2,SENS_DETAILED_COST_WKSHT!$F282*SENS_DETAILED_COST_WKSHT!G282,SENS_DETAILED_COST_WKSHT!$F282*(SENS_DETAILED_COST_WKSHT!G282*TOP_ACTV_11_Exchange_Rate))</f>
        <v>0</v>
      </c>
      <c r="F909" s="115">
        <f>IF(DD_TOP_ACTV_11_Detailed_Currency_Used=2,SENS_DETAILED_COST_WKSHT!$F282*SENS_DETAILED_COST_WKSHT!H282,SENS_DETAILED_COST_WKSHT!$F282*(SENS_DETAILED_COST_WKSHT!H282*TOP_ACTV_11_Exchange_Rate))</f>
        <v>0</v>
      </c>
      <c r="G909" s="116">
        <f t="shared" si="86"/>
        <v>0</v>
      </c>
      <c r="H909" s="116">
        <f t="shared" si="87"/>
        <v>0</v>
      </c>
    </row>
    <row r="910" spans="1:8" s="10" customFormat="1" outlineLevel="1" x14ac:dyDescent="0.2">
      <c r="D910" s="49" t="str">
        <f>SENS_DETAILED_COST_WKSHT!D283</f>
        <v>Other Direct Costs (ODC) Category 3</v>
      </c>
      <c r="E910" s="115">
        <f>IF(DD_TOP_ACTV_11_Detailed_Currency_Used=2,SENS_DETAILED_COST_WKSHT!$F283*SENS_DETAILED_COST_WKSHT!G283,SENS_DETAILED_COST_WKSHT!$F283*(SENS_DETAILED_COST_WKSHT!G283*TOP_ACTV_11_Exchange_Rate))</f>
        <v>0</v>
      </c>
      <c r="F910" s="115">
        <f>IF(DD_TOP_ACTV_11_Detailed_Currency_Used=2,SENS_DETAILED_COST_WKSHT!$F283*SENS_DETAILED_COST_WKSHT!H283,SENS_DETAILED_COST_WKSHT!$F283*(SENS_DETAILED_COST_WKSHT!H283*TOP_ACTV_11_Exchange_Rate))</f>
        <v>0</v>
      </c>
      <c r="G910" s="116">
        <f t="shared" si="86"/>
        <v>0</v>
      </c>
      <c r="H910" s="116">
        <f t="shared" si="87"/>
        <v>0</v>
      </c>
    </row>
    <row r="911" spans="1:8" s="10" customFormat="1" outlineLevel="1" x14ac:dyDescent="0.2">
      <c r="D911" s="49" t="str">
        <f>SENS_DETAILED_COST_WKSHT!D284</f>
        <v>Other Direct Costs (ODC) Category 4</v>
      </c>
      <c r="E911" s="115">
        <f>IF(DD_TOP_ACTV_11_Detailed_Currency_Used=2,SENS_DETAILED_COST_WKSHT!$F284*SENS_DETAILED_COST_WKSHT!G284,SENS_DETAILED_COST_WKSHT!$F284*(SENS_DETAILED_COST_WKSHT!G284*TOP_ACTV_11_Exchange_Rate))</f>
        <v>0</v>
      </c>
      <c r="F911" s="115">
        <f>IF(DD_TOP_ACTV_11_Detailed_Currency_Used=2,SENS_DETAILED_COST_WKSHT!$F284*SENS_DETAILED_COST_WKSHT!H284,SENS_DETAILED_COST_WKSHT!$F284*(SENS_DETAILED_COST_WKSHT!H284*TOP_ACTV_11_Exchange_Rate))</f>
        <v>0</v>
      </c>
      <c r="G911" s="116">
        <f t="shared" si="86"/>
        <v>0</v>
      </c>
      <c r="H911" s="116">
        <f t="shared" si="87"/>
        <v>0</v>
      </c>
    </row>
    <row r="912" spans="1:8" s="10" customFormat="1" outlineLevel="1" x14ac:dyDescent="0.2">
      <c r="D912" s="49" t="str">
        <f>SENS_DETAILED_COST_WKSHT!D285</f>
        <v>Other Direct Costs (ODC) Category 5</v>
      </c>
      <c r="E912" s="115">
        <f>IF(DD_TOP_ACTV_11_Detailed_Currency_Used=2,SENS_DETAILED_COST_WKSHT!$F285*SENS_DETAILED_COST_WKSHT!G285,SENS_DETAILED_COST_WKSHT!$F285*(SENS_DETAILED_COST_WKSHT!G285*TOP_ACTV_11_Exchange_Rate))</f>
        <v>0</v>
      </c>
      <c r="F912" s="115">
        <f>IF(DD_TOP_ACTV_11_Detailed_Currency_Used=2,SENS_DETAILED_COST_WKSHT!$F285*SENS_DETAILED_COST_WKSHT!H285,SENS_DETAILED_COST_WKSHT!$F285*(SENS_DETAILED_COST_WKSHT!H285*TOP_ACTV_11_Exchange_Rate))</f>
        <v>0</v>
      </c>
      <c r="G912" s="116">
        <f t="shared" si="86"/>
        <v>0</v>
      </c>
      <c r="H912" s="116">
        <f t="shared" si="87"/>
        <v>0</v>
      </c>
    </row>
    <row r="913" spans="1:8" s="10" customFormat="1" outlineLevel="1" x14ac:dyDescent="0.2">
      <c r="D913" s="49" t="str">
        <f>SENS_DETAILED_COST_WKSHT!D286</f>
        <v>Other Direct Costs (ODC) Category 6</v>
      </c>
      <c r="E913" s="115">
        <f>IF(DD_TOP_ACTV_11_Detailed_Currency_Used=2,SENS_DETAILED_COST_WKSHT!$F286*SENS_DETAILED_COST_WKSHT!G286,SENS_DETAILED_COST_WKSHT!$F286*(SENS_DETAILED_COST_WKSHT!G286*TOP_ACTV_11_Exchange_Rate))</f>
        <v>0</v>
      </c>
      <c r="F913" s="115">
        <f>IF(DD_TOP_ACTV_11_Detailed_Currency_Used=2,SENS_DETAILED_COST_WKSHT!$F286*SENS_DETAILED_COST_WKSHT!H286,SENS_DETAILED_COST_WKSHT!$F286*(SENS_DETAILED_COST_WKSHT!H286*TOP_ACTV_11_Exchange_Rate))</f>
        <v>0</v>
      </c>
      <c r="G913" s="116">
        <f t="shared" si="86"/>
        <v>0</v>
      </c>
      <c r="H913" s="116">
        <f t="shared" si="87"/>
        <v>0</v>
      </c>
    </row>
    <row r="914" spans="1:8" s="10" customFormat="1" outlineLevel="1" x14ac:dyDescent="0.2">
      <c r="D914" s="49" t="str">
        <f>SENS_DETAILED_COST_WKSHT!D287</f>
        <v>Other Direct Costs (ODC) Category 7</v>
      </c>
      <c r="E914" s="115">
        <f>IF(DD_TOP_ACTV_11_Detailed_Currency_Used=2,SENS_DETAILED_COST_WKSHT!$F287*SENS_DETAILED_COST_WKSHT!G287,SENS_DETAILED_COST_WKSHT!$F287*(SENS_DETAILED_COST_WKSHT!G287*TOP_ACTV_11_Exchange_Rate))</f>
        <v>0</v>
      </c>
      <c r="F914" s="115">
        <f>IF(DD_TOP_ACTV_11_Detailed_Currency_Used=2,SENS_DETAILED_COST_WKSHT!$F287*SENS_DETAILED_COST_WKSHT!H287,SENS_DETAILED_COST_WKSHT!$F287*(SENS_DETAILED_COST_WKSHT!H287*TOP_ACTV_11_Exchange_Rate))</f>
        <v>0</v>
      </c>
      <c r="G914" s="116">
        <f t="shared" si="86"/>
        <v>0</v>
      </c>
      <c r="H914" s="116">
        <f t="shared" si="87"/>
        <v>0</v>
      </c>
    </row>
    <row r="915" spans="1:8" s="10" customFormat="1" outlineLevel="1" x14ac:dyDescent="0.2">
      <c r="D915" s="49" t="str">
        <f>SENS_DETAILED_COST_WKSHT!D288</f>
        <v>Other Direct Costs (ODC) Category 8</v>
      </c>
      <c r="E915" s="115">
        <f>IF(DD_TOP_ACTV_11_Detailed_Currency_Used=2,SENS_DETAILED_COST_WKSHT!$F288*SENS_DETAILED_COST_WKSHT!G288,SENS_DETAILED_COST_WKSHT!$F288*(SENS_DETAILED_COST_WKSHT!G288*TOP_ACTV_11_Exchange_Rate))</f>
        <v>0</v>
      </c>
      <c r="F915" s="115">
        <f>IF(DD_TOP_ACTV_11_Detailed_Currency_Used=2,SENS_DETAILED_COST_WKSHT!$F288*SENS_DETAILED_COST_WKSHT!H288,SENS_DETAILED_COST_WKSHT!$F288*(SENS_DETAILED_COST_WKSHT!H288*TOP_ACTV_11_Exchange_Rate))</f>
        <v>0</v>
      </c>
      <c r="G915" s="116">
        <f t="shared" si="86"/>
        <v>0</v>
      </c>
      <c r="H915" s="116">
        <f t="shared" si="87"/>
        <v>0</v>
      </c>
    </row>
    <row r="916" spans="1:8" s="10" customFormat="1" outlineLevel="1" x14ac:dyDescent="0.2">
      <c r="D916" s="49" t="str">
        <f>SENS_DETAILED_COST_WKSHT!D289</f>
        <v>Other Direct Costs (ODC) Category 9</v>
      </c>
      <c r="E916" s="115">
        <f>IF(DD_TOP_ACTV_11_Detailed_Currency_Used=2,SENS_DETAILED_COST_WKSHT!$F289*SENS_DETAILED_COST_WKSHT!G289,SENS_DETAILED_COST_WKSHT!$F289*(SENS_DETAILED_COST_WKSHT!G289*TOP_ACTV_11_Exchange_Rate))</f>
        <v>0</v>
      </c>
      <c r="F916" s="115">
        <f>IF(DD_TOP_ACTV_11_Detailed_Currency_Used=2,SENS_DETAILED_COST_WKSHT!$F289*SENS_DETAILED_COST_WKSHT!H289,SENS_DETAILED_COST_WKSHT!$F289*(SENS_DETAILED_COST_WKSHT!H289*TOP_ACTV_11_Exchange_Rate))</f>
        <v>0</v>
      </c>
      <c r="G916" s="116">
        <f t="shared" si="86"/>
        <v>0</v>
      </c>
      <c r="H916" s="116">
        <f t="shared" si="87"/>
        <v>0</v>
      </c>
    </row>
    <row r="917" spans="1:8" s="10" customFormat="1" outlineLevel="1" x14ac:dyDescent="0.2">
      <c r="D917" s="49" t="str">
        <f>SENS_DETAILED_COST_WKSHT!D290</f>
        <v>Other Direct Costs (ODC) Category 10</v>
      </c>
      <c r="E917" s="115">
        <f>IF(DD_TOP_ACTV_11_Detailed_Currency_Used=2,SENS_DETAILED_COST_WKSHT!$F290*SENS_DETAILED_COST_WKSHT!G290,SENS_DETAILED_COST_WKSHT!$F290*(SENS_DETAILED_COST_WKSHT!G290*TOP_ACTV_11_Exchange_Rate))</f>
        <v>0</v>
      </c>
      <c r="F917" s="115">
        <f>IF(DD_TOP_ACTV_11_Detailed_Currency_Used=2,SENS_DETAILED_COST_WKSHT!$F290*SENS_DETAILED_COST_WKSHT!H290,SENS_DETAILED_COST_WKSHT!$F290*(SENS_DETAILED_COST_WKSHT!H290*TOP_ACTV_11_Exchange_Rate))</f>
        <v>0</v>
      </c>
      <c r="G917" s="116">
        <f t="shared" si="86"/>
        <v>0</v>
      </c>
      <c r="H917" s="116">
        <f t="shared" si="87"/>
        <v>0</v>
      </c>
    </row>
    <row r="918" spans="1:8" s="10" customFormat="1" outlineLevel="1" x14ac:dyDescent="0.2">
      <c r="D918" s="48" t="str">
        <f>Lang_Other_Direct_Costs</f>
        <v>Other Direct Costs</v>
      </c>
      <c r="E918" s="120">
        <f>SUM(E908:E917)</f>
        <v>0</v>
      </c>
      <c r="F918" s="120">
        <f>SUM(F908:F917)</f>
        <v>0</v>
      </c>
      <c r="G918" s="121">
        <f>SUM(G908:G917)</f>
        <v>0</v>
      </c>
      <c r="H918" s="121">
        <f>SUM(H908:H917)</f>
        <v>0</v>
      </c>
    </row>
    <row r="919" spans="1:8" s="10" customFormat="1" outlineLevel="1" x14ac:dyDescent="0.2"/>
    <row r="920" spans="1:8" s="10" customFormat="1" outlineLevel="1" x14ac:dyDescent="0.2">
      <c r="D920" s="76" t="str">
        <f>Lang_GoTo&amp;" "&amp;HL_TOP_ACTV_11_Other_Direct_Costs</f>
        <v>Go to  Sensitisation Activity # 3 (Not in Use) - Detailed Other Direct Cost Assumptions</v>
      </c>
    </row>
    <row r="921" spans="1:8" s="10" customFormat="1" outlineLevel="1" x14ac:dyDescent="0.2">
      <c r="D921" s="76" t="str">
        <f>Lang_GoTo&amp;" "&amp;HL_TOP_ACTV_11_Cost_Summary_Output</f>
        <v>Go to  Sensitisation Activity # 3 (Not in Use) Detailed Cost Summary</v>
      </c>
    </row>
    <row r="922" spans="1:8" s="10" customFormat="1" x14ac:dyDescent="0.2"/>
    <row r="923" spans="1:8" s="13" customFormat="1" x14ac:dyDescent="0.2">
      <c r="A923" s="12" t="s">
        <v>127</v>
      </c>
      <c r="B923" s="13" t="str">
        <f>C925&amp;" "&amp;Lang_Personnel_Outputs</f>
        <v xml:space="preserve"> Sensitisation Activity # 4 (Not in Use) Personnel - Outputs</v>
      </c>
    </row>
    <row r="924" spans="1:8" s="10" customFormat="1" outlineLevel="1" x14ac:dyDescent="0.2"/>
    <row r="925" spans="1:8" s="10" customFormat="1" outlineLevel="1" x14ac:dyDescent="0.2">
      <c r="C925" s="114" t="str">
        <f>HL_LVL2_ACTV_3_Name</f>
        <v xml:space="preserve"> Sensitisation Activity # 4 (Not in Use)</v>
      </c>
    </row>
    <row r="926" spans="1:8" s="10" customFormat="1" outlineLevel="1" x14ac:dyDescent="0.2">
      <c r="E926" s="86" t="str">
        <f>SENS_Lu!$D$137&amp;" "&amp;Lang_Cost&amp;" ("&amp;SENS_Lu!$D$118&amp;")"</f>
        <v>Financial Cost (LCU)</v>
      </c>
      <c r="F926" s="86" t="str">
        <f>SENS_Lu!$D$138&amp;" "&amp;Lang_Cost&amp;" ("&amp;SENS_Lu!$D$118&amp;")"</f>
        <v>Economic Cost (LCU)</v>
      </c>
      <c r="G926" s="86" t="str">
        <f>SENS_Lu!$D$137&amp;" "&amp;Lang_Cost&amp;" ("&amp;SENS_Lu!$D$117&amp;")"</f>
        <v>Financial Cost (USD)</v>
      </c>
      <c r="H926" s="86" t="str">
        <f>SENS_Lu!$D$138&amp;" "&amp;Lang_Cost&amp;" ("&amp;SENS_Lu!$D$117&amp;")"</f>
        <v>Economic Cost (USD)</v>
      </c>
    </row>
    <row r="927" spans="1:8" s="10" customFormat="1" outlineLevel="1" x14ac:dyDescent="0.2">
      <c r="D927" s="49" t="str">
        <f>SENS_DETAILED_COST_WKSHT!D321</f>
        <v>Personnel Category 1</v>
      </c>
      <c r="E927" s="115">
        <f>IF(DD_LVL2_ACTV_3_Currency_Selected=2,SENS_DETAILED_COST_WKSHT!$F321*SENS_DETAILED_COST_WKSHT!G321,SENS_DETAILED_COST_WKSHT!$F321*(SENS_DETAILED_COST_WKSHT!G321*LVL2_ACTV_3_Exchange_Rate))</f>
        <v>0</v>
      </c>
      <c r="F927" s="115">
        <f>IF(DD_LVL2_ACTV_3_Currency_Selected=2,SENS_DETAILED_COST_WKSHT!$F321*SENS_DETAILED_COST_WKSHT!H321,SENS_DETAILED_COST_WKSHT!$F321*(SENS_DETAILED_COST_WKSHT!H321*LVL2_ACTV_3_Exchange_Rate))</f>
        <v>0</v>
      </c>
      <c r="G927" s="116">
        <f t="shared" ref="G927:G941" si="88">IFERROR(E927/LVL2_ACTV_3_Exchange_Rate,0)</f>
        <v>0</v>
      </c>
      <c r="H927" s="116">
        <f t="shared" ref="H927:H941" si="89">IFERROR(F927/LVL2_ACTV_3_Exchange_Rate,0)</f>
        <v>0</v>
      </c>
    </row>
    <row r="928" spans="1:8" s="10" customFormat="1" outlineLevel="1" x14ac:dyDescent="0.2">
      <c r="D928" s="49" t="str">
        <f>SENS_DETAILED_COST_WKSHT!D322</f>
        <v>Personnel Category 2</v>
      </c>
      <c r="E928" s="115">
        <f>IF(DD_LVL2_ACTV_3_Currency_Selected=2,SENS_DETAILED_COST_WKSHT!$F322*SENS_DETAILED_COST_WKSHT!G322,SENS_DETAILED_COST_WKSHT!$F322*(SENS_DETAILED_COST_WKSHT!G322*LVL2_ACTV_3_Exchange_Rate))</f>
        <v>0</v>
      </c>
      <c r="F928" s="115">
        <f>IF(DD_LVL2_ACTV_3_Currency_Selected=2,SENS_DETAILED_COST_WKSHT!$F322*SENS_DETAILED_COST_WKSHT!H322,SENS_DETAILED_COST_WKSHT!$F322*(SENS_DETAILED_COST_WKSHT!H322*LVL2_ACTV_3_Exchange_Rate))</f>
        <v>0</v>
      </c>
      <c r="G928" s="116">
        <f t="shared" si="88"/>
        <v>0</v>
      </c>
      <c r="H928" s="116">
        <f t="shared" si="89"/>
        <v>0</v>
      </c>
    </row>
    <row r="929" spans="4:8" s="10" customFormat="1" outlineLevel="1" x14ac:dyDescent="0.2">
      <c r="D929" s="49" t="str">
        <f>SENS_DETAILED_COST_WKSHT!D323</f>
        <v>Personnel Category 3</v>
      </c>
      <c r="E929" s="115">
        <f>IF(DD_LVL2_ACTV_3_Currency_Selected=2,SENS_DETAILED_COST_WKSHT!$F323*SENS_DETAILED_COST_WKSHT!G323,SENS_DETAILED_COST_WKSHT!$F323*(SENS_DETAILED_COST_WKSHT!G323*LVL2_ACTV_3_Exchange_Rate))</f>
        <v>0</v>
      </c>
      <c r="F929" s="115">
        <f>IF(DD_LVL2_ACTV_3_Currency_Selected=2,SENS_DETAILED_COST_WKSHT!$F323*SENS_DETAILED_COST_WKSHT!H323,SENS_DETAILED_COST_WKSHT!$F323*(SENS_DETAILED_COST_WKSHT!H323*LVL2_ACTV_3_Exchange_Rate))</f>
        <v>0</v>
      </c>
      <c r="G929" s="116">
        <f t="shared" si="88"/>
        <v>0</v>
      </c>
      <c r="H929" s="116">
        <f t="shared" si="89"/>
        <v>0</v>
      </c>
    </row>
    <row r="930" spans="4:8" s="10" customFormat="1" outlineLevel="1" x14ac:dyDescent="0.2">
      <c r="D930" s="49" t="str">
        <f>SENS_DETAILED_COST_WKSHT!D324</f>
        <v>Personnel Category 4</v>
      </c>
      <c r="E930" s="115">
        <f>IF(DD_LVL2_ACTV_3_Currency_Selected=2,SENS_DETAILED_COST_WKSHT!$F324*SENS_DETAILED_COST_WKSHT!G324,SENS_DETAILED_COST_WKSHT!$F324*(SENS_DETAILED_COST_WKSHT!G324*LVL2_ACTV_3_Exchange_Rate))</f>
        <v>0</v>
      </c>
      <c r="F930" s="115">
        <f>IF(DD_LVL2_ACTV_3_Currency_Selected=2,SENS_DETAILED_COST_WKSHT!$F324*SENS_DETAILED_COST_WKSHT!H324,SENS_DETAILED_COST_WKSHT!$F324*(SENS_DETAILED_COST_WKSHT!H324*LVL2_ACTV_3_Exchange_Rate))</f>
        <v>0</v>
      </c>
      <c r="G930" s="116">
        <f t="shared" si="88"/>
        <v>0</v>
      </c>
      <c r="H930" s="116">
        <f t="shared" si="89"/>
        <v>0</v>
      </c>
    </row>
    <row r="931" spans="4:8" s="10" customFormat="1" outlineLevel="1" x14ac:dyDescent="0.2">
      <c r="D931" s="49" t="str">
        <f>SENS_DETAILED_COST_WKSHT!D325</f>
        <v>Personnel Category 5</v>
      </c>
      <c r="E931" s="115">
        <f>IF(DD_LVL2_ACTV_3_Currency_Selected=2,SENS_DETAILED_COST_WKSHT!$F325*SENS_DETAILED_COST_WKSHT!G325,SENS_DETAILED_COST_WKSHT!$F325*(SENS_DETAILED_COST_WKSHT!G325*LVL2_ACTV_3_Exchange_Rate))</f>
        <v>0</v>
      </c>
      <c r="F931" s="115">
        <f>IF(DD_LVL2_ACTV_3_Currency_Selected=2,SENS_DETAILED_COST_WKSHT!$F325*SENS_DETAILED_COST_WKSHT!H325,SENS_DETAILED_COST_WKSHT!$F325*(SENS_DETAILED_COST_WKSHT!H325*LVL2_ACTV_3_Exchange_Rate))</f>
        <v>0</v>
      </c>
      <c r="G931" s="116">
        <f t="shared" si="88"/>
        <v>0</v>
      </c>
      <c r="H931" s="116">
        <f t="shared" si="89"/>
        <v>0</v>
      </c>
    </row>
    <row r="932" spans="4:8" s="10" customFormat="1" outlineLevel="1" x14ac:dyDescent="0.2">
      <c r="D932" s="49" t="str">
        <f>SENS_DETAILED_COST_WKSHT!D326</f>
        <v>Personnel Category 6</v>
      </c>
      <c r="E932" s="115">
        <f>IF(DD_LVL2_ACTV_3_Currency_Selected=2,SENS_DETAILED_COST_WKSHT!$F326*SENS_DETAILED_COST_WKSHT!G326,SENS_DETAILED_COST_WKSHT!$F326*(SENS_DETAILED_COST_WKSHT!G326*LVL2_ACTV_3_Exchange_Rate))</f>
        <v>0</v>
      </c>
      <c r="F932" s="115">
        <f>IF(DD_LVL2_ACTV_3_Currency_Selected=2,SENS_DETAILED_COST_WKSHT!$F326*SENS_DETAILED_COST_WKSHT!H326,SENS_DETAILED_COST_WKSHT!$F326*(SENS_DETAILED_COST_WKSHT!H326*LVL2_ACTV_3_Exchange_Rate))</f>
        <v>0</v>
      </c>
      <c r="G932" s="116">
        <f t="shared" si="88"/>
        <v>0</v>
      </c>
      <c r="H932" s="116">
        <f t="shared" si="89"/>
        <v>0</v>
      </c>
    </row>
    <row r="933" spans="4:8" s="10" customFormat="1" outlineLevel="1" x14ac:dyDescent="0.2">
      <c r="D933" s="49" t="str">
        <f>SENS_DETAILED_COST_WKSHT!D327</f>
        <v>Personnel Category 7</v>
      </c>
      <c r="E933" s="115">
        <f>IF(DD_LVL2_ACTV_3_Currency_Selected=2,SENS_DETAILED_COST_WKSHT!$F327*SENS_DETAILED_COST_WKSHT!G327,SENS_DETAILED_COST_WKSHT!$F327*(SENS_DETAILED_COST_WKSHT!G327*LVL2_ACTV_3_Exchange_Rate))</f>
        <v>0</v>
      </c>
      <c r="F933" s="115">
        <f>IF(DD_LVL2_ACTV_3_Currency_Selected=2,SENS_DETAILED_COST_WKSHT!$F327*SENS_DETAILED_COST_WKSHT!H327,SENS_DETAILED_COST_WKSHT!$F327*(SENS_DETAILED_COST_WKSHT!H327*LVL2_ACTV_3_Exchange_Rate))</f>
        <v>0</v>
      </c>
      <c r="G933" s="116">
        <f t="shared" si="88"/>
        <v>0</v>
      </c>
      <c r="H933" s="116">
        <f t="shared" si="89"/>
        <v>0</v>
      </c>
    </row>
    <row r="934" spans="4:8" s="10" customFormat="1" outlineLevel="1" x14ac:dyDescent="0.2">
      <c r="D934" s="49" t="str">
        <f>SENS_DETAILED_COST_WKSHT!D328</f>
        <v>Personnel Category 8</v>
      </c>
      <c r="E934" s="115">
        <f>IF(DD_LVL2_ACTV_3_Currency_Selected=2,SENS_DETAILED_COST_WKSHT!$F328*SENS_DETAILED_COST_WKSHT!G328,SENS_DETAILED_COST_WKSHT!$F328*(SENS_DETAILED_COST_WKSHT!G328*LVL2_ACTV_3_Exchange_Rate))</f>
        <v>0</v>
      </c>
      <c r="F934" s="115">
        <f>IF(DD_LVL2_ACTV_3_Currency_Selected=2,SENS_DETAILED_COST_WKSHT!$F328*SENS_DETAILED_COST_WKSHT!H328,SENS_DETAILED_COST_WKSHT!$F328*(SENS_DETAILED_COST_WKSHT!H328*LVL2_ACTV_3_Exchange_Rate))</f>
        <v>0</v>
      </c>
      <c r="G934" s="116">
        <f t="shared" si="88"/>
        <v>0</v>
      </c>
      <c r="H934" s="116">
        <f t="shared" si="89"/>
        <v>0</v>
      </c>
    </row>
    <row r="935" spans="4:8" s="10" customFormat="1" outlineLevel="1" x14ac:dyDescent="0.2">
      <c r="D935" s="49" t="str">
        <f>SENS_DETAILED_COST_WKSHT!D329</f>
        <v>Personnel Category 9</v>
      </c>
      <c r="E935" s="115">
        <f>IF(DD_LVL2_ACTV_3_Currency_Selected=2,SENS_DETAILED_COST_WKSHT!$F329*SENS_DETAILED_COST_WKSHT!G329,SENS_DETAILED_COST_WKSHT!$F329*(SENS_DETAILED_COST_WKSHT!G329*LVL2_ACTV_3_Exchange_Rate))</f>
        <v>0</v>
      </c>
      <c r="F935" s="115">
        <f>IF(DD_LVL2_ACTV_3_Currency_Selected=2,SENS_DETAILED_COST_WKSHT!$F329*SENS_DETAILED_COST_WKSHT!H329,SENS_DETAILED_COST_WKSHT!$F329*(SENS_DETAILED_COST_WKSHT!H329*LVL2_ACTV_3_Exchange_Rate))</f>
        <v>0</v>
      </c>
      <c r="G935" s="116">
        <f t="shared" si="88"/>
        <v>0</v>
      </c>
      <c r="H935" s="116">
        <f t="shared" si="89"/>
        <v>0</v>
      </c>
    </row>
    <row r="936" spans="4:8" s="10" customFormat="1" outlineLevel="1" x14ac:dyDescent="0.2">
      <c r="D936" s="49" t="str">
        <f>SENS_DETAILED_COST_WKSHT!D330</f>
        <v>Personnel Category 10</v>
      </c>
      <c r="E936" s="115">
        <f>IF(DD_LVL2_ACTV_3_Currency_Selected=2,SENS_DETAILED_COST_WKSHT!$F330*SENS_DETAILED_COST_WKSHT!G330,SENS_DETAILED_COST_WKSHT!$F330*(SENS_DETAILED_COST_WKSHT!G330*LVL2_ACTV_3_Exchange_Rate))</f>
        <v>0</v>
      </c>
      <c r="F936" s="115">
        <f>IF(DD_LVL2_ACTV_3_Currency_Selected=2,SENS_DETAILED_COST_WKSHT!$F330*SENS_DETAILED_COST_WKSHT!H330,SENS_DETAILED_COST_WKSHT!$F330*(SENS_DETAILED_COST_WKSHT!H330*LVL2_ACTV_3_Exchange_Rate))</f>
        <v>0</v>
      </c>
      <c r="G936" s="116">
        <f t="shared" si="88"/>
        <v>0</v>
      </c>
      <c r="H936" s="116">
        <f t="shared" si="89"/>
        <v>0</v>
      </c>
    </row>
    <row r="937" spans="4:8" s="10" customFormat="1" outlineLevel="1" x14ac:dyDescent="0.2">
      <c r="D937" s="49" t="str">
        <f>SENS_DETAILED_COST_WKSHT!D331</f>
        <v>Personnel Category 11</v>
      </c>
      <c r="E937" s="115">
        <f>IF(DD_LVL2_ACTV_3_Currency_Selected=2,SENS_DETAILED_COST_WKSHT!$F331*SENS_DETAILED_COST_WKSHT!G331,SENS_DETAILED_COST_WKSHT!$F331*(SENS_DETAILED_COST_WKSHT!G331*LVL2_ACTV_3_Exchange_Rate))</f>
        <v>0</v>
      </c>
      <c r="F937" s="115">
        <f>IF(DD_LVL2_ACTV_3_Currency_Selected=2,SENS_DETAILED_COST_WKSHT!$F331*SENS_DETAILED_COST_WKSHT!H331,SENS_DETAILED_COST_WKSHT!$F331*(SENS_DETAILED_COST_WKSHT!H331*LVL2_ACTV_3_Exchange_Rate))</f>
        <v>0</v>
      </c>
      <c r="G937" s="116">
        <f t="shared" si="88"/>
        <v>0</v>
      </c>
      <c r="H937" s="116">
        <f t="shared" si="89"/>
        <v>0</v>
      </c>
    </row>
    <row r="938" spans="4:8" s="10" customFormat="1" outlineLevel="1" x14ac:dyDescent="0.2">
      <c r="D938" s="49" t="str">
        <f>SENS_DETAILED_COST_WKSHT!D332</f>
        <v>Personnel Category 12</v>
      </c>
      <c r="E938" s="115">
        <f>IF(DD_LVL2_ACTV_3_Currency_Selected=2,SENS_DETAILED_COST_WKSHT!$F332*SENS_DETAILED_COST_WKSHT!G332,SENS_DETAILED_COST_WKSHT!$F332*(SENS_DETAILED_COST_WKSHT!G332*LVL2_ACTV_3_Exchange_Rate))</f>
        <v>0</v>
      </c>
      <c r="F938" s="115">
        <f>IF(DD_LVL2_ACTV_3_Currency_Selected=2,SENS_DETAILED_COST_WKSHT!$F332*SENS_DETAILED_COST_WKSHT!H332,SENS_DETAILED_COST_WKSHT!$F332*(SENS_DETAILED_COST_WKSHT!H332*LVL2_ACTV_3_Exchange_Rate))</f>
        <v>0</v>
      </c>
      <c r="G938" s="116">
        <f t="shared" si="88"/>
        <v>0</v>
      </c>
      <c r="H938" s="116">
        <f t="shared" si="89"/>
        <v>0</v>
      </c>
    </row>
    <row r="939" spans="4:8" s="10" customFormat="1" outlineLevel="1" x14ac:dyDescent="0.2">
      <c r="D939" s="49" t="str">
        <f>SENS_DETAILED_COST_WKSHT!D333</f>
        <v>Personnel Category 13</v>
      </c>
      <c r="E939" s="115">
        <f>IF(DD_LVL2_ACTV_3_Currency_Selected=2,SENS_DETAILED_COST_WKSHT!$F333*SENS_DETAILED_COST_WKSHT!G333,SENS_DETAILED_COST_WKSHT!$F333*(SENS_DETAILED_COST_WKSHT!G333*LVL2_ACTV_3_Exchange_Rate))</f>
        <v>0</v>
      </c>
      <c r="F939" s="115">
        <f>IF(DD_LVL2_ACTV_3_Currency_Selected=2,SENS_DETAILED_COST_WKSHT!$F333*SENS_DETAILED_COST_WKSHT!H333,SENS_DETAILED_COST_WKSHT!$F333*(SENS_DETAILED_COST_WKSHT!H333*LVL2_ACTV_3_Exchange_Rate))</f>
        <v>0</v>
      </c>
      <c r="G939" s="116">
        <f t="shared" si="88"/>
        <v>0</v>
      </c>
      <c r="H939" s="116">
        <f t="shared" si="89"/>
        <v>0</v>
      </c>
    </row>
    <row r="940" spans="4:8" s="10" customFormat="1" outlineLevel="1" x14ac:dyDescent="0.2">
      <c r="D940" s="49" t="str">
        <f>SENS_DETAILED_COST_WKSHT!D334</f>
        <v>Personnel Category 14</v>
      </c>
      <c r="E940" s="115">
        <f>IF(DD_LVL2_ACTV_3_Currency_Selected=2,SENS_DETAILED_COST_WKSHT!$F334*SENS_DETAILED_COST_WKSHT!G334,SENS_DETAILED_COST_WKSHT!$F334*(SENS_DETAILED_COST_WKSHT!G334*LVL2_ACTV_3_Exchange_Rate))</f>
        <v>0</v>
      </c>
      <c r="F940" s="115">
        <f>IF(DD_LVL2_ACTV_3_Currency_Selected=2,SENS_DETAILED_COST_WKSHT!$F334*SENS_DETAILED_COST_WKSHT!H334,SENS_DETAILED_COST_WKSHT!$F334*(SENS_DETAILED_COST_WKSHT!H334*LVL2_ACTV_3_Exchange_Rate))</f>
        <v>0</v>
      </c>
      <c r="G940" s="116">
        <f t="shared" si="88"/>
        <v>0</v>
      </c>
      <c r="H940" s="116">
        <f t="shared" si="89"/>
        <v>0</v>
      </c>
    </row>
    <row r="941" spans="4:8" s="10" customFormat="1" outlineLevel="1" x14ac:dyDescent="0.2">
      <c r="D941" s="49" t="str">
        <f>SENS_DETAILED_COST_WKSHT!D335</f>
        <v>Personnel Category 15</v>
      </c>
      <c r="E941" s="115">
        <f>IF(DD_LVL2_ACTV_3_Currency_Selected=2,SENS_DETAILED_COST_WKSHT!$F335*SENS_DETAILED_COST_WKSHT!G335,SENS_DETAILED_COST_WKSHT!$F335*(SENS_DETAILED_COST_WKSHT!G335*LVL2_ACTV_3_Exchange_Rate))</f>
        <v>0</v>
      </c>
      <c r="F941" s="115">
        <f>IF(DD_LVL2_ACTV_3_Currency_Selected=2,SENS_DETAILED_COST_WKSHT!$F335*SENS_DETAILED_COST_WKSHT!H335,SENS_DETAILED_COST_WKSHT!$F335*(SENS_DETAILED_COST_WKSHT!H335*LVL2_ACTV_3_Exchange_Rate))</f>
        <v>0</v>
      </c>
      <c r="G941" s="116">
        <f t="shared" si="88"/>
        <v>0</v>
      </c>
      <c r="H941" s="116">
        <f t="shared" si="89"/>
        <v>0</v>
      </c>
    </row>
    <row r="942" spans="4:8" s="10" customFormat="1" outlineLevel="1" x14ac:dyDescent="0.2">
      <c r="D942" s="48" t="str">
        <f>Lang_Personnel</f>
        <v>Personnel</v>
      </c>
      <c r="E942" s="120">
        <f>SUM(E927:E941)</f>
        <v>0</v>
      </c>
      <c r="F942" s="120">
        <f>SUM(F927:F941)</f>
        <v>0</v>
      </c>
      <c r="G942" s="121">
        <f>SUM(G927:G941)</f>
        <v>0</v>
      </c>
      <c r="H942" s="121">
        <f>SUM(H927:H941)</f>
        <v>0</v>
      </c>
    </row>
    <row r="943" spans="4:8" s="10" customFormat="1" outlineLevel="1" x14ac:dyDescent="0.2"/>
    <row r="944" spans="4:8" s="10" customFormat="1" outlineLevel="1" x14ac:dyDescent="0.2"/>
    <row r="945" spans="1:8" s="10" customFormat="1" outlineLevel="1" x14ac:dyDescent="0.2">
      <c r="D945" s="76" t="str">
        <f>Lang_GoTo&amp;" "&amp;HL_LVL2_ACTV_3_Personnel_Assumptions</f>
        <v>Go to  Sensitisation Activity # 4 (Not in Use) - Detailed Personnel Cost Assumptions</v>
      </c>
    </row>
    <row r="946" spans="1:8" s="10" customFormat="1" outlineLevel="1" x14ac:dyDescent="0.2">
      <c r="D946" s="76" t="str">
        <f>Lang_GoTo&amp;" "&amp;HL_LVL2_ACTV_3_Cost_Summary_Output</f>
        <v>Go to  Sensitisation Activity # 4 (Not in Use) Detailed Cost Summary</v>
      </c>
    </row>
    <row r="947" spans="1:8" s="10" customFormat="1" x14ac:dyDescent="0.2"/>
    <row r="948" spans="1:8" s="13" customFormat="1" x14ac:dyDescent="0.2">
      <c r="A948" s="12" t="s">
        <v>127</v>
      </c>
      <c r="B948" s="13" t="str">
        <f>C950&amp;" "&amp;Lang_Allowances_Outputs</f>
        <v xml:space="preserve"> Sensitisation Activity # 4 (Not in Use) Allowances - Outputs</v>
      </c>
    </row>
    <row r="949" spans="1:8" s="10" customFormat="1" outlineLevel="1" x14ac:dyDescent="0.2"/>
    <row r="950" spans="1:8" s="10" customFormat="1" outlineLevel="1" x14ac:dyDescent="0.2">
      <c r="C950" s="114" t="str">
        <f>HL_LVL2_ACTV_3_Name</f>
        <v xml:space="preserve"> Sensitisation Activity # 4 (Not in Use)</v>
      </c>
    </row>
    <row r="951" spans="1:8" s="10" customFormat="1" outlineLevel="1" x14ac:dyDescent="0.2">
      <c r="E951" s="86" t="str">
        <f>SENS_Lu!$D$137&amp;" "&amp;Lang_Cost&amp;" ("&amp;SENS_Lu!$D$118&amp;")"</f>
        <v>Financial Cost (LCU)</v>
      </c>
      <c r="F951" s="86" t="str">
        <f>SENS_Lu!$D$138&amp;" "&amp;Lang_Cost&amp;" ("&amp;SENS_Lu!$D$118&amp;")"</f>
        <v>Economic Cost (LCU)</v>
      </c>
      <c r="G951" s="86" t="str">
        <f>SENS_Lu!$D$137&amp;" "&amp;Lang_Cost&amp;" ("&amp;SENS_Lu!$D$117&amp;")"</f>
        <v>Financial Cost (USD)</v>
      </c>
      <c r="H951" s="86" t="str">
        <f>SENS_Lu!$D$138&amp;" "&amp;Lang_Cost&amp;" ("&amp;SENS_Lu!$D$117&amp;")"</f>
        <v>Economic Cost (USD)</v>
      </c>
    </row>
    <row r="952" spans="1:8" s="10" customFormat="1" outlineLevel="1" x14ac:dyDescent="0.2">
      <c r="D952" s="49" t="str">
        <f>SENS_DETAILED_COST_WKSHT!D344</f>
        <v>Allowances Category 1</v>
      </c>
      <c r="E952" s="115">
        <f>IF(DD_LVL2_ACTV_3_Currency_Selected=2,SENS_DETAILED_COST_WKSHT!$F344*SENS_DETAILED_COST_WKSHT!G344,SENS_DETAILED_COST_WKSHT!$F344*(SENS_DETAILED_COST_WKSHT!G344*LVL2_ACTV_3_Exchange_Rate))</f>
        <v>0</v>
      </c>
      <c r="F952" s="115">
        <f>IF(DD_LVL2_ACTV_3_Currency_Selected=2,SENS_DETAILED_COST_WKSHT!$F344*SENS_DETAILED_COST_WKSHT!H344,SENS_DETAILED_COST_WKSHT!$F344*(SENS_DETAILED_COST_WKSHT!H344*LVL2_ACTV_3_Exchange_Rate))</f>
        <v>0</v>
      </c>
      <c r="G952" s="116">
        <f t="shared" ref="G952:G961" si="90">E952/LVL2_ACTV_3_Exchange_Rate</f>
        <v>0</v>
      </c>
      <c r="H952" s="116">
        <f t="shared" ref="H952:H961" si="91">F952/LVL2_ACTV_3_Exchange_Rate</f>
        <v>0</v>
      </c>
    </row>
    <row r="953" spans="1:8" s="10" customFormat="1" outlineLevel="1" x14ac:dyDescent="0.2">
      <c r="D953" s="49" t="str">
        <f>SENS_DETAILED_COST_WKSHT!D345</f>
        <v>Allowances Category 2</v>
      </c>
      <c r="E953" s="115">
        <f>IF(DD_LVL2_ACTV_3_Currency_Selected=2,SENS_DETAILED_COST_WKSHT!$F345*SENS_DETAILED_COST_WKSHT!G345,SENS_DETAILED_COST_WKSHT!$F345*(SENS_DETAILED_COST_WKSHT!G345*LVL2_ACTV_3_Exchange_Rate))</f>
        <v>0</v>
      </c>
      <c r="F953" s="115">
        <f>IF(DD_LVL2_ACTV_3_Currency_Selected=2,SENS_DETAILED_COST_WKSHT!$F345*SENS_DETAILED_COST_WKSHT!H345,SENS_DETAILED_COST_WKSHT!$F345*(SENS_DETAILED_COST_WKSHT!H345*LVL2_ACTV_3_Exchange_Rate))</f>
        <v>0</v>
      </c>
      <c r="G953" s="116">
        <f t="shared" si="90"/>
        <v>0</v>
      </c>
      <c r="H953" s="116">
        <f t="shared" si="91"/>
        <v>0</v>
      </c>
    </row>
    <row r="954" spans="1:8" s="10" customFormat="1" outlineLevel="1" x14ac:dyDescent="0.2">
      <c r="D954" s="49" t="str">
        <f>SENS_DETAILED_COST_WKSHT!D346</f>
        <v>Allowances Category 3</v>
      </c>
      <c r="E954" s="115">
        <f>IF(DD_LVL2_ACTV_3_Currency_Selected=2,SENS_DETAILED_COST_WKSHT!$F346*SENS_DETAILED_COST_WKSHT!G346,SENS_DETAILED_COST_WKSHT!$F346*(SENS_DETAILED_COST_WKSHT!G346*LVL2_ACTV_3_Exchange_Rate))</f>
        <v>0</v>
      </c>
      <c r="F954" s="115">
        <f>IF(DD_LVL2_ACTV_3_Currency_Selected=2,SENS_DETAILED_COST_WKSHT!$F346*SENS_DETAILED_COST_WKSHT!H346,SENS_DETAILED_COST_WKSHT!$F346*(SENS_DETAILED_COST_WKSHT!H346*LVL2_ACTV_3_Exchange_Rate))</f>
        <v>0</v>
      </c>
      <c r="G954" s="116">
        <f t="shared" si="90"/>
        <v>0</v>
      </c>
      <c r="H954" s="116">
        <f t="shared" si="91"/>
        <v>0</v>
      </c>
    </row>
    <row r="955" spans="1:8" s="10" customFormat="1" outlineLevel="1" x14ac:dyDescent="0.2">
      <c r="D955" s="49" t="str">
        <f>SENS_DETAILED_COST_WKSHT!D347</f>
        <v>Allowances Category 4</v>
      </c>
      <c r="E955" s="115">
        <f>IF(DD_LVL2_ACTV_3_Currency_Selected=2,SENS_DETAILED_COST_WKSHT!$F347*SENS_DETAILED_COST_WKSHT!G347,SENS_DETAILED_COST_WKSHT!$F347*(SENS_DETAILED_COST_WKSHT!G347*LVL2_ACTV_3_Exchange_Rate))</f>
        <v>0</v>
      </c>
      <c r="F955" s="115">
        <f>IF(DD_LVL2_ACTV_3_Currency_Selected=2,SENS_DETAILED_COST_WKSHT!$F347*SENS_DETAILED_COST_WKSHT!H347,SENS_DETAILED_COST_WKSHT!$F347*(SENS_DETAILED_COST_WKSHT!H347*LVL2_ACTV_3_Exchange_Rate))</f>
        <v>0</v>
      </c>
      <c r="G955" s="116">
        <f t="shared" si="90"/>
        <v>0</v>
      </c>
      <c r="H955" s="116">
        <f t="shared" si="91"/>
        <v>0</v>
      </c>
    </row>
    <row r="956" spans="1:8" s="10" customFormat="1" outlineLevel="1" x14ac:dyDescent="0.2">
      <c r="D956" s="49" t="str">
        <f>SENS_DETAILED_COST_WKSHT!D348</f>
        <v>Allowances Category 5</v>
      </c>
      <c r="E956" s="115">
        <f>IF(DD_LVL2_ACTV_3_Currency_Selected=2,SENS_DETAILED_COST_WKSHT!$F348*SENS_DETAILED_COST_WKSHT!G348,SENS_DETAILED_COST_WKSHT!$F348*(SENS_DETAILED_COST_WKSHT!G348*LVL2_ACTV_3_Exchange_Rate))</f>
        <v>0</v>
      </c>
      <c r="F956" s="115">
        <f>IF(DD_LVL2_ACTV_3_Currency_Selected=2,SENS_DETAILED_COST_WKSHT!$F348*SENS_DETAILED_COST_WKSHT!H348,SENS_DETAILED_COST_WKSHT!$F348*(SENS_DETAILED_COST_WKSHT!H348*LVL2_ACTV_3_Exchange_Rate))</f>
        <v>0</v>
      </c>
      <c r="G956" s="116">
        <f t="shared" si="90"/>
        <v>0</v>
      </c>
      <c r="H956" s="116">
        <f t="shared" si="91"/>
        <v>0</v>
      </c>
    </row>
    <row r="957" spans="1:8" s="10" customFormat="1" outlineLevel="1" x14ac:dyDescent="0.2">
      <c r="D957" s="49" t="str">
        <f>SENS_DETAILED_COST_WKSHT!D349</f>
        <v>Allowances Category 6</v>
      </c>
      <c r="E957" s="115">
        <f>IF(DD_LVL2_ACTV_3_Currency_Selected=2,SENS_DETAILED_COST_WKSHT!$F349*SENS_DETAILED_COST_WKSHT!G349,SENS_DETAILED_COST_WKSHT!$F349*(SENS_DETAILED_COST_WKSHT!G349*LVL2_ACTV_3_Exchange_Rate))</f>
        <v>0</v>
      </c>
      <c r="F957" s="115">
        <f>IF(DD_LVL2_ACTV_3_Currency_Selected=2,SENS_DETAILED_COST_WKSHT!$F349*SENS_DETAILED_COST_WKSHT!H349,SENS_DETAILED_COST_WKSHT!$F349*(SENS_DETAILED_COST_WKSHT!H349*LVL2_ACTV_3_Exchange_Rate))</f>
        <v>0</v>
      </c>
      <c r="G957" s="116">
        <f t="shared" si="90"/>
        <v>0</v>
      </c>
      <c r="H957" s="116">
        <f t="shared" si="91"/>
        <v>0</v>
      </c>
    </row>
    <row r="958" spans="1:8" s="10" customFormat="1" outlineLevel="1" x14ac:dyDescent="0.2">
      <c r="D958" s="49" t="str">
        <f>SENS_DETAILED_COST_WKSHT!D350</f>
        <v>Allowances Category 7</v>
      </c>
      <c r="E958" s="115">
        <f>IF(DD_LVL2_ACTV_3_Currency_Selected=2,SENS_DETAILED_COST_WKSHT!$F350*SENS_DETAILED_COST_WKSHT!G350,SENS_DETAILED_COST_WKSHT!$F350*(SENS_DETAILED_COST_WKSHT!G350*LVL2_ACTV_3_Exchange_Rate))</f>
        <v>0</v>
      </c>
      <c r="F958" s="115">
        <f>IF(DD_LVL2_ACTV_3_Currency_Selected=2,SENS_DETAILED_COST_WKSHT!$F350*SENS_DETAILED_COST_WKSHT!H350,SENS_DETAILED_COST_WKSHT!$F350*(SENS_DETAILED_COST_WKSHT!H350*LVL2_ACTV_3_Exchange_Rate))</f>
        <v>0</v>
      </c>
      <c r="G958" s="116">
        <f t="shared" si="90"/>
        <v>0</v>
      </c>
      <c r="H958" s="116">
        <f t="shared" si="91"/>
        <v>0</v>
      </c>
    </row>
    <row r="959" spans="1:8" s="10" customFormat="1" outlineLevel="1" x14ac:dyDescent="0.2">
      <c r="D959" s="49" t="str">
        <f>SENS_DETAILED_COST_WKSHT!D351</f>
        <v>Allowances Category 8</v>
      </c>
      <c r="E959" s="115">
        <f>IF(DD_LVL2_ACTV_3_Currency_Selected=2,SENS_DETAILED_COST_WKSHT!$F351*SENS_DETAILED_COST_WKSHT!G351,SENS_DETAILED_COST_WKSHT!$F351*(SENS_DETAILED_COST_WKSHT!G351*LVL2_ACTV_3_Exchange_Rate))</f>
        <v>0</v>
      </c>
      <c r="F959" s="115">
        <f>IF(DD_LVL2_ACTV_3_Currency_Selected=2,SENS_DETAILED_COST_WKSHT!$F351*SENS_DETAILED_COST_WKSHT!H351,SENS_DETAILED_COST_WKSHT!$F351*(SENS_DETAILED_COST_WKSHT!H351*LVL2_ACTV_3_Exchange_Rate))</f>
        <v>0</v>
      </c>
      <c r="G959" s="116">
        <f t="shared" si="90"/>
        <v>0</v>
      </c>
      <c r="H959" s="116">
        <f t="shared" si="91"/>
        <v>0</v>
      </c>
    </row>
    <row r="960" spans="1:8" s="10" customFormat="1" outlineLevel="1" x14ac:dyDescent="0.2">
      <c r="D960" s="49" t="str">
        <f>SENS_DETAILED_COST_WKSHT!D352</f>
        <v>Allowances Category 9</v>
      </c>
      <c r="E960" s="115">
        <f>IF(DD_LVL2_ACTV_3_Currency_Selected=2,SENS_DETAILED_COST_WKSHT!$F352*SENS_DETAILED_COST_WKSHT!G352,SENS_DETAILED_COST_WKSHT!$F352*(SENS_DETAILED_COST_WKSHT!G352*LVL2_ACTV_3_Exchange_Rate))</f>
        <v>0</v>
      </c>
      <c r="F960" s="115">
        <f>IF(DD_LVL2_ACTV_3_Currency_Selected=2,SENS_DETAILED_COST_WKSHT!$F352*SENS_DETAILED_COST_WKSHT!H352,SENS_DETAILED_COST_WKSHT!$F352*(SENS_DETAILED_COST_WKSHT!H352*LVL2_ACTV_3_Exchange_Rate))</f>
        <v>0</v>
      </c>
      <c r="G960" s="116">
        <f t="shared" si="90"/>
        <v>0</v>
      </c>
      <c r="H960" s="116">
        <f t="shared" si="91"/>
        <v>0</v>
      </c>
    </row>
    <row r="961" spans="1:8" s="10" customFormat="1" outlineLevel="1" x14ac:dyDescent="0.2">
      <c r="D961" s="49" t="str">
        <f>SENS_DETAILED_COST_WKSHT!D353</f>
        <v>Allowances Category 10</v>
      </c>
      <c r="E961" s="115">
        <f>IF(DD_LVL2_ACTV_3_Currency_Selected=2,SENS_DETAILED_COST_WKSHT!$F353*SENS_DETAILED_COST_WKSHT!G353,SENS_DETAILED_COST_WKSHT!$F353*(SENS_DETAILED_COST_WKSHT!G353*LVL2_ACTV_3_Exchange_Rate))</f>
        <v>0</v>
      </c>
      <c r="F961" s="115">
        <f>IF(DD_LVL2_ACTV_3_Currency_Selected=2,SENS_DETAILED_COST_WKSHT!$F353*SENS_DETAILED_COST_WKSHT!H353,SENS_DETAILED_COST_WKSHT!$F353*(SENS_DETAILED_COST_WKSHT!H353*LVL2_ACTV_3_Exchange_Rate))</f>
        <v>0</v>
      </c>
      <c r="G961" s="116">
        <f t="shared" si="90"/>
        <v>0</v>
      </c>
      <c r="H961" s="116">
        <f t="shared" si="91"/>
        <v>0</v>
      </c>
    </row>
    <row r="962" spans="1:8" s="10" customFormat="1" outlineLevel="1" x14ac:dyDescent="0.2">
      <c r="D962" s="48" t="str">
        <f>Lang_Allowances</f>
        <v>Allowances</v>
      </c>
      <c r="E962" s="120">
        <f>SUM(E952:E961)</f>
        <v>0</v>
      </c>
      <c r="F962" s="120">
        <f>SUM(F952:F961)</f>
        <v>0</v>
      </c>
      <c r="G962" s="121">
        <f>SUM(G952:G961)</f>
        <v>0</v>
      </c>
      <c r="H962" s="121">
        <f>SUM(H952:H961)</f>
        <v>0</v>
      </c>
    </row>
    <row r="963" spans="1:8" s="10" customFormat="1" outlineLevel="1" x14ac:dyDescent="0.2"/>
    <row r="964" spans="1:8" s="10" customFormat="1" outlineLevel="1" x14ac:dyDescent="0.2"/>
    <row r="965" spans="1:8" s="10" customFormat="1" outlineLevel="1" x14ac:dyDescent="0.2">
      <c r="D965" s="76" t="str">
        <f>Lang_GoTo&amp;" "&amp;HL_LVL2_ACTV_3_Ass_A</f>
        <v>Go to  Sensitisation Activity # 4 (Not in Use) - Detailed Allowance Cost Assumptions</v>
      </c>
    </row>
    <row r="966" spans="1:8" s="10" customFormat="1" outlineLevel="1" x14ac:dyDescent="0.2">
      <c r="D966" s="76" t="str">
        <f>Lang_GoTo&amp;" "&amp;HL_LVL2_ACTV_3_Cost_Summary_Output</f>
        <v>Go to  Sensitisation Activity # 4 (Not in Use) Detailed Cost Summary</v>
      </c>
    </row>
    <row r="967" spans="1:8" s="10" customFormat="1" x14ac:dyDescent="0.2"/>
    <row r="968" spans="1:8" s="13" customFormat="1" x14ac:dyDescent="0.2">
      <c r="A968" s="12" t="s">
        <v>127</v>
      </c>
      <c r="B968" s="13" t="str">
        <f>C970&amp;" "&amp;Lang_Supplies_And_Materials_Outputs</f>
        <v xml:space="preserve"> Sensitisation Activity # 4 (Not in Use) Supplies and Materials - Outputs</v>
      </c>
    </row>
    <row r="969" spans="1:8" s="10" customFormat="1" outlineLevel="1" x14ac:dyDescent="0.2"/>
    <row r="970" spans="1:8" s="10" customFormat="1" outlineLevel="1" x14ac:dyDescent="0.2">
      <c r="C970" s="114" t="str">
        <f>HL_LVL2_ACTV_3_Name</f>
        <v xml:space="preserve"> Sensitisation Activity # 4 (Not in Use)</v>
      </c>
    </row>
    <row r="971" spans="1:8" s="10" customFormat="1" outlineLevel="1" x14ac:dyDescent="0.2">
      <c r="E971" s="86" t="str">
        <f>SENS_Lu!$D$137&amp;" "&amp;Lang_Cost&amp;" ("&amp;SENS_Lu!$D$118&amp;")"</f>
        <v>Financial Cost (LCU)</v>
      </c>
      <c r="F971" s="86" t="str">
        <f>SENS_Lu!$D$138&amp;" "&amp;Lang_Cost&amp;" ("&amp;SENS_Lu!$D$118&amp;")"</f>
        <v>Economic Cost (LCU)</v>
      </c>
      <c r="G971" s="86" t="str">
        <f>SENS_Lu!$D$137&amp;" "&amp;Lang_Cost&amp;" ("&amp;SENS_Lu!$D$117&amp;")"</f>
        <v>Financial Cost (USD)</v>
      </c>
      <c r="H971" s="86" t="str">
        <f>SENS_Lu!$D$138&amp;" "&amp;Lang_Cost&amp;" ("&amp;SENS_Lu!$D$117&amp;")"</f>
        <v>Economic Cost (USD)</v>
      </c>
    </row>
    <row r="972" spans="1:8" s="10" customFormat="1" outlineLevel="1" x14ac:dyDescent="0.2">
      <c r="D972" s="49" t="str">
        <f>SENS_DETAILED_COST_WKSHT!D362</f>
        <v>Supplies and Materials Category 1</v>
      </c>
      <c r="E972" s="115">
        <f>IF(DD_LVL2_ACTV_3_Currency_Selected=2,SENS_DETAILED_COST_WKSHT!$F362*SENS_DETAILED_COST_WKSHT!G362,SENS_DETAILED_COST_WKSHT!$F362*(SENS_DETAILED_COST_WKSHT!G362*LVL2_ACTV_3_Exchange_Rate))</f>
        <v>0</v>
      </c>
      <c r="F972" s="115">
        <f>IF(DD_LVL2_ACTV_3_Currency_Selected=2,SENS_DETAILED_COST_WKSHT!$F362*SENS_DETAILED_COST_WKSHT!H362,SENS_DETAILED_COST_WKSHT!$F362*(SENS_DETAILED_COST_WKSHT!H362*LVL2_ACTV_3_Exchange_Rate))</f>
        <v>0</v>
      </c>
      <c r="G972" s="116">
        <f t="shared" ref="G972:G981" si="92">E972/LVL2_ACTV_3_Exchange_Rate</f>
        <v>0</v>
      </c>
      <c r="H972" s="116">
        <f t="shared" ref="H972:H981" si="93">F972/LVL2_ACTV_3_Exchange_Rate</f>
        <v>0</v>
      </c>
    </row>
    <row r="973" spans="1:8" s="10" customFormat="1" outlineLevel="1" x14ac:dyDescent="0.2">
      <c r="D973" s="49" t="str">
        <f>SENS_DETAILED_COST_WKSHT!D363</f>
        <v>Supplies and Materials Category 2</v>
      </c>
      <c r="E973" s="115">
        <f>IF(DD_LVL2_ACTV_3_Currency_Selected=2,SENS_DETAILED_COST_WKSHT!$F363*SENS_DETAILED_COST_WKSHT!G363,SENS_DETAILED_COST_WKSHT!$F363*(SENS_DETAILED_COST_WKSHT!G363*LVL2_ACTV_3_Exchange_Rate))</f>
        <v>0</v>
      </c>
      <c r="F973" s="115">
        <f>IF(DD_LVL2_ACTV_3_Currency_Selected=2,SENS_DETAILED_COST_WKSHT!$F363*SENS_DETAILED_COST_WKSHT!H363,SENS_DETAILED_COST_WKSHT!$F363*(SENS_DETAILED_COST_WKSHT!H363*LVL2_ACTV_3_Exchange_Rate))</f>
        <v>0</v>
      </c>
      <c r="G973" s="116">
        <f t="shared" si="92"/>
        <v>0</v>
      </c>
      <c r="H973" s="116">
        <f t="shared" si="93"/>
        <v>0</v>
      </c>
    </row>
    <row r="974" spans="1:8" s="10" customFormat="1" outlineLevel="1" x14ac:dyDescent="0.2">
      <c r="D974" s="49" t="str">
        <f>SENS_DETAILED_COST_WKSHT!D364</f>
        <v>Supplies and Materials Category 3</v>
      </c>
      <c r="E974" s="115">
        <f>IF(DD_LVL2_ACTV_3_Currency_Selected=2,SENS_DETAILED_COST_WKSHT!$F364*SENS_DETAILED_COST_WKSHT!G364,SENS_DETAILED_COST_WKSHT!$F364*(SENS_DETAILED_COST_WKSHT!G364*LVL2_ACTV_3_Exchange_Rate))</f>
        <v>0</v>
      </c>
      <c r="F974" s="115">
        <f>IF(DD_LVL2_ACTV_3_Currency_Selected=2,SENS_DETAILED_COST_WKSHT!$F364*SENS_DETAILED_COST_WKSHT!H364,SENS_DETAILED_COST_WKSHT!$F364*(SENS_DETAILED_COST_WKSHT!H364*LVL2_ACTV_3_Exchange_Rate))</f>
        <v>0</v>
      </c>
      <c r="G974" s="116">
        <f t="shared" si="92"/>
        <v>0</v>
      </c>
      <c r="H974" s="116">
        <f t="shared" si="93"/>
        <v>0</v>
      </c>
    </row>
    <row r="975" spans="1:8" s="10" customFormat="1" outlineLevel="1" x14ac:dyDescent="0.2">
      <c r="D975" s="49" t="str">
        <f>SENS_DETAILED_COST_WKSHT!D365</f>
        <v>Supplies and Materials Category 4</v>
      </c>
      <c r="E975" s="115">
        <f>IF(DD_LVL2_ACTV_3_Currency_Selected=2,SENS_DETAILED_COST_WKSHT!$F365*SENS_DETAILED_COST_WKSHT!G365,SENS_DETAILED_COST_WKSHT!$F365*(SENS_DETAILED_COST_WKSHT!G365*LVL2_ACTV_3_Exchange_Rate))</f>
        <v>0</v>
      </c>
      <c r="F975" s="115">
        <f>IF(DD_LVL2_ACTV_3_Currency_Selected=2,SENS_DETAILED_COST_WKSHT!$F365*SENS_DETAILED_COST_WKSHT!H365,SENS_DETAILED_COST_WKSHT!$F365*(SENS_DETAILED_COST_WKSHT!H365*LVL2_ACTV_3_Exchange_Rate))</f>
        <v>0</v>
      </c>
      <c r="G975" s="116">
        <f t="shared" si="92"/>
        <v>0</v>
      </c>
      <c r="H975" s="116">
        <f t="shared" si="93"/>
        <v>0</v>
      </c>
    </row>
    <row r="976" spans="1:8" s="10" customFormat="1" outlineLevel="1" x14ac:dyDescent="0.2">
      <c r="D976" s="49" t="str">
        <f>SENS_DETAILED_COST_WKSHT!D366</f>
        <v>Supplies and Materials Category 5</v>
      </c>
      <c r="E976" s="115">
        <f>IF(DD_LVL2_ACTV_3_Currency_Selected=2,SENS_DETAILED_COST_WKSHT!$F366*SENS_DETAILED_COST_WKSHT!G366,SENS_DETAILED_COST_WKSHT!$F366*(SENS_DETAILED_COST_WKSHT!G366*LVL2_ACTV_3_Exchange_Rate))</f>
        <v>0</v>
      </c>
      <c r="F976" s="115">
        <f>IF(DD_LVL2_ACTV_3_Currency_Selected=2,SENS_DETAILED_COST_WKSHT!$F366*SENS_DETAILED_COST_WKSHT!H366,SENS_DETAILED_COST_WKSHT!$F366*(SENS_DETAILED_COST_WKSHT!H366*LVL2_ACTV_3_Exchange_Rate))</f>
        <v>0</v>
      </c>
      <c r="G976" s="116">
        <f t="shared" si="92"/>
        <v>0</v>
      </c>
      <c r="H976" s="116">
        <f t="shared" si="93"/>
        <v>0</v>
      </c>
    </row>
    <row r="977" spans="1:8" s="10" customFormat="1" outlineLevel="1" x14ac:dyDescent="0.2">
      <c r="D977" s="49" t="str">
        <f>SENS_DETAILED_COST_WKSHT!D367</f>
        <v>Supplies and Materials Category 6</v>
      </c>
      <c r="E977" s="115">
        <f>IF(DD_LVL2_ACTV_3_Currency_Selected=2,SENS_DETAILED_COST_WKSHT!$F367*SENS_DETAILED_COST_WKSHT!G367,SENS_DETAILED_COST_WKSHT!$F367*(SENS_DETAILED_COST_WKSHT!G367*LVL2_ACTV_3_Exchange_Rate))</f>
        <v>0</v>
      </c>
      <c r="F977" s="115">
        <f>IF(DD_LVL2_ACTV_3_Currency_Selected=2,SENS_DETAILED_COST_WKSHT!$F367*SENS_DETAILED_COST_WKSHT!H367,SENS_DETAILED_COST_WKSHT!$F367*(SENS_DETAILED_COST_WKSHT!H367*LVL2_ACTV_3_Exchange_Rate))</f>
        <v>0</v>
      </c>
      <c r="G977" s="116">
        <f t="shared" si="92"/>
        <v>0</v>
      </c>
      <c r="H977" s="116">
        <f t="shared" si="93"/>
        <v>0</v>
      </c>
    </row>
    <row r="978" spans="1:8" s="10" customFormat="1" outlineLevel="1" x14ac:dyDescent="0.2">
      <c r="D978" s="49" t="str">
        <f>SENS_DETAILED_COST_WKSHT!D368</f>
        <v>Supplies and Materials Category 7</v>
      </c>
      <c r="E978" s="115">
        <f>IF(DD_LVL2_ACTV_3_Currency_Selected=2,SENS_DETAILED_COST_WKSHT!$F368*SENS_DETAILED_COST_WKSHT!G368,SENS_DETAILED_COST_WKSHT!$F368*(SENS_DETAILED_COST_WKSHT!G368*LVL2_ACTV_3_Exchange_Rate))</f>
        <v>0</v>
      </c>
      <c r="F978" s="115">
        <f>IF(DD_LVL2_ACTV_3_Currency_Selected=2,SENS_DETAILED_COST_WKSHT!$F368*SENS_DETAILED_COST_WKSHT!H368,SENS_DETAILED_COST_WKSHT!$F368*(SENS_DETAILED_COST_WKSHT!H368*LVL2_ACTV_3_Exchange_Rate))</f>
        <v>0</v>
      </c>
      <c r="G978" s="116">
        <f t="shared" si="92"/>
        <v>0</v>
      </c>
      <c r="H978" s="116">
        <f t="shared" si="93"/>
        <v>0</v>
      </c>
    </row>
    <row r="979" spans="1:8" s="10" customFormat="1" outlineLevel="1" x14ac:dyDescent="0.2">
      <c r="D979" s="49" t="str">
        <f>SENS_DETAILED_COST_WKSHT!D369</f>
        <v>Supplies and Materials Category 8</v>
      </c>
      <c r="E979" s="115">
        <f>IF(DD_LVL2_ACTV_3_Currency_Selected=2,SENS_DETAILED_COST_WKSHT!$F369*SENS_DETAILED_COST_WKSHT!G369,SENS_DETAILED_COST_WKSHT!$F369*(SENS_DETAILED_COST_WKSHT!G369*LVL2_ACTV_3_Exchange_Rate))</f>
        <v>0</v>
      </c>
      <c r="F979" s="115">
        <f>IF(DD_LVL2_ACTV_3_Currency_Selected=2,SENS_DETAILED_COST_WKSHT!$F369*SENS_DETAILED_COST_WKSHT!H369,SENS_DETAILED_COST_WKSHT!$F369*(SENS_DETAILED_COST_WKSHT!H369*LVL2_ACTV_3_Exchange_Rate))</f>
        <v>0</v>
      </c>
      <c r="G979" s="116">
        <f t="shared" si="92"/>
        <v>0</v>
      </c>
      <c r="H979" s="116">
        <f t="shared" si="93"/>
        <v>0</v>
      </c>
    </row>
    <row r="980" spans="1:8" s="10" customFormat="1" outlineLevel="1" x14ac:dyDescent="0.2">
      <c r="D980" s="49" t="str">
        <f>SENS_DETAILED_COST_WKSHT!D370</f>
        <v>Supplies and Materials Category 9</v>
      </c>
      <c r="E980" s="115">
        <f>IF(DD_LVL2_ACTV_3_Currency_Selected=2,SENS_DETAILED_COST_WKSHT!$F370*SENS_DETAILED_COST_WKSHT!G370,SENS_DETAILED_COST_WKSHT!$F370*(SENS_DETAILED_COST_WKSHT!G370*LVL2_ACTV_3_Exchange_Rate))</f>
        <v>0</v>
      </c>
      <c r="F980" s="115">
        <f>IF(DD_LVL2_ACTV_3_Currency_Selected=2,SENS_DETAILED_COST_WKSHT!$F370*SENS_DETAILED_COST_WKSHT!H370,SENS_DETAILED_COST_WKSHT!$F370*(SENS_DETAILED_COST_WKSHT!H370*LVL2_ACTV_3_Exchange_Rate))</f>
        <v>0</v>
      </c>
      <c r="G980" s="116">
        <f t="shared" si="92"/>
        <v>0</v>
      </c>
      <c r="H980" s="116">
        <f t="shared" si="93"/>
        <v>0</v>
      </c>
    </row>
    <row r="981" spans="1:8" s="10" customFormat="1" outlineLevel="1" x14ac:dyDescent="0.2">
      <c r="D981" s="49" t="str">
        <f>SENS_DETAILED_COST_WKSHT!D371</f>
        <v>Supplies and Materials Category 10</v>
      </c>
      <c r="E981" s="115">
        <f>IF(DD_LVL2_ACTV_3_Currency_Selected=2,SENS_DETAILED_COST_WKSHT!$F371*SENS_DETAILED_COST_WKSHT!G371,SENS_DETAILED_COST_WKSHT!$F371*(SENS_DETAILED_COST_WKSHT!G371*LVL2_ACTV_3_Exchange_Rate))</f>
        <v>0</v>
      </c>
      <c r="F981" s="115">
        <f>IF(DD_LVL2_ACTV_3_Currency_Selected=2,SENS_DETAILED_COST_WKSHT!$F371*SENS_DETAILED_COST_WKSHT!H371,SENS_DETAILED_COST_WKSHT!$F371*(SENS_DETAILED_COST_WKSHT!H371*LVL2_ACTV_3_Exchange_Rate))</f>
        <v>0</v>
      </c>
      <c r="G981" s="116">
        <f t="shared" si="92"/>
        <v>0</v>
      </c>
      <c r="H981" s="116">
        <f t="shared" si="93"/>
        <v>0</v>
      </c>
    </row>
    <row r="982" spans="1:8" s="10" customFormat="1" outlineLevel="1" x14ac:dyDescent="0.2">
      <c r="D982" s="48" t="str">
        <f>Lang_Supplies_And_Materials</f>
        <v>Supplies and Materials</v>
      </c>
      <c r="E982" s="120">
        <f>SUM(E972:E981)</f>
        <v>0</v>
      </c>
      <c r="F982" s="120">
        <f>SUM(F972:F981)</f>
        <v>0</v>
      </c>
      <c r="G982" s="121">
        <f>SUM(G972:G981)</f>
        <v>0</v>
      </c>
      <c r="H982" s="121">
        <f>SUM(H972:H981)</f>
        <v>0</v>
      </c>
    </row>
    <row r="983" spans="1:8" s="10" customFormat="1" outlineLevel="1" x14ac:dyDescent="0.2"/>
    <row r="984" spans="1:8" s="10" customFormat="1" outlineLevel="1" x14ac:dyDescent="0.2"/>
    <row r="985" spans="1:8" s="10" customFormat="1" outlineLevel="1" x14ac:dyDescent="0.2">
      <c r="D985" s="76" t="str">
        <f>Lang_GoTo&amp;" "&amp;HL_LVL2_ACTV_3_Supplies_and_Materials</f>
        <v>Go to  Sensitisation Activity # 4 (Not in Use) - Detailed Supply and Material Cost Assumptions</v>
      </c>
    </row>
    <row r="986" spans="1:8" s="10" customFormat="1" outlineLevel="1" x14ac:dyDescent="0.2">
      <c r="D986" s="76" t="str">
        <f>Lang_GoTo&amp;" "&amp;HL_LVL2_ACTV_3_Cost_Summary_Output</f>
        <v>Go to  Sensitisation Activity # 4 (Not in Use) Detailed Cost Summary</v>
      </c>
    </row>
    <row r="987" spans="1:8" s="10" customFormat="1" x14ac:dyDescent="0.2"/>
    <row r="988" spans="1:8" s="13" customFormat="1" x14ac:dyDescent="0.2">
      <c r="A988" s="12" t="s">
        <v>127</v>
      </c>
      <c r="B988" s="13" t="str">
        <f>C990&amp;" "&amp;Lang_Other_Direct_Costs_Outputs</f>
        <v xml:space="preserve"> Sensitisation Activity # 4 (Not in Use) Other Direct Costs - Outputs</v>
      </c>
    </row>
    <row r="989" spans="1:8" s="10" customFormat="1" outlineLevel="1" x14ac:dyDescent="0.2"/>
    <row r="990" spans="1:8" s="10" customFormat="1" outlineLevel="1" x14ac:dyDescent="0.2">
      <c r="C990" s="114" t="str">
        <f>HL_LVL2_ACTV_3_Name</f>
        <v xml:space="preserve"> Sensitisation Activity # 4 (Not in Use)</v>
      </c>
    </row>
    <row r="991" spans="1:8" s="10" customFormat="1" outlineLevel="1" x14ac:dyDescent="0.2">
      <c r="E991" s="86" t="str">
        <f>SENS_Lu!$D$137&amp;" "&amp;Lang_Cost&amp;" ("&amp;SENS_Lu!$D$118&amp;")"</f>
        <v>Financial Cost (LCU)</v>
      </c>
      <c r="F991" s="86" t="str">
        <f>SENS_Lu!$D$138&amp;" "&amp;Lang_Cost&amp;" ("&amp;SENS_Lu!$D$118&amp;")"</f>
        <v>Economic Cost (LCU)</v>
      </c>
      <c r="G991" s="86" t="str">
        <f>SENS_Lu!$D$137&amp;" "&amp;Lang_Cost&amp;" ("&amp;SENS_Lu!$D$117&amp;")"</f>
        <v>Financial Cost (USD)</v>
      </c>
      <c r="H991" s="86" t="str">
        <f>SENS_Lu!$D$138&amp;" "&amp;Lang_Cost&amp;" ("&amp;SENS_Lu!$D$117&amp;")"</f>
        <v>Economic Cost (USD)</v>
      </c>
    </row>
    <row r="992" spans="1:8" s="10" customFormat="1" outlineLevel="1" x14ac:dyDescent="0.2">
      <c r="D992" s="49" t="str">
        <f>SENS_DETAILED_COST_WKSHT!D380</f>
        <v>Other Direct Costs (ODC) Category 1</v>
      </c>
      <c r="E992" s="115">
        <f>IF(DD_LVL2_ACTV_3_Currency_Selected=2,SENS_DETAILED_COST_WKSHT!$F380*SENS_DETAILED_COST_WKSHT!G380,SENS_DETAILED_COST_WKSHT!$F380*(SENS_DETAILED_COST_WKSHT!G380*LVL2_ACTV_3_Exchange_Rate))</f>
        <v>0</v>
      </c>
      <c r="F992" s="115">
        <f>IF(DD_LVL2_ACTV_3_Currency_Selected=2,SENS_DETAILED_COST_WKSHT!$F380*SENS_DETAILED_COST_WKSHT!H380,SENS_DETAILED_COST_WKSHT!$F380*(SENS_DETAILED_COST_WKSHT!H380*LVL2_ACTV_3_Exchange_Rate))</f>
        <v>0</v>
      </c>
      <c r="G992" s="116">
        <f t="shared" ref="G992:G1001" si="94">E992/LVL2_ACTV_3_Exchange_Rate</f>
        <v>0</v>
      </c>
      <c r="H992" s="116">
        <f t="shared" ref="H992:H1001" si="95">F992/LVL2_ACTV_3_Exchange_Rate</f>
        <v>0</v>
      </c>
    </row>
    <row r="993" spans="1:8" s="10" customFormat="1" outlineLevel="1" x14ac:dyDescent="0.2">
      <c r="D993" s="49" t="str">
        <f>SENS_DETAILED_COST_WKSHT!D381</f>
        <v>Other Direct Costs (ODC) Category 2</v>
      </c>
      <c r="E993" s="115">
        <f>IF(DD_LVL2_ACTV_3_Currency_Selected=2,SENS_DETAILED_COST_WKSHT!$F381*SENS_DETAILED_COST_WKSHT!G381,SENS_DETAILED_COST_WKSHT!$F381*(SENS_DETAILED_COST_WKSHT!G381*LVL2_ACTV_3_Exchange_Rate))</f>
        <v>0</v>
      </c>
      <c r="F993" s="115">
        <f>IF(DD_LVL2_ACTV_3_Currency_Selected=2,SENS_DETAILED_COST_WKSHT!$F381*SENS_DETAILED_COST_WKSHT!H381,SENS_DETAILED_COST_WKSHT!$F381*(SENS_DETAILED_COST_WKSHT!H381*LVL2_ACTV_3_Exchange_Rate))</f>
        <v>0</v>
      </c>
      <c r="G993" s="116">
        <f t="shared" si="94"/>
        <v>0</v>
      </c>
      <c r="H993" s="116">
        <f t="shared" si="95"/>
        <v>0</v>
      </c>
    </row>
    <row r="994" spans="1:8" s="10" customFormat="1" outlineLevel="1" x14ac:dyDescent="0.2">
      <c r="D994" s="49" t="str">
        <f>SENS_DETAILED_COST_WKSHT!D382</f>
        <v>Other Direct Costs (ODC) Category 3</v>
      </c>
      <c r="E994" s="115">
        <f>IF(DD_LVL2_ACTV_3_Currency_Selected=2,SENS_DETAILED_COST_WKSHT!$F382*SENS_DETAILED_COST_WKSHT!G382,SENS_DETAILED_COST_WKSHT!$F382*(SENS_DETAILED_COST_WKSHT!G382*LVL2_ACTV_3_Exchange_Rate))</f>
        <v>0</v>
      </c>
      <c r="F994" s="115">
        <f>IF(DD_LVL2_ACTV_3_Currency_Selected=2,SENS_DETAILED_COST_WKSHT!$F382*SENS_DETAILED_COST_WKSHT!H382,SENS_DETAILED_COST_WKSHT!$F382*(SENS_DETAILED_COST_WKSHT!H382*LVL2_ACTV_3_Exchange_Rate))</f>
        <v>0</v>
      </c>
      <c r="G994" s="116">
        <f t="shared" si="94"/>
        <v>0</v>
      </c>
      <c r="H994" s="116">
        <f t="shared" si="95"/>
        <v>0</v>
      </c>
    </row>
    <row r="995" spans="1:8" s="10" customFormat="1" outlineLevel="1" x14ac:dyDescent="0.2">
      <c r="D995" s="49" t="str">
        <f>SENS_DETAILED_COST_WKSHT!D383</f>
        <v>Other Direct Costs (ODC) Category 4</v>
      </c>
      <c r="E995" s="115">
        <f>IF(DD_LVL2_ACTV_3_Currency_Selected=2,SENS_DETAILED_COST_WKSHT!$F383*SENS_DETAILED_COST_WKSHT!G383,SENS_DETAILED_COST_WKSHT!$F383*(SENS_DETAILED_COST_WKSHT!G383*LVL2_ACTV_3_Exchange_Rate))</f>
        <v>0</v>
      </c>
      <c r="F995" s="115">
        <f>IF(DD_LVL2_ACTV_3_Currency_Selected=2,SENS_DETAILED_COST_WKSHT!$F383*SENS_DETAILED_COST_WKSHT!H383,SENS_DETAILED_COST_WKSHT!$F383*(SENS_DETAILED_COST_WKSHT!H383*LVL2_ACTV_3_Exchange_Rate))</f>
        <v>0</v>
      </c>
      <c r="G995" s="116">
        <f t="shared" si="94"/>
        <v>0</v>
      </c>
      <c r="H995" s="116">
        <f t="shared" si="95"/>
        <v>0</v>
      </c>
    </row>
    <row r="996" spans="1:8" s="10" customFormat="1" outlineLevel="1" x14ac:dyDescent="0.2">
      <c r="D996" s="49" t="str">
        <f>SENS_DETAILED_COST_WKSHT!D384</f>
        <v>Other Direct Costs (ODC) Category 5</v>
      </c>
      <c r="E996" s="115">
        <f>IF(DD_LVL2_ACTV_3_Currency_Selected=2,SENS_DETAILED_COST_WKSHT!$F384*SENS_DETAILED_COST_WKSHT!G384,SENS_DETAILED_COST_WKSHT!$F384*(SENS_DETAILED_COST_WKSHT!G384*LVL2_ACTV_3_Exchange_Rate))</f>
        <v>0</v>
      </c>
      <c r="F996" s="115">
        <f>IF(DD_LVL2_ACTV_3_Currency_Selected=2,SENS_DETAILED_COST_WKSHT!$F384*SENS_DETAILED_COST_WKSHT!H384,SENS_DETAILED_COST_WKSHT!$F384*(SENS_DETAILED_COST_WKSHT!H384*LVL2_ACTV_3_Exchange_Rate))</f>
        <v>0</v>
      </c>
      <c r="G996" s="116">
        <f t="shared" si="94"/>
        <v>0</v>
      </c>
      <c r="H996" s="116">
        <f t="shared" si="95"/>
        <v>0</v>
      </c>
    </row>
    <row r="997" spans="1:8" s="10" customFormat="1" outlineLevel="1" x14ac:dyDescent="0.2">
      <c r="D997" s="49" t="str">
        <f>SENS_DETAILED_COST_WKSHT!D385</f>
        <v>Other Direct Costs (ODC) Category 6</v>
      </c>
      <c r="E997" s="115">
        <f>IF(DD_LVL2_ACTV_3_Currency_Selected=2,SENS_DETAILED_COST_WKSHT!$F385*SENS_DETAILED_COST_WKSHT!G385,SENS_DETAILED_COST_WKSHT!$F385*(SENS_DETAILED_COST_WKSHT!G385*LVL2_ACTV_3_Exchange_Rate))</f>
        <v>0</v>
      </c>
      <c r="F997" s="115">
        <f>IF(DD_LVL2_ACTV_3_Currency_Selected=2,SENS_DETAILED_COST_WKSHT!$F385*SENS_DETAILED_COST_WKSHT!H385,SENS_DETAILED_COST_WKSHT!$F385*(SENS_DETAILED_COST_WKSHT!H385*LVL2_ACTV_3_Exchange_Rate))</f>
        <v>0</v>
      </c>
      <c r="G997" s="116">
        <f t="shared" si="94"/>
        <v>0</v>
      </c>
      <c r="H997" s="116">
        <f t="shared" si="95"/>
        <v>0</v>
      </c>
    </row>
    <row r="998" spans="1:8" s="10" customFormat="1" outlineLevel="1" x14ac:dyDescent="0.2">
      <c r="D998" s="49" t="str">
        <f>SENS_DETAILED_COST_WKSHT!D386</f>
        <v>Other Direct Costs (ODC) Category 7</v>
      </c>
      <c r="E998" s="115">
        <f>IF(DD_LVL2_ACTV_3_Currency_Selected=2,SENS_DETAILED_COST_WKSHT!$F386*SENS_DETAILED_COST_WKSHT!G386,SENS_DETAILED_COST_WKSHT!$F386*(SENS_DETAILED_COST_WKSHT!G386*LVL2_ACTV_3_Exchange_Rate))</f>
        <v>0</v>
      </c>
      <c r="F998" s="115">
        <f>IF(DD_LVL2_ACTV_3_Currency_Selected=2,SENS_DETAILED_COST_WKSHT!$F386*SENS_DETAILED_COST_WKSHT!H386,SENS_DETAILED_COST_WKSHT!$F386*(SENS_DETAILED_COST_WKSHT!H386*LVL2_ACTV_3_Exchange_Rate))</f>
        <v>0</v>
      </c>
      <c r="G998" s="116">
        <f t="shared" si="94"/>
        <v>0</v>
      </c>
      <c r="H998" s="116">
        <f t="shared" si="95"/>
        <v>0</v>
      </c>
    </row>
    <row r="999" spans="1:8" s="10" customFormat="1" outlineLevel="1" x14ac:dyDescent="0.2">
      <c r="D999" s="49" t="str">
        <f>SENS_DETAILED_COST_WKSHT!D387</f>
        <v>Other Direct Costs (ODC) Category 8</v>
      </c>
      <c r="E999" s="115">
        <f>IF(DD_LVL2_ACTV_3_Currency_Selected=2,SENS_DETAILED_COST_WKSHT!$F387*SENS_DETAILED_COST_WKSHT!G387,SENS_DETAILED_COST_WKSHT!$F387*(SENS_DETAILED_COST_WKSHT!G387*LVL2_ACTV_3_Exchange_Rate))</f>
        <v>0</v>
      </c>
      <c r="F999" s="115">
        <f>IF(DD_LVL2_ACTV_3_Currency_Selected=2,SENS_DETAILED_COST_WKSHT!$F387*SENS_DETAILED_COST_WKSHT!H387,SENS_DETAILED_COST_WKSHT!$F387*(SENS_DETAILED_COST_WKSHT!H387*LVL2_ACTV_3_Exchange_Rate))</f>
        <v>0</v>
      </c>
      <c r="G999" s="116">
        <f t="shared" si="94"/>
        <v>0</v>
      </c>
      <c r="H999" s="116">
        <f t="shared" si="95"/>
        <v>0</v>
      </c>
    </row>
    <row r="1000" spans="1:8" s="10" customFormat="1" outlineLevel="1" x14ac:dyDescent="0.2">
      <c r="D1000" s="49" t="str">
        <f>SENS_DETAILED_COST_WKSHT!D388</f>
        <v>Other Direct Costs (ODC) Category 9</v>
      </c>
      <c r="E1000" s="115">
        <f>IF(DD_LVL2_ACTV_3_Currency_Selected=2,SENS_DETAILED_COST_WKSHT!$F388*SENS_DETAILED_COST_WKSHT!G388,SENS_DETAILED_COST_WKSHT!$F388*(SENS_DETAILED_COST_WKSHT!G388*LVL2_ACTV_3_Exchange_Rate))</f>
        <v>0</v>
      </c>
      <c r="F1000" s="115">
        <f>IF(DD_LVL2_ACTV_3_Currency_Selected=2,SENS_DETAILED_COST_WKSHT!$F388*SENS_DETAILED_COST_WKSHT!H388,SENS_DETAILED_COST_WKSHT!$F388*(SENS_DETAILED_COST_WKSHT!H388*LVL2_ACTV_3_Exchange_Rate))</f>
        <v>0</v>
      </c>
      <c r="G1000" s="116">
        <f t="shared" si="94"/>
        <v>0</v>
      </c>
      <c r="H1000" s="116">
        <f t="shared" si="95"/>
        <v>0</v>
      </c>
    </row>
    <row r="1001" spans="1:8" s="10" customFormat="1" outlineLevel="1" x14ac:dyDescent="0.2">
      <c r="D1001" s="49" t="str">
        <f>SENS_DETAILED_COST_WKSHT!D389</f>
        <v>Other Direct Costs (ODC) Category 10</v>
      </c>
      <c r="E1001" s="115">
        <f>IF(DD_LVL2_ACTV_3_Currency_Selected=2,SENS_DETAILED_COST_WKSHT!$F389*SENS_DETAILED_COST_WKSHT!G389,SENS_DETAILED_COST_WKSHT!$F389*(SENS_DETAILED_COST_WKSHT!G389*LVL2_ACTV_3_Exchange_Rate))</f>
        <v>0</v>
      </c>
      <c r="F1001" s="115">
        <f>IF(DD_LVL2_ACTV_3_Currency_Selected=2,SENS_DETAILED_COST_WKSHT!$F389*SENS_DETAILED_COST_WKSHT!H389,SENS_DETAILED_COST_WKSHT!$F389*(SENS_DETAILED_COST_WKSHT!H389*LVL2_ACTV_3_Exchange_Rate))</f>
        <v>0</v>
      </c>
      <c r="G1001" s="116">
        <f t="shared" si="94"/>
        <v>0</v>
      </c>
      <c r="H1001" s="116">
        <f t="shared" si="95"/>
        <v>0</v>
      </c>
    </row>
    <row r="1002" spans="1:8" s="10" customFormat="1" outlineLevel="1" x14ac:dyDescent="0.2">
      <c r="D1002" s="48" t="str">
        <f>Lang_Other_Direct_Costs</f>
        <v>Other Direct Costs</v>
      </c>
      <c r="E1002" s="120">
        <f>SUM(E992:E1001)</f>
        <v>0</v>
      </c>
      <c r="F1002" s="120">
        <f>SUM(F992:F1001)</f>
        <v>0</v>
      </c>
      <c r="G1002" s="121">
        <f>SUM(G992:G1001)</f>
        <v>0</v>
      </c>
      <c r="H1002" s="121">
        <f>SUM(H992:H1001)</f>
        <v>0</v>
      </c>
    </row>
    <row r="1003" spans="1:8" s="10" customFormat="1" outlineLevel="1" x14ac:dyDescent="0.2"/>
    <row r="1004" spans="1:8" s="10" customFormat="1" outlineLevel="1" x14ac:dyDescent="0.2">
      <c r="D1004" s="76" t="str">
        <f>Lang_GoTo&amp;" "&amp;HL_LVL2_ACTV_3_Other_Direct_Costs</f>
        <v>Go to  Sensitisation Activity # 4 (Not in Use) - Detailed Other Direct Cost Assumptions</v>
      </c>
    </row>
    <row r="1005" spans="1:8" s="10" customFormat="1" outlineLevel="1" x14ac:dyDescent="0.2">
      <c r="D1005" s="76" t="str">
        <f>Lang_GoTo&amp;" "&amp;HL_LVL2_ACTV_3_Cost_Summary_Output</f>
        <v>Go to  Sensitisation Activity # 4 (Not in Use) Detailed Cost Summary</v>
      </c>
    </row>
    <row r="1006" spans="1:8" s="10" customFormat="1" x14ac:dyDescent="0.2"/>
    <row r="1007" spans="1:8" s="13" customFormat="1" x14ac:dyDescent="0.2">
      <c r="A1007" s="12" t="s">
        <v>127</v>
      </c>
      <c r="B1007" s="13" t="str">
        <f>C1009&amp;" "&amp;Lang_Personnel_Outputs</f>
        <v xml:space="preserve"> Sensitisation Activity # 5 (Not in Use) Personnel - Outputs</v>
      </c>
    </row>
    <row r="1008" spans="1:8" s="10" customFormat="1" outlineLevel="1" x14ac:dyDescent="0.2"/>
    <row r="1009" spans="3:8" s="10" customFormat="1" outlineLevel="1" x14ac:dyDescent="0.2">
      <c r="C1009" s="114" t="str">
        <f>HL_LVL2_ACTV_18_Name</f>
        <v xml:space="preserve"> Sensitisation Activity # 5 (Not in Use)</v>
      </c>
    </row>
    <row r="1010" spans="3:8" s="10" customFormat="1" outlineLevel="1" x14ac:dyDescent="0.2">
      <c r="E1010" s="86" t="str">
        <f>SENS_Lu!$D$172&amp;" "&amp;Lang_Cost&amp;" ("&amp;SENS_Lu!$D$153&amp;")"</f>
        <v>Financial Cost (LCU)</v>
      </c>
      <c r="F1010" s="86" t="str">
        <f>SENS_Lu!$D$173&amp;" "&amp;Lang_Cost&amp;" ("&amp;SENS_Lu!$D$153&amp;")"</f>
        <v>Economic Cost (LCU)</v>
      </c>
      <c r="G1010" s="86" t="str">
        <f>SENS_Lu!$D$172&amp;" "&amp;Lang_Cost&amp;" ("&amp;SENS_Lu!$D$152&amp;")"</f>
        <v>Financial Cost (USD)</v>
      </c>
      <c r="H1010" s="86" t="str">
        <f>SENS_Lu!$D$173&amp;" "&amp;Lang_Cost&amp;" ("&amp;SENS_Lu!$D$152&amp;")"</f>
        <v>Economic Cost (USD)</v>
      </c>
    </row>
    <row r="1011" spans="3:8" s="10" customFormat="1" outlineLevel="1" x14ac:dyDescent="0.2">
      <c r="D1011" s="49" t="str">
        <f>SENS_DETAILED_COST_WKSHT!D420</f>
        <v>Personnel Category 1</v>
      </c>
      <c r="E1011" s="115">
        <f>IF(DD_LVL2_ACTV_18_Currency_Selected=2,SENS_DETAILED_COST_WKSHT!$F420*SENS_DETAILED_COST_WKSHT!G420,SENS_DETAILED_COST_WKSHT!$F420*(SENS_DETAILED_COST_WKSHT!G420*LVL2_ACTV_18_Exchange_Rate))</f>
        <v>0</v>
      </c>
      <c r="F1011" s="115">
        <f>IF(DD_LVL2_ACTV_18_Currency_Selected=2,SENS_DETAILED_COST_WKSHT!$F420*SENS_DETAILED_COST_WKSHT!H420,SENS_DETAILED_COST_WKSHT!$F420*(SENS_DETAILED_COST_WKSHT!H420*LVL2_ACTV_18_Exchange_Rate))</f>
        <v>0</v>
      </c>
      <c r="G1011" s="116">
        <f t="shared" ref="G1011:G1025" si="96">IFERROR(E1011/LVL2_ACTV_18_Exchange_Rate,0)</f>
        <v>0</v>
      </c>
      <c r="H1011" s="116">
        <f t="shared" ref="H1011:H1025" si="97">IFERROR(F1011/LVL2_ACTV_18_Exchange_Rate,0)</f>
        <v>0</v>
      </c>
    </row>
    <row r="1012" spans="3:8" s="10" customFormat="1" outlineLevel="1" x14ac:dyDescent="0.2">
      <c r="D1012" s="49" t="str">
        <f>SENS_DETAILED_COST_WKSHT!D421</f>
        <v>Personnel Category 2</v>
      </c>
      <c r="E1012" s="115">
        <f>IF(DD_LVL2_ACTV_18_Currency_Selected=2,SENS_DETAILED_COST_WKSHT!$F421*SENS_DETAILED_COST_WKSHT!G421,SENS_DETAILED_COST_WKSHT!$F421*(SENS_DETAILED_COST_WKSHT!G421*LVL2_ACTV_18_Exchange_Rate))</f>
        <v>0</v>
      </c>
      <c r="F1012" s="115">
        <f>IF(DD_LVL2_ACTV_18_Currency_Selected=2,SENS_DETAILED_COST_WKSHT!$F421*SENS_DETAILED_COST_WKSHT!H421,SENS_DETAILED_COST_WKSHT!$F421*(SENS_DETAILED_COST_WKSHT!H421*LVL2_ACTV_18_Exchange_Rate))</f>
        <v>0</v>
      </c>
      <c r="G1012" s="116">
        <f t="shared" si="96"/>
        <v>0</v>
      </c>
      <c r="H1012" s="116">
        <f t="shared" si="97"/>
        <v>0</v>
      </c>
    </row>
    <row r="1013" spans="3:8" s="10" customFormat="1" outlineLevel="1" x14ac:dyDescent="0.2">
      <c r="D1013" s="49" t="str">
        <f>SENS_DETAILED_COST_WKSHT!D422</f>
        <v>Personnel Category 3</v>
      </c>
      <c r="E1013" s="115">
        <f>IF(DD_LVL2_ACTV_18_Currency_Selected=2,SENS_DETAILED_COST_WKSHT!$F422*SENS_DETAILED_COST_WKSHT!G422,SENS_DETAILED_COST_WKSHT!$F422*(SENS_DETAILED_COST_WKSHT!G422*LVL2_ACTV_18_Exchange_Rate))</f>
        <v>0</v>
      </c>
      <c r="F1013" s="115">
        <f>IF(DD_LVL2_ACTV_18_Currency_Selected=2,SENS_DETAILED_COST_WKSHT!$F422*SENS_DETAILED_COST_WKSHT!H422,SENS_DETAILED_COST_WKSHT!$F422*(SENS_DETAILED_COST_WKSHT!H422*LVL2_ACTV_18_Exchange_Rate))</f>
        <v>0</v>
      </c>
      <c r="G1013" s="116">
        <f t="shared" si="96"/>
        <v>0</v>
      </c>
      <c r="H1013" s="116">
        <f t="shared" si="97"/>
        <v>0</v>
      </c>
    </row>
    <row r="1014" spans="3:8" s="10" customFormat="1" outlineLevel="1" x14ac:dyDescent="0.2">
      <c r="D1014" s="49" t="str">
        <f>SENS_DETAILED_COST_WKSHT!D423</f>
        <v>Personnel Category 4</v>
      </c>
      <c r="E1014" s="115">
        <f>IF(DD_LVL2_ACTV_18_Currency_Selected=2,SENS_DETAILED_COST_WKSHT!$F423*SENS_DETAILED_COST_WKSHT!G423,SENS_DETAILED_COST_WKSHT!$F423*(SENS_DETAILED_COST_WKSHT!G423*LVL2_ACTV_18_Exchange_Rate))</f>
        <v>0</v>
      </c>
      <c r="F1014" s="115">
        <f>IF(DD_LVL2_ACTV_18_Currency_Selected=2,SENS_DETAILED_COST_WKSHT!$F423*SENS_DETAILED_COST_WKSHT!H423,SENS_DETAILED_COST_WKSHT!$F423*(SENS_DETAILED_COST_WKSHT!H423*LVL2_ACTV_18_Exchange_Rate))</f>
        <v>0</v>
      </c>
      <c r="G1014" s="116">
        <f t="shared" si="96"/>
        <v>0</v>
      </c>
      <c r="H1014" s="116">
        <f t="shared" si="97"/>
        <v>0</v>
      </c>
    </row>
    <row r="1015" spans="3:8" s="10" customFormat="1" outlineLevel="1" x14ac:dyDescent="0.2">
      <c r="D1015" s="49" t="str">
        <f>SENS_DETAILED_COST_WKSHT!D424</f>
        <v>Personnel Category 5</v>
      </c>
      <c r="E1015" s="115">
        <f>IF(DD_LVL2_ACTV_18_Currency_Selected=2,SENS_DETAILED_COST_WKSHT!$F424*SENS_DETAILED_COST_WKSHT!G424,SENS_DETAILED_COST_WKSHT!$F424*(SENS_DETAILED_COST_WKSHT!G424*LVL2_ACTV_18_Exchange_Rate))</f>
        <v>0</v>
      </c>
      <c r="F1015" s="115">
        <f>IF(DD_LVL2_ACTV_18_Currency_Selected=2,SENS_DETAILED_COST_WKSHT!$F424*SENS_DETAILED_COST_WKSHT!H424,SENS_DETAILED_COST_WKSHT!$F424*(SENS_DETAILED_COST_WKSHT!H424*LVL2_ACTV_18_Exchange_Rate))</f>
        <v>0</v>
      </c>
      <c r="G1015" s="116">
        <f t="shared" si="96"/>
        <v>0</v>
      </c>
      <c r="H1015" s="116">
        <f t="shared" si="97"/>
        <v>0</v>
      </c>
    </row>
    <row r="1016" spans="3:8" s="10" customFormat="1" outlineLevel="1" x14ac:dyDescent="0.2">
      <c r="D1016" s="49" t="str">
        <f>SENS_DETAILED_COST_WKSHT!D425</f>
        <v>Personnel Category 6</v>
      </c>
      <c r="E1016" s="115">
        <f>IF(DD_LVL2_ACTV_18_Currency_Selected=2,SENS_DETAILED_COST_WKSHT!$F425*SENS_DETAILED_COST_WKSHT!G425,SENS_DETAILED_COST_WKSHT!$F425*(SENS_DETAILED_COST_WKSHT!G425*LVL2_ACTV_18_Exchange_Rate))</f>
        <v>0</v>
      </c>
      <c r="F1016" s="115">
        <f>IF(DD_LVL2_ACTV_18_Currency_Selected=2,SENS_DETAILED_COST_WKSHT!$F425*SENS_DETAILED_COST_WKSHT!H425,SENS_DETAILED_COST_WKSHT!$F425*(SENS_DETAILED_COST_WKSHT!H425*LVL2_ACTV_18_Exchange_Rate))</f>
        <v>0</v>
      </c>
      <c r="G1016" s="116">
        <f t="shared" si="96"/>
        <v>0</v>
      </c>
      <c r="H1016" s="116">
        <f t="shared" si="97"/>
        <v>0</v>
      </c>
    </row>
    <row r="1017" spans="3:8" s="10" customFormat="1" outlineLevel="1" x14ac:dyDescent="0.2">
      <c r="D1017" s="49" t="str">
        <f>SENS_DETAILED_COST_WKSHT!D426</f>
        <v>Personnel Category 7</v>
      </c>
      <c r="E1017" s="115">
        <f>IF(DD_LVL2_ACTV_18_Currency_Selected=2,SENS_DETAILED_COST_WKSHT!$F426*SENS_DETAILED_COST_WKSHT!G426,SENS_DETAILED_COST_WKSHT!$F426*(SENS_DETAILED_COST_WKSHT!G426*LVL2_ACTV_18_Exchange_Rate))</f>
        <v>0</v>
      </c>
      <c r="F1017" s="115">
        <f>IF(DD_LVL2_ACTV_18_Currency_Selected=2,SENS_DETAILED_COST_WKSHT!$F426*SENS_DETAILED_COST_WKSHT!H426,SENS_DETAILED_COST_WKSHT!$F426*(SENS_DETAILED_COST_WKSHT!H426*LVL2_ACTV_18_Exchange_Rate))</f>
        <v>0</v>
      </c>
      <c r="G1017" s="116">
        <f t="shared" si="96"/>
        <v>0</v>
      </c>
      <c r="H1017" s="116">
        <f t="shared" si="97"/>
        <v>0</v>
      </c>
    </row>
    <row r="1018" spans="3:8" s="10" customFormat="1" outlineLevel="1" x14ac:dyDescent="0.2">
      <c r="D1018" s="49" t="str">
        <f>SENS_DETAILED_COST_WKSHT!D427</f>
        <v>Personnel Category 8</v>
      </c>
      <c r="E1018" s="115">
        <f>IF(DD_LVL2_ACTV_18_Currency_Selected=2,SENS_DETAILED_COST_WKSHT!$F427*SENS_DETAILED_COST_WKSHT!G427,SENS_DETAILED_COST_WKSHT!$F427*(SENS_DETAILED_COST_WKSHT!G427*LVL2_ACTV_18_Exchange_Rate))</f>
        <v>0</v>
      </c>
      <c r="F1018" s="115">
        <f>IF(DD_LVL2_ACTV_18_Currency_Selected=2,SENS_DETAILED_COST_WKSHT!$F427*SENS_DETAILED_COST_WKSHT!H427,SENS_DETAILED_COST_WKSHT!$F427*(SENS_DETAILED_COST_WKSHT!H427*LVL2_ACTV_18_Exchange_Rate))</f>
        <v>0</v>
      </c>
      <c r="G1018" s="116">
        <f t="shared" si="96"/>
        <v>0</v>
      </c>
      <c r="H1018" s="116">
        <f t="shared" si="97"/>
        <v>0</v>
      </c>
    </row>
    <row r="1019" spans="3:8" s="10" customFormat="1" outlineLevel="1" x14ac:dyDescent="0.2">
      <c r="D1019" s="49" t="str">
        <f>SENS_DETAILED_COST_WKSHT!D428</f>
        <v>Personnel Category 9</v>
      </c>
      <c r="E1019" s="115">
        <f>IF(DD_LVL2_ACTV_18_Currency_Selected=2,SENS_DETAILED_COST_WKSHT!$F428*SENS_DETAILED_COST_WKSHT!G428,SENS_DETAILED_COST_WKSHT!$F428*(SENS_DETAILED_COST_WKSHT!G428*LVL2_ACTV_18_Exchange_Rate))</f>
        <v>0</v>
      </c>
      <c r="F1019" s="115">
        <f>IF(DD_LVL2_ACTV_18_Currency_Selected=2,SENS_DETAILED_COST_WKSHT!$F428*SENS_DETAILED_COST_WKSHT!H428,SENS_DETAILED_COST_WKSHT!$F428*(SENS_DETAILED_COST_WKSHT!H428*LVL2_ACTV_18_Exchange_Rate))</f>
        <v>0</v>
      </c>
      <c r="G1019" s="116">
        <f t="shared" si="96"/>
        <v>0</v>
      </c>
      <c r="H1019" s="116">
        <f t="shared" si="97"/>
        <v>0</v>
      </c>
    </row>
    <row r="1020" spans="3:8" s="10" customFormat="1" outlineLevel="1" x14ac:dyDescent="0.2">
      <c r="D1020" s="49" t="str">
        <f>SENS_DETAILED_COST_WKSHT!D429</f>
        <v>Personnel Category 10</v>
      </c>
      <c r="E1020" s="115">
        <f>IF(DD_LVL2_ACTV_18_Currency_Selected=2,SENS_DETAILED_COST_WKSHT!$F429*SENS_DETAILED_COST_WKSHT!G429,SENS_DETAILED_COST_WKSHT!$F429*(SENS_DETAILED_COST_WKSHT!G429*LVL2_ACTV_18_Exchange_Rate))</f>
        <v>0</v>
      </c>
      <c r="F1020" s="115">
        <f>IF(DD_LVL2_ACTV_18_Currency_Selected=2,SENS_DETAILED_COST_WKSHT!$F429*SENS_DETAILED_COST_WKSHT!H429,SENS_DETAILED_COST_WKSHT!$F429*(SENS_DETAILED_COST_WKSHT!H429*LVL2_ACTV_18_Exchange_Rate))</f>
        <v>0</v>
      </c>
      <c r="G1020" s="116">
        <f t="shared" si="96"/>
        <v>0</v>
      </c>
      <c r="H1020" s="116">
        <f t="shared" si="97"/>
        <v>0</v>
      </c>
    </row>
    <row r="1021" spans="3:8" s="10" customFormat="1" outlineLevel="1" x14ac:dyDescent="0.2">
      <c r="D1021" s="49" t="str">
        <f>SENS_DETAILED_COST_WKSHT!D430</f>
        <v>Personnel Category 11</v>
      </c>
      <c r="E1021" s="115">
        <f>IF(DD_LVL2_ACTV_18_Currency_Selected=2,SENS_DETAILED_COST_WKSHT!$F430*SENS_DETAILED_COST_WKSHT!G430,SENS_DETAILED_COST_WKSHT!$F430*(SENS_DETAILED_COST_WKSHT!G430*LVL2_ACTV_18_Exchange_Rate))</f>
        <v>0</v>
      </c>
      <c r="F1021" s="115">
        <f>IF(DD_LVL2_ACTV_18_Currency_Selected=2,SENS_DETAILED_COST_WKSHT!$F430*SENS_DETAILED_COST_WKSHT!H430,SENS_DETAILED_COST_WKSHT!$F430*(SENS_DETAILED_COST_WKSHT!H430*LVL2_ACTV_18_Exchange_Rate))</f>
        <v>0</v>
      </c>
      <c r="G1021" s="116">
        <f t="shared" si="96"/>
        <v>0</v>
      </c>
      <c r="H1021" s="116">
        <f t="shared" si="97"/>
        <v>0</v>
      </c>
    </row>
    <row r="1022" spans="3:8" s="10" customFormat="1" outlineLevel="1" x14ac:dyDescent="0.2">
      <c r="D1022" s="49" t="str">
        <f>SENS_DETAILED_COST_WKSHT!D431</f>
        <v>Personnel Category 12</v>
      </c>
      <c r="E1022" s="115">
        <f>IF(DD_LVL2_ACTV_18_Currency_Selected=2,SENS_DETAILED_COST_WKSHT!$F431*SENS_DETAILED_COST_WKSHT!G431,SENS_DETAILED_COST_WKSHT!$F431*(SENS_DETAILED_COST_WKSHT!G431*LVL2_ACTV_18_Exchange_Rate))</f>
        <v>0</v>
      </c>
      <c r="F1022" s="115">
        <f>IF(DD_LVL2_ACTV_18_Currency_Selected=2,SENS_DETAILED_COST_WKSHT!$F431*SENS_DETAILED_COST_WKSHT!H431,SENS_DETAILED_COST_WKSHT!$F431*(SENS_DETAILED_COST_WKSHT!H431*LVL2_ACTV_18_Exchange_Rate))</f>
        <v>0</v>
      </c>
      <c r="G1022" s="116">
        <f t="shared" si="96"/>
        <v>0</v>
      </c>
      <c r="H1022" s="116">
        <f t="shared" si="97"/>
        <v>0</v>
      </c>
    </row>
    <row r="1023" spans="3:8" s="10" customFormat="1" outlineLevel="1" x14ac:dyDescent="0.2">
      <c r="D1023" s="49" t="str">
        <f>SENS_DETAILED_COST_WKSHT!D432</f>
        <v>Personnel Category 13</v>
      </c>
      <c r="E1023" s="115">
        <f>IF(DD_LVL2_ACTV_18_Currency_Selected=2,SENS_DETAILED_COST_WKSHT!$F432*SENS_DETAILED_COST_WKSHT!G432,SENS_DETAILED_COST_WKSHT!$F432*(SENS_DETAILED_COST_WKSHT!G432*LVL2_ACTV_18_Exchange_Rate))</f>
        <v>0</v>
      </c>
      <c r="F1023" s="115">
        <f>IF(DD_LVL2_ACTV_18_Currency_Selected=2,SENS_DETAILED_COST_WKSHT!$F432*SENS_DETAILED_COST_WKSHT!H432,SENS_DETAILED_COST_WKSHT!$F432*(SENS_DETAILED_COST_WKSHT!H432*LVL2_ACTV_18_Exchange_Rate))</f>
        <v>0</v>
      </c>
      <c r="G1023" s="116">
        <f t="shared" si="96"/>
        <v>0</v>
      </c>
      <c r="H1023" s="116">
        <f t="shared" si="97"/>
        <v>0</v>
      </c>
    </row>
    <row r="1024" spans="3:8" s="10" customFormat="1" outlineLevel="1" x14ac:dyDescent="0.2">
      <c r="D1024" s="49" t="str">
        <f>SENS_DETAILED_COST_WKSHT!D433</f>
        <v>Personnel Category 14</v>
      </c>
      <c r="E1024" s="115">
        <f>IF(DD_LVL2_ACTV_18_Currency_Selected=2,SENS_DETAILED_COST_WKSHT!$F433*SENS_DETAILED_COST_WKSHT!G433,SENS_DETAILED_COST_WKSHT!$F433*(SENS_DETAILED_COST_WKSHT!G433*LVL2_ACTV_18_Exchange_Rate))</f>
        <v>0</v>
      </c>
      <c r="F1024" s="115">
        <f>IF(DD_LVL2_ACTV_18_Currency_Selected=2,SENS_DETAILED_COST_WKSHT!$F433*SENS_DETAILED_COST_WKSHT!H433,SENS_DETAILED_COST_WKSHT!$F433*(SENS_DETAILED_COST_WKSHT!H433*LVL2_ACTV_18_Exchange_Rate))</f>
        <v>0</v>
      </c>
      <c r="G1024" s="116">
        <f t="shared" si="96"/>
        <v>0</v>
      </c>
      <c r="H1024" s="116">
        <f t="shared" si="97"/>
        <v>0</v>
      </c>
    </row>
    <row r="1025" spans="1:8" s="10" customFormat="1" outlineLevel="1" x14ac:dyDescent="0.2">
      <c r="D1025" s="49" t="str">
        <f>SENS_DETAILED_COST_WKSHT!D434</f>
        <v>Personnel Category 15</v>
      </c>
      <c r="E1025" s="115">
        <f>IF(DD_LVL2_ACTV_18_Currency_Selected=2,SENS_DETAILED_COST_WKSHT!$F434*SENS_DETAILED_COST_WKSHT!G434,SENS_DETAILED_COST_WKSHT!$F434*(SENS_DETAILED_COST_WKSHT!G434*LVL2_ACTV_18_Exchange_Rate))</f>
        <v>0</v>
      </c>
      <c r="F1025" s="115">
        <f>IF(DD_LVL2_ACTV_18_Currency_Selected=2,SENS_DETAILED_COST_WKSHT!$F434*SENS_DETAILED_COST_WKSHT!H434,SENS_DETAILED_COST_WKSHT!$F434*(SENS_DETAILED_COST_WKSHT!H434*LVL2_ACTV_18_Exchange_Rate))</f>
        <v>0</v>
      </c>
      <c r="G1025" s="116">
        <f t="shared" si="96"/>
        <v>0</v>
      </c>
      <c r="H1025" s="116">
        <f t="shared" si="97"/>
        <v>0</v>
      </c>
    </row>
    <row r="1026" spans="1:8" s="10" customFormat="1" outlineLevel="1" x14ac:dyDescent="0.2">
      <c r="D1026" s="48" t="str">
        <f>Lang_Personnel</f>
        <v>Personnel</v>
      </c>
      <c r="E1026" s="120">
        <f>SUM(E1011:E1025)</f>
        <v>0</v>
      </c>
      <c r="F1026" s="120">
        <f>SUM(F1011:F1025)</f>
        <v>0</v>
      </c>
      <c r="G1026" s="121">
        <f>SUM(G1011:G1025)</f>
        <v>0</v>
      </c>
      <c r="H1026" s="121">
        <f>SUM(H1011:H1025)</f>
        <v>0</v>
      </c>
    </row>
    <row r="1027" spans="1:8" s="10" customFormat="1" outlineLevel="1" x14ac:dyDescent="0.2"/>
    <row r="1028" spans="1:8" s="10" customFormat="1" outlineLevel="1" x14ac:dyDescent="0.2"/>
    <row r="1029" spans="1:8" s="10" customFormat="1" outlineLevel="1" x14ac:dyDescent="0.2">
      <c r="D1029" s="76" t="str">
        <f>Lang_GoTo&amp;" "&amp;HL_LVL2_ACTV_18_Personnel_Assumptions</f>
        <v>Go to  Sensitisation Activity # 5 (Not in Use) - Detailed Personnel Cost Assumptions</v>
      </c>
    </row>
    <row r="1030" spans="1:8" s="10" customFormat="1" outlineLevel="1" x14ac:dyDescent="0.2">
      <c r="D1030" s="76" t="str">
        <f>Lang_GoTo&amp;" "&amp;HL_LVL2_ACTV_18_Cost_Summary_Output</f>
        <v>Go to  Sensitisation Activity # 5 (Not in Use) Detailed Cost Summary</v>
      </c>
    </row>
    <row r="1031" spans="1:8" s="10" customFormat="1" x14ac:dyDescent="0.2"/>
    <row r="1032" spans="1:8" s="13" customFormat="1" x14ac:dyDescent="0.2">
      <c r="A1032" s="12" t="s">
        <v>127</v>
      </c>
      <c r="B1032" s="13" t="str">
        <f>C1034&amp;" "&amp;Lang_Allowances_Outputs</f>
        <v xml:space="preserve"> Sensitisation Activity # 5 (Not in Use) Allowances - Outputs</v>
      </c>
    </row>
    <row r="1033" spans="1:8" s="10" customFormat="1" outlineLevel="1" x14ac:dyDescent="0.2"/>
    <row r="1034" spans="1:8" s="10" customFormat="1" outlineLevel="1" x14ac:dyDescent="0.2">
      <c r="C1034" s="114" t="str">
        <f>HL_LVL2_ACTV_18_Name</f>
        <v xml:space="preserve"> Sensitisation Activity # 5 (Not in Use)</v>
      </c>
    </row>
    <row r="1035" spans="1:8" s="10" customFormat="1" outlineLevel="1" x14ac:dyDescent="0.2">
      <c r="E1035" s="86" t="str">
        <f>SENS_Lu!$D$172&amp;" "&amp;Lang_Cost&amp;" ("&amp;SENS_Lu!$D$153&amp;")"</f>
        <v>Financial Cost (LCU)</v>
      </c>
      <c r="F1035" s="86" t="str">
        <f>SENS_Lu!$D$173&amp;" "&amp;Lang_Cost&amp;" ("&amp;SENS_Lu!$D$153&amp;")"</f>
        <v>Economic Cost (LCU)</v>
      </c>
      <c r="G1035" s="86" t="str">
        <f>SENS_Lu!$D$172&amp;" "&amp;Lang_Cost&amp;" ("&amp;SENS_Lu!$D$152&amp;")"</f>
        <v>Financial Cost (USD)</v>
      </c>
      <c r="H1035" s="86" t="str">
        <f>SENS_Lu!$D$173&amp;" "&amp;Lang_Cost&amp;" ("&amp;SENS_Lu!$D$152&amp;")"</f>
        <v>Economic Cost (USD)</v>
      </c>
    </row>
    <row r="1036" spans="1:8" s="10" customFormat="1" outlineLevel="1" x14ac:dyDescent="0.2">
      <c r="D1036" s="49" t="str">
        <f>SENS_DETAILED_COST_WKSHT!D443</f>
        <v>Allowances Category 1</v>
      </c>
      <c r="E1036" s="115">
        <f>IF(DD_LVL2_ACTV_18_Currency_Selected=2,SENS_DETAILED_COST_WKSHT!$F443*SENS_DETAILED_COST_WKSHT!G443,SENS_DETAILED_COST_WKSHT!$F443*(SENS_DETAILED_COST_WKSHT!G443*LVL2_ACTV_18_Exchange_Rate))</f>
        <v>0</v>
      </c>
      <c r="F1036" s="115">
        <f>IF(DD_LVL2_ACTV_18_Currency_Selected=2,SENS_DETAILED_COST_WKSHT!$F443*SENS_DETAILED_COST_WKSHT!H443,SENS_DETAILED_COST_WKSHT!$F443*(SENS_DETAILED_COST_WKSHT!H443*LVL2_ACTV_18_Exchange_Rate))</f>
        <v>0</v>
      </c>
      <c r="G1036" s="116">
        <f t="shared" ref="G1036:G1045" si="98">E1036/LVL2_ACTV_18_Exchange_Rate</f>
        <v>0</v>
      </c>
      <c r="H1036" s="116">
        <f t="shared" ref="H1036:H1045" si="99">F1036/LVL2_ACTV_18_Exchange_Rate</f>
        <v>0</v>
      </c>
    </row>
    <row r="1037" spans="1:8" s="10" customFormat="1" outlineLevel="1" x14ac:dyDescent="0.2">
      <c r="D1037" s="49" t="str">
        <f>SENS_DETAILED_COST_WKSHT!D444</f>
        <v>Allowances Category 2</v>
      </c>
      <c r="E1037" s="115">
        <f>IF(DD_LVL2_ACTV_18_Currency_Selected=2,SENS_DETAILED_COST_WKSHT!$F444*SENS_DETAILED_COST_WKSHT!G444,SENS_DETAILED_COST_WKSHT!$F444*(SENS_DETAILED_COST_WKSHT!G444*LVL2_ACTV_18_Exchange_Rate))</f>
        <v>0</v>
      </c>
      <c r="F1037" s="115">
        <f>IF(DD_LVL2_ACTV_18_Currency_Selected=2,SENS_DETAILED_COST_WKSHT!$F444*SENS_DETAILED_COST_WKSHT!H444,SENS_DETAILED_COST_WKSHT!$F444*(SENS_DETAILED_COST_WKSHT!H444*LVL2_ACTV_18_Exchange_Rate))</f>
        <v>0</v>
      </c>
      <c r="G1037" s="116">
        <f t="shared" si="98"/>
        <v>0</v>
      </c>
      <c r="H1037" s="116">
        <f t="shared" si="99"/>
        <v>0</v>
      </c>
    </row>
    <row r="1038" spans="1:8" s="10" customFormat="1" outlineLevel="1" x14ac:dyDescent="0.2">
      <c r="D1038" s="49" t="str">
        <f>SENS_DETAILED_COST_WKSHT!D445</f>
        <v>Allowances Category 3</v>
      </c>
      <c r="E1038" s="115">
        <f>IF(DD_LVL2_ACTV_18_Currency_Selected=2,SENS_DETAILED_COST_WKSHT!$F445*SENS_DETAILED_COST_WKSHT!G445,SENS_DETAILED_COST_WKSHT!$F445*(SENS_DETAILED_COST_WKSHT!G445*LVL2_ACTV_18_Exchange_Rate))</f>
        <v>0</v>
      </c>
      <c r="F1038" s="115">
        <f>IF(DD_LVL2_ACTV_18_Currency_Selected=2,SENS_DETAILED_COST_WKSHT!$F445*SENS_DETAILED_COST_WKSHT!H445,SENS_DETAILED_COST_WKSHT!$F445*(SENS_DETAILED_COST_WKSHT!H445*LVL2_ACTV_18_Exchange_Rate))</f>
        <v>0</v>
      </c>
      <c r="G1038" s="116">
        <f t="shared" si="98"/>
        <v>0</v>
      </c>
      <c r="H1038" s="116">
        <f t="shared" si="99"/>
        <v>0</v>
      </c>
    </row>
    <row r="1039" spans="1:8" s="10" customFormat="1" outlineLevel="1" x14ac:dyDescent="0.2">
      <c r="D1039" s="49" t="str">
        <f>SENS_DETAILED_COST_WKSHT!D446</f>
        <v>Allowances Category 4</v>
      </c>
      <c r="E1039" s="115">
        <f>IF(DD_LVL2_ACTV_18_Currency_Selected=2,SENS_DETAILED_COST_WKSHT!$F446*SENS_DETAILED_COST_WKSHT!G446,SENS_DETAILED_COST_WKSHT!$F446*(SENS_DETAILED_COST_WKSHT!G446*LVL2_ACTV_18_Exchange_Rate))</f>
        <v>0</v>
      </c>
      <c r="F1039" s="115">
        <f>IF(DD_LVL2_ACTV_18_Currency_Selected=2,SENS_DETAILED_COST_WKSHT!$F446*SENS_DETAILED_COST_WKSHT!H446,SENS_DETAILED_COST_WKSHT!$F446*(SENS_DETAILED_COST_WKSHT!H446*LVL2_ACTV_18_Exchange_Rate))</f>
        <v>0</v>
      </c>
      <c r="G1039" s="116">
        <f t="shared" si="98"/>
        <v>0</v>
      </c>
      <c r="H1039" s="116">
        <f t="shared" si="99"/>
        <v>0</v>
      </c>
    </row>
    <row r="1040" spans="1:8" s="10" customFormat="1" outlineLevel="1" x14ac:dyDescent="0.2">
      <c r="D1040" s="49" t="str">
        <f>SENS_DETAILED_COST_WKSHT!D447</f>
        <v>Allowances Category 5</v>
      </c>
      <c r="E1040" s="115">
        <f>IF(DD_LVL2_ACTV_18_Currency_Selected=2,SENS_DETAILED_COST_WKSHT!$F447*SENS_DETAILED_COST_WKSHT!G447,SENS_DETAILED_COST_WKSHT!$F447*(SENS_DETAILED_COST_WKSHT!G447*LVL2_ACTV_18_Exchange_Rate))</f>
        <v>0</v>
      </c>
      <c r="F1040" s="115">
        <f>IF(DD_LVL2_ACTV_18_Currency_Selected=2,SENS_DETAILED_COST_WKSHT!$F447*SENS_DETAILED_COST_WKSHT!H447,SENS_DETAILED_COST_WKSHT!$F447*(SENS_DETAILED_COST_WKSHT!H447*LVL2_ACTV_18_Exchange_Rate))</f>
        <v>0</v>
      </c>
      <c r="G1040" s="116">
        <f t="shared" si="98"/>
        <v>0</v>
      </c>
      <c r="H1040" s="116">
        <f t="shared" si="99"/>
        <v>0</v>
      </c>
    </row>
    <row r="1041" spans="1:8" s="10" customFormat="1" outlineLevel="1" x14ac:dyDescent="0.2">
      <c r="D1041" s="49" t="str">
        <f>SENS_DETAILED_COST_WKSHT!D448</f>
        <v>Allowances Category 6</v>
      </c>
      <c r="E1041" s="115">
        <f>IF(DD_LVL2_ACTV_18_Currency_Selected=2,SENS_DETAILED_COST_WKSHT!$F448*SENS_DETAILED_COST_WKSHT!G448,SENS_DETAILED_COST_WKSHT!$F448*(SENS_DETAILED_COST_WKSHT!G448*LVL2_ACTV_18_Exchange_Rate))</f>
        <v>0</v>
      </c>
      <c r="F1041" s="115">
        <f>IF(DD_LVL2_ACTV_18_Currency_Selected=2,SENS_DETAILED_COST_WKSHT!$F448*SENS_DETAILED_COST_WKSHT!H448,SENS_DETAILED_COST_WKSHT!$F448*(SENS_DETAILED_COST_WKSHT!H448*LVL2_ACTV_18_Exchange_Rate))</f>
        <v>0</v>
      </c>
      <c r="G1041" s="116">
        <f t="shared" si="98"/>
        <v>0</v>
      </c>
      <c r="H1041" s="116">
        <f t="shared" si="99"/>
        <v>0</v>
      </c>
    </row>
    <row r="1042" spans="1:8" s="10" customFormat="1" outlineLevel="1" x14ac:dyDescent="0.2">
      <c r="D1042" s="49" t="str">
        <f>SENS_DETAILED_COST_WKSHT!D449</f>
        <v>Allowances Category 7</v>
      </c>
      <c r="E1042" s="115">
        <f>IF(DD_LVL2_ACTV_18_Currency_Selected=2,SENS_DETAILED_COST_WKSHT!$F449*SENS_DETAILED_COST_WKSHT!G449,SENS_DETAILED_COST_WKSHT!$F449*(SENS_DETAILED_COST_WKSHT!G449*LVL2_ACTV_18_Exchange_Rate))</f>
        <v>0</v>
      </c>
      <c r="F1042" s="115">
        <f>IF(DD_LVL2_ACTV_18_Currency_Selected=2,SENS_DETAILED_COST_WKSHT!$F449*SENS_DETAILED_COST_WKSHT!H449,SENS_DETAILED_COST_WKSHT!$F449*(SENS_DETAILED_COST_WKSHT!H449*LVL2_ACTV_18_Exchange_Rate))</f>
        <v>0</v>
      </c>
      <c r="G1042" s="116">
        <f t="shared" si="98"/>
        <v>0</v>
      </c>
      <c r="H1042" s="116">
        <f t="shared" si="99"/>
        <v>0</v>
      </c>
    </row>
    <row r="1043" spans="1:8" s="10" customFormat="1" outlineLevel="1" x14ac:dyDescent="0.2">
      <c r="D1043" s="49" t="str">
        <f>SENS_DETAILED_COST_WKSHT!D450</f>
        <v>Allowances Category 8</v>
      </c>
      <c r="E1043" s="115">
        <f>IF(DD_LVL2_ACTV_18_Currency_Selected=2,SENS_DETAILED_COST_WKSHT!$F450*SENS_DETAILED_COST_WKSHT!G450,SENS_DETAILED_COST_WKSHT!$F450*(SENS_DETAILED_COST_WKSHT!G450*LVL2_ACTV_18_Exchange_Rate))</f>
        <v>0</v>
      </c>
      <c r="F1043" s="115">
        <f>IF(DD_LVL2_ACTV_18_Currency_Selected=2,SENS_DETAILED_COST_WKSHT!$F450*SENS_DETAILED_COST_WKSHT!H450,SENS_DETAILED_COST_WKSHT!$F450*(SENS_DETAILED_COST_WKSHT!H450*LVL2_ACTV_18_Exchange_Rate))</f>
        <v>0</v>
      </c>
      <c r="G1043" s="116">
        <f t="shared" si="98"/>
        <v>0</v>
      </c>
      <c r="H1043" s="116">
        <f t="shared" si="99"/>
        <v>0</v>
      </c>
    </row>
    <row r="1044" spans="1:8" s="10" customFormat="1" outlineLevel="1" x14ac:dyDescent="0.2">
      <c r="D1044" s="49" t="str">
        <f>SENS_DETAILED_COST_WKSHT!D451</f>
        <v>Allowances Category 9</v>
      </c>
      <c r="E1044" s="115">
        <f>IF(DD_LVL2_ACTV_18_Currency_Selected=2,SENS_DETAILED_COST_WKSHT!$F451*SENS_DETAILED_COST_WKSHT!G451,SENS_DETAILED_COST_WKSHT!$F451*(SENS_DETAILED_COST_WKSHT!G451*LVL2_ACTV_18_Exchange_Rate))</f>
        <v>0</v>
      </c>
      <c r="F1044" s="115">
        <f>IF(DD_LVL2_ACTV_18_Currency_Selected=2,SENS_DETAILED_COST_WKSHT!$F451*SENS_DETAILED_COST_WKSHT!H451,SENS_DETAILED_COST_WKSHT!$F451*(SENS_DETAILED_COST_WKSHT!H451*LVL2_ACTV_18_Exchange_Rate))</f>
        <v>0</v>
      </c>
      <c r="G1044" s="116">
        <f t="shared" si="98"/>
        <v>0</v>
      </c>
      <c r="H1044" s="116">
        <f t="shared" si="99"/>
        <v>0</v>
      </c>
    </row>
    <row r="1045" spans="1:8" s="10" customFormat="1" outlineLevel="1" x14ac:dyDescent="0.2">
      <c r="D1045" s="49" t="str">
        <f>SENS_DETAILED_COST_WKSHT!D452</f>
        <v>Allowances Category 10</v>
      </c>
      <c r="E1045" s="115">
        <f>IF(DD_LVL2_ACTV_18_Currency_Selected=2,SENS_DETAILED_COST_WKSHT!$F452*SENS_DETAILED_COST_WKSHT!G452,SENS_DETAILED_COST_WKSHT!$F452*(SENS_DETAILED_COST_WKSHT!G452*LVL2_ACTV_18_Exchange_Rate))</f>
        <v>0</v>
      </c>
      <c r="F1045" s="115">
        <f>IF(DD_LVL2_ACTV_18_Currency_Selected=2,SENS_DETAILED_COST_WKSHT!$F452*SENS_DETAILED_COST_WKSHT!H452,SENS_DETAILED_COST_WKSHT!$F452*(SENS_DETAILED_COST_WKSHT!H452*LVL2_ACTV_18_Exchange_Rate))</f>
        <v>0</v>
      </c>
      <c r="G1045" s="116">
        <f t="shared" si="98"/>
        <v>0</v>
      </c>
      <c r="H1045" s="116">
        <f t="shared" si="99"/>
        <v>0</v>
      </c>
    </row>
    <row r="1046" spans="1:8" s="10" customFormat="1" outlineLevel="1" x14ac:dyDescent="0.2">
      <c r="D1046" s="48" t="str">
        <f>Lang_Allowances</f>
        <v>Allowances</v>
      </c>
      <c r="E1046" s="120">
        <f>SUM(E1036:E1045)</f>
        <v>0</v>
      </c>
      <c r="F1046" s="120">
        <f>SUM(F1036:F1045)</f>
        <v>0</v>
      </c>
      <c r="G1046" s="121">
        <f>SUM(G1036:G1045)</f>
        <v>0</v>
      </c>
      <c r="H1046" s="121">
        <f>SUM(H1036:H1045)</f>
        <v>0</v>
      </c>
    </row>
    <row r="1047" spans="1:8" s="10" customFormat="1" outlineLevel="1" x14ac:dyDescent="0.2"/>
    <row r="1048" spans="1:8" s="10" customFormat="1" outlineLevel="1" x14ac:dyDescent="0.2"/>
    <row r="1049" spans="1:8" s="10" customFormat="1" outlineLevel="1" x14ac:dyDescent="0.2">
      <c r="D1049" s="76" t="str">
        <f>Lang_GoTo&amp;" "&amp;HL_LVL2_ACTV_18_Ass_A</f>
        <v>Go to  Sensitisation Activity # 5 (Not in Use) - Detailed Allowance Cost Assumptions</v>
      </c>
    </row>
    <row r="1050" spans="1:8" s="10" customFormat="1" outlineLevel="1" x14ac:dyDescent="0.2">
      <c r="D1050" s="76" t="str">
        <f>Lang_GoTo&amp;" "&amp;HL_LVL2_ACTV_18_Cost_Summary_Output</f>
        <v>Go to  Sensitisation Activity # 5 (Not in Use) Detailed Cost Summary</v>
      </c>
    </row>
    <row r="1051" spans="1:8" s="10" customFormat="1" x14ac:dyDescent="0.2"/>
    <row r="1052" spans="1:8" s="13" customFormat="1" x14ac:dyDescent="0.2">
      <c r="A1052" s="12" t="s">
        <v>127</v>
      </c>
      <c r="B1052" s="13" t="str">
        <f>C1054&amp;" "&amp;Lang_Supplies_And_Materials_Outputs</f>
        <v xml:space="preserve"> Sensitisation Activity # 5 (Not in Use) Supplies and Materials - Outputs</v>
      </c>
    </row>
    <row r="1053" spans="1:8" s="10" customFormat="1" outlineLevel="1" x14ac:dyDescent="0.2"/>
    <row r="1054" spans="1:8" s="10" customFormat="1" outlineLevel="1" x14ac:dyDescent="0.2">
      <c r="C1054" s="114" t="str">
        <f>HL_LVL2_ACTV_18_Name</f>
        <v xml:space="preserve"> Sensitisation Activity # 5 (Not in Use)</v>
      </c>
    </row>
    <row r="1055" spans="1:8" s="10" customFormat="1" outlineLevel="1" x14ac:dyDescent="0.2">
      <c r="E1055" s="86" t="str">
        <f>SENS_Lu!$D$172&amp;" "&amp;Lang_Cost&amp;" ("&amp;SENS_Lu!$D$153&amp;")"</f>
        <v>Financial Cost (LCU)</v>
      </c>
      <c r="F1055" s="86" t="str">
        <f>SENS_Lu!$D$173&amp;" "&amp;Lang_Cost&amp;" ("&amp;SENS_Lu!$D$153&amp;")"</f>
        <v>Economic Cost (LCU)</v>
      </c>
      <c r="G1055" s="86" t="str">
        <f>SENS_Lu!$D$172&amp;" "&amp;Lang_Cost&amp;" ("&amp;SENS_Lu!$D$152&amp;")"</f>
        <v>Financial Cost (USD)</v>
      </c>
      <c r="H1055" s="86" t="str">
        <f>SENS_Lu!$D$173&amp;" "&amp;Lang_Cost&amp;" ("&amp;SENS_Lu!$D$152&amp;")"</f>
        <v>Economic Cost (USD)</v>
      </c>
    </row>
    <row r="1056" spans="1:8" s="10" customFormat="1" outlineLevel="1" x14ac:dyDescent="0.2">
      <c r="D1056" s="49" t="str">
        <f>SENS_DETAILED_COST_WKSHT!D461</f>
        <v>Supplies and Materials Category 1</v>
      </c>
      <c r="E1056" s="115">
        <f>IF(DD_LVL2_ACTV_18_Currency_Selected=2,SENS_DETAILED_COST_WKSHT!$F461*SENS_DETAILED_COST_WKSHT!G461,SENS_DETAILED_COST_WKSHT!$F461*(SENS_DETAILED_COST_WKSHT!G461*LVL2_ACTV_18_Exchange_Rate))</f>
        <v>0</v>
      </c>
      <c r="F1056" s="115">
        <f>IF(DD_LVL2_ACTV_18_Currency_Selected=2,SENS_DETAILED_COST_WKSHT!$F461*SENS_DETAILED_COST_WKSHT!H461,SENS_DETAILED_COST_WKSHT!$F461*(SENS_DETAILED_COST_WKSHT!H461*LVL2_ACTV_18_Exchange_Rate))</f>
        <v>0</v>
      </c>
      <c r="G1056" s="116">
        <f t="shared" ref="G1056:G1065" si="100">E1056/LVL2_ACTV_18_Exchange_Rate</f>
        <v>0</v>
      </c>
      <c r="H1056" s="116">
        <f t="shared" ref="H1056:H1065" si="101">F1056/LVL2_ACTV_18_Exchange_Rate</f>
        <v>0</v>
      </c>
    </row>
    <row r="1057" spans="1:8" s="10" customFormat="1" outlineLevel="1" x14ac:dyDescent="0.2">
      <c r="D1057" s="49" t="str">
        <f>SENS_DETAILED_COST_WKSHT!D462</f>
        <v>Supplies and Materials Category 2</v>
      </c>
      <c r="E1057" s="115">
        <f>IF(DD_LVL2_ACTV_18_Currency_Selected=2,SENS_DETAILED_COST_WKSHT!$F462*SENS_DETAILED_COST_WKSHT!G462,SENS_DETAILED_COST_WKSHT!$F462*(SENS_DETAILED_COST_WKSHT!G462*LVL2_ACTV_18_Exchange_Rate))</f>
        <v>0</v>
      </c>
      <c r="F1057" s="115">
        <f>IF(DD_LVL2_ACTV_18_Currency_Selected=2,SENS_DETAILED_COST_WKSHT!$F462*SENS_DETAILED_COST_WKSHT!H462,SENS_DETAILED_COST_WKSHT!$F462*(SENS_DETAILED_COST_WKSHT!H462*LVL2_ACTV_18_Exchange_Rate))</f>
        <v>0</v>
      </c>
      <c r="G1057" s="116">
        <f t="shared" si="100"/>
        <v>0</v>
      </c>
      <c r="H1057" s="116">
        <f t="shared" si="101"/>
        <v>0</v>
      </c>
    </row>
    <row r="1058" spans="1:8" s="10" customFormat="1" outlineLevel="1" x14ac:dyDescent="0.2">
      <c r="D1058" s="49" t="str">
        <f>SENS_DETAILED_COST_WKSHT!D463</f>
        <v>Supplies and Materials Category 3</v>
      </c>
      <c r="E1058" s="115">
        <f>IF(DD_LVL2_ACTV_18_Currency_Selected=2,SENS_DETAILED_COST_WKSHT!$F463*SENS_DETAILED_COST_WKSHT!G463,SENS_DETAILED_COST_WKSHT!$F463*(SENS_DETAILED_COST_WKSHT!G463*LVL2_ACTV_18_Exchange_Rate))</f>
        <v>0</v>
      </c>
      <c r="F1058" s="115">
        <f>IF(DD_LVL2_ACTV_18_Currency_Selected=2,SENS_DETAILED_COST_WKSHT!$F463*SENS_DETAILED_COST_WKSHT!H463,SENS_DETAILED_COST_WKSHT!$F463*(SENS_DETAILED_COST_WKSHT!H463*LVL2_ACTV_18_Exchange_Rate))</f>
        <v>0</v>
      </c>
      <c r="G1058" s="116">
        <f t="shared" si="100"/>
        <v>0</v>
      </c>
      <c r="H1058" s="116">
        <f t="shared" si="101"/>
        <v>0</v>
      </c>
    </row>
    <row r="1059" spans="1:8" s="10" customFormat="1" outlineLevel="1" x14ac:dyDescent="0.2">
      <c r="D1059" s="49" t="str">
        <f>SENS_DETAILED_COST_WKSHT!D464</f>
        <v>Supplies and Materials Category 4</v>
      </c>
      <c r="E1059" s="115">
        <f>IF(DD_LVL2_ACTV_18_Currency_Selected=2,SENS_DETAILED_COST_WKSHT!$F464*SENS_DETAILED_COST_WKSHT!G464,SENS_DETAILED_COST_WKSHT!$F464*(SENS_DETAILED_COST_WKSHT!G464*LVL2_ACTV_18_Exchange_Rate))</f>
        <v>0</v>
      </c>
      <c r="F1059" s="115">
        <f>IF(DD_LVL2_ACTV_18_Currency_Selected=2,SENS_DETAILED_COST_WKSHT!$F464*SENS_DETAILED_COST_WKSHT!H464,SENS_DETAILED_COST_WKSHT!$F464*(SENS_DETAILED_COST_WKSHT!H464*LVL2_ACTV_18_Exchange_Rate))</f>
        <v>0</v>
      </c>
      <c r="G1059" s="116">
        <f t="shared" si="100"/>
        <v>0</v>
      </c>
      <c r="H1059" s="116">
        <f t="shared" si="101"/>
        <v>0</v>
      </c>
    </row>
    <row r="1060" spans="1:8" s="10" customFormat="1" outlineLevel="1" x14ac:dyDescent="0.2">
      <c r="D1060" s="49" t="str">
        <f>SENS_DETAILED_COST_WKSHT!D465</f>
        <v>Supplies and Materials Category 5</v>
      </c>
      <c r="E1060" s="115">
        <f>IF(DD_LVL2_ACTV_18_Currency_Selected=2,SENS_DETAILED_COST_WKSHT!$F465*SENS_DETAILED_COST_WKSHT!G465,SENS_DETAILED_COST_WKSHT!$F465*(SENS_DETAILED_COST_WKSHT!G465*LVL2_ACTV_18_Exchange_Rate))</f>
        <v>0</v>
      </c>
      <c r="F1060" s="115">
        <f>IF(DD_LVL2_ACTV_18_Currency_Selected=2,SENS_DETAILED_COST_WKSHT!$F465*SENS_DETAILED_COST_WKSHT!H465,SENS_DETAILED_COST_WKSHT!$F465*(SENS_DETAILED_COST_WKSHT!H465*LVL2_ACTV_18_Exchange_Rate))</f>
        <v>0</v>
      </c>
      <c r="G1060" s="116">
        <f t="shared" si="100"/>
        <v>0</v>
      </c>
      <c r="H1060" s="116">
        <f t="shared" si="101"/>
        <v>0</v>
      </c>
    </row>
    <row r="1061" spans="1:8" s="10" customFormat="1" outlineLevel="1" x14ac:dyDescent="0.2">
      <c r="D1061" s="49" t="str">
        <f>SENS_DETAILED_COST_WKSHT!D466</f>
        <v>Supplies and Materials Category 6</v>
      </c>
      <c r="E1061" s="115">
        <f>IF(DD_LVL2_ACTV_18_Currency_Selected=2,SENS_DETAILED_COST_WKSHT!$F466*SENS_DETAILED_COST_WKSHT!G466,SENS_DETAILED_COST_WKSHT!$F466*(SENS_DETAILED_COST_WKSHT!G466*LVL2_ACTV_18_Exchange_Rate))</f>
        <v>0</v>
      </c>
      <c r="F1061" s="115">
        <f>IF(DD_LVL2_ACTV_18_Currency_Selected=2,SENS_DETAILED_COST_WKSHT!$F466*SENS_DETAILED_COST_WKSHT!H466,SENS_DETAILED_COST_WKSHT!$F466*(SENS_DETAILED_COST_WKSHT!H466*LVL2_ACTV_18_Exchange_Rate))</f>
        <v>0</v>
      </c>
      <c r="G1061" s="116">
        <f t="shared" si="100"/>
        <v>0</v>
      </c>
      <c r="H1061" s="116">
        <f t="shared" si="101"/>
        <v>0</v>
      </c>
    </row>
    <row r="1062" spans="1:8" s="10" customFormat="1" outlineLevel="1" x14ac:dyDescent="0.2">
      <c r="D1062" s="49" t="str">
        <f>SENS_DETAILED_COST_WKSHT!D467</f>
        <v>Supplies and Materials Category 7</v>
      </c>
      <c r="E1062" s="115">
        <f>IF(DD_LVL2_ACTV_18_Currency_Selected=2,SENS_DETAILED_COST_WKSHT!$F467*SENS_DETAILED_COST_WKSHT!G467,SENS_DETAILED_COST_WKSHT!$F467*(SENS_DETAILED_COST_WKSHT!G467*LVL2_ACTV_18_Exchange_Rate))</f>
        <v>0</v>
      </c>
      <c r="F1062" s="115">
        <f>IF(DD_LVL2_ACTV_18_Currency_Selected=2,SENS_DETAILED_COST_WKSHT!$F467*SENS_DETAILED_COST_WKSHT!H467,SENS_DETAILED_COST_WKSHT!$F467*(SENS_DETAILED_COST_WKSHT!H467*LVL2_ACTV_18_Exchange_Rate))</f>
        <v>0</v>
      </c>
      <c r="G1062" s="116">
        <f t="shared" si="100"/>
        <v>0</v>
      </c>
      <c r="H1062" s="116">
        <f t="shared" si="101"/>
        <v>0</v>
      </c>
    </row>
    <row r="1063" spans="1:8" s="10" customFormat="1" outlineLevel="1" x14ac:dyDescent="0.2">
      <c r="D1063" s="49" t="str">
        <f>SENS_DETAILED_COST_WKSHT!D468</f>
        <v>Supplies and Materials Category 8</v>
      </c>
      <c r="E1063" s="115">
        <f>IF(DD_LVL2_ACTV_18_Currency_Selected=2,SENS_DETAILED_COST_WKSHT!$F468*SENS_DETAILED_COST_WKSHT!G468,SENS_DETAILED_COST_WKSHT!$F468*(SENS_DETAILED_COST_WKSHT!G468*LVL2_ACTV_18_Exchange_Rate))</f>
        <v>0</v>
      </c>
      <c r="F1063" s="115">
        <f>IF(DD_LVL2_ACTV_18_Currency_Selected=2,SENS_DETAILED_COST_WKSHT!$F468*SENS_DETAILED_COST_WKSHT!H468,SENS_DETAILED_COST_WKSHT!$F468*(SENS_DETAILED_COST_WKSHT!H468*LVL2_ACTV_18_Exchange_Rate))</f>
        <v>0</v>
      </c>
      <c r="G1063" s="116">
        <f t="shared" si="100"/>
        <v>0</v>
      </c>
      <c r="H1063" s="116">
        <f t="shared" si="101"/>
        <v>0</v>
      </c>
    </row>
    <row r="1064" spans="1:8" s="10" customFormat="1" outlineLevel="1" x14ac:dyDescent="0.2">
      <c r="D1064" s="49" t="str">
        <f>SENS_DETAILED_COST_WKSHT!D469</f>
        <v>Supplies and Materials Category 9</v>
      </c>
      <c r="E1064" s="115">
        <f>IF(DD_LVL2_ACTV_18_Currency_Selected=2,SENS_DETAILED_COST_WKSHT!$F469*SENS_DETAILED_COST_WKSHT!G469,SENS_DETAILED_COST_WKSHT!$F469*(SENS_DETAILED_COST_WKSHT!G469*LVL2_ACTV_18_Exchange_Rate))</f>
        <v>0</v>
      </c>
      <c r="F1064" s="115">
        <f>IF(DD_LVL2_ACTV_18_Currency_Selected=2,SENS_DETAILED_COST_WKSHT!$F469*SENS_DETAILED_COST_WKSHT!H469,SENS_DETAILED_COST_WKSHT!$F469*(SENS_DETAILED_COST_WKSHT!H469*LVL2_ACTV_18_Exchange_Rate))</f>
        <v>0</v>
      </c>
      <c r="G1064" s="116">
        <f t="shared" si="100"/>
        <v>0</v>
      </c>
      <c r="H1064" s="116">
        <f t="shared" si="101"/>
        <v>0</v>
      </c>
    </row>
    <row r="1065" spans="1:8" s="10" customFormat="1" outlineLevel="1" x14ac:dyDescent="0.2">
      <c r="D1065" s="49" t="str">
        <f>SENS_DETAILED_COST_WKSHT!D470</f>
        <v>Supplies and Materials Category 10</v>
      </c>
      <c r="E1065" s="115">
        <f>IF(DD_LVL2_ACTV_18_Currency_Selected=2,SENS_DETAILED_COST_WKSHT!$F470*SENS_DETAILED_COST_WKSHT!G470,SENS_DETAILED_COST_WKSHT!$F470*(SENS_DETAILED_COST_WKSHT!G470*LVL2_ACTV_18_Exchange_Rate))</f>
        <v>0</v>
      </c>
      <c r="F1065" s="115">
        <f>IF(DD_LVL2_ACTV_18_Currency_Selected=2,SENS_DETAILED_COST_WKSHT!$F470*SENS_DETAILED_COST_WKSHT!H470,SENS_DETAILED_COST_WKSHT!$F470*(SENS_DETAILED_COST_WKSHT!H470*LVL2_ACTV_18_Exchange_Rate))</f>
        <v>0</v>
      </c>
      <c r="G1065" s="116">
        <f t="shared" si="100"/>
        <v>0</v>
      </c>
      <c r="H1065" s="116">
        <f t="shared" si="101"/>
        <v>0</v>
      </c>
    </row>
    <row r="1066" spans="1:8" s="10" customFormat="1" outlineLevel="1" x14ac:dyDescent="0.2">
      <c r="D1066" s="48" t="str">
        <f>Lang_Supplies_And_Materials</f>
        <v>Supplies and Materials</v>
      </c>
      <c r="E1066" s="120">
        <f>SUM(E1056:E1065)</f>
        <v>0</v>
      </c>
      <c r="F1066" s="120">
        <f>SUM(F1056:F1065)</f>
        <v>0</v>
      </c>
      <c r="G1066" s="121">
        <f>SUM(G1056:G1065)</f>
        <v>0</v>
      </c>
      <c r="H1066" s="121">
        <f>SUM(H1056:H1065)</f>
        <v>0</v>
      </c>
    </row>
    <row r="1067" spans="1:8" s="10" customFormat="1" outlineLevel="1" x14ac:dyDescent="0.2"/>
    <row r="1068" spans="1:8" s="10" customFormat="1" outlineLevel="1" x14ac:dyDescent="0.2"/>
    <row r="1069" spans="1:8" s="10" customFormat="1" outlineLevel="1" x14ac:dyDescent="0.2">
      <c r="D1069" s="76" t="str">
        <f>Lang_GoTo&amp;" "&amp;HL_LVL2_ACTV_18_Supplies_and_Materials</f>
        <v>Go to  Sensitisation Activity # 5 (Not in Use) - Detailed Supply and Material Cost Assumptions</v>
      </c>
    </row>
    <row r="1070" spans="1:8" s="10" customFormat="1" outlineLevel="1" x14ac:dyDescent="0.2">
      <c r="D1070" s="76" t="str">
        <f>Lang_GoTo&amp;" "&amp;HL_LVL2_ACTV_18_Cost_Summary_Output</f>
        <v>Go to  Sensitisation Activity # 5 (Not in Use) Detailed Cost Summary</v>
      </c>
    </row>
    <row r="1071" spans="1:8" s="10" customFormat="1" x14ac:dyDescent="0.2"/>
    <row r="1072" spans="1:8" s="13" customFormat="1" x14ac:dyDescent="0.2">
      <c r="A1072" s="12" t="s">
        <v>127</v>
      </c>
      <c r="B1072" s="13" t="str">
        <f>C1074&amp;" "&amp;Lang_Other_Direct_Costs_Outputs</f>
        <v xml:space="preserve"> Sensitisation Activity # 5 (Not in Use) Other Direct Costs - Outputs</v>
      </c>
    </row>
    <row r="1073" spans="3:8" s="10" customFormat="1" outlineLevel="1" x14ac:dyDescent="0.2"/>
    <row r="1074" spans="3:8" s="10" customFormat="1" outlineLevel="1" x14ac:dyDescent="0.2">
      <c r="C1074" s="114" t="str">
        <f>HL_LVL2_ACTV_18_Name</f>
        <v xml:space="preserve"> Sensitisation Activity # 5 (Not in Use)</v>
      </c>
    </row>
    <row r="1075" spans="3:8" s="10" customFormat="1" outlineLevel="1" x14ac:dyDescent="0.2">
      <c r="E1075" s="86" t="str">
        <f>SENS_Lu!$D$172&amp;" "&amp;Lang_Cost&amp;" ("&amp;SENS_Lu!$D$153&amp;")"</f>
        <v>Financial Cost (LCU)</v>
      </c>
      <c r="F1075" s="86" t="str">
        <f>SENS_Lu!$D$173&amp;" "&amp;Lang_Cost&amp;" ("&amp;SENS_Lu!$D$153&amp;")"</f>
        <v>Economic Cost (LCU)</v>
      </c>
      <c r="G1075" s="86" t="str">
        <f>SENS_Lu!$D$172&amp;" "&amp;Lang_Cost&amp;" ("&amp;SENS_Lu!$D$152&amp;")"</f>
        <v>Financial Cost (USD)</v>
      </c>
      <c r="H1075" s="86" t="str">
        <f>SENS_Lu!$D$173&amp;" "&amp;Lang_Cost&amp;" ("&amp;SENS_Lu!$D$152&amp;")"</f>
        <v>Economic Cost (USD)</v>
      </c>
    </row>
    <row r="1076" spans="3:8" s="10" customFormat="1" outlineLevel="1" x14ac:dyDescent="0.2">
      <c r="D1076" s="49" t="str">
        <f>SENS_DETAILED_COST_WKSHT!D479</f>
        <v>Other Direct Costs (ODC) Category 1</v>
      </c>
      <c r="E1076" s="115">
        <f>IF(DD_LVL2_ACTV_18_Currency_Selected=2,SENS_DETAILED_COST_WKSHT!$F479*SENS_DETAILED_COST_WKSHT!G479,SENS_DETAILED_COST_WKSHT!$F479*(SENS_DETAILED_COST_WKSHT!G479*LVL2_ACTV_18_Exchange_Rate))</f>
        <v>0</v>
      </c>
      <c r="F1076" s="115">
        <f>IF(DD_LVL2_ACTV_18_Currency_Selected=2,SENS_DETAILED_COST_WKSHT!$F479*SENS_DETAILED_COST_WKSHT!H479,SENS_DETAILED_COST_WKSHT!$F479*(SENS_DETAILED_COST_WKSHT!H479*LVL2_ACTV_18_Exchange_Rate))</f>
        <v>0</v>
      </c>
      <c r="G1076" s="116">
        <f t="shared" ref="G1076:G1085" si="102">E1076/LVL2_ACTV_18_Exchange_Rate</f>
        <v>0</v>
      </c>
      <c r="H1076" s="116">
        <f t="shared" ref="H1076:H1085" si="103">F1076/LVL2_ACTV_18_Exchange_Rate</f>
        <v>0</v>
      </c>
    </row>
    <row r="1077" spans="3:8" s="10" customFormat="1" outlineLevel="1" x14ac:dyDescent="0.2">
      <c r="D1077" s="49" t="str">
        <f>SENS_DETAILED_COST_WKSHT!D480</f>
        <v>Other Direct Costs (ODC) Category 2</v>
      </c>
      <c r="E1077" s="115">
        <f>IF(DD_LVL2_ACTV_18_Currency_Selected=2,SENS_DETAILED_COST_WKSHT!$F480*SENS_DETAILED_COST_WKSHT!G480,SENS_DETAILED_COST_WKSHT!$F480*(SENS_DETAILED_COST_WKSHT!G480*LVL2_ACTV_18_Exchange_Rate))</f>
        <v>0</v>
      </c>
      <c r="F1077" s="115">
        <f>IF(DD_LVL2_ACTV_18_Currency_Selected=2,SENS_DETAILED_COST_WKSHT!$F480*SENS_DETAILED_COST_WKSHT!H480,SENS_DETAILED_COST_WKSHT!$F480*(SENS_DETAILED_COST_WKSHT!H480*LVL2_ACTV_18_Exchange_Rate))</f>
        <v>0</v>
      </c>
      <c r="G1077" s="116">
        <f t="shared" si="102"/>
        <v>0</v>
      </c>
      <c r="H1077" s="116">
        <f t="shared" si="103"/>
        <v>0</v>
      </c>
    </row>
    <row r="1078" spans="3:8" s="10" customFormat="1" outlineLevel="1" x14ac:dyDescent="0.2">
      <c r="D1078" s="49" t="str">
        <f>SENS_DETAILED_COST_WKSHT!D481</f>
        <v>Other Direct Costs (ODC) Category 3</v>
      </c>
      <c r="E1078" s="115">
        <f>IF(DD_LVL2_ACTV_18_Currency_Selected=2,SENS_DETAILED_COST_WKSHT!$F481*SENS_DETAILED_COST_WKSHT!G481,SENS_DETAILED_COST_WKSHT!$F481*(SENS_DETAILED_COST_WKSHT!G481*LVL2_ACTV_18_Exchange_Rate))</f>
        <v>0</v>
      </c>
      <c r="F1078" s="115">
        <f>IF(DD_LVL2_ACTV_18_Currency_Selected=2,SENS_DETAILED_COST_WKSHT!$F481*SENS_DETAILED_COST_WKSHT!H481,SENS_DETAILED_COST_WKSHT!$F481*(SENS_DETAILED_COST_WKSHT!H481*LVL2_ACTV_18_Exchange_Rate))</f>
        <v>0</v>
      </c>
      <c r="G1078" s="116">
        <f t="shared" si="102"/>
        <v>0</v>
      </c>
      <c r="H1078" s="116">
        <f t="shared" si="103"/>
        <v>0</v>
      </c>
    </row>
    <row r="1079" spans="3:8" s="10" customFormat="1" outlineLevel="1" x14ac:dyDescent="0.2">
      <c r="D1079" s="49" t="str">
        <f>SENS_DETAILED_COST_WKSHT!D482</f>
        <v>Other Direct Costs (ODC) Category 4</v>
      </c>
      <c r="E1079" s="115">
        <f>IF(DD_LVL2_ACTV_18_Currency_Selected=2,SENS_DETAILED_COST_WKSHT!$F482*SENS_DETAILED_COST_WKSHT!G482,SENS_DETAILED_COST_WKSHT!$F482*(SENS_DETAILED_COST_WKSHT!G482*LVL2_ACTV_18_Exchange_Rate))</f>
        <v>0</v>
      </c>
      <c r="F1079" s="115">
        <f>IF(DD_LVL2_ACTV_18_Currency_Selected=2,SENS_DETAILED_COST_WKSHT!$F482*SENS_DETAILED_COST_WKSHT!H482,SENS_DETAILED_COST_WKSHT!$F482*(SENS_DETAILED_COST_WKSHT!H482*LVL2_ACTV_18_Exchange_Rate))</f>
        <v>0</v>
      </c>
      <c r="G1079" s="116">
        <f t="shared" si="102"/>
        <v>0</v>
      </c>
      <c r="H1079" s="116">
        <f t="shared" si="103"/>
        <v>0</v>
      </c>
    </row>
    <row r="1080" spans="3:8" s="10" customFormat="1" outlineLevel="1" x14ac:dyDescent="0.2">
      <c r="D1080" s="49" t="str">
        <f>SENS_DETAILED_COST_WKSHT!D483</f>
        <v>Other Direct Costs (ODC) Category 5</v>
      </c>
      <c r="E1080" s="115">
        <f>IF(DD_LVL2_ACTV_18_Currency_Selected=2,SENS_DETAILED_COST_WKSHT!$F483*SENS_DETAILED_COST_WKSHT!G483,SENS_DETAILED_COST_WKSHT!$F483*(SENS_DETAILED_COST_WKSHT!G483*LVL2_ACTV_18_Exchange_Rate))</f>
        <v>0</v>
      </c>
      <c r="F1080" s="115">
        <f>IF(DD_LVL2_ACTV_18_Currency_Selected=2,SENS_DETAILED_COST_WKSHT!$F483*SENS_DETAILED_COST_WKSHT!H483,SENS_DETAILED_COST_WKSHT!$F483*(SENS_DETAILED_COST_WKSHT!H483*LVL2_ACTV_18_Exchange_Rate))</f>
        <v>0</v>
      </c>
      <c r="G1080" s="116">
        <f t="shared" si="102"/>
        <v>0</v>
      </c>
      <c r="H1080" s="116">
        <f t="shared" si="103"/>
        <v>0</v>
      </c>
    </row>
    <row r="1081" spans="3:8" s="10" customFormat="1" outlineLevel="1" x14ac:dyDescent="0.2">
      <c r="D1081" s="49" t="str">
        <f>SENS_DETAILED_COST_WKSHT!D484</f>
        <v>Other Direct Costs (ODC) Category 6</v>
      </c>
      <c r="E1081" s="115">
        <f>IF(DD_LVL2_ACTV_18_Currency_Selected=2,SENS_DETAILED_COST_WKSHT!$F484*SENS_DETAILED_COST_WKSHT!G484,SENS_DETAILED_COST_WKSHT!$F484*(SENS_DETAILED_COST_WKSHT!G484*LVL2_ACTV_18_Exchange_Rate))</f>
        <v>0</v>
      </c>
      <c r="F1081" s="115">
        <f>IF(DD_LVL2_ACTV_18_Currency_Selected=2,SENS_DETAILED_COST_WKSHT!$F484*SENS_DETAILED_COST_WKSHT!H484,SENS_DETAILED_COST_WKSHT!$F484*(SENS_DETAILED_COST_WKSHT!H484*LVL2_ACTV_18_Exchange_Rate))</f>
        <v>0</v>
      </c>
      <c r="G1081" s="116">
        <f t="shared" si="102"/>
        <v>0</v>
      </c>
      <c r="H1081" s="116">
        <f t="shared" si="103"/>
        <v>0</v>
      </c>
    </row>
    <row r="1082" spans="3:8" s="10" customFormat="1" outlineLevel="1" x14ac:dyDescent="0.2">
      <c r="D1082" s="49" t="str">
        <f>SENS_DETAILED_COST_WKSHT!D485</f>
        <v>Other Direct Costs (ODC) Category 7</v>
      </c>
      <c r="E1082" s="115">
        <f>IF(DD_LVL2_ACTV_18_Currency_Selected=2,SENS_DETAILED_COST_WKSHT!$F485*SENS_DETAILED_COST_WKSHT!G485,SENS_DETAILED_COST_WKSHT!$F485*(SENS_DETAILED_COST_WKSHT!G485*LVL2_ACTV_18_Exchange_Rate))</f>
        <v>0</v>
      </c>
      <c r="F1082" s="115">
        <f>IF(DD_LVL2_ACTV_18_Currency_Selected=2,SENS_DETAILED_COST_WKSHT!$F485*SENS_DETAILED_COST_WKSHT!H485,SENS_DETAILED_COST_WKSHT!$F485*(SENS_DETAILED_COST_WKSHT!H485*LVL2_ACTV_18_Exchange_Rate))</f>
        <v>0</v>
      </c>
      <c r="G1082" s="116">
        <f t="shared" si="102"/>
        <v>0</v>
      </c>
      <c r="H1082" s="116">
        <f t="shared" si="103"/>
        <v>0</v>
      </c>
    </row>
    <row r="1083" spans="3:8" s="10" customFormat="1" outlineLevel="1" x14ac:dyDescent="0.2">
      <c r="D1083" s="49" t="str">
        <f>SENS_DETAILED_COST_WKSHT!D486</f>
        <v>Other Direct Costs (ODC) Category 8</v>
      </c>
      <c r="E1083" s="115">
        <f>IF(DD_LVL2_ACTV_18_Currency_Selected=2,SENS_DETAILED_COST_WKSHT!$F486*SENS_DETAILED_COST_WKSHT!G486,SENS_DETAILED_COST_WKSHT!$F486*(SENS_DETAILED_COST_WKSHT!G486*LVL2_ACTV_18_Exchange_Rate))</f>
        <v>0</v>
      </c>
      <c r="F1083" s="115">
        <f>IF(DD_LVL2_ACTV_18_Currency_Selected=2,SENS_DETAILED_COST_WKSHT!$F486*SENS_DETAILED_COST_WKSHT!H486,SENS_DETAILED_COST_WKSHT!$F486*(SENS_DETAILED_COST_WKSHT!H486*LVL2_ACTV_18_Exchange_Rate))</f>
        <v>0</v>
      </c>
      <c r="G1083" s="116">
        <f t="shared" si="102"/>
        <v>0</v>
      </c>
      <c r="H1083" s="116">
        <f t="shared" si="103"/>
        <v>0</v>
      </c>
    </row>
    <row r="1084" spans="3:8" s="10" customFormat="1" outlineLevel="1" x14ac:dyDescent="0.2">
      <c r="D1084" s="49" t="str">
        <f>SENS_DETAILED_COST_WKSHT!D487</f>
        <v>Other Direct Costs (ODC) Category 9</v>
      </c>
      <c r="E1084" s="115">
        <f>IF(DD_LVL2_ACTV_18_Currency_Selected=2,SENS_DETAILED_COST_WKSHT!$F487*SENS_DETAILED_COST_WKSHT!G487,SENS_DETAILED_COST_WKSHT!$F487*(SENS_DETAILED_COST_WKSHT!G487*LVL2_ACTV_18_Exchange_Rate))</f>
        <v>0</v>
      </c>
      <c r="F1084" s="115">
        <f>IF(DD_LVL2_ACTV_18_Currency_Selected=2,SENS_DETAILED_COST_WKSHT!$F487*SENS_DETAILED_COST_WKSHT!H487,SENS_DETAILED_COST_WKSHT!$F487*(SENS_DETAILED_COST_WKSHT!H487*LVL2_ACTV_18_Exchange_Rate))</f>
        <v>0</v>
      </c>
      <c r="G1084" s="116">
        <f t="shared" si="102"/>
        <v>0</v>
      </c>
      <c r="H1084" s="116">
        <f t="shared" si="103"/>
        <v>0</v>
      </c>
    </row>
    <row r="1085" spans="3:8" s="10" customFormat="1" outlineLevel="1" x14ac:dyDescent="0.2">
      <c r="D1085" s="49" t="str">
        <f>SENS_DETAILED_COST_WKSHT!D488</f>
        <v>Other Direct Costs (ODC) Category 10</v>
      </c>
      <c r="E1085" s="115">
        <f>IF(DD_LVL2_ACTV_18_Currency_Selected=2,SENS_DETAILED_COST_WKSHT!$F488*SENS_DETAILED_COST_WKSHT!G488,SENS_DETAILED_COST_WKSHT!$F488*(SENS_DETAILED_COST_WKSHT!G488*LVL2_ACTV_18_Exchange_Rate))</f>
        <v>0</v>
      </c>
      <c r="F1085" s="115">
        <f>IF(DD_LVL2_ACTV_18_Currency_Selected=2,SENS_DETAILED_COST_WKSHT!$F488*SENS_DETAILED_COST_WKSHT!H488,SENS_DETAILED_COST_WKSHT!$F488*(SENS_DETAILED_COST_WKSHT!H488*LVL2_ACTV_18_Exchange_Rate))</f>
        <v>0</v>
      </c>
      <c r="G1085" s="116">
        <f t="shared" si="102"/>
        <v>0</v>
      </c>
      <c r="H1085" s="116">
        <f t="shared" si="103"/>
        <v>0</v>
      </c>
    </row>
    <row r="1086" spans="3:8" s="10" customFormat="1" outlineLevel="1" x14ac:dyDescent="0.2">
      <c r="D1086" s="48" t="str">
        <f>Lang_Other_Direct_Costs</f>
        <v>Other Direct Costs</v>
      </c>
      <c r="E1086" s="120">
        <f>SUM(E1076:E1085)</f>
        <v>0</v>
      </c>
      <c r="F1086" s="120">
        <f>SUM(F1076:F1085)</f>
        <v>0</v>
      </c>
      <c r="G1086" s="121">
        <f>SUM(G1076:G1085)</f>
        <v>0</v>
      </c>
      <c r="H1086" s="121">
        <f>SUM(H1076:H1085)</f>
        <v>0</v>
      </c>
    </row>
    <row r="1087" spans="3:8" s="10" customFormat="1" outlineLevel="1" x14ac:dyDescent="0.2"/>
    <row r="1088" spans="3:8" s="10" customFormat="1" outlineLevel="1" x14ac:dyDescent="0.2">
      <c r="D1088" s="76" t="str">
        <f>Lang_GoTo&amp;" "&amp;HL_LVL2_ACTV_18_Other_Direct_Costs</f>
        <v>Go to  Sensitisation Activity # 5 (Not in Use) - Detailed Other Direct Cost Assumptions</v>
      </c>
    </row>
    <row r="1089" spans="1:8" s="10" customFormat="1" outlineLevel="1" x14ac:dyDescent="0.2">
      <c r="D1089" s="76" t="str">
        <f>Lang_GoTo&amp;" "&amp;HL_LVL2_ACTV_18_Cost_Summary_Output</f>
        <v>Go to  Sensitisation Activity # 5 (Not in Use) Detailed Cost Summary</v>
      </c>
    </row>
    <row r="1090" spans="1:8" s="10" customFormat="1" x14ac:dyDescent="0.2"/>
    <row r="1091" spans="1:8" s="13" customFormat="1" x14ac:dyDescent="0.2">
      <c r="A1091" s="12" t="s">
        <v>127</v>
      </c>
      <c r="B1091" s="13" t="str">
        <f>C1093&amp;" "&amp;Lang_Personnel_Outputs</f>
        <v xml:space="preserve"> Sensitisation Activity # 6 (Not in Use) Personnel - Outputs</v>
      </c>
    </row>
    <row r="1092" spans="1:8" s="10" customFormat="1" outlineLevel="1" x14ac:dyDescent="0.2"/>
    <row r="1093" spans="1:8" s="10" customFormat="1" outlineLevel="1" x14ac:dyDescent="0.2">
      <c r="C1093" s="114" t="str">
        <f>HL_LVL2_ACTV_19_Name</f>
        <v xml:space="preserve"> Sensitisation Activity # 6 (Not in Use)</v>
      </c>
    </row>
    <row r="1094" spans="1:8" s="10" customFormat="1" outlineLevel="1" x14ac:dyDescent="0.2">
      <c r="E1094" s="86" t="str">
        <f>SENS_Lu!$D$207&amp;" "&amp;Lang_Cost&amp;" ("&amp;SENS_Lu!$D$188&amp;")"</f>
        <v>Financial Cost (LCU)</v>
      </c>
      <c r="F1094" s="86" t="str">
        <f>SENS_Lu!$D$208&amp;" "&amp;Lang_Cost&amp;" ("&amp;SENS_Lu!$D$188&amp;")"</f>
        <v>Economic Cost (LCU)</v>
      </c>
      <c r="G1094" s="86" t="str">
        <f>SENS_Lu!$D$207&amp;" "&amp;Lang_Cost&amp;" ("&amp;SENS_Lu!$D$187&amp;")"</f>
        <v>Financial Cost (USD)</v>
      </c>
      <c r="H1094" s="86" t="str">
        <f>SENS_Lu!$D$208&amp;" "&amp;Lang_Cost&amp;" ("&amp;SENS_Lu!$D$187&amp;")"</f>
        <v>Economic Cost (USD)</v>
      </c>
    </row>
    <row r="1095" spans="1:8" s="10" customFormat="1" outlineLevel="1" x14ac:dyDescent="0.2">
      <c r="D1095" s="49" t="str">
        <f>SENS_DETAILED_COST_WKSHT!D519</f>
        <v>Personnel Category 1</v>
      </c>
      <c r="E1095" s="115">
        <f>IF(DD_LVL2_ACTV_19_Currency_Selected=2,SENS_DETAILED_COST_WKSHT!$F519*SENS_DETAILED_COST_WKSHT!G519,SENS_DETAILED_COST_WKSHT!$F519*(SENS_DETAILED_COST_WKSHT!G519*LVL2_ACTV_19_Exchange_Rate))</f>
        <v>0</v>
      </c>
      <c r="F1095" s="115">
        <f>IF(DD_LVL2_ACTV_19_Currency_Selected=2,SENS_DETAILED_COST_WKSHT!$F519*SENS_DETAILED_COST_WKSHT!H519,SENS_DETAILED_COST_WKSHT!$F519*(SENS_DETAILED_COST_WKSHT!H519*LVL2_ACTV_19_Exchange_Rate))</f>
        <v>0</v>
      </c>
      <c r="G1095" s="116">
        <f t="shared" ref="G1095:G1109" si="104">IFERROR(E1095/LVL2_ACTV_19_Exchange_Rate,0)</f>
        <v>0</v>
      </c>
      <c r="H1095" s="116">
        <f t="shared" ref="H1095:H1109" si="105">IFERROR(F1095/LVL2_ACTV_19_Exchange_Rate,0)</f>
        <v>0</v>
      </c>
    </row>
    <row r="1096" spans="1:8" s="10" customFormat="1" outlineLevel="1" x14ac:dyDescent="0.2">
      <c r="D1096" s="49" t="str">
        <f>SENS_DETAILED_COST_WKSHT!D520</f>
        <v>Personnel Category 2</v>
      </c>
      <c r="E1096" s="115">
        <f>IF(DD_LVL2_ACTV_19_Currency_Selected=2,SENS_DETAILED_COST_WKSHT!$F520*SENS_DETAILED_COST_WKSHT!G520,SENS_DETAILED_COST_WKSHT!$F520*(SENS_DETAILED_COST_WKSHT!G520*LVL2_ACTV_19_Exchange_Rate))</f>
        <v>0</v>
      </c>
      <c r="F1096" s="115">
        <f>IF(DD_LVL2_ACTV_19_Currency_Selected=2,SENS_DETAILED_COST_WKSHT!$F520*SENS_DETAILED_COST_WKSHT!H520,SENS_DETAILED_COST_WKSHT!$F520*(SENS_DETAILED_COST_WKSHT!H520*LVL2_ACTV_19_Exchange_Rate))</f>
        <v>0</v>
      </c>
      <c r="G1096" s="116">
        <f t="shared" si="104"/>
        <v>0</v>
      </c>
      <c r="H1096" s="116">
        <f t="shared" si="105"/>
        <v>0</v>
      </c>
    </row>
    <row r="1097" spans="1:8" s="10" customFormat="1" outlineLevel="1" x14ac:dyDescent="0.2">
      <c r="D1097" s="49" t="str">
        <f>SENS_DETAILED_COST_WKSHT!D521</f>
        <v>Personnel Category 3</v>
      </c>
      <c r="E1097" s="115">
        <f>IF(DD_LVL2_ACTV_19_Currency_Selected=2,SENS_DETAILED_COST_WKSHT!$F521*SENS_DETAILED_COST_WKSHT!G521,SENS_DETAILED_COST_WKSHT!$F521*(SENS_DETAILED_COST_WKSHT!G521*LVL2_ACTV_19_Exchange_Rate))</f>
        <v>0</v>
      </c>
      <c r="F1097" s="115">
        <f>IF(DD_LVL2_ACTV_19_Currency_Selected=2,SENS_DETAILED_COST_WKSHT!$F521*SENS_DETAILED_COST_WKSHT!H521,SENS_DETAILED_COST_WKSHT!$F521*(SENS_DETAILED_COST_WKSHT!H521*LVL2_ACTV_19_Exchange_Rate))</f>
        <v>0</v>
      </c>
      <c r="G1097" s="116">
        <f t="shared" si="104"/>
        <v>0</v>
      </c>
      <c r="H1097" s="116">
        <f t="shared" si="105"/>
        <v>0</v>
      </c>
    </row>
    <row r="1098" spans="1:8" s="10" customFormat="1" outlineLevel="1" x14ac:dyDescent="0.2">
      <c r="D1098" s="49" t="str">
        <f>SENS_DETAILED_COST_WKSHT!D522</f>
        <v>Personnel Category 4</v>
      </c>
      <c r="E1098" s="115">
        <f>IF(DD_LVL2_ACTV_19_Currency_Selected=2,SENS_DETAILED_COST_WKSHT!$F522*SENS_DETAILED_COST_WKSHT!G522,SENS_DETAILED_COST_WKSHT!$F522*(SENS_DETAILED_COST_WKSHT!G522*LVL2_ACTV_19_Exchange_Rate))</f>
        <v>0</v>
      </c>
      <c r="F1098" s="115">
        <f>IF(DD_LVL2_ACTV_19_Currency_Selected=2,SENS_DETAILED_COST_WKSHT!$F522*SENS_DETAILED_COST_WKSHT!H522,SENS_DETAILED_COST_WKSHT!$F522*(SENS_DETAILED_COST_WKSHT!H522*LVL2_ACTV_19_Exchange_Rate))</f>
        <v>0</v>
      </c>
      <c r="G1098" s="116">
        <f t="shared" si="104"/>
        <v>0</v>
      </c>
      <c r="H1098" s="116">
        <f t="shared" si="105"/>
        <v>0</v>
      </c>
    </row>
    <row r="1099" spans="1:8" s="10" customFormat="1" outlineLevel="1" x14ac:dyDescent="0.2">
      <c r="D1099" s="49" t="str">
        <f>SENS_DETAILED_COST_WKSHT!D523</f>
        <v>Personnel Category 5</v>
      </c>
      <c r="E1099" s="115">
        <f>IF(DD_LVL2_ACTV_19_Currency_Selected=2,SENS_DETAILED_COST_WKSHT!$F523*SENS_DETAILED_COST_WKSHT!G523,SENS_DETAILED_COST_WKSHT!$F523*(SENS_DETAILED_COST_WKSHT!G523*LVL2_ACTV_19_Exchange_Rate))</f>
        <v>0</v>
      </c>
      <c r="F1099" s="115">
        <f>IF(DD_LVL2_ACTV_19_Currency_Selected=2,SENS_DETAILED_COST_WKSHT!$F523*SENS_DETAILED_COST_WKSHT!H523,SENS_DETAILED_COST_WKSHT!$F523*(SENS_DETAILED_COST_WKSHT!H523*LVL2_ACTV_19_Exchange_Rate))</f>
        <v>0</v>
      </c>
      <c r="G1099" s="116">
        <f t="shared" si="104"/>
        <v>0</v>
      </c>
      <c r="H1099" s="116">
        <f t="shared" si="105"/>
        <v>0</v>
      </c>
    </row>
    <row r="1100" spans="1:8" s="10" customFormat="1" outlineLevel="1" x14ac:dyDescent="0.2">
      <c r="D1100" s="49" t="str">
        <f>SENS_DETAILED_COST_WKSHT!D524</f>
        <v>Personnel Category 6</v>
      </c>
      <c r="E1100" s="115">
        <f>IF(DD_LVL2_ACTV_19_Currency_Selected=2,SENS_DETAILED_COST_WKSHT!$F524*SENS_DETAILED_COST_WKSHT!G524,SENS_DETAILED_COST_WKSHT!$F524*(SENS_DETAILED_COST_WKSHT!G524*LVL2_ACTV_19_Exchange_Rate))</f>
        <v>0</v>
      </c>
      <c r="F1100" s="115">
        <f>IF(DD_LVL2_ACTV_19_Currency_Selected=2,SENS_DETAILED_COST_WKSHT!$F524*SENS_DETAILED_COST_WKSHT!H524,SENS_DETAILED_COST_WKSHT!$F524*(SENS_DETAILED_COST_WKSHT!H524*LVL2_ACTV_19_Exchange_Rate))</f>
        <v>0</v>
      </c>
      <c r="G1100" s="116">
        <f t="shared" si="104"/>
        <v>0</v>
      </c>
      <c r="H1100" s="116">
        <f t="shared" si="105"/>
        <v>0</v>
      </c>
    </row>
    <row r="1101" spans="1:8" s="10" customFormat="1" outlineLevel="1" x14ac:dyDescent="0.2">
      <c r="D1101" s="49" t="str">
        <f>SENS_DETAILED_COST_WKSHT!D525</f>
        <v>Personnel Category 7</v>
      </c>
      <c r="E1101" s="115">
        <f>IF(DD_LVL2_ACTV_19_Currency_Selected=2,SENS_DETAILED_COST_WKSHT!$F525*SENS_DETAILED_COST_WKSHT!G525,SENS_DETAILED_COST_WKSHT!$F525*(SENS_DETAILED_COST_WKSHT!G525*LVL2_ACTV_19_Exchange_Rate))</f>
        <v>0</v>
      </c>
      <c r="F1101" s="115">
        <f>IF(DD_LVL2_ACTV_19_Currency_Selected=2,SENS_DETAILED_COST_WKSHT!$F525*SENS_DETAILED_COST_WKSHT!H525,SENS_DETAILED_COST_WKSHT!$F525*(SENS_DETAILED_COST_WKSHT!H525*LVL2_ACTV_19_Exchange_Rate))</f>
        <v>0</v>
      </c>
      <c r="G1101" s="116">
        <f t="shared" si="104"/>
        <v>0</v>
      </c>
      <c r="H1101" s="116">
        <f t="shared" si="105"/>
        <v>0</v>
      </c>
    </row>
    <row r="1102" spans="1:8" s="10" customFormat="1" outlineLevel="1" x14ac:dyDescent="0.2">
      <c r="D1102" s="49" t="str">
        <f>SENS_DETAILED_COST_WKSHT!D526</f>
        <v>Personnel Category 8</v>
      </c>
      <c r="E1102" s="115">
        <f>IF(DD_LVL2_ACTV_19_Currency_Selected=2,SENS_DETAILED_COST_WKSHT!$F526*SENS_DETAILED_COST_WKSHT!G526,SENS_DETAILED_COST_WKSHT!$F526*(SENS_DETAILED_COST_WKSHT!G526*LVL2_ACTV_19_Exchange_Rate))</f>
        <v>0</v>
      </c>
      <c r="F1102" s="115">
        <f>IF(DD_LVL2_ACTV_19_Currency_Selected=2,SENS_DETAILED_COST_WKSHT!$F526*SENS_DETAILED_COST_WKSHT!H526,SENS_DETAILED_COST_WKSHT!$F526*(SENS_DETAILED_COST_WKSHT!H526*LVL2_ACTV_19_Exchange_Rate))</f>
        <v>0</v>
      </c>
      <c r="G1102" s="116">
        <f t="shared" si="104"/>
        <v>0</v>
      </c>
      <c r="H1102" s="116">
        <f t="shared" si="105"/>
        <v>0</v>
      </c>
    </row>
    <row r="1103" spans="1:8" s="10" customFormat="1" outlineLevel="1" x14ac:dyDescent="0.2">
      <c r="D1103" s="49" t="str">
        <f>SENS_DETAILED_COST_WKSHT!D527</f>
        <v>Personnel Category 9</v>
      </c>
      <c r="E1103" s="115">
        <f>IF(DD_LVL2_ACTV_19_Currency_Selected=2,SENS_DETAILED_COST_WKSHT!$F527*SENS_DETAILED_COST_WKSHT!G527,SENS_DETAILED_COST_WKSHT!$F527*(SENS_DETAILED_COST_WKSHT!G527*LVL2_ACTV_19_Exchange_Rate))</f>
        <v>0</v>
      </c>
      <c r="F1103" s="115">
        <f>IF(DD_LVL2_ACTV_19_Currency_Selected=2,SENS_DETAILED_COST_WKSHT!$F527*SENS_DETAILED_COST_WKSHT!H527,SENS_DETAILED_COST_WKSHT!$F527*(SENS_DETAILED_COST_WKSHT!H527*LVL2_ACTV_19_Exchange_Rate))</f>
        <v>0</v>
      </c>
      <c r="G1103" s="116">
        <f t="shared" si="104"/>
        <v>0</v>
      </c>
      <c r="H1103" s="116">
        <f t="shared" si="105"/>
        <v>0</v>
      </c>
    </row>
    <row r="1104" spans="1:8" s="10" customFormat="1" outlineLevel="1" x14ac:dyDescent="0.2">
      <c r="D1104" s="49" t="str">
        <f>SENS_DETAILED_COST_WKSHT!D528</f>
        <v>Personnel Category 10</v>
      </c>
      <c r="E1104" s="115">
        <f>IF(DD_LVL2_ACTV_19_Currency_Selected=2,SENS_DETAILED_COST_WKSHT!$F528*SENS_DETAILED_COST_WKSHT!G528,SENS_DETAILED_COST_WKSHT!$F528*(SENS_DETAILED_COST_WKSHT!G528*LVL2_ACTV_19_Exchange_Rate))</f>
        <v>0</v>
      </c>
      <c r="F1104" s="115">
        <f>IF(DD_LVL2_ACTV_19_Currency_Selected=2,SENS_DETAILED_COST_WKSHT!$F528*SENS_DETAILED_COST_WKSHT!H528,SENS_DETAILED_COST_WKSHT!$F528*(SENS_DETAILED_COST_WKSHT!H528*LVL2_ACTV_19_Exchange_Rate))</f>
        <v>0</v>
      </c>
      <c r="G1104" s="116">
        <f t="shared" si="104"/>
        <v>0</v>
      </c>
      <c r="H1104" s="116">
        <f t="shared" si="105"/>
        <v>0</v>
      </c>
    </row>
    <row r="1105" spans="1:8" s="10" customFormat="1" outlineLevel="1" x14ac:dyDescent="0.2">
      <c r="D1105" s="49" t="str">
        <f>SENS_DETAILED_COST_WKSHT!D529</f>
        <v>Personnel Category 11</v>
      </c>
      <c r="E1105" s="115">
        <f>IF(DD_LVL2_ACTV_19_Currency_Selected=2,SENS_DETAILED_COST_WKSHT!$F529*SENS_DETAILED_COST_WKSHT!G529,SENS_DETAILED_COST_WKSHT!$F529*(SENS_DETAILED_COST_WKSHT!G529*LVL2_ACTV_19_Exchange_Rate))</f>
        <v>0</v>
      </c>
      <c r="F1105" s="115">
        <f>IF(DD_LVL2_ACTV_19_Currency_Selected=2,SENS_DETAILED_COST_WKSHT!$F529*SENS_DETAILED_COST_WKSHT!H529,SENS_DETAILED_COST_WKSHT!$F529*(SENS_DETAILED_COST_WKSHT!H529*LVL2_ACTV_19_Exchange_Rate))</f>
        <v>0</v>
      </c>
      <c r="G1105" s="116">
        <f t="shared" si="104"/>
        <v>0</v>
      </c>
      <c r="H1105" s="116">
        <f t="shared" si="105"/>
        <v>0</v>
      </c>
    </row>
    <row r="1106" spans="1:8" s="10" customFormat="1" outlineLevel="1" x14ac:dyDescent="0.2">
      <c r="D1106" s="49" t="str">
        <f>SENS_DETAILED_COST_WKSHT!D530</f>
        <v>Personnel Category 12</v>
      </c>
      <c r="E1106" s="115">
        <f>IF(DD_LVL2_ACTV_19_Currency_Selected=2,SENS_DETAILED_COST_WKSHT!$F530*SENS_DETAILED_COST_WKSHT!G530,SENS_DETAILED_COST_WKSHT!$F530*(SENS_DETAILED_COST_WKSHT!G530*LVL2_ACTV_19_Exchange_Rate))</f>
        <v>0</v>
      </c>
      <c r="F1106" s="115">
        <f>IF(DD_LVL2_ACTV_19_Currency_Selected=2,SENS_DETAILED_COST_WKSHT!$F530*SENS_DETAILED_COST_WKSHT!H530,SENS_DETAILED_COST_WKSHT!$F530*(SENS_DETAILED_COST_WKSHT!H530*LVL2_ACTV_19_Exchange_Rate))</f>
        <v>0</v>
      </c>
      <c r="G1106" s="116">
        <f t="shared" si="104"/>
        <v>0</v>
      </c>
      <c r="H1106" s="116">
        <f t="shared" si="105"/>
        <v>0</v>
      </c>
    </row>
    <row r="1107" spans="1:8" s="10" customFormat="1" outlineLevel="1" x14ac:dyDescent="0.2">
      <c r="D1107" s="49" t="str">
        <f>SENS_DETAILED_COST_WKSHT!D531</f>
        <v>Personnel Category 13</v>
      </c>
      <c r="E1107" s="115">
        <f>IF(DD_LVL2_ACTV_19_Currency_Selected=2,SENS_DETAILED_COST_WKSHT!$F531*SENS_DETAILED_COST_WKSHT!G531,SENS_DETAILED_COST_WKSHT!$F531*(SENS_DETAILED_COST_WKSHT!G531*LVL2_ACTV_19_Exchange_Rate))</f>
        <v>0</v>
      </c>
      <c r="F1107" s="115">
        <f>IF(DD_LVL2_ACTV_19_Currency_Selected=2,SENS_DETAILED_COST_WKSHT!$F531*SENS_DETAILED_COST_WKSHT!H531,SENS_DETAILED_COST_WKSHT!$F531*(SENS_DETAILED_COST_WKSHT!H531*LVL2_ACTV_19_Exchange_Rate))</f>
        <v>0</v>
      </c>
      <c r="G1107" s="116">
        <f t="shared" si="104"/>
        <v>0</v>
      </c>
      <c r="H1107" s="116">
        <f t="shared" si="105"/>
        <v>0</v>
      </c>
    </row>
    <row r="1108" spans="1:8" s="10" customFormat="1" outlineLevel="1" x14ac:dyDescent="0.2">
      <c r="D1108" s="49" t="str">
        <f>SENS_DETAILED_COST_WKSHT!D532</f>
        <v>Personnel Category 14</v>
      </c>
      <c r="E1108" s="115">
        <f>IF(DD_LVL2_ACTV_19_Currency_Selected=2,SENS_DETAILED_COST_WKSHT!$F532*SENS_DETAILED_COST_WKSHT!G532,SENS_DETAILED_COST_WKSHT!$F532*(SENS_DETAILED_COST_WKSHT!G532*LVL2_ACTV_19_Exchange_Rate))</f>
        <v>0</v>
      </c>
      <c r="F1108" s="115">
        <f>IF(DD_LVL2_ACTV_19_Currency_Selected=2,SENS_DETAILED_COST_WKSHT!$F532*SENS_DETAILED_COST_WKSHT!H532,SENS_DETAILED_COST_WKSHT!$F532*(SENS_DETAILED_COST_WKSHT!H532*LVL2_ACTV_19_Exchange_Rate))</f>
        <v>0</v>
      </c>
      <c r="G1108" s="116">
        <f t="shared" si="104"/>
        <v>0</v>
      </c>
      <c r="H1108" s="116">
        <f t="shared" si="105"/>
        <v>0</v>
      </c>
    </row>
    <row r="1109" spans="1:8" s="10" customFormat="1" outlineLevel="1" x14ac:dyDescent="0.2">
      <c r="D1109" s="49" t="str">
        <f>SENS_DETAILED_COST_WKSHT!D533</f>
        <v>Personnel Category 15</v>
      </c>
      <c r="E1109" s="115">
        <f>IF(DD_LVL2_ACTV_19_Currency_Selected=2,SENS_DETAILED_COST_WKSHT!$F533*SENS_DETAILED_COST_WKSHT!G533,SENS_DETAILED_COST_WKSHT!$F533*(SENS_DETAILED_COST_WKSHT!G533*LVL2_ACTV_19_Exchange_Rate))</f>
        <v>0</v>
      </c>
      <c r="F1109" s="115">
        <f>IF(DD_LVL2_ACTV_19_Currency_Selected=2,SENS_DETAILED_COST_WKSHT!$F533*SENS_DETAILED_COST_WKSHT!H533,SENS_DETAILED_COST_WKSHT!$F533*(SENS_DETAILED_COST_WKSHT!H533*LVL2_ACTV_19_Exchange_Rate))</f>
        <v>0</v>
      </c>
      <c r="G1109" s="116">
        <f t="shared" si="104"/>
        <v>0</v>
      </c>
      <c r="H1109" s="116">
        <f t="shared" si="105"/>
        <v>0</v>
      </c>
    </row>
    <row r="1110" spans="1:8" s="10" customFormat="1" outlineLevel="1" x14ac:dyDescent="0.2">
      <c r="D1110" s="48" t="str">
        <f>Lang_Personnel</f>
        <v>Personnel</v>
      </c>
      <c r="E1110" s="120">
        <f>SUM(E1095:E1109)</f>
        <v>0</v>
      </c>
      <c r="F1110" s="120">
        <f>SUM(F1095:F1109)</f>
        <v>0</v>
      </c>
      <c r="G1110" s="121">
        <f>SUM(G1095:G1109)</f>
        <v>0</v>
      </c>
      <c r="H1110" s="121">
        <f>SUM(H1095:H1109)</f>
        <v>0</v>
      </c>
    </row>
    <row r="1111" spans="1:8" s="10" customFormat="1" outlineLevel="1" x14ac:dyDescent="0.2"/>
    <row r="1112" spans="1:8" s="10" customFormat="1" outlineLevel="1" x14ac:dyDescent="0.2"/>
    <row r="1113" spans="1:8" s="10" customFormat="1" outlineLevel="1" x14ac:dyDescent="0.2">
      <c r="D1113" s="76" t="str">
        <f>Lang_GoTo&amp;" "&amp;HL_LVL2_ACTV_19_Personnel_Assumptions</f>
        <v>Go to  Sensitisation Activity # 6 (Not in Use) - Detailed Personnel Cost Assumptions</v>
      </c>
    </row>
    <row r="1114" spans="1:8" s="10" customFormat="1" outlineLevel="1" x14ac:dyDescent="0.2">
      <c r="D1114" s="76" t="str">
        <f>Lang_GoTo&amp;" "&amp;HL_LVL2_ACTV_19_Cost_Summary_Output</f>
        <v>Go to  Sensitisation Activity # 6 (Not in Use) Detailed Cost Summary</v>
      </c>
    </row>
    <row r="1115" spans="1:8" s="10" customFormat="1" x14ac:dyDescent="0.2"/>
    <row r="1116" spans="1:8" s="13" customFormat="1" x14ac:dyDescent="0.2">
      <c r="A1116" s="12" t="s">
        <v>127</v>
      </c>
      <c r="B1116" s="13" t="str">
        <f>C1118&amp;" "&amp;Lang_Allowances_Outputs</f>
        <v xml:space="preserve"> Sensitisation Activity # 6 (Not in Use) Allowances - Outputs</v>
      </c>
    </row>
    <row r="1117" spans="1:8" s="10" customFormat="1" outlineLevel="1" x14ac:dyDescent="0.2"/>
    <row r="1118" spans="1:8" s="10" customFormat="1" outlineLevel="1" x14ac:dyDescent="0.2">
      <c r="C1118" s="114" t="str">
        <f>HL_LVL2_ACTV_19_Name</f>
        <v xml:space="preserve"> Sensitisation Activity # 6 (Not in Use)</v>
      </c>
    </row>
    <row r="1119" spans="1:8" s="10" customFormat="1" outlineLevel="1" x14ac:dyDescent="0.2">
      <c r="E1119" s="86" t="str">
        <f>SENS_Lu!$D$207&amp;" "&amp;Lang_Cost&amp;" ("&amp;SENS_Lu!$D$188&amp;")"</f>
        <v>Financial Cost (LCU)</v>
      </c>
      <c r="F1119" s="86" t="str">
        <f>SENS_Lu!$D$208&amp;" "&amp;Lang_Cost&amp;" ("&amp;SENS_Lu!$D$188&amp;")"</f>
        <v>Economic Cost (LCU)</v>
      </c>
      <c r="G1119" s="86" t="str">
        <f>SENS_Lu!$D$207&amp;" "&amp;Lang_Cost&amp;" ("&amp;SENS_Lu!$D$187&amp;")"</f>
        <v>Financial Cost (USD)</v>
      </c>
      <c r="H1119" s="86" t="str">
        <f>SENS_Lu!$D$208&amp;" "&amp;Lang_Cost&amp;" ("&amp;SENS_Lu!$D$187&amp;")"</f>
        <v>Economic Cost (USD)</v>
      </c>
    </row>
    <row r="1120" spans="1:8" s="10" customFormat="1" outlineLevel="1" x14ac:dyDescent="0.2">
      <c r="D1120" s="49" t="str">
        <f>SENS_DETAILED_COST_WKSHT!D542</f>
        <v>Allowances Category 1</v>
      </c>
      <c r="E1120" s="115">
        <f>IF(DD_LVL2_ACTV_19_Currency_Selected=2,SENS_DETAILED_COST_WKSHT!$F542*SENS_DETAILED_COST_WKSHT!G542,SENS_DETAILED_COST_WKSHT!$F542*(SENS_DETAILED_COST_WKSHT!G542*LVL2_ACTV_19_Exchange_Rate))</f>
        <v>0</v>
      </c>
      <c r="F1120" s="115">
        <f>IF(DD_LVL2_ACTV_19_Currency_Selected=2,SENS_DETAILED_COST_WKSHT!$F542*SENS_DETAILED_COST_WKSHT!H542,SENS_DETAILED_COST_WKSHT!$F542*(SENS_DETAILED_COST_WKSHT!H542*LVL2_ACTV_19_Exchange_Rate))</f>
        <v>0</v>
      </c>
      <c r="G1120" s="116">
        <f t="shared" ref="G1120:G1129" si="106">E1120/LVL2_ACTV_19_Exchange_Rate</f>
        <v>0</v>
      </c>
      <c r="H1120" s="116">
        <f t="shared" ref="H1120:H1129" si="107">F1120/LVL2_ACTV_19_Exchange_Rate</f>
        <v>0</v>
      </c>
    </row>
    <row r="1121" spans="1:8" s="10" customFormat="1" outlineLevel="1" x14ac:dyDescent="0.2">
      <c r="D1121" s="49" t="str">
        <f>SENS_DETAILED_COST_WKSHT!D543</f>
        <v>Allowances Category 2</v>
      </c>
      <c r="E1121" s="115">
        <f>IF(DD_LVL2_ACTV_19_Currency_Selected=2,SENS_DETAILED_COST_WKSHT!$F543*SENS_DETAILED_COST_WKSHT!G543,SENS_DETAILED_COST_WKSHT!$F543*(SENS_DETAILED_COST_WKSHT!G543*LVL2_ACTV_19_Exchange_Rate))</f>
        <v>0</v>
      </c>
      <c r="F1121" s="115">
        <f>IF(DD_LVL2_ACTV_19_Currency_Selected=2,SENS_DETAILED_COST_WKSHT!$F543*SENS_DETAILED_COST_WKSHT!H543,SENS_DETAILED_COST_WKSHT!$F543*(SENS_DETAILED_COST_WKSHT!H543*LVL2_ACTV_19_Exchange_Rate))</f>
        <v>0</v>
      </c>
      <c r="G1121" s="116">
        <f t="shared" si="106"/>
        <v>0</v>
      </c>
      <c r="H1121" s="116">
        <f t="shared" si="107"/>
        <v>0</v>
      </c>
    </row>
    <row r="1122" spans="1:8" s="10" customFormat="1" outlineLevel="1" x14ac:dyDescent="0.2">
      <c r="D1122" s="49" t="str">
        <f>SENS_DETAILED_COST_WKSHT!D544</f>
        <v>Allowances Category 3</v>
      </c>
      <c r="E1122" s="115">
        <f>IF(DD_LVL2_ACTV_19_Currency_Selected=2,SENS_DETAILED_COST_WKSHT!$F544*SENS_DETAILED_COST_WKSHT!G544,SENS_DETAILED_COST_WKSHT!$F544*(SENS_DETAILED_COST_WKSHT!G544*LVL2_ACTV_19_Exchange_Rate))</f>
        <v>0</v>
      </c>
      <c r="F1122" s="115">
        <f>IF(DD_LVL2_ACTV_19_Currency_Selected=2,SENS_DETAILED_COST_WKSHT!$F544*SENS_DETAILED_COST_WKSHT!H544,SENS_DETAILED_COST_WKSHT!$F544*(SENS_DETAILED_COST_WKSHT!H544*LVL2_ACTV_19_Exchange_Rate))</f>
        <v>0</v>
      </c>
      <c r="G1122" s="116">
        <f t="shared" si="106"/>
        <v>0</v>
      </c>
      <c r="H1122" s="116">
        <f t="shared" si="107"/>
        <v>0</v>
      </c>
    </row>
    <row r="1123" spans="1:8" s="10" customFormat="1" outlineLevel="1" x14ac:dyDescent="0.2">
      <c r="D1123" s="49" t="str">
        <f>SENS_DETAILED_COST_WKSHT!D545</f>
        <v>Allowances Category 4</v>
      </c>
      <c r="E1123" s="115">
        <f>IF(DD_LVL2_ACTV_19_Currency_Selected=2,SENS_DETAILED_COST_WKSHT!$F545*SENS_DETAILED_COST_WKSHT!G545,SENS_DETAILED_COST_WKSHT!$F545*(SENS_DETAILED_COST_WKSHT!G545*LVL2_ACTV_19_Exchange_Rate))</f>
        <v>0</v>
      </c>
      <c r="F1123" s="115">
        <f>IF(DD_LVL2_ACTV_19_Currency_Selected=2,SENS_DETAILED_COST_WKSHT!$F545*SENS_DETAILED_COST_WKSHT!H545,SENS_DETAILED_COST_WKSHT!$F545*(SENS_DETAILED_COST_WKSHT!H545*LVL2_ACTV_19_Exchange_Rate))</f>
        <v>0</v>
      </c>
      <c r="G1123" s="116">
        <f t="shared" si="106"/>
        <v>0</v>
      </c>
      <c r="H1123" s="116">
        <f t="shared" si="107"/>
        <v>0</v>
      </c>
    </row>
    <row r="1124" spans="1:8" s="10" customFormat="1" outlineLevel="1" x14ac:dyDescent="0.2">
      <c r="D1124" s="49" t="str">
        <f>SENS_DETAILED_COST_WKSHT!D546</f>
        <v>Allowances Category 5</v>
      </c>
      <c r="E1124" s="115">
        <f>IF(DD_LVL2_ACTV_19_Currency_Selected=2,SENS_DETAILED_COST_WKSHT!$F546*SENS_DETAILED_COST_WKSHT!G546,SENS_DETAILED_COST_WKSHT!$F546*(SENS_DETAILED_COST_WKSHT!G546*LVL2_ACTV_19_Exchange_Rate))</f>
        <v>0</v>
      </c>
      <c r="F1124" s="115">
        <f>IF(DD_LVL2_ACTV_19_Currency_Selected=2,SENS_DETAILED_COST_WKSHT!$F546*SENS_DETAILED_COST_WKSHT!H546,SENS_DETAILED_COST_WKSHT!$F546*(SENS_DETAILED_COST_WKSHT!H546*LVL2_ACTV_19_Exchange_Rate))</f>
        <v>0</v>
      </c>
      <c r="G1124" s="116">
        <f t="shared" si="106"/>
        <v>0</v>
      </c>
      <c r="H1124" s="116">
        <f t="shared" si="107"/>
        <v>0</v>
      </c>
    </row>
    <row r="1125" spans="1:8" s="10" customFormat="1" outlineLevel="1" x14ac:dyDescent="0.2">
      <c r="D1125" s="49" t="str">
        <f>SENS_DETAILED_COST_WKSHT!D547</f>
        <v>Allowances Category 6</v>
      </c>
      <c r="E1125" s="115">
        <f>IF(DD_LVL2_ACTV_19_Currency_Selected=2,SENS_DETAILED_COST_WKSHT!$F547*SENS_DETAILED_COST_WKSHT!G547,SENS_DETAILED_COST_WKSHT!$F547*(SENS_DETAILED_COST_WKSHT!G547*LVL2_ACTV_19_Exchange_Rate))</f>
        <v>0</v>
      </c>
      <c r="F1125" s="115">
        <f>IF(DD_LVL2_ACTV_19_Currency_Selected=2,SENS_DETAILED_COST_WKSHT!$F547*SENS_DETAILED_COST_WKSHT!H547,SENS_DETAILED_COST_WKSHT!$F547*(SENS_DETAILED_COST_WKSHT!H547*LVL2_ACTV_19_Exchange_Rate))</f>
        <v>0</v>
      </c>
      <c r="G1125" s="116">
        <f t="shared" si="106"/>
        <v>0</v>
      </c>
      <c r="H1125" s="116">
        <f t="shared" si="107"/>
        <v>0</v>
      </c>
    </row>
    <row r="1126" spans="1:8" s="10" customFormat="1" outlineLevel="1" x14ac:dyDescent="0.2">
      <c r="D1126" s="49" t="str">
        <f>SENS_DETAILED_COST_WKSHT!D548</f>
        <v>Allowances Category 7</v>
      </c>
      <c r="E1126" s="115">
        <f>IF(DD_LVL2_ACTV_19_Currency_Selected=2,SENS_DETAILED_COST_WKSHT!$F548*SENS_DETAILED_COST_WKSHT!G548,SENS_DETAILED_COST_WKSHT!$F548*(SENS_DETAILED_COST_WKSHT!G548*LVL2_ACTV_19_Exchange_Rate))</f>
        <v>0</v>
      </c>
      <c r="F1126" s="115">
        <f>IF(DD_LVL2_ACTV_19_Currency_Selected=2,SENS_DETAILED_COST_WKSHT!$F548*SENS_DETAILED_COST_WKSHT!H548,SENS_DETAILED_COST_WKSHT!$F548*(SENS_DETAILED_COST_WKSHT!H548*LVL2_ACTV_19_Exchange_Rate))</f>
        <v>0</v>
      </c>
      <c r="G1126" s="116">
        <f t="shared" si="106"/>
        <v>0</v>
      </c>
      <c r="H1126" s="116">
        <f t="shared" si="107"/>
        <v>0</v>
      </c>
    </row>
    <row r="1127" spans="1:8" s="10" customFormat="1" outlineLevel="1" x14ac:dyDescent="0.2">
      <c r="D1127" s="49" t="str">
        <f>SENS_DETAILED_COST_WKSHT!D549</f>
        <v>Allowances Category 8</v>
      </c>
      <c r="E1127" s="115">
        <f>IF(DD_LVL2_ACTV_19_Currency_Selected=2,SENS_DETAILED_COST_WKSHT!$F549*SENS_DETAILED_COST_WKSHT!G549,SENS_DETAILED_COST_WKSHT!$F549*(SENS_DETAILED_COST_WKSHT!G549*LVL2_ACTV_19_Exchange_Rate))</f>
        <v>0</v>
      </c>
      <c r="F1127" s="115">
        <f>IF(DD_LVL2_ACTV_19_Currency_Selected=2,SENS_DETAILED_COST_WKSHT!$F549*SENS_DETAILED_COST_WKSHT!H549,SENS_DETAILED_COST_WKSHT!$F549*(SENS_DETAILED_COST_WKSHT!H549*LVL2_ACTV_19_Exchange_Rate))</f>
        <v>0</v>
      </c>
      <c r="G1127" s="116">
        <f t="shared" si="106"/>
        <v>0</v>
      </c>
      <c r="H1127" s="116">
        <f t="shared" si="107"/>
        <v>0</v>
      </c>
    </row>
    <row r="1128" spans="1:8" s="10" customFormat="1" outlineLevel="1" x14ac:dyDescent="0.2">
      <c r="D1128" s="49" t="str">
        <f>SENS_DETAILED_COST_WKSHT!D550</f>
        <v>Allowances Category 9</v>
      </c>
      <c r="E1128" s="115">
        <f>IF(DD_LVL2_ACTV_19_Currency_Selected=2,SENS_DETAILED_COST_WKSHT!$F550*SENS_DETAILED_COST_WKSHT!G550,SENS_DETAILED_COST_WKSHT!$F550*(SENS_DETAILED_COST_WKSHT!G550*LVL2_ACTV_19_Exchange_Rate))</f>
        <v>0</v>
      </c>
      <c r="F1128" s="115">
        <f>IF(DD_LVL2_ACTV_19_Currency_Selected=2,SENS_DETAILED_COST_WKSHT!$F550*SENS_DETAILED_COST_WKSHT!H550,SENS_DETAILED_COST_WKSHT!$F550*(SENS_DETAILED_COST_WKSHT!H550*LVL2_ACTV_19_Exchange_Rate))</f>
        <v>0</v>
      </c>
      <c r="G1128" s="116">
        <f t="shared" si="106"/>
        <v>0</v>
      </c>
      <c r="H1128" s="116">
        <f t="shared" si="107"/>
        <v>0</v>
      </c>
    </row>
    <row r="1129" spans="1:8" s="10" customFormat="1" outlineLevel="1" x14ac:dyDescent="0.2">
      <c r="D1129" s="49" t="str">
        <f>SENS_DETAILED_COST_WKSHT!D551</f>
        <v>Allowances Category 10</v>
      </c>
      <c r="E1129" s="115">
        <f>IF(DD_LVL2_ACTV_19_Currency_Selected=2,SENS_DETAILED_COST_WKSHT!$F551*SENS_DETAILED_COST_WKSHT!G551,SENS_DETAILED_COST_WKSHT!$F551*(SENS_DETAILED_COST_WKSHT!G551*LVL2_ACTV_19_Exchange_Rate))</f>
        <v>0</v>
      </c>
      <c r="F1129" s="115">
        <f>IF(DD_LVL2_ACTV_19_Currency_Selected=2,SENS_DETAILED_COST_WKSHT!$F551*SENS_DETAILED_COST_WKSHT!H551,SENS_DETAILED_COST_WKSHT!$F551*(SENS_DETAILED_COST_WKSHT!H551*LVL2_ACTV_19_Exchange_Rate))</f>
        <v>0</v>
      </c>
      <c r="G1129" s="116">
        <f t="shared" si="106"/>
        <v>0</v>
      </c>
      <c r="H1129" s="116">
        <f t="shared" si="107"/>
        <v>0</v>
      </c>
    </row>
    <row r="1130" spans="1:8" s="10" customFormat="1" outlineLevel="1" x14ac:dyDescent="0.2">
      <c r="D1130" s="48" t="str">
        <f>Lang_Allowances</f>
        <v>Allowances</v>
      </c>
      <c r="E1130" s="120">
        <f>SUM(E1120:E1129)</f>
        <v>0</v>
      </c>
      <c r="F1130" s="120">
        <f>SUM(F1120:F1129)</f>
        <v>0</v>
      </c>
      <c r="G1130" s="121">
        <f>SUM(G1120:G1129)</f>
        <v>0</v>
      </c>
      <c r="H1130" s="121">
        <f>SUM(H1120:H1129)</f>
        <v>0</v>
      </c>
    </row>
    <row r="1131" spans="1:8" s="10" customFormat="1" outlineLevel="1" x14ac:dyDescent="0.2"/>
    <row r="1132" spans="1:8" s="10" customFormat="1" outlineLevel="1" x14ac:dyDescent="0.2"/>
    <row r="1133" spans="1:8" s="10" customFormat="1" outlineLevel="1" x14ac:dyDescent="0.2">
      <c r="D1133" s="76" t="str">
        <f>Lang_GoTo&amp;" "&amp;HL_LVL2_ACTV_19_Ass_A</f>
        <v>Go to  Sensitisation Activity # 6 (Not in Use) - Detailed Allowance Cost Assumptions</v>
      </c>
    </row>
    <row r="1134" spans="1:8" s="10" customFormat="1" outlineLevel="1" x14ac:dyDescent="0.2">
      <c r="D1134" s="76" t="str">
        <f>Lang_GoTo&amp;" "&amp;HL_LVL2_ACTV_19_Cost_Summary_Output</f>
        <v>Go to  Sensitisation Activity # 6 (Not in Use) Detailed Cost Summary</v>
      </c>
    </row>
    <row r="1135" spans="1:8" s="10" customFormat="1" x14ac:dyDescent="0.2"/>
    <row r="1136" spans="1:8" s="13" customFormat="1" x14ac:dyDescent="0.2">
      <c r="A1136" s="12" t="s">
        <v>127</v>
      </c>
      <c r="B1136" s="13" t="str">
        <f>C1138&amp;" "&amp;Lang_Supplies_And_Materials_Outputs</f>
        <v xml:space="preserve"> Sensitisation Activity # 6 (Not in Use) Supplies and Materials - Outputs</v>
      </c>
    </row>
    <row r="1137" spans="3:8" s="10" customFormat="1" outlineLevel="1" x14ac:dyDescent="0.2"/>
    <row r="1138" spans="3:8" s="10" customFormat="1" outlineLevel="1" x14ac:dyDescent="0.2">
      <c r="C1138" s="114" t="str">
        <f>HL_LVL2_ACTV_19_Name</f>
        <v xml:space="preserve"> Sensitisation Activity # 6 (Not in Use)</v>
      </c>
    </row>
    <row r="1139" spans="3:8" s="10" customFormat="1" outlineLevel="1" x14ac:dyDescent="0.2">
      <c r="E1139" s="86" t="str">
        <f>SENS_Lu!$D$207&amp;" "&amp;Lang_Cost&amp;" ("&amp;SENS_Lu!$D$188&amp;")"</f>
        <v>Financial Cost (LCU)</v>
      </c>
      <c r="F1139" s="86" t="str">
        <f>SENS_Lu!$D$208&amp;" "&amp;Lang_Cost&amp;" ("&amp;SENS_Lu!$D$188&amp;")"</f>
        <v>Economic Cost (LCU)</v>
      </c>
      <c r="G1139" s="86" t="str">
        <f>SENS_Lu!$D$207&amp;" "&amp;Lang_Cost&amp;" ("&amp;SENS_Lu!$D$187&amp;")"</f>
        <v>Financial Cost (USD)</v>
      </c>
      <c r="H1139" s="86" t="str">
        <f>SENS_Lu!$D$208&amp;" "&amp;Lang_Cost&amp;" ("&amp;SENS_Lu!$D$187&amp;")"</f>
        <v>Economic Cost (USD)</v>
      </c>
    </row>
    <row r="1140" spans="3:8" s="10" customFormat="1" outlineLevel="1" x14ac:dyDescent="0.2">
      <c r="D1140" s="49" t="str">
        <f>SENS_DETAILED_COST_WKSHT!D560</f>
        <v>Supplies and Materials Category 1</v>
      </c>
      <c r="E1140" s="115">
        <f>IF(DD_LVL2_ACTV_19_Currency_Selected=2,SENS_DETAILED_COST_WKSHT!$F560*SENS_DETAILED_COST_WKSHT!G560,SENS_DETAILED_COST_WKSHT!$F560*(SENS_DETAILED_COST_WKSHT!G560*LVL2_ACTV_19_Exchange_Rate))</f>
        <v>0</v>
      </c>
      <c r="F1140" s="115">
        <f>IF(DD_LVL2_ACTV_19_Currency_Selected=2,SENS_DETAILED_COST_WKSHT!$F560*SENS_DETAILED_COST_WKSHT!H560,SENS_DETAILED_COST_WKSHT!$F560*(SENS_DETAILED_COST_WKSHT!H560*LVL2_ACTV_19_Exchange_Rate))</f>
        <v>0</v>
      </c>
      <c r="G1140" s="116">
        <f t="shared" ref="G1140:G1149" si="108">E1140/LVL2_ACTV_19_Exchange_Rate</f>
        <v>0</v>
      </c>
      <c r="H1140" s="116">
        <f t="shared" ref="H1140:H1149" si="109">F1140/LVL2_ACTV_19_Exchange_Rate</f>
        <v>0</v>
      </c>
    </row>
    <row r="1141" spans="3:8" s="10" customFormat="1" outlineLevel="1" x14ac:dyDescent="0.2">
      <c r="D1141" s="49" t="str">
        <f>SENS_DETAILED_COST_WKSHT!D561</f>
        <v>Supplies and Materials Category 2</v>
      </c>
      <c r="E1141" s="115">
        <f>IF(DD_LVL2_ACTV_19_Currency_Selected=2,SENS_DETAILED_COST_WKSHT!$F561*SENS_DETAILED_COST_WKSHT!G561,SENS_DETAILED_COST_WKSHT!$F561*(SENS_DETAILED_COST_WKSHT!G561*LVL2_ACTV_19_Exchange_Rate))</f>
        <v>0</v>
      </c>
      <c r="F1141" s="115">
        <f>IF(DD_LVL2_ACTV_19_Currency_Selected=2,SENS_DETAILED_COST_WKSHT!$F561*SENS_DETAILED_COST_WKSHT!H561,SENS_DETAILED_COST_WKSHT!$F561*(SENS_DETAILED_COST_WKSHT!H561*LVL2_ACTV_19_Exchange_Rate))</f>
        <v>0</v>
      </c>
      <c r="G1141" s="116">
        <f t="shared" si="108"/>
        <v>0</v>
      </c>
      <c r="H1141" s="116">
        <f t="shared" si="109"/>
        <v>0</v>
      </c>
    </row>
    <row r="1142" spans="3:8" s="10" customFormat="1" outlineLevel="1" x14ac:dyDescent="0.2">
      <c r="D1142" s="49" t="str">
        <f>SENS_DETAILED_COST_WKSHT!D562</f>
        <v>Supplies and Materials Category 3</v>
      </c>
      <c r="E1142" s="115">
        <f>IF(DD_LVL2_ACTV_19_Currency_Selected=2,SENS_DETAILED_COST_WKSHT!$F562*SENS_DETAILED_COST_WKSHT!G562,SENS_DETAILED_COST_WKSHT!$F562*(SENS_DETAILED_COST_WKSHT!G562*LVL2_ACTV_19_Exchange_Rate))</f>
        <v>0</v>
      </c>
      <c r="F1142" s="115">
        <f>IF(DD_LVL2_ACTV_19_Currency_Selected=2,SENS_DETAILED_COST_WKSHT!$F562*SENS_DETAILED_COST_WKSHT!H562,SENS_DETAILED_COST_WKSHT!$F562*(SENS_DETAILED_COST_WKSHT!H562*LVL2_ACTV_19_Exchange_Rate))</f>
        <v>0</v>
      </c>
      <c r="G1142" s="116">
        <f t="shared" si="108"/>
        <v>0</v>
      </c>
      <c r="H1142" s="116">
        <f t="shared" si="109"/>
        <v>0</v>
      </c>
    </row>
    <row r="1143" spans="3:8" s="10" customFormat="1" outlineLevel="1" x14ac:dyDescent="0.2">
      <c r="D1143" s="49" t="str">
        <f>SENS_DETAILED_COST_WKSHT!D563</f>
        <v>Supplies and Materials Category 4</v>
      </c>
      <c r="E1143" s="115">
        <f>IF(DD_LVL2_ACTV_19_Currency_Selected=2,SENS_DETAILED_COST_WKSHT!$F563*SENS_DETAILED_COST_WKSHT!G563,SENS_DETAILED_COST_WKSHT!$F563*(SENS_DETAILED_COST_WKSHT!G563*LVL2_ACTV_19_Exchange_Rate))</f>
        <v>0</v>
      </c>
      <c r="F1143" s="115">
        <f>IF(DD_LVL2_ACTV_19_Currency_Selected=2,SENS_DETAILED_COST_WKSHT!$F563*SENS_DETAILED_COST_WKSHT!H563,SENS_DETAILED_COST_WKSHT!$F563*(SENS_DETAILED_COST_WKSHT!H563*LVL2_ACTV_19_Exchange_Rate))</f>
        <v>0</v>
      </c>
      <c r="G1143" s="116">
        <f t="shared" si="108"/>
        <v>0</v>
      </c>
      <c r="H1143" s="116">
        <f t="shared" si="109"/>
        <v>0</v>
      </c>
    </row>
    <row r="1144" spans="3:8" s="10" customFormat="1" outlineLevel="1" x14ac:dyDescent="0.2">
      <c r="D1144" s="49" t="str">
        <f>SENS_DETAILED_COST_WKSHT!D564</f>
        <v>Supplies and Materials Category 5</v>
      </c>
      <c r="E1144" s="115">
        <f>IF(DD_LVL2_ACTV_19_Currency_Selected=2,SENS_DETAILED_COST_WKSHT!$F564*SENS_DETAILED_COST_WKSHT!G564,SENS_DETAILED_COST_WKSHT!$F564*(SENS_DETAILED_COST_WKSHT!G564*LVL2_ACTV_19_Exchange_Rate))</f>
        <v>0</v>
      </c>
      <c r="F1144" s="115">
        <f>IF(DD_LVL2_ACTV_19_Currency_Selected=2,SENS_DETAILED_COST_WKSHT!$F564*SENS_DETAILED_COST_WKSHT!H564,SENS_DETAILED_COST_WKSHT!$F564*(SENS_DETAILED_COST_WKSHT!H564*LVL2_ACTV_19_Exchange_Rate))</f>
        <v>0</v>
      </c>
      <c r="G1144" s="116">
        <f t="shared" si="108"/>
        <v>0</v>
      </c>
      <c r="H1144" s="116">
        <f t="shared" si="109"/>
        <v>0</v>
      </c>
    </row>
    <row r="1145" spans="3:8" s="10" customFormat="1" outlineLevel="1" x14ac:dyDescent="0.2">
      <c r="D1145" s="49" t="str">
        <f>SENS_DETAILED_COST_WKSHT!D565</f>
        <v>Supplies and Materials Category 6</v>
      </c>
      <c r="E1145" s="115">
        <f>IF(DD_LVL2_ACTV_19_Currency_Selected=2,SENS_DETAILED_COST_WKSHT!$F565*SENS_DETAILED_COST_WKSHT!G565,SENS_DETAILED_COST_WKSHT!$F565*(SENS_DETAILED_COST_WKSHT!G565*LVL2_ACTV_19_Exchange_Rate))</f>
        <v>0</v>
      </c>
      <c r="F1145" s="115">
        <f>IF(DD_LVL2_ACTV_19_Currency_Selected=2,SENS_DETAILED_COST_WKSHT!$F565*SENS_DETAILED_COST_WKSHT!H565,SENS_DETAILED_COST_WKSHT!$F565*(SENS_DETAILED_COST_WKSHT!H565*LVL2_ACTV_19_Exchange_Rate))</f>
        <v>0</v>
      </c>
      <c r="G1145" s="116">
        <f t="shared" si="108"/>
        <v>0</v>
      </c>
      <c r="H1145" s="116">
        <f t="shared" si="109"/>
        <v>0</v>
      </c>
    </row>
    <row r="1146" spans="3:8" s="10" customFormat="1" outlineLevel="1" x14ac:dyDescent="0.2">
      <c r="D1146" s="49" t="str">
        <f>SENS_DETAILED_COST_WKSHT!D566</f>
        <v>Supplies and Materials Category 7</v>
      </c>
      <c r="E1146" s="115">
        <f>IF(DD_LVL2_ACTV_19_Currency_Selected=2,SENS_DETAILED_COST_WKSHT!$F566*SENS_DETAILED_COST_WKSHT!G566,SENS_DETAILED_COST_WKSHT!$F566*(SENS_DETAILED_COST_WKSHT!G566*LVL2_ACTV_19_Exchange_Rate))</f>
        <v>0</v>
      </c>
      <c r="F1146" s="115">
        <f>IF(DD_LVL2_ACTV_19_Currency_Selected=2,SENS_DETAILED_COST_WKSHT!$F566*SENS_DETAILED_COST_WKSHT!H566,SENS_DETAILED_COST_WKSHT!$F566*(SENS_DETAILED_COST_WKSHT!H566*LVL2_ACTV_19_Exchange_Rate))</f>
        <v>0</v>
      </c>
      <c r="G1146" s="116">
        <f t="shared" si="108"/>
        <v>0</v>
      </c>
      <c r="H1146" s="116">
        <f t="shared" si="109"/>
        <v>0</v>
      </c>
    </row>
    <row r="1147" spans="3:8" s="10" customFormat="1" outlineLevel="1" x14ac:dyDescent="0.2">
      <c r="D1147" s="49" t="str">
        <f>SENS_DETAILED_COST_WKSHT!D567</f>
        <v>Supplies and Materials Category 8</v>
      </c>
      <c r="E1147" s="115">
        <f>IF(DD_LVL2_ACTV_19_Currency_Selected=2,SENS_DETAILED_COST_WKSHT!$F567*SENS_DETAILED_COST_WKSHT!G567,SENS_DETAILED_COST_WKSHT!$F567*(SENS_DETAILED_COST_WKSHT!G567*LVL2_ACTV_19_Exchange_Rate))</f>
        <v>0</v>
      </c>
      <c r="F1147" s="115">
        <f>IF(DD_LVL2_ACTV_19_Currency_Selected=2,SENS_DETAILED_COST_WKSHT!$F567*SENS_DETAILED_COST_WKSHT!H567,SENS_DETAILED_COST_WKSHT!$F567*(SENS_DETAILED_COST_WKSHT!H567*LVL2_ACTV_19_Exchange_Rate))</f>
        <v>0</v>
      </c>
      <c r="G1147" s="116">
        <f t="shared" si="108"/>
        <v>0</v>
      </c>
      <c r="H1147" s="116">
        <f t="shared" si="109"/>
        <v>0</v>
      </c>
    </row>
    <row r="1148" spans="3:8" s="10" customFormat="1" outlineLevel="1" x14ac:dyDescent="0.2">
      <c r="D1148" s="49" t="str">
        <f>SENS_DETAILED_COST_WKSHT!D568</f>
        <v>Supplies and Materials Category 9</v>
      </c>
      <c r="E1148" s="115">
        <f>IF(DD_LVL2_ACTV_19_Currency_Selected=2,SENS_DETAILED_COST_WKSHT!$F568*SENS_DETAILED_COST_WKSHT!G568,SENS_DETAILED_COST_WKSHT!$F568*(SENS_DETAILED_COST_WKSHT!G568*LVL2_ACTV_19_Exchange_Rate))</f>
        <v>0</v>
      </c>
      <c r="F1148" s="115">
        <f>IF(DD_LVL2_ACTV_19_Currency_Selected=2,SENS_DETAILED_COST_WKSHT!$F568*SENS_DETAILED_COST_WKSHT!H568,SENS_DETAILED_COST_WKSHT!$F568*(SENS_DETAILED_COST_WKSHT!H568*LVL2_ACTV_19_Exchange_Rate))</f>
        <v>0</v>
      </c>
      <c r="G1148" s="116">
        <f t="shared" si="108"/>
        <v>0</v>
      </c>
      <c r="H1148" s="116">
        <f t="shared" si="109"/>
        <v>0</v>
      </c>
    </row>
    <row r="1149" spans="3:8" s="10" customFormat="1" outlineLevel="1" x14ac:dyDescent="0.2">
      <c r="D1149" s="49" t="str">
        <f>SENS_DETAILED_COST_WKSHT!D569</f>
        <v>Supplies and Materials Category 10</v>
      </c>
      <c r="E1149" s="115">
        <f>IF(DD_LVL2_ACTV_19_Currency_Selected=2,SENS_DETAILED_COST_WKSHT!$F569*SENS_DETAILED_COST_WKSHT!G569,SENS_DETAILED_COST_WKSHT!$F569*(SENS_DETAILED_COST_WKSHT!G569*LVL2_ACTV_19_Exchange_Rate))</f>
        <v>0</v>
      </c>
      <c r="F1149" s="115">
        <f>IF(DD_LVL2_ACTV_19_Currency_Selected=2,SENS_DETAILED_COST_WKSHT!$F569*SENS_DETAILED_COST_WKSHT!H569,SENS_DETAILED_COST_WKSHT!$F569*(SENS_DETAILED_COST_WKSHT!H569*LVL2_ACTV_19_Exchange_Rate))</f>
        <v>0</v>
      </c>
      <c r="G1149" s="116">
        <f t="shared" si="108"/>
        <v>0</v>
      </c>
      <c r="H1149" s="116">
        <f t="shared" si="109"/>
        <v>0</v>
      </c>
    </row>
    <row r="1150" spans="3:8" s="10" customFormat="1" outlineLevel="1" x14ac:dyDescent="0.2">
      <c r="D1150" s="48" t="str">
        <f>Lang_Supplies_And_Materials</f>
        <v>Supplies and Materials</v>
      </c>
      <c r="E1150" s="120">
        <f>SUM(E1140:E1149)</f>
        <v>0</v>
      </c>
      <c r="F1150" s="120">
        <f>SUM(F1140:F1149)</f>
        <v>0</v>
      </c>
      <c r="G1150" s="121">
        <f>SUM(G1140:G1149)</f>
        <v>0</v>
      </c>
      <c r="H1150" s="121">
        <f>SUM(H1140:H1149)</f>
        <v>0</v>
      </c>
    </row>
    <row r="1151" spans="3:8" s="10" customFormat="1" outlineLevel="1" x14ac:dyDescent="0.2"/>
    <row r="1152" spans="3:8" s="10" customFormat="1" outlineLevel="1" x14ac:dyDescent="0.2"/>
    <row r="1153" spans="1:8" s="10" customFormat="1" outlineLevel="1" x14ac:dyDescent="0.2">
      <c r="D1153" s="76" t="str">
        <f>Lang_GoTo&amp;" "&amp;HL_LVL2_ACTV_19_Supplies_and_Materials</f>
        <v>Go to  Sensitisation Activity # 6 (Not in Use) - Detailed Supply and Material Cost Assumptions</v>
      </c>
    </row>
    <row r="1154" spans="1:8" s="10" customFormat="1" outlineLevel="1" x14ac:dyDescent="0.2">
      <c r="D1154" s="76" t="str">
        <f>Lang_GoTo&amp;" "&amp;HL_LVL2_ACTV_19_Cost_Summary_Output</f>
        <v>Go to  Sensitisation Activity # 6 (Not in Use) Detailed Cost Summary</v>
      </c>
    </row>
    <row r="1155" spans="1:8" s="10" customFormat="1" x14ac:dyDescent="0.2"/>
    <row r="1156" spans="1:8" s="13" customFormat="1" x14ac:dyDescent="0.2">
      <c r="A1156" s="12" t="s">
        <v>127</v>
      </c>
      <c r="B1156" s="13" t="str">
        <f>C1158&amp;" "&amp;Lang_Other_Direct_Costs_Outputs</f>
        <v xml:space="preserve"> Sensitisation Activity # 6 (Not in Use) Other Direct Costs - Outputs</v>
      </c>
    </row>
    <row r="1157" spans="1:8" s="10" customFormat="1" outlineLevel="1" x14ac:dyDescent="0.2"/>
    <row r="1158" spans="1:8" s="10" customFormat="1" outlineLevel="1" x14ac:dyDescent="0.2">
      <c r="C1158" s="114" t="str">
        <f>HL_LVL2_ACTV_19_Name</f>
        <v xml:space="preserve"> Sensitisation Activity # 6 (Not in Use)</v>
      </c>
    </row>
    <row r="1159" spans="1:8" s="10" customFormat="1" outlineLevel="1" x14ac:dyDescent="0.2">
      <c r="E1159" s="86" t="str">
        <f>SENS_Lu!$D$207&amp;" "&amp;Lang_Cost&amp;" ("&amp;SENS_Lu!$D$188&amp;")"</f>
        <v>Financial Cost (LCU)</v>
      </c>
      <c r="F1159" s="86" t="str">
        <f>SENS_Lu!$D$208&amp;" "&amp;Lang_Cost&amp;" ("&amp;SENS_Lu!$D$188&amp;")"</f>
        <v>Economic Cost (LCU)</v>
      </c>
      <c r="G1159" s="86" t="str">
        <f>SENS_Lu!$D$207&amp;" "&amp;Lang_Cost&amp;" ("&amp;SENS_Lu!$D$187&amp;")"</f>
        <v>Financial Cost (USD)</v>
      </c>
      <c r="H1159" s="86" t="str">
        <f>SENS_Lu!$D$208&amp;" "&amp;Lang_Cost&amp;" ("&amp;SENS_Lu!$D$187&amp;")"</f>
        <v>Economic Cost (USD)</v>
      </c>
    </row>
    <row r="1160" spans="1:8" s="10" customFormat="1" outlineLevel="1" x14ac:dyDescent="0.2">
      <c r="D1160" s="49" t="str">
        <f>SENS_DETAILED_COST_WKSHT!D578</f>
        <v>Other Direct Costs (ODC) Category 1</v>
      </c>
      <c r="E1160" s="115">
        <f>IF(DD_LVL2_ACTV_19_Currency_Selected=2,SENS_DETAILED_COST_WKSHT!$F578*SENS_DETAILED_COST_WKSHT!G578,SENS_DETAILED_COST_WKSHT!$F578*(SENS_DETAILED_COST_WKSHT!G578*LVL2_ACTV_19_Exchange_Rate))</f>
        <v>0</v>
      </c>
      <c r="F1160" s="115">
        <f>IF(DD_LVL2_ACTV_19_Currency_Selected=2,SENS_DETAILED_COST_WKSHT!$F578*SENS_DETAILED_COST_WKSHT!H578,SENS_DETAILED_COST_WKSHT!$F578*(SENS_DETAILED_COST_WKSHT!H578*LVL2_ACTV_19_Exchange_Rate))</f>
        <v>0</v>
      </c>
      <c r="G1160" s="116">
        <f t="shared" ref="G1160:G1169" si="110">E1160/LVL2_ACTV_19_Exchange_Rate</f>
        <v>0</v>
      </c>
      <c r="H1160" s="116">
        <f t="shared" ref="H1160:H1169" si="111">F1160/LVL2_ACTV_19_Exchange_Rate</f>
        <v>0</v>
      </c>
    </row>
    <row r="1161" spans="1:8" s="10" customFormat="1" outlineLevel="1" x14ac:dyDescent="0.2">
      <c r="D1161" s="49" t="str">
        <f>SENS_DETAILED_COST_WKSHT!D579</f>
        <v>Other Direct Costs (ODC) Category 2</v>
      </c>
      <c r="E1161" s="115">
        <f>IF(DD_LVL2_ACTV_19_Currency_Selected=2,SENS_DETAILED_COST_WKSHT!$F579*SENS_DETAILED_COST_WKSHT!G579,SENS_DETAILED_COST_WKSHT!$F579*(SENS_DETAILED_COST_WKSHT!G579*LVL2_ACTV_19_Exchange_Rate))</f>
        <v>0</v>
      </c>
      <c r="F1161" s="115">
        <f>IF(DD_LVL2_ACTV_19_Currency_Selected=2,SENS_DETAILED_COST_WKSHT!$F579*SENS_DETAILED_COST_WKSHT!H579,SENS_DETAILED_COST_WKSHT!$F579*(SENS_DETAILED_COST_WKSHT!H579*LVL2_ACTV_19_Exchange_Rate))</f>
        <v>0</v>
      </c>
      <c r="G1161" s="116">
        <f t="shared" si="110"/>
        <v>0</v>
      </c>
      <c r="H1161" s="116">
        <f t="shared" si="111"/>
        <v>0</v>
      </c>
    </row>
    <row r="1162" spans="1:8" s="10" customFormat="1" outlineLevel="1" x14ac:dyDescent="0.2">
      <c r="D1162" s="49" t="str">
        <f>SENS_DETAILED_COST_WKSHT!D580</f>
        <v>Other Direct Costs (ODC) Category 3</v>
      </c>
      <c r="E1162" s="115">
        <f>IF(DD_LVL2_ACTV_19_Currency_Selected=2,SENS_DETAILED_COST_WKSHT!$F580*SENS_DETAILED_COST_WKSHT!G580,SENS_DETAILED_COST_WKSHT!$F580*(SENS_DETAILED_COST_WKSHT!G580*LVL2_ACTV_19_Exchange_Rate))</f>
        <v>0</v>
      </c>
      <c r="F1162" s="115">
        <f>IF(DD_LVL2_ACTV_19_Currency_Selected=2,SENS_DETAILED_COST_WKSHT!$F580*SENS_DETAILED_COST_WKSHT!H580,SENS_DETAILED_COST_WKSHT!$F580*(SENS_DETAILED_COST_WKSHT!H580*LVL2_ACTV_19_Exchange_Rate))</f>
        <v>0</v>
      </c>
      <c r="G1162" s="116">
        <f t="shared" si="110"/>
        <v>0</v>
      </c>
      <c r="H1162" s="116">
        <f t="shared" si="111"/>
        <v>0</v>
      </c>
    </row>
    <row r="1163" spans="1:8" s="10" customFormat="1" outlineLevel="1" x14ac:dyDescent="0.2">
      <c r="D1163" s="49" t="str">
        <f>SENS_DETAILED_COST_WKSHT!D581</f>
        <v>Other Direct Costs (ODC) Category 4</v>
      </c>
      <c r="E1163" s="115">
        <f>IF(DD_LVL2_ACTV_19_Currency_Selected=2,SENS_DETAILED_COST_WKSHT!$F581*SENS_DETAILED_COST_WKSHT!G581,SENS_DETAILED_COST_WKSHT!$F581*(SENS_DETAILED_COST_WKSHT!G581*LVL2_ACTV_19_Exchange_Rate))</f>
        <v>0</v>
      </c>
      <c r="F1163" s="115">
        <f>IF(DD_LVL2_ACTV_19_Currency_Selected=2,SENS_DETAILED_COST_WKSHT!$F581*SENS_DETAILED_COST_WKSHT!H581,SENS_DETAILED_COST_WKSHT!$F581*(SENS_DETAILED_COST_WKSHT!H581*LVL2_ACTV_19_Exchange_Rate))</f>
        <v>0</v>
      </c>
      <c r="G1163" s="116">
        <f t="shared" si="110"/>
        <v>0</v>
      </c>
      <c r="H1163" s="116">
        <f t="shared" si="111"/>
        <v>0</v>
      </c>
    </row>
    <row r="1164" spans="1:8" s="10" customFormat="1" outlineLevel="1" x14ac:dyDescent="0.2">
      <c r="D1164" s="49" t="str">
        <f>SENS_DETAILED_COST_WKSHT!D582</f>
        <v>Other Direct Costs (ODC) Category 5</v>
      </c>
      <c r="E1164" s="115">
        <f>IF(DD_LVL2_ACTV_19_Currency_Selected=2,SENS_DETAILED_COST_WKSHT!$F582*SENS_DETAILED_COST_WKSHT!G582,SENS_DETAILED_COST_WKSHT!$F582*(SENS_DETAILED_COST_WKSHT!G582*LVL2_ACTV_19_Exchange_Rate))</f>
        <v>0</v>
      </c>
      <c r="F1164" s="115">
        <f>IF(DD_LVL2_ACTV_19_Currency_Selected=2,SENS_DETAILED_COST_WKSHT!$F582*SENS_DETAILED_COST_WKSHT!H582,SENS_DETAILED_COST_WKSHT!$F582*(SENS_DETAILED_COST_WKSHT!H582*LVL2_ACTV_19_Exchange_Rate))</f>
        <v>0</v>
      </c>
      <c r="G1164" s="116">
        <f t="shared" si="110"/>
        <v>0</v>
      </c>
      <c r="H1164" s="116">
        <f t="shared" si="111"/>
        <v>0</v>
      </c>
    </row>
    <row r="1165" spans="1:8" s="10" customFormat="1" outlineLevel="1" x14ac:dyDescent="0.2">
      <c r="D1165" s="49" t="str">
        <f>SENS_DETAILED_COST_WKSHT!D583</f>
        <v>Other Direct Costs (ODC) Category 6</v>
      </c>
      <c r="E1165" s="115">
        <f>IF(DD_LVL2_ACTV_19_Currency_Selected=2,SENS_DETAILED_COST_WKSHT!$F583*SENS_DETAILED_COST_WKSHT!G583,SENS_DETAILED_COST_WKSHT!$F583*(SENS_DETAILED_COST_WKSHT!G583*LVL2_ACTV_19_Exchange_Rate))</f>
        <v>0</v>
      </c>
      <c r="F1165" s="115">
        <f>IF(DD_LVL2_ACTV_19_Currency_Selected=2,SENS_DETAILED_COST_WKSHT!$F583*SENS_DETAILED_COST_WKSHT!H583,SENS_DETAILED_COST_WKSHT!$F583*(SENS_DETAILED_COST_WKSHT!H583*LVL2_ACTV_19_Exchange_Rate))</f>
        <v>0</v>
      </c>
      <c r="G1165" s="116">
        <f t="shared" si="110"/>
        <v>0</v>
      </c>
      <c r="H1165" s="116">
        <f t="shared" si="111"/>
        <v>0</v>
      </c>
    </row>
    <row r="1166" spans="1:8" s="10" customFormat="1" outlineLevel="1" x14ac:dyDescent="0.2">
      <c r="D1166" s="49" t="str">
        <f>SENS_DETAILED_COST_WKSHT!D584</f>
        <v>Other Direct Costs (ODC) Category 7</v>
      </c>
      <c r="E1166" s="115">
        <f>IF(DD_LVL2_ACTV_19_Currency_Selected=2,SENS_DETAILED_COST_WKSHT!$F584*SENS_DETAILED_COST_WKSHT!G584,SENS_DETAILED_COST_WKSHT!$F584*(SENS_DETAILED_COST_WKSHT!G584*LVL2_ACTV_19_Exchange_Rate))</f>
        <v>0</v>
      </c>
      <c r="F1166" s="115">
        <f>IF(DD_LVL2_ACTV_19_Currency_Selected=2,SENS_DETAILED_COST_WKSHT!$F584*SENS_DETAILED_COST_WKSHT!H584,SENS_DETAILED_COST_WKSHT!$F584*(SENS_DETAILED_COST_WKSHT!H584*LVL2_ACTV_19_Exchange_Rate))</f>
        <v>0</v>
      </c>
      <c r="G1166" s="116">
        <f t="shared" si="110"/>
        <v>0</v>
      </c>
      <c r="H1166" s="116">
        <f t="shared" si="111"/>
        <v>0</v>
      </c>
    </row>
    <row r="1167" spans="1:8" s="10" customFormat="1" outlineLevel="1" x14ac:dyDescent="0.2">
      <c r="D1167" s="49" t="str">
        <f>SENS_DETAILED_COST_WKSHT!D585</f>
        <v>Other Direct Costs (ODC) Category 8</v>
      </c>
      <c r="E1167" s="115">
        <f>IF(DD_LVL2_ACTV_19_Currency_Selected=2,SENS_DETAILED_COST_WKSHT!$F585*SENS_DETAILED_COST_WKSHT!G585,SENS_DETAILED_COST_WKSHT!$F585*(SENS_DETAILED_COST_WKSHT!G585*LVL2_ACTV_19_Exchange_Rate))</f>
        <v>0</v>
      </c>
      <c r="F1167" s="115">
        <f>IF(DD_LVL2_ACTV_19_Currency_Selected=2,SENS_DETAILED_COST_WKSHT!$F585*SENS_DETAILED_COST_WKSHT!H585,SENS_DETAILED_COST_WKSHT!$F585*(SENS_DETAILED_COST_WKSHT!H585*LVL2_ACTV_19_Exchange_Rate))</f>
        <v>0</v>
      </c>
      <c r="G1167" s="116">
        <f t="shared" si="110"/>
        <v>0</v>
      </c>
      <c r="H1167" s="116">
        <f t="shared" si="111"/>
        <v>0</v>
      </c>
    </row>
    <row r="1168" spans="1:8" s="10" customFormat="1" outlineLevel="1" x14ac:dyDescent="0.2">
      <c r="D1168" s="49" t="str">
        <f>SENS_DETAILED_COST_WKSHT!D586</f>
        <v>Other Direct Costs (ODC) Category 9</v>
      </c>
      <c r="E1168" s="115">
        <f>IF(DD_LVL2_ACTV_19_Currency_Selected=2,SENS_DETAILED_COST_WKSHT!$F586*SENS_DETAILED_COST_WKSHT!G586,SENS_DETAILED_COST_WKSHT!$F586*(SENS_DETAILED_COST_WKSHT!G586*LVL2_ACTV_19_Exchange_Rate))</f>
        <v>0</v>
      </c>
      <c r="F1168" s="115">
        <f>IF(DD_LVL2_ACTV_19_Currency_Selected=2,SENS_DETAILED_COST_WKSHT!$F586*SENS_DETAILED_COST_WKSHT!H586,SENS_DETAILED_COST_WKSHT!$F586*(SENS_DETAILED_COST_WKSHT!H586*LVL2_ACTV_19_Exchange_Rate))</f>
        <v>0</v>
      </c>
      <c r="G1168" s="116">
        <f t="shared" si="110"/>
        <v>0</v>
      </c>
      <c r="H1168" s="116">
        <f t="shared" si="111"/>
        <v>0</v>
      </c>
    </row>
    <row r="1169" spans="1:8" s="10" customFormat="1" outlineLevel="1" x14ac:dyDescent="0.2">
      <c r="D1169" s="49" t="str">
        <f>SENS_DETAILED_COST_WKSHT!D587</f>
        <v>Other Direct Costs (ODC) Category 10</v>
      </c>
      <c r="E1169" s="115">
        <f>IF(DD_LVL2_ACTV_19_Currency_Selected=2,SENS_DETAILED_COST_WKSHT!$F587*SENS_DETAILED_COST_WKSHT!G587,SENS_DETAILED_COST_WKSHT!$F587*(SENS_DETAILED_COST_WKSHT!G587*LVL2_ACTV_19_Exchange_Rate))</f>
        <v>0</v>
      </c>
      <c r="F1169" s="115">
        <f>IF(DD_LVL2_ACTV_19_Currency_Selected=2,SENS_DETAILED_COST_WKSHT!$F587*SENS_DETAILED_COST_WKSHT!H587,SENS_DETAILED_COST_WKSHT!$F587*(SENS_DETAILED_COST_WKSHT!H587*LVL2_ACTV_19_Exchange_Rate))</f>
        <v>0</v>
      </c>
      <c r="G1169" s="116">
        <f t="shared" si="110"/>
        <v>0</v>
      </c>
      <c r="H1169" s="116">
        <f t="shared" si="111"/>
        <v>0</v>
      </c>
    </row>
    <row r="1170" spans="1:8" s="10" customFormat="1" outlineLevel="1" x14ac:dyDescent="0.2">
      <c r="D1170" s="48" t="str">
        <f>Lang_Other_Direct_Costs</f>
        <v>Other Direct Costs</v>
      </c>
      <c r="E1170" s="120">
        <f>SUM(E1160:E1169)</f>
        <v>0</v>
      </c>
      <c r="F1170" s="120">
        <f>SUM(F1160:F1169)</f>
        <v>0</v>
      </c>
      <c r="G1170" s="121">
        <f>SUM(G1160:G1169)</f>
        <v>0</v>
      </c>
      <c r="H1170" s="121">
        <f>SUM(H1160:H1169)</f>
        <v>0</v>
      </c>
    </row>
    <row r="1171" spans="1:8" s="10" customFormat="1" outlineLevel="1" x14ac:dyDescent="0.2"/>
    <row r="1172" spans="1:8" s="10" customFormat="1" outlineLevel="1" x14ac:dyDescent="0.2">
      <c r="D1172" s="76" t="str">
        <f>Lang_GoTo&amp;" "&amp;HL_LVL2_ACTV_19_Other_Direct_Costs</f>
        <v>Go to  Sensitisation Activity # 6 (Not in Use) - Detailed Other Direct Cost Assumptions</v>
      </c>
    </row>
    <row r="1173" spans="1:8" s="10" customFormat="1" outlineLevel="1" x14ac:dyDescent="0.2">
      <c r="D1173" s="76" t="str">
        <f>Lang_GoTo&amp;" "&amp;HL_LVL2_ACTV_19_Cost_Summary_Output</f>
        <v>Go to  Sensitisation Activity # 6 (Not in Use) Detailed Cost Summary</v>
      </c>
    </row>
    <row r="1174" spans="1:8" s="10" customFormat="1" x14ac:dyDescent="0.2"/>
    <row r="1175" spans="1:8" s="13" customFormat="1" x14ac:dyDescent="0.2">
      <c r="A1175" s="12" t="s">
        <v>127</v>
      </c>
      <c r="B1175" s="13" t="str">
        <f>HL_TOP_ACTV_4_Name&amp;" "&amp;Lang_Personnel_Outputs</f>
        <v>IEC Soc Mob  Activity # 1 (Not in Use) Personnel - Outputs</v>
      </c>
    </row>
    <row r="1176" spans="1:8" s="10" customFormat="1" outlineLevel="1" x14ac:dyDescent="0.2"/>
    <row r="1177" spans="1:8" s="10" customFormat="1" outlineLevel="1" x14ac:dyDescent="0.2">
      <c r="C1177" s="114" t="str">
        <f>HL_TOP_ACTV_4_Name</f>
        <v>IEC Soc Mob  Activity # 1 (Not in Use)</v>
      </c>
    </row>
    <row r="1178" spans="1:8" s="10" customFormat="1" outlineLevel="1" x14ac:dyDescent="0.2">
      <c r="E1178" s="86" t="str">
        <f>SOCMOB_Lu!$D$32&amp;" "&amp;Lang_Cost&amp;" ("&amp;SOCMOB_Lu!$D$13&amp;")"</f>
        <v>Financial Cost (LCU)</v>
      </c>
      <c r="F1178" s="86" t="str">
        <f>SOCMOB_Lu!$D$33&amp;" "&amp;Lang_Cost&amp;" ("&amp;SOCMOB_Lu!$D$13&amp;")"</f>
        <v>Economic Cost (LCU)</v>
      </c>
      <c r="G1178" s="86" t="str">
        <f>SOCMOB_Lu!$D$32&amp;" "&amp;Lang_Cost&amp;" ("&amp;SOCMOB_Lu!$D$12&amp;")"</f>
        <v>Financial Cost (USD)</v>
      </c>
      <c r="H1178" s="86" t="str">
        <f>SOCMOB_Lu!$D$33&amp;" "&amp;Lang_Cost&amp;" ("&amp;SOCMOB_Lu!$D$12&amp;")"</f>
        <v>Economic Cost (USD)</v>
      </c>
    </row>
    <row r="1179" spans="1:8" s="10" customFormat="1" outlineLevel="1" x14ac:dyDescent="0.2">
      <c r="D1179" s="49" t="str">
        <f>SOCMOB_DETAILED_COST_WKSHT!D28</f>
        <v>Personnel Category 1</v>
      </c>
      <c r="E1179" s="115">
        <f>IF(DD_TOP_ACTV_4_Detailed_Currency_Used=2,SOCMOB_DETAILED_COST_WKSHT!$F28*SOCMOB_DETAILED_COST_WKSHT!G28,SOCMOB_DETAILED_COST_WKSHT!$F28*(SOCMOB_DETAILED_COST_WKSHT!G28*TOP_ACTV_4_Exchange_Rate))</f>
        <v>0</v>
      </c>
      <c r="F1179" s="115">
        <f>IF(DD_TOP_ACTV_4_Detailed_Currency_Used=2,SOCMOB_DETAILED_COST_WKSHT!$F28*SOCMOB_DETAILED_COST_WKSHT!H28,SOCMOB_DETAILED_COST_WKSHT!$F28*(SOCMOB_DETAILED_COST_WKSHT!H28*TOP_ACTV_4_Exchange_Rate))</f>
        <v>0</v>
      </c>
      <c r="G1179" s="116">
        <f t="shared" ref="G1179:G1193" si="112">IFERROR(E1179/TOP_ACTV_4_Exchange_Rate,0)</f>
        <v>0</v>
      </c>
      <c r="H1179" s="116">
        <f t="shared" ref="H1179:H1193" si="113">IFERROR(F1179/TOP_ACTV_4_Exchange_Rate,0)</f>
        <v>0</v>
      </c>
    </row>
    <row r="1180" spans="1:8" s="10" customFormat="1" outlineLevel="1" x14ac:dyDescent="0.2">
      <c r="D1180" s="49" t="str">
        <f>SOCMOB_DETAILED_COST_WKSHT!D29</f>
        <v>Personnel Category 2</v>
      </c>
      <c r="E1180" s="115">
        <f>IF(DD_TOP_ACTV_4_Detailed_Currency_Used=2,SOCMOB_DETAILED_COST_WKSHT!$F29*SOCMOB_DETAILED_COST_WKSHT!G29,SOCMOB_DETAILED_COST_WKSHT!$F29*(SOCMOB_DETAILED_COST_WKSHT!G29*TOP_ACTV_4_Exchange_Rate))</f>
        <v>0</v>
      </c>
      <c r="F1180" s="115">
        <f>IF(DD_TOP_ACTV_4_Detailed_Currency_Used=2,SOCMOB_DETAILED_COST_WKSHT!$F29*SOCMOB_DETAILED_COST_WKSHT!H29,SOCMOB_DETAILED_COST_WKSHT!$F29*(SOCMOB_DETAILED_COST_WKSHT!H29*TOP_ACTV_4_Exchange_Rate))</f>
        <v>0</v>
      </c>
      <c r="G1180" s="116">
        <f t="shared" si="112"/>
        <v>0</v>
      </c>
      <c r="H1180" s="116">
        <f t="shared" si="113"/>
        <v>0</v>
      </c>
    </row>
    <row r="1181" spans="1:8" s="10" customFormat="1" outlineLevel="1" x14ac:dyDescent="0.2">
      <c r="D1181" s="49" t="str">
        <f>SOCMOB_DETAILED_COST_WKSHT!D30</f>
        <v>Personnel Category 3</v>
      </c>
      <c r="E1181" s="115">
        <f>IF(DD_TOP_ACTV_4_Detailed_Currency_Used=2,SOCMOB_DETAILED_COST_WKSHT!$F30*SOCMOB_DETAILED_COST_WKSHT!G30,SOCMOB_DETAILED_COST_WKSHT!$F30*(SOCMOB_DETAILED_COST_WKSHT!G30*TOP_ACTV_4_Exchange_Rate))</f>
        <v>0</v>
      </c>
      <c r="F1181" s="115">
        <f>IF(DD_TOP_ACTV_4_Detailed_Currency_Used=2,SOCMOB_DETAILED_COST_WKSHT!$F30*SOCMOB_DETAILED_COST_WKSHT!H30,SOCMOB_DETAILED_COST_WKSHT!$F30*(SOCMOB_DETAILED_COST_WKSHT!H30*TOP_ACTV_4_Exchange_Rate))</f>
        <v>0</v>
      </c>
      <c r="G1181" s="116">
        <f t="shared" si="112"/>
        <v>0</v>
      </c>
      <c r="H1181" s="116">
        <f t="shared" si="113"/>
        <v>0</v>
      </c>
    </row>
    <row r="1182" spans="1:8" s="10" customFormat="1" outlineLevel="1" x14ac:dyDescent="0.2">
      <c r="D1182" s="49" t="str">
        <f>SOCMOB_DETAILED_COST_WKSHT!D31</f>
        <v>Personnel Category 4</v>
      </c>
      <c r="E1182" s="115">
        <f>IF(DD_TOP_ACTV_4_Detailed_Currency_Used=2,SOCMOB_DETAILED_COST_WKSHT!$F31*SOCMOB_DETAILED_COST_WKSHT!G31,SOCMOB_DETAILED_COST_WKSHT!$F31*(SOCMOB_DETAILED_COST_WKSHT!G31*TOP_ACTV_4_Exchange_Rate))</f>
        <v>0</v>
      </c>
      <c r="F1182" s="115">
        <f>IF(DD_TOP_ACTV_4_Detailed_Currency_Used=2,SOCMOB_DETAILED_COST_WKSHT!$F31*SOCMOB_DETAILED_COST_WKSHT!H31,SOCMOB_DETAILED_COST_WKSHT!$F31*(SOCMOB_DETAILED_COST_WKSHT!H31*TOP_ACTV_4_Exchange_Rate))</f>
        <v>0</v>
      </c>
      <c r="G1182" s="116">
        <f t="shared" si="112"/>
        <v>0</v>
      </c>
      <c r="H1182" s="116">
        <f t="shared" si="113"/>
        <v>0</v>
      </c>
    </row>
    <row r="1183" spans="1:8" s="10" customFormat="1" outlineLevel="1" x14ac:dyDescent="0.2">
      <c r="D1183" s="49" t="str">
        <f>SOCMOB_DETAILED_COST_WKSHT!D32</f>
        <v>Personnel Category 5</v>
      </c>
      <c r="E1183" s="115">
        <f>IF(DD_TOP_ACTV_4_Detailed_Currency_Used=2,SOCMOB_DETAILED_COST_WKSHT!$F32*SOCMOB_DETAILED_COST_WKSHT!G32,SOCMOB_DETAILED_COST_WKSHT!$F32*(SOCMOB_DETAILED_COST_WKSHT!G32*TOP_ACTV_4_Exchange_Rate))</f>
        <v>0</v>
      </c>
      <c r="F1183" s="115">
        <f>IF(DD_TOP_ACTV_4_Detailed_Currency_Used=2,SOCMOB_DETAILED_COST_WKSHT!$F32*SOCMOB_DETAILED_COST_WKSHT!H32,SOCMOB_DETAILED_COST_WKSHT!$F32*(SOCMOB_DETAILED_COST_WKSHT!H32*TOP_ACTV_4_Exchange_Rate))</f>
        <v>0</v>
      </c>
      <c r="G1183" s="116">
        <f t="shared" si="112"/>
        <v>0</v>
      </c>
      <c r="H1183" s="116">
        <f t="shared" si="113"/>
        <v>0</v>
      </c>
    </row>
    <row r="1184" spans="1:8" s="10" customFormat="1" outlineLevel="1" x14ac:dyDescent="0.2">
      <c r="D1184" s="49" t="str">
        <f>SOCMOB_DETAILED_COST_WKSHT!D33</f>
        <v>Personnel Category 6</v>
      </c>
      <c r="E1184" s="115">
        <f>IF(DD_TOP_ACTV_4_Detailed_Currency_Used=2,SOCMOB_DETAILED_COST_WKSHT!$F33*SOCMOB_DETAILED_COST_WKSHT!G33,SOCMOB_DETAILED_COST_WKSHT!$F33*(SOCMOB_DETAILED_COST_WKSHT!G33*TOP_ACTV_4_Exchange_Rate))</f>
        <v>0</v>
      </c>
      <c r="F1184" s="115">
        <f>IF(DD_TOP_ACTV_4_Detailed_Currency_Used=2,SOCMOB_DETAILED_COST_WKSHT!$F33*SOCMOB_DETAILED_COST_WKSHT!H33,SOCMOB_DETAILED_COST_WKSHT!$F33*(SOCMOB_DETAILED_COST_WKSHT!H33*TOP_ACTV_4_Exchange_Rate))</f>
        <v>0</v>
      </c>
      <c r="G1184" s="116">
        <f t="shared" si="112"/>
        <v>0</v>
      </c>
      <c r="H1184" s="116">
        <f t="shared" si="113"/>
        <v>0</v>
      </c>
    </row>
    <row r="1185" spans="1:8" s="10" customFormat="1" outlineLevel="1" x14ac:dyDescent="0.2">
      <c r="D1185" s="49" t="str">
        <f>SOCMOB_DETAILED_COST_WKSHT!D34</f>
        <v>Personnel Category 7</v>
      </c>
      <c r="E1185" s="115">
        <f>IF(DD_TOP_ACTV_4_Detailed_Currency_Used=2,SOCMOB_DETAILED_COST_WKSHT!$F34*SOCMOB_DETAILED_COST_WKSHT!G34,SOCMOB_DETAILED_COST_WKSHT!$F34*(SOCMOB_DETAILED_COST_WKSHT!G34*TOP_ACTV_4_Exchange_Rate))</f>
        <v>0</v>
      </c>
      <c r="F1185" s="115">
        <f>IF(DD_TOP_ACTV_4_Detailed_Currency_Used=2,SOCMOB_DETAILED_COST_WKSHT!$F34*SOCMOB_DETAILED_COST_WKSHT!H34,SOCMOB_DETAILED_COST_WKSHT!$F34*(SOCMOB_DETAILED_COST_WKSHT!H34*TOP_ACTV_4_Exchange_Rate))</f>
        <v>0</v>
      </c>
      <c r="G1185" s="116">
        <f t="shared" si="112"/>
        <v>0</v>
      </c>
      <c r="H1185" s="116">
        <f t="shared" si="113"/>
        <v>0</v>
      </c>
    </row>
    <row r="1186" spans="1:8" s="10" customFormat="1" outlineLevel="1" x14ac:dyDescent="0.2">
      <c r="D1186" s="49" t="str">
        <f>SOCMOB_DETAILED_COST_WKSHT!D35</f>
        <v>Personnel Category 8</v>
      </c>
      <c r="E1186" s="115">
        <f>IF(DD_TOP_ACTV_4_Detailed_Currency_Used=2,SOCMOB_DETAILED_COST_WKSHT!$F35*SOCMOB_DETAILED_COST_WKSHT!G35,SOCMOB_DETAILED_COST_WKSHT!$F35*(SOCMOB_DETAILED_COST_WKSHT!G35*TOP_ACTV_4_Exchange_Rate))</f>
        <v>0</v>
      </c>
      <c r="F1186" s="115">
        <f>IF(DD_TOP_ACTV_4_Detailed_Currency_Used=2,SOCMOB_DETAILED_COST_WKSHT!$F35*SOCMOB_DETAILED_COST_WKSHT!H35,SOCMOB_DETAILED_COST_WKSHT!$F35*(SOCMOB_DETAILED_COST_WKSHT!H35*TOP_ACTV_4_Exchange_Rate))</f>
        <v>0</v>
      </c>
      <c r="G1186" s="116">
        <f t="shared" si="112"/>
        <v>0</v>
      </c>
      <c r="H1186" s="116">
        <f t="shared" si="113"/>
        <v>0</v>
      </c>
    </row>
    <row r="1187" spans="1:8" s="10" customFormat="1" outlineLevel="1" x14ac:dyDescent="0.2">
      <c r="D1187" s="49" t="str">
        <f>SOCMOB_DETAILED_COST_WKSHT!D36</f>
        <v>Personnel Category 9</v>
      </c>
      <c r="E1187" s="115">
        <f>IF(DD_TOP_ACTV_4_Detailed_Currency_Used=2,SOCMOB_DETAILED_COST_WKSHT!$F36*SOCMOB_DETAILED_COST_WKSHT!G36,SOCMOB_DETAILED_COST_WKSHT!$F36*(SOCMOB_DETAILED_COST_WKSHT!G36*TOP_ACTV_4_Exchange_Rate))</f>
        <v>0</v>
      </c>
      <c r="F1187" s="115">
        <f>IF(DD_TOP_ACTV_4_Detailed_Currency_Used=2,SOCMOB_DETAILED_COST_WKSHT!$F36*SOCMOB_DETAILED_COST_WKSHT!H36,SOCMOB_DETAILED_COST_WKSHT!$F36*(SOCMOB_DETAILED_COST_WKSHT!H36*TOP_ACTV_4_Exchange_Rate))</f>
        <v>0</v>
      </c>
      <c r="G1187" s="116">
        <f t="shared" si="112"/>
        <v>0</v>
      </c>
      <c r="H1187" s="116">
        <f t="shared" si="113"/>
        <v>0</v>
      </c>
    </row>
    <row r="1188" spans="1:8" s="10" customFormat="1" outlineLevel="1" x14ac:dyDescent="0.2">
      <c r="D1188" s="49" t="str">
        <f>SOCMOB_DETAILED_COST_WKSHT!D37</f>
        <v>Personnel Category 10</v>
      </c>
      <c r="E1188" s="115">
        <f>IF(DD_TOP_ACTV_4_Detailed_Currency_Used=2,SOCMOB_DETAILED_COST_WKSHT!$F37*SOCMOB_DETAILED_COST_WKSHT!G37,SOCMOB_DETAILED_COST_WKSHT!$F37*(SOCMOB_DETAILED_COST_WKSHT!G37*TOP_ACTV_4_Exchange_Rate))</f>
        <v>0</v>
      </c>
      <c r="F1188" s="115">
        <f>IF(DD_TOP_ACTV_4_Detailed_Currency_Used=2,SOCMOB_DETAILED_COST_WKSHT!$F37*SOCMOB_DETAILED_COST_WKSHT!H37,SOCMOB_DETAILED_COST_WKSHT!$F37*(SOCMOB_DETAILED_COST_WKSHT!H37*TOP_ACTV_4_Exchange_Rate))</f>
        <v>0</v>
      </c>
      <c r="G1188" s="116">
        <f t="shared" si="112"/>
        <v>0</v>
      </c>
      <c r="H1188" s="116">
        <f t="shared" si="113"/>
        <v>0</v>
      </c>
    </row>
    <row r="1189" spans="1:8" s="10" customFormat="1" outlineLevel="1" x14ac:dyDescent="0.2">
      <c r="D1189" s="49" t="str">
        <f>SOCMOB_DETAILED_COST_WKSHT!D38</f>
        <v>Personnel Category 11</v>
      </c>
      <c r="E1189" s="115">
        <f>IF(DD_TOP_ACTV_4_Detailed_Currency_Used=2,SOCMOB_DETAILED_COST_WKSHT!$F38*SOCMOB_DETAILED_COST_WKSHT!G38,SOCMOB_DETAILED_COST_WKSHT!$F38*(SOCMOB_DETAILED_COST_WKSHT!G38*TOP_ACTV_4_Exchange_Rate))</f>
        <v>0</v>
      </c>
      <c r="F1189" s="115">
        <f>IF(DD_TOP_ACTV_4_Detailed_Currency_Used=2,SOCMOB_DETAILED_COST_WKSHT!$F38*SOCMOB_DETAILED_COST_WKSHT!H38,SOCMOB_DETAILED_COST_WKSHT!$F38*(SOCMOB_DETAILED_COST_WKSHT!H38*TOP_ACTV_4_Exchange_Rate))</f>
        <v>0</v>
      </c>
      <c r="G1189" s="116">
        <f t="shared" si="112"/>
        <v>0</v>
      </c>
      <c r="H1189" s="116">
        <f t="shared" si="113"/>
        <v>0</v>
      </c>
    </row>
    <row r="1190" spans="1:8" s="10" customFormat="1" outlineLevel="1" x14ac:dyDescent="0.2">
      <c r="D1190" s="49" t="str">
        <f>SOCMOB_DETAILED_COST_WKSHT!D39</f>
        <v>Personnel Category 12</v>
      </c>
      <c r="E1190" s="115">
        <f>IF(DD_TOP_ACTV_4_Detailed_Currency_Used=2,SOCMOB_DETAILED_COST_WKSHT!$F39*SOCMOB_DETAILED_COST_WKSHT!G39,SOCMOB_DETAILED_COST_WKSHT!$F39*(SOCMOB_DETAILED_COST_WKSHT!G39*TOP_ACTV_4_Exchange_Rate))</f>
        <v>0</v>
      </c>
      <c r="F1190" s="115">
        <f>IF(DD_TOP_ACTV_4_Detailed_Currency_Used=2,SOCMOB_DETAILED_COST_WKSHT!$F39*SOCMOB_DETAILED_COST_WKSHT!H39,SOCMOB_DETAILED_COST_WKSHT!$F39*(SOCMOB_DETAILED_COST_WKSHT!H39*TOP_ACTV_4_Exchange_Rate))</f>
        <v>0</v>
      </c>
      <c r="G1190" s="116">
        <f t="shared" si="112"/>
        <v>0</v>
      </c>
      <c r="H1190" s="116">
        <f t="shared" si="113"/>
        <v>0</v>
      </c>
    </row>
    <row r="1191" spans="1:8" s="10" customFormat="1" outlineLevel="1" x14ac:dyDescent="0.2">
      <c r="D1191" s="49" t="str">
        <f>SOCMOB_DETAILED_COST_WKSHT!D40</f>
        <v>Personnel Category 13</v>
      </c>
      <c r="E1191" s="115">
        <f>IF(DD_TOP_ACTV_4_Detailed_Currency_Used=2,SOCMOB_DETAILED_COST_WKSHT!$F40*SOCMOB_DETAILED_COST_WKSHT!G40,SOCMOB_DETAILED_COST_WKSHT!$F40*(SOCMOB_DETAILED_COST_WKSHT!G40*TOP_ACTV_4_Exchange_Rate))</f>
        <v>0</v>
      </c>
      <c r="F1191" s="115">
        <f>IF(DD_TOP_ACTV_4_Detailed_Currency_Used=2,SOCMOB_DETAILED_COST_WKSHT!$F40*SOCMOB_DETAILED_COST_WKSHT!H40,SOCMOB_DETAILED_COST_WKSHT!$F40*(SOCMOB_DETAILED_COST_WKSHT!H40*TOP_ACTV_4_Exchange_Rate))</f>
        <v>0</v>
      </c>
      <c r="G1191" s="116">
        <f t="shared" si="112"/>
        <v>0</v>
      </c>
      <c r="H1191" s="116">
        <f t="shared" si="113"/>
        <v>0</v>
      </c>
    </row>
    <row r="1192" spans="1:8" s="10" customFormat="1" outlineLevel="1" x14ac:dyDescent="0.2">
      <c r="D1192" s="49" t="str">
        <f>SOCMOB_DETAILED_COST_WKSHT!D41</f>
        <v>Personnel Category 14</v>
      </c>
      <c r="E1192" s="115">
        <f>IF(DD_TOP_ACTV_4_Detailed_Currency_Used=2,SOCMOB_DETAILED_COST_WKSHT!$F41*SOCMOB_DETAILED_COST_WKSHT!G41,SOCMOB_DETAILED_COST_WKSHT!$F41*(SOCMOB_DETAILED_COST_WKSHT!G41*TOP_ACTV_4_Exchange_Rate))</f>
        <v>0</v>
      </c>
      <c r="F1192" s="115">
        <f>IF(DD_TOP_ACTV_4_Detailed_Currency_Used=2,SOCMOB_DETAILED_COST_WKSHT!$F41*SOCMOB_DETAILED_COST_WKSHT!H41,SOCMOB_DETAILED_COST_WKSHT!$F41*(SOCMOB_DETAILED_COST_WKSHT!H41*TOP_ACTV_4_Exchange_Rate))</f>
        <v>0</v>
      </c>
      <c r="G1192" s="116">
        <f t="shared" si="112"/>
        <v>0</v>
      </c>
      <c r="H1192" s="116">
        <f t="shared" si="113"/>
        <v>0</v>
      </c>
    </row>
    <row r="1193" spans="1:8" s="10" customFormat="1" outlineLevel="1" x14ac:dyDescent="0.2">
      <c r="D1193" s="49" t="str">
        <f>SOCMOB_DETAILED_COST_WKSHT!D42</f>
        <v>Personnel Category 15</v>
      </c>
      <c r="E1193" s="115">
        <f>IF(DD_TOP_ACTV_4_Detailed_Currency_Used=2,SOCMOB_DETAILED_COST_WKSHT!$F42*SOCMOB_DETAILED_COST_WKSHT!G42,SOCMOB_DETAILED_COST_WKSHT!$F42*(SOCMOB_DETAILED_COST_WKSHT!G42*TOP_ACTV_4_Exchange_Rate))</f>
        <v>0</v>
      </c>
      <c r="F1193" s="115">
        <f>IF(DD_TOP_ACTV_4_Detailed_Currency_Used=2,SOCMOB_DETAILED_COST_WKSHT!$F42*SOCMOB_DETAILED_COST_WKSHT!H42,SOCMOB_DETAILED_COST_WKSHT!$F42*(SOCMOB_DETAILED_COST_WKSHT!H42*TOP_ACTV_4_Exchange_Rate))</f>
        <v>0</v>
      </c>
      <c r="G1193" s="116">
        <f t="shared" si="112"/>
        <v>0</v>
      </c>
      <c r="H1193" s="116">
        <f t="shared" si="113"/>
        <v>0</v>
      </c>
    </row>
    <row r="1194" spans="1:8" s="10" customFormat="1" outlineLevel="1" x14ac:dyDescent="0.2">
      <c r="D1194" s="48" t="str">
        <f>Lang_Personnel</f>
        <v>Personnel</v>
      </c>
      <c r="E1194" s="120">
        <f>SUM(E1179:E1193)</f>
        <v>0</v>
      </c>
      <c r="F1194" s="120">
        <f>SUM(F1179:F1193)</f>
        <v>0</v>
      </c>
      <c r="G1194" s="121">
        <f>SUM(G1179:G1193)</f>
        <v>0</v>
      </c>
      <c r="H1194" s="121">
        <f>SUM(H1179:H1193)</f>
        <v>0</v>
      </c>
    </row>
    <row r="1195" spans="1:8" s="10" customFormat="1" outlineLevel="1" x14ac:dyDescent="0.2"/>
    <row r="1196" spans="1:8" s="10" customFormat="1" outlineLevel="1" x14ac:dyDescent="0.2"/>
    <row r="1197" spans="1:8" s="10" customFormat="1" outlineLevel="1" x14ac:dyDescent="0.2">
      <c r="D1197" s="76" t="str">
        <f>Lang_GoTo&amp;" "&amp;HL_TOP_ACTV_4_Personnel_Assumptions</f>
        <v>Go to IEC Soc Mob  Activity # 1 (Not in Use) - Detailed Personnel Cost Assumptions</v>
      </c>
    </row>
    <row r="1198" spans="1:8" s="10" customFormat="1" outlineLevel="1" x14ac:dyDescent="0.2">
      <c r="D1198" s="76" t="str">
        <f>Lang_GoTo&amp;" "&amp;HL_TOP_ACTV_4_Cost_Summary_Output</f>
        <v>Go to IEC Soc Mob  Activity # 1 (Not in Use) Detailed Cost Summary</v>
      </c>
    </row>
    <row r="1199" spans="1:8" s="10" customFormat="1" x14ac:dyDescent="0.2"/>
    <row r="1200" spans="1:8" s="13" customFormat="1" x14ac:dyDescent="0.2">
      <c r="A1200" s="12" t="s">
        <v>127</v>
      </c>
      <c r="B1200" s="13" t="str">
        <f>HL_TOP_ACTV_4_Name&amp;" "&amp;Lang_Allowances_Outputs</f>
        <v>IEC Soc Mob  Activity # 1 (Not in Use) Allowances - Outputs</v>
      </c>
    </row>
    <row r="1201" spans="3:8" s="10" customFormat="1" outlineLevel="1" x14ac:dyDescent="0.2"/>
    <row r="1202" spans="3:8" s="10" customFormat="1" outlineLevel="1" x14ac:dyDescent="0.2">
      <c r="C1202" s="114" t="str">
        <f>HL_TOP_ACTV_4_Name</f>
        <v>IEC Soc Mob  Activity # 1 (Not in Use)</v>
      </c>
    </row>
    <row r="1203" spans="3:8" s="10" customFormat="1" outlineLevel="1" x14ac:dyDescent="0.2">
      <c r="E1203" s="86" t="str">
        <f>SOCMOB_Lu!$D$32&amp;" "&amp;Lang_Cost&amp;" ("&amp;SOCMOB_Lu!$D$13&amp;")"</f>
        <v>Financial Cost (LCU)</v>
      </c>
      <c r="F1203" s="86" t="str">
        <f>SOCMOB_Lu!$D$33&amp;" "&amp;Lang_Cost&amp;" ("&amp;SOCMOB_Lu!$D$13&amp;")"</f>
        <v>Economic Cost (LCU)</v>
      </c>
      <c r="G1203" s="86" t="str">
        <f>SOCMOB_Lu!$D$32&amp;" "&amp;Lang_Cost&amp;" ("&amp;SOCMOB_Lu!$D$12&amp;")"</f>
        <v>Financial Cost (USD)</v>
      </c>
      <c r="H1203" s="86" t="str">
        <f>SOCMOB_Lu!$D$33&amp;" "&amp;Lang_Cost&amp;" ("&amp;SOCMOB_Lu!$D$12&amp;")"</f>
        <v>Economic Cost (USD)</v>
      </c>
    </row>
    <row r="1204" spans="3:8" s="10" customFormat="1" outlineLevel="1" x14ac:dyDescent="0.2">
      <c r="D1204" s="49" t="str">
        <f>SOCMOB_DETAILED_COST_WKSHT!D51</f>
        <v>Allowances Category 1</v>
      </c>
      <c r="E1204" s="115">
        <f>IF(DD_TOP_ACTV_4_Detailed_Currency_Used=2,SOCMOB_DETAILED_COST_WKSHT!$F51*SOCMOB_DETAILED_COST_WKSHT!G51,SOCMOB_DETAILED_COST_WKSHT!$F51*(SOCMOB_DETAILED_COST_WKSHT!G51*TOP_ACTV_4_Exchange_Rate))</f>
        <v>0</v>
      </c>
      <c r="F1204" s="115">
        <f>IF(DD_TOP_ACTV_4_Detailed_Currency_Used=2,SOCMOB_DETAILED_COST_WKSHT!$F51*SOCMOB_DETAILED_COST_WKSHT!H51,SOCMOB_DETAILED_COST_WKSHT!$F51*(SOCMOB_DETAILED_COST_WKSHT!H51*TOP_ACTV_4_Exchange_Rate))</f>
        <v>0</v>
      </c>
      <c r="G1204" s="116">
        <f t="shared" ref="G1204:G1213" si="114">E1204/TOP_ACTV_4_Exchange_Rate</f>
        <v>0</v>
      </c>
      <c r="H1204" s="116">
        <f t="shared" ref="H1204:H1213" si="115">F1204/TOP_ACTV_4_Exchange_Rate</f>
        <v>0</v>
      </c>
    </row>
    <row r="1205" spans="3:8" s="10" customFormat="1" outlineLevel="1" x14ac:dyDescent="0.2">
      <c r="D1205" s="49" t="str">
        <f>SOCMOB_DETAILED_COST_WKSHT!D52</f>
        <v>Allowances Category 2</v>
      </c>
      <c r="E1205" s="115">
        <f>IF(DD_TOP_ACTV_4_Detailed_Currency_Used=2,SOCMOB_DETAILED_COST_WKSHT!$F52*SOCMOB_DETAILED_COST_WKSHT!G52,SOCMOB_DETAILED_COST_WKSHT!$F52*(SOCMOB_DETAILED_COST_WKSHT!G52*TOP_ACTV_4_Exchange_Rate))</f>
        <v>0</v>
      </c>
      <c r="F1205" s="115">
        <f>IF(DD_TOP_ACTV_4_Detailed_Currency_Used=2,SOCMOB_DETAILED_COST_WKSHT!$F52*SOCMOB_DETAILED_COST_WKSHT!H52,SOCMOB_DETAILED_COST_WKSHT!$F52*(SOCMOB_DETAILED_COST_WKSHT!H52*TOP_ACTV_4_Exchange_Rate))</f>
        <v>0</v>
      </c>
      <c r="G1205" s="116">
        <f t="shared" si="114"/>
        <v>0</v>
      </c>
      <c r="H1205" s="116">
        <f t="shared" si="115"/>
        <v>0</v>
      </c>
    </row>
    <row r="1206" spans="3:8" s="10" customFormat="1" outlineLevel="1" x14ac:dyDescent="0.2">
      <c r="D1206" s="49" t="str">
        <f>SOCMOB_DETAILED_COST_WKSHT!D53</f>
        <v>Allowances Category 3</v>
      </c>
      <c r="E1206" s="115">
        <f>IF(DD_TOP_ACTV_4_Detailed_Currency_Used=2,SOCMOB_DETAILED_COST_WKSHT!$F53*SOCMOB_DETAILED_COST_WKSHT!G53,SOCMOB_DETAILED_COST_WKSHT!$F53*(SOCMOB_DETAILED_COST_WKSHT!G53*TOP_ACTV_4_Exchange_Rate))</f>
        <v>0</v>
      </c>
      <c r="F1206" s="115">
        <f>IF(DD_TOP_ACTV_4_Detailed_Currency_Used=2,SOCMOB_DETAILED_COST_WKSHT!$F53*SOCMOB_DETAILED_COST_WKSHT!H53,SOCMOB_DETAILED_COST_WKSHT!$F53*(SOCMOB_DETAILED_COST_WKSHT!H53*TOP_ACTV_4_Exchange_Rate))</f>
        <v>0</v>
      </c>
      <c r="G1206" s="116">
        <f t="shared" si="114"/>
        <v>0</v>
      </c>
      <c r="H1206" s="116">
        <f t="shared" si="115"/>
        <v>0</v>
      </c>
    </row>
    <row r="1207" spans="3:8" s="10" customFormat="1" outlineLevel="1" x14ac:dyDescent="0.2">
      <c r="D1207" s="49" t="str">
        <f>SOCMOB_DETAILED_COST_WKSHT!D54</f>
        <v>Allowances Category 4</v>
      </c>
      <c r="E1207" s="115">
        <f>IF(DD_TOP_ACTV_4_Detailed_Currency_Used=2,SOCMOB_DETAILED_COST_WKSHT!$F54*SOCMOB_DETAILED_COST_WKSHT!G54,SOCMOB_DETAILED_COST_WKSHT!$F54*(SOCMOB_DETAILED_COST_WKSHT!G54*TOP_ACTV_4_Exchange_Rate))</f>
        <v>0</v>
      </c>
      <c r="F1207" s="115">
        <f>IF(DD_TOP_ACTV_4_Detailed_Currency_Used=2,SOCMOB_DETAILED_COST_WKSHT!$F54*SOCMOB_DETAILED_COST_WKSHT!H54,SOCMOB_DETAILED_COST_WKSHT!$F54*(SOCMOB_DETAILED_COST_WKSHT!H54*TOP_ACTV_4_Exchange_Rate))</f>
        <v>0</v>
      </c>
      <c r="G1207" s="116">
        <f t="shared" si="114"/>
        <v>0</v>
      </c>
      <c r="H1207" s="116">
        <f t="shared" si="115"/>
        <v>0</v>
      </c>
    </row>
    <row r="1208" spans="3:8" s="10" customFormat="1" outlineLevel="1" x14ac:dyDescent="0.2">
      <c r="D1208" s="49" t="str">
        <f>SOCMOB_DETAILED_COST_WKSHT!D55</f>
        <v>Allowances Category 5</v>
      </c>
      <c r="E1208" s="115">
        <f>IF(DD_TOP_ACTV_4_Detailed_Currency_Used=2,SOCMOB_DETAILED_COST_WKSHT!$F55*SOCMOB_DETAILED_COST_WKSHT!G55,SOCMOB_DETAILED_COST_WKSHT!$F55*(SOCMOB_DETAILED_COST_WKSHT!G55*TOP_ACTV_4_Exchange_Rate))</f>
        <v>0</v>
      </c>
      <c r="F1208" s="115">
        <f>IF(DD_TOP_ACTV_4_Detailed_Currency_Used=2,SOCMOB_DETAILED_COST_WKSHT!$F55*SOCMOB_DETAILED_COST_WKSHT!H55,SOCMOB_DETAILED_COST_WKSHT!$F55*(SOCMOB_DETAILED_COST_WKSHT!H55*TOP_ACTV_4_Exchange_Rate))</f>
        <v>0</v>
      </c>
      <c r="G1208" s="116">
        <f t="shared" si="114"/>
        <v>0</v>
      </c>
      <c r="H1208" s="116">
        <f t="shared" si="115"/>
        <v>0</v>
      </c>
    </row>
    <row r="1209" spans="3:8" s="10" customFormat="1" outlineLevel="1" x14ac:dyDescent="0.2">
      <c r="D1209" s="49" t="str">
        <f>SOCMOB_DETAILED_COST_WKSHT!D56</f>
        <v>Allowances Category 6</v>
      </c>
      <c r="E1209" s="115">
        <f>IF(DD_TOP_ACTV_4_Detailed_Currency_Used=2,SOCMOB_DETAILED_COST_WKSHT!$F56*SOCMOB_DETAILED_COST_WKSHT!G56,SOCMOB_DETAILED_COST_WKSHT!$F56*(SOCMOB_DETAILED_COST_WKSHT!G56*TOP_ACTV_4_Exchange_Rate))</f>
        <v>0</v>
      </c>
      <c r="F1209" s="115">
        <f>IF(DD_TOP_ACTV_4_Detailed_Currency_Used=2,SOCMOB_DETAILED_COST_WKSHT!$F56*SOCMOB_DETAILED_COST_WKSHT!H56,SOCMOB_DETAILED_COST_WKSHT!$F56*(SOCMOB_DETAILED_COST_WKSHT!H56*TOP_ACTV_4_Exchange_Rate))</f>
        <v>0</v>
      </c>
      <c r="G1209" s="116">
        <f t="shared" si="114"/>
        <v>0</v>
      </c>
      <c r="H1209" s="116">
        <f t="shared" si="115"/>
        <v>0</v>
      </c>
    </row>
    <row r="1210" spans="3:8" s="10" customFormat="1" outlineLevel="1" x14ac:dyDescent="0.2">
      <c r="D1210" s="49" t="str">
        <f>SOCMOB_DETAILED_COST_WKSHT!D57</f>
        <v>Allowances Category 7</v>
      </c>
      <c r="E1210" s="115">
        <f>IF(DD_TOP_ACTV_4_Detailed_Currency_Used=2,SOCMOB_DETAILED_COST_WKSHT!$F57*SOCMOB_DETAILED_COST_WKSHT!G57,SOCMOB_DETAILED_COST_WKSHT!$F57*(SOCMOB_DETAILED_COST_WKSHT!G57*TOP_ACTV_4_Exchange_Rate))</f>
        <v>0</v>
      </c>
      <c r="F1210" s="115">
        <f>IF(DD_TOP_ACTV_4_Detailed_Currency_Used=2,SOCMOB_DETAILED_COST_WKSHT!$F57*SOCMOB_DETAILED_COST_WKSHT!H57,SOCMOB_DETAILED_COST_WKSHT!$F57*(SOCMOB_DETAILED_COST_WKSHT!H57*TOP_ACTV_4_Exchange_Rate))</f>
        <v>0</v>
      </c>
      <c r="G1210" s="116">
        <f t="shared" si="114"/>
        <v>0</v>
      </c>
      <c r="H1210" s="116">
        <f t="shared" si="115"/>
        <v>0</v>
      </c>
    </row>
    <row r="1211" spans="3:8" s="10" customFormat="1" outlineLevel="1" x14ac:dyDescent="0.2">
      <c r="D1211" s="49" t="str">
        <f>SOCMOB_DETAILED_COST_WKSHT!D58</f>
        <v>Allowances Category 8</v>
      </c>
      <c r="E1211" s="115">
        <f>IF(DD_TOP_ACTV_4_Detailed_Currency_Used=2,SOCMOB_DETAILED_COST_WKSHT!$F58*SOCMOB_DETAILED_COST_WKSHT!G58,SOCMOB_DETAILED_COST_WKSHT!$F58*(SOCMOB_DETAILED_COST_WKSHT!G58*TOP_ACTV_4_Exchange_Rate))</f>
        <v>0</v>
      </c>
      <c r="F1211" s="115">
        <f>IF(DD_TOP_ACTV_4_Detailed_Currency_Used=2,SOCMOB_DETAILED_COST_WKSHT!$F58*SOCMOB_DETAILED_COST_WKSHT!H58,SOCMOB_DETAILED_COST_WKSHT!$F58*(SOCMOB_DETAILED_COST_WKSHT!H58*TOP_ACTV_4_Exchange_Rate))</f>
        <v>0</v>
      </c>
      <c r="G1211" s="116">
        <f t="shared" si="114"/>
        <v>0</v>
      </c>
      <c r="H1211" s="116">
        <f t="shared" si="115"/>
        <v>0</v>
      </c>
    </row>
    <row r="1212" spans="3:8" s="10" customFormat="1" outlineLevel="1" x14ac:dyDescent="0.2">
      <c r="D1212" s="49" t="str">
        <f>SOCMOB_DETAILED_COST_WKSHT!D59</f>
        <v>Allowances Category 9</v>
      </c>
      <c r="E1212" s="115">
        <f>IF(DD_TOP_ACTV_4_Detailed_Currency_Used=2,SOCMOB_DETAILED_COST_WKSHT!$F59*SOCMOB_DETAILED_COST_WKSHT!G59,SOCMOB_DETAILED_COST_WKSHT!$F59*(SOCMOB_DETAILED_COST_WKSHT!G59*TOP_ACTV_4_Exchange_Rate))</f>
        <v>0</v>
      </c>
      <c r="F1212" s="115">
        <f>IF(DD_TOP_ACTV_4_Detailed_Currency_Used=2,SOCMOB_DETAILED_COST_WKSHT!$F59*SOCMOB_DETAILED_COST_WKSHT!H59,SOCMOB_DETAILED_COST_WKSHT!$F59*(SOCMOB_DETAILED_COST_WKSHT!H59*TOP_ACTV_4_Exchange_Rate))</f>
        <v>0</v>
      </c>
      <c r="G1212" s="116">
        <f t="shared" si="114"/>
        <v>0</v>
      </c>
      <c r="H1212" s="116">
        <f t="shared" si="115"/>
        <v>0</v>
      </c>
    </row>
    <row r="1213" spans="3:8" s="10" customFormat="1" outlineLevel="1" x14ac:dyDescent="0.2">
      <c r="D1213" s="49" t="str">
        <f>SOCMOB_DETAILED_COST_WKSHT!D60</f>
        <v>Allowances Category 10</v>
      </c>
      <c r="E1213" s="115">
        <f>IF(DD_TOP_ACTV_4_Detailed_Currency_Used=2,SOCMOB_DETAILED_COST_WKSHT!$F60*SOCMOB_DETAILED_COST_WKSHT!G60,SOCMOB_DETAILED_COST_WKSHT!$F60*(SOCMOB_DETAILED_COST_WKSHT!G60*TOP_ACTV_4_Exchange_Rate))</f>
        <v>0</v>
      </c>
      <c r="F1213" s="115">
        <f>IF(DD_TOP_ACTV_4_Detailed_Currency_Used=2,SOCMOB_DETAILED_COST_WKSHT!$F60*SOCMOB_DETAILED_COST_WKSHT!H60,SOCMOB_DETAILED_COST_WKSHT!$F60*(SOCMOB_DETAILED_COST_WKSHT!H60*TOP_ACTV_4_Exchange_Rate))</f>
        <v>0</v>
      </c>
      <c r="G1213" s="116">
        <f t="shared" si="114"/>
        <v>0</v>
      </c>
      <c r="H1213" s="116">
        <f t="shared" si="115"/>
        <v>0</v>
      </c>
    </row>
    <row r="1214" spans="3:8" s="10" customFormat="1" outlineLevel="1" x14ac:dyDescent="0.2">
      <c r="D1214" s="48" t="str">
        <f>Lang_Allowances</f>
        <v>Allowances</v>
      </c>
      <c r="E1214" s="120">
        <f>SUM(E1204:E1213)</f>
        <v>0</v>
      </c>
      <c r="F1214" s="120">
        <f>SUM(F1204:F1213)</f>
        <v>0</v>
      </c>
      <c r="G1214" s="121">
        <f>SUM(G1204:G1213)</f>
        <v>0</v>
      </c>
      <c r="H1214" s="121">
        <f>SUM(H1204:H1213)</f>
        <v>0</v>
      </c>
    </row>
    <row r="1215" spans="3:8" s="10" customFormat="1" outlineLevel="1" x14ac:dyDescent="0.2"/>
    <row r="1216" spans="3:8" s="10" customFormat="1" outlineLevel="1" x14ac:dyDescent="0.2"/>
    <row r="1217" spans="1:8" s="10" customFormat="1" outlineLevel="1" x14ac:dyDescent="0.2">
      <c r="D1217" s="76" t="str">
        <f>Lang_GoTo&amp;" "&amp;HL_TOP_ACTV_4_Ass_A</f>
        <v>Go to IEC Soc Mob  Activity # 1 (Not in Use) - Detailed Allowance Cost Assumptions</v>
      </c>
    </row>
    <row r="1218" spans="1:8" s="10" customFormat="1" outlineLevel="1" x14ac:dyDescent="0.2">
      <c r="D1218" s="76" t="str">
        <f>Lang_GoTo&amp;" "&amp;HL_TOP_ACTV_4_Cost_Summary_Output</f>
        <v>Go to IEC Soc Mob  Activity # 1 (Not in Use) Detailed Cost Summary</v>
      </c>
    </row>
    <row r="1219" spans="1:8" s="10" customFormat="1" x14ac:dyDescent="0.2"/>
    <row r="1220" spans="1:8" s="13" customFormat="1" x14ac:dyDescent="0.2">
      <c r="A1220" s="12" t="s">
        <v>127</v>
      </c>
      <c r="B1220" s="13" t="str">
        <f>HL_TOP_ACTV_4_Name&amp;" "&amp;Lang_Supplies_And_Materials_Outputs</f>
        <v>IEC Soc Mob  Activity # 1 (Not in Use) Supplies and Materials - Outputs</v>
      </c>
    </row>
    <row r="1221" spans="1:8" s="10" customFormat="1" outlineLevel="1" x14ac:dyDescent="0.2"/>
    <row r="1222" spans="1:8" s="10" customFormat="1" outlineLevel="1" x14ac:dyDescent="0.2">
      <c r="C1222" s="114" t="str">
        <f>HL_TOP_ACTV_4_Name</f>
        <v>IEC Soc Mob  Activity # 1 (Not in Use)</v>
      </c>
    </row>
    <row r="1223" spans="1:8" s="10" customFormat="1" outlineLevel="1" x14ac:dyDescent="0.2">
      <c r="E1223" s="86" t="str">
        <f>SOCMOB_Lu!$D$32&amp;" "&amp;Lang_Cost&amp;" ("&amp;SOCMOB_Lu!$D$13&amp;")"</f>
        <v>Financial Cost (LCU)</v>
      </c>
      <c r="F1223" s="86" t="str">
        <f>SOCMOB_Lu!$D$33&amp;" "&amp;Lang_Cost&amp;" ("&amp;SOCMOB_Lu!$D$13&amp;")"</f>
        <v>Economic Cost (LCU)</v>
      </c>
      <c r="G1223" s="86" t="str">
        <f>SOCMOB_Lu!$D$32&amp;" "&amp;Lang_Cost&amp;" ("&amp;SOCMOB_Lu!$D$12&amp;")"</f>
        <v>Financial Cost (USD)</v>
      </c>
      <c r="H1223" s="86" t="str">
        <f>SOCMOB_Lu!$D$33&amp;" "&amp;Lang_Cost&amp;" ("&amp;SOCMOB_Lu!$D$12&amp;")"</f>
        <v>Economic Cost (USD)</v>
      </c>
    </row>
    <row r="1224" spans="1:8" s="10" customFormat="1" outlineLevel="1" x14ac:dyDescent="0.2">
      <c r="D1224" s="49" t="str">
        <f>SOCMOB_DETAILED_COST_WKSHT!D69</f>
        <v>Supplies and Materials Category 1</v>
      </c>
      <c r="E1224" s="115">
        <f>IF(DD_TOP_ACTV_4_Detailed_Currency_Used=2,SOCMOB_DETAILED_COST_WKSHT!$F69*SOCMOB_DETAILED_COST_WKSHT!G69,SOCMOB_DETAILED_COST_WKSHT!$F69*(SOCMOB_DETAILED_COST_WKSHT!G69*TOP_ACTV_4_Exchange_Rate))</f>
        <v>0</v>
      </c>
      <c r="F1224" s="115">
        <f>IF(DD_TOP_ACTV_4_Detailed_Currency_Used=2,SOCMOB_DETAILED_COST_WKSHT!$F69*SOCMOB_DETAILED_COST_WKSHT!H69,SOCMOB_DETAILED_COST_WKSHT!$F69*(SOCMOB_DETAILED_COST_WKSHT!H69*TOP_ACTV_4_Exchange_Rate))</f>
        <v>0</v>
      </c>
      <c r="G1224" s="116">
        <f t="shared" ref="G1224:G1233" si="116">E1224/TOP_ACTV_4_Exchange_Rate</f>
        <v>0</v>
      </c>
      <c r="H1224" s="116">
        <f t="shared" ref="H1224:H1233" si="117">F1224/TOP_ACTV_4_Exchange_Rate</f>
        <v>0</v>
      </c>
    </row>
    <row r="1225" spans="1:8" s="10" customFormat="1" outlineLevel="1" x14ac:dyDescent="0.2">
      <c r="D1225" s="49" t="str">
        <f>SOCMOB_DETAILED_COST_WKSHT!D70</f>
        <v>Supplies and Materials Category 2</v>
      </c>
      <c r="E1225" s="115">
        <f>IF(DD_TOP_ACTV_4_Detailed_Currency_Used=2,SOCMOB_DETAILED_COST_WKSHT!$F70*SOCMOB_DETAILED_COST_WKSHT!G70,SOCMOB_DETAILED_COST_WKSHT!$F70*(SOCMOB_DETAILED_COST_WKSHT!G70*TOP_ACTV_4_Exchange_Rate))</f>
        <v>0</v>
      </c>
      <c r="F1225" s="115">
        <f>IF(DD_TOP_ACTV_4_Detailed_Currency_Used=2,SOCMOB_DETAILED_COST_WKSHT!$F70*SOCMOB_DETAILED_COST_WKSHT!H70,SOCMOB_DETAILED_COST_WKSHT!$F70*(SOCMOB_DETAILED_COST_WKSHT!H70*TOP_ACTV_4_Exchange_Rate))</f>
        <v>0</v>
      </c>
      <c r="G1225" s="116">
        <f t="shared" si="116"/>
        <v>0</v>
      </c>
      <c r="H1225" s="116">
        <f t="shared" si="117"/>
        <v>0</v>
      </c>
    </row>
    <row r="1226" spans="1:8" s="10" customFormat="1" outlineLevel="1" x14ac:dyDescent="0.2">
      <c r="D1226" s="49" t="str">
        <f>SOCMOB_DETAILED_COST_WKSHT!D71</f>
        <v>Supplies and Materials Category 3</v>
      </c>
      <c r="E1226" s="115">
        <f>IF(DD_TOP_ACTV_4_Detailed_Currency_Used=2,SOCMOB_DETAILED_COST_WKSHT!$F71*SOCMOB_DETAILED_COST_WKSHT!G71,SOCMOB_DETAILED_COST_WKSHT!$F71*(SOCMOB_DETAILED_COST_WKSHT!G71*TOP_ACTV_4_Exchange_Rate))</f>
        <v>0</v>
      </c>
      <c r="F1226" s="115">
        <f>IF(DD_TOP_ACTV_4_Detailed_Currency_Used=2,SOCMOB_DETAILED_COST_WKSHT!$F71*SOCMOB_DETAILED_COST_WKSHT!H71,SOCMOB_DETAILED_COST_WKSHT!$F71*(SOCMOB_DETAILED_COST_WKSHT!H71*TOP_ACTV_4_Exchange_Rate))</f>
        <v>0</v>
      </c>
      <c r="G1226" s="116">
        <f t="shared" si="116"/>
        <v>0</v>
      </c>
      <c r="H1226" s="116">
        <f t="shared" si="117"/>
        <v>0</v>
      </c>
    </row>
    <row r="1227" spans="1:8" s="10" customFormat="1" outlineLevel="1" x14ac:dyDescent="0.2">
      <c r="D1227" s="49" t="str">
        <f>SOCMOB_DETAILED_COST_WKSHT!D72</f>
        <v>Supplies and Materials Category 4</v>
      </c>
      <c r="E1227" s="115">
        <f>IF(DD_TOP_ACTV_4_Detailed_Currency_Used=2,SOCMOB_DETAILED_COST_WKSHT!$F72*SOCMOB_DETAILED_COST_WKSHT!G72,SOCMOB_DETAILED_COST_WKSHT!$F72*(SOCMOB_DETAILED_COST_WKSHT!G72*TOP_ACTV_4_Exchange_Rate))</f>
        <v>0</v>
      </c>
      <c r="F1227" s="115">
        <f>IF(DD_TOP_ACTV_4_Detailed_Currency_Used=2,SOCMOB_DETAILED_COST_WKSHT!$F72*SOCMOB_DETAILED_COST_WKSHT!H72,SOCMOB_DETAILED_COST_WKSHT!$F72*(SOCMOB_DETAILED_COST_WKSHT!H72*TOP_ACTV_4_Exchange_Rate))</f>
        <v>0</v>
      </c>
      <c r="G1227" s="116">
        <f t="shared" si="116"/>
        <v>0</v>
      </c>
      <c r="H1227" s="116">
        <f t="shared" si="117"/>
        <v>0</v>
      </c>
    </row>
    <row r="1228" spans="1:8" s="10" customFormat="1" outlineLevel="1" x14ac:dyDescent="0.2">
      <c r="D1228" s="49" t="str">
        <f>SOCMOB_DETAILED_COST_WKSHT!D73</f>
        <v>Supplies and Materials Category 5</v>
      </c>
      <c r="E1228" s="115">
        <f>IF(DD_TOP_ACTV_4_Detailed_Currency_Used=2,SOCMOB_DETAILED_COST_WKSHT!$F73*SOCMOB_DETAILED_COST_WKSHT!G73,SOCMOB_DETAILED_COST_WKSHT!$F73*(SOCMOB_DETAILED_COST_WKSHT!G73*TOP_ACTV_4_Exchange_Rate))</f>
        <v>0</v>
      </c>
      <c r="F1228" s="115">
        <f>IF(DD_TOP_ACTV_4_Detailed_Currency_Used=2,SOCMOB_DETAILED_COST_WKSHT!$F73*SOCMOB_DETAILED_COST_WKSHT!H73,SOCMOB_DETAILED_COST_WKSHT!$F73*(SOCMOB_DETAILED_COST_WKSHT!H73*TOP_ACTV_4_Exchange_Rate))</f>
        <v>0</v>
      </c>
      <c r="G1228" s="116">
        <f t="shared" si="116"/>
        <v>0</v>
      </c>
      <c r="H1228" s="116">
        <f t="shared" si="117"/>
        <v>0</v>
      </c>
    </row>
    <row r="1229" spans="1:8" s="10" customFormat="1" outlineLevel="1" x14ac:dyDescent="0.2">
      <c r="D1229" s="49" t="str">
        <f>SOCMOB_DETAILED_COST_WKSHT!D74</f>
        <v>Supplies and Materials Category 6</v>
      </c>
      <c r="E1229" s="115">
        <f>IF(DD_TOP_ACTV_4_Detailed_Currency_Used=2,SOCMOB_DETAILED_COST_WKSHT!$F74*SOCMOB_DETAILED_COST_WKSHT!G74,SOCMOB_DETAILED_COST_WKSHT!$F74*(SOCMOB_DETAILED_COST_WKSHT!G74*TOP_ACTV_4_Exchange_Rate))</f>
        <v>0</v>
      </c>
      <c r="F1229" s="115">
        <f>IF(DD_TOP_ACTV_4_Detailed_Currency_Used=2,SOCMOB_DETAILED_COST_WKSHT!$F74*SOCMOB_DETAILED_COST_WKSHT!H74,SOCMOB_DETAILED_COST_WKSHT!$F74*(SOCMOB_DETAILED_COST_WKSHT!H74*TOP_ACTV_4_Exchange_Rate))</f>
        <v>0</v>
      </c>
      <c r="G1229" s="116">
        <f t="shared" si="116"/>
        <v>0</v>
      </c>
      <c r="H1229" s="116">
        <f t="shared" si="117"/>
        <v>0</v>
      </c>
    </row>
    <row r="1230" spans="1:8" s="10" customFormat="1" outlineLevel="1" x14ac:dyDescent="0.2">
      <c r="D1230" s="49" t="str">
        <f>SOCMOB_DETAILED_COST_WKSHT!D75</f>
        <v>Supplies and Materials Category 7</v>
      </c>
      <c r="E1230" s="115">
        <f>IF(DD_TOP_ACTV_4_Detailed_Currency_Used=2,SOCMOB_DETAILED_COST_WKSHT!$F75*SOCMOB_DETAILED_COST_WKSHT!G75,SOCMOB_DETAILED_COST_WKSHT!$F75*(SOCMOB_DETAILED_COST_WKSHT!G75*TOP_ACTV_4_Exchange_Rate))</f>
        <v>0</v>
      </c>
      <c r="F1230" s="115">
        <f>IF(DD_TOP_ACTV_4_Detailed_Currency_Used=2,SOCMOB_DETAILED_COST_WKSHT!$F75*SOCMOB_DETAILED_COST_WKSHT!H75,SOCMOB_DETAILED_COST_WKSHT!$F75*(SOCMOB_DETAILED_COST_WKSHT!H75*TOP_ACTV_4_Exchange_Rate))</f>
        <v>0</v>
      </c>
      <c r="G1230" s="116">
        <f t="shared" si="116"/>
        <v>0</v>
      </c>
      <c r="H1230" s="116">
        <f t="shared" si="117"/>
        <v>0</v>
      </c>
    </row>
    <row r="1231" spans="1:8" s="10" customFormat="1" outlineLevel="1" x14ac:dyDescent="0.2">
      <c r="D1231" s="49" t="str">
        <f>SOCMOB_DETAILED_COST_WKSHT!D76</f>
        <v>Supplies and Materials Category 8</v>
      </c>
      <c r="E1231" s="115">
        <f>IF(DD_TOP_ACTV_4_Detailed_Currency_Used=2,SOCMOB_DETAILED_COST_WKSHT!$F76*SOCMOB_DETAILED_COST_WKSHT!G76,SOCMOB_DETAILED_COST_WKSHT!$F76*(SOCMOB_DETAILED_COST_WKSHT!G76*TOP_ACTV_4_Exchange_Rate))</f>
        <v>0</v>
      </c>
      <c r="F1231" s="115">
        <f>IF(DD_TOP_ACTV_4_Detailed_Currency_Used=2,SOCMOB_DETAILED_COST_WKSHT!$F76*SOCMOB_DETAILED_COST_WKSHT!H76,SOCMOB_DETAILED_COST_WKSHT!$F76*(SOCMOB_DETAILED_COST_WKSHT!H76*TOP_ACTV_4_Exchange_Rate))</f>
        <v>0</v>
      </c>
      <c r="G1231" s="116">
        <f t="shared" si="116"/>
        <v>0</v>
      </c>
      <c r="H1231" s="116">
        <f t="shared" si="117"/>
        <v>0</v>
      </c>
    </row>
    <row r="1232" spans="1:8" s="10" customFormat="1" outlineLevel="1" x14ac:dyDescent="0.2">
      <c r="D1232" s="49" t="str">
        <f>SOCMOB_DETAILED_COST_WKSHT!D77</f>
        <v>Supplies and Materials Category 9</v>
      </c>
      <c r="E1232" s="115">
        <f>IF(DD_TOP_ACTV_4_Detailed_Currency_Used=2,SOCMOB_DETAILED_COST_WKSHT!$F77*SOCMOB_DETAILED_COST_WKSHT!G77,SOCMOB_DETAILED_COST_WKSHT!$F77*(SOCMOB_DETAILED_COST_WKSHT!G77*TOP_ACTV_4_Exchange_Rate))</f>
        <v>0</v>
      </c>
      <c r="F1232" s="115">
        <f>IF(DD_TOP_ACTV_4_Detailed_Currency_Used=2,SOCMOB_DETAILED_COST_WKSHT!$F77*SOCMOB_DETAILED_COST_WKSHT!H77,SOCMOB_DETAILED_COST_WKSHT!$F77*(SOCMOB_DETAILED_COST_WKSHT!H77*TOP_ACTV_4_Exchange_Rate))</f>
        <v>0</v>
      </c>
      <c r="G1232" s="116">
        <f t="shared" si="116"/>
        <v>0</v>
      </c>
      <c r="H1232" s="116">
        <f t="shared" si="117"/>
        <v>0</v>
      </c>
    </row>
    <row r="1233" spans="1:8" s="10" customFormat="1" outlineLevel="1" x14ac:dyDescent="0.2">
      <c r="D1233" s="49" t="str">
        <f>SOCMOB_DETAILED_COST_WKSHT!D78</f>
        <v>Supplies and Materials Category 10</v>
      </c>
      <c r="E1233" s="115">
        <f>IF(DD_TOP_ACTV_4_Detailed_Currency_Used=2,SOCMOB_DETAILED_COST_WKSHT!$F78*SOCMOB_DETAILED_COST_WKSHT!G78,SOCMOB_DETAILED_COST_WKSHT!$F78*(SOCMOB_DETAILED_COST_WKSHT!G78*TOP_ACTV_4_Exchange_Rate))</f>
        <v>0</v>
      </c>
      <c r="F1233" s="115">
        <f>IF(DD_TOP_ACTV_4_Detailed_Currency_Used=2,SOCMOB_DETAILED_COST_WKSHT!$F78*SOCMOB_DETAILED_COST_WKSHT!H78,SOCMOB_DETAILED_COST_WKSHT!$F78*(SOCMOB_DETAILED_COST_WKSHT!H78*TOP_ACTV_4_Exchange_Rate))</f>
        <v>0</v>
      </c>
      <c r="G1233" s="116">
        <f t="shared" si="116"/>
        <v>0</v>
      </c>
      <c r="H1233" s="116">
        <f t="shared" si="117"/>
        <v>0</v>
      </c>
    </row>
    <row r="1234" spans="1:8" s="10" customFormat="1" outlineLevel="1" x14ac:dyDescent="0.2">
      <c r="D1234" s="48" t="str">
        <f>Lang_Supplies_And_Materials</f>
        <v>Supplies and Materials</v>
      </c>
      <c r="E1234" s="120">
        <f>SUM(E1224:E1233)</f>
        <v>0</v>
      </c>
      <c r="F1234" s="120">
        <f>SUM(F1224:F1233)</f>
        <v>0</v>
      </c>
      <c r="G1234" s="121">
        <f>SUM(G1224:G1233)</f>
        <v>0</v>
      </c>
      <c r="H1234" s="121">
        <f>SUM(H1224:H1233)</f>
        <v>0</v>
      </c>
    </row>
    <row r="1235" spans="1:8" s="10" customFormat="1" outlineLevel="1" x14ac:dyDescent="0.2"/>
    <row r="1236" spans="1:8" s="10" customFormat="1" outlineLevel="1" x14ac:dyDescent="0.2"/>
    <row r="1237" spans="1:8" s="10" customFormat="1" outlineLevel="1" x14ac:dyDescent="0.2">
      <c r="D1237" s="76" t="str">
        <f>Lang_GoTo&amp;" "&amp;HL_TOP_ACTV_4_Supplies_and_Materials</f>
        <v>Go to IEC Soc Mob  Activity # 1 (Not in Use) - Detailed Supply and Material Cost Assumptions</v>
      </c>
    </row>
    <row r="1238" spans="1:8" s="10" customFormat="1" outlineLevel="1" x14ac:dyDescent="0.2">
      <c r="D1238" s="76" t="str">
        <f>Lang_GoTo&amp;" "&amp;HL_TOP_ACTV_4_Cost_Summary_Output</f>
        <v>Go to IEC Soc Mob  Activity # 1 (Not in Use) Detailed Cost Summary</v>
      </c>
    </row>
    <row r="1239" spans="1:8" s="10" customFormat="1" x14ac:dyDescent="0.2"/>
    <row r="1240" spans="1:8" s="13" customFormat="1" x14ac:dyDescent="0.2">
      <c r="A1240" s="12" t="s">
        <v>127</v>
      </c>
      <c r="B1240" s="13" t="str">
        <f>HL_TOP_ACTV_4_Name&amp;" "&amp;Lang_Other_Direct_Costs_Outputs</f>
        <v>IEC Soc Mob  Activity # 1 (Not in Use) Other Direct Costs - Outputs</v>
      </c>
    </row>
    <row r="1241" spans="1:8" s="10" customFormat="1" outlineLevel="1" x14ac:dyDescent="0.2"/>
    <row r="1242" spans="1:8" s="10" customFormat="1" outlineLevel="1" x14ac:dyDescent="0.2">
      <c r="C1242" s="114" t="str">
        <f>HL_TOP_ACTV_4_Name</f>
        <v>IEC Soc Mob  Activity # 1 (Not in Use)</v>
      </c>
    </row>
    <row r="1243" spans="1:8" s="10" customFormat="1" outlineLevel="1" x14ac:dyDescent="0.2">
      <c r="E1243" s="86" t="str">
        <f>SOCMOB_Lu!$D$32&amp;" "&amp;Lang_Cost&amp;" ("&amp;SOCMOB_Lu!$D$13&amp;")"</f>
        <v>Financial Cost (LCU)</v>
      </c>
      <c r="F1243" s="86" t="str">
        <f>SOCMOB_Lu!$D$33&amp;" "&amp;Lang_Cost&amp;" ("&amp;SOCMOB_Lu!$D$13&amp;")"</f>
        <v>Economic Cost (LCU)</v>
      </c>
      <c r="G1243" s="86" t="str">
        <f>SOCMOB_Lu!$D$32&amp;" "&amp;Lang_Cost&amp;" ("&amp;SOCMOB_Lu!$D$12&amp;")"</f>
        <v>Financial Cost (USD)</v>
      </c>
      <c r="H1243" s="86" t="str">
        <f>SOCMOB_Lu!$D$33&amp;" "&amp;Lang_Cost&amp;" ("&amp;SOCMOB_Lu!$D$12&amp;")"</f>
        <v>Economic Cost (USD)</v>
      </c>
    </row>
    <row r="1244" spans="1:8" s="10" customFormat="1" outlineLevel="1" x14ac:dyDescent="0.2">
      <c r="D1244" s="49" t="str">
        <f>SOCMOB_DETAILED_COST_WKSHT!D87</f>
        <v>Other Direct Costs (ODC) Category 1</v>
      </c>
      <c r="E1244" s="115">
        <f>IF(DD_TOP_ACTV_4_Detailed_Currency_Used=2,SOCMOB_DETAILED_COST_WKSHT!$F87*SOCMOB_DETAILED_COST_WKSHT!G87,SOCMOB_DETAILED_COST_WKSHT!$F87*(SOCMOB_DETAILED_COST_WKSHT!G87*TOP_ACTV_4_Exchange_Rate))</f>
        <v>0</v>
      </c>
      <c r="F1244" s="115">
        <f>IF(DD_TOP_ACTV_4_Detailed_Currency_Used=2,SOCMOB_DETAILED_COST_WKSHT!$F87*SOCMOB_DETAILED_COST_WKSHT!H87,SOCMOB_DETAILED_COST_WKSHT!$F87*(SOCMOB_DETAILED_COST_WKSHT!H87*TOP_ACTV_4_Exchange_Rate))</f>
        <v>0</v>
      </c>
      <c r="G1244" s="116">
        <f t="shared" ref="G1244:G1253" si="118">E1244/TOP_ACTV_4_Exchange_Rate</f>
        <v>0</v>
      </c>
      <c r="H1244" s="116">
        <f t="shared" ref="H1244:H1253" si="119">F1244/TOP_ACTV_4_Exchange_Rate</f>
        <v>0</v>
      </c>
    </row>
    <row r="1245" spans="1:8" s="10" customFormat="1" outlineLevel="1" x14ac:dyDescent="0.2">
      <c r="D1245" s="49" t="str">
        <f>SOCMOB_DETAILED_COST_WKSHT!D88</f>
        <v>Other Direct Costs (ODC) Category 2</v>
      </c>
      <c r="E1245" s="115">
        <f>IF(DD_TOP_ACTV_4_Detailed_Currency_Used=2,SOCMOB_DETAILED_COST_WKSHT!$F88*SOCMOB_DETAILED_COST_WKSHT!G88,SOCMOB_DETAILED_COST_WKSHT!$F88*(SOCMOB_DETAILED_COST_WKSHT!G88*TOP_ACTV_4_Exchange_Rate))</f>
        <v>0</v>
      </c>
      <c r="F1245" s="115">
        <f>IF(DD_TOP_ACTV_4_Detailed_Currency_Used=2,SOCMOB_DETAILED_COST_WKSHT!$F88*SOCMOB_DETAILED_COST_WKSHT!H88,SOCMOB_DETAILED_COST_WKSHT!$F88*(SOCMOB_DETAILED_COST_WKSHT!H88*TOP_ACTV_4_Exchange_Rate))</f>
        <v>0</v>
      </c>
      <c r="G1245" s="116">
        <f t="shared" si="118"/>
        <v>0</v>
      </c>
      <c r="H1245" s="116">
        <f t="shared" si="119"/>
        <v>0</v>
      </c>
    </row>
    <row r="1246" spans="1:8" s="10" customFormat="1" outlineLevel="1" x14ac:dyDescent="0.2">
      <c r="D1246" s="49" t="str">
        <f>SOCMOB_DETAILED_COST_WKSHT!D89</f>
        <v>Other Direct Costs (ODC) Category 3</v>
      </c>
      <c r="E1246" s="115">
        <f>IF(DD_TOP_ACTV_4_Detailed_Currency_Used=2,SOCMOB_DETAILED_COST_WKSHT!$F89*SOCMOB_DETAILED_COST_WKSHT!G89,SOCMOB_DETAILED_COST_WKSHT!$F89*(SOCMOB_DETAILED_COST_WKSHT!G89*TOP_ACTV_4_Exchange_Rate))</f>
        <v>0</v>
      </c>
      <c r="F1246" s="115">
        <f>IF(DD_TOP_ACTV_4_Detailed_Currency_Used=2,SOCMOB_DETAILED_COST_WKSHT!$F89*SOCMOB_DETAILED_COST_WKSHT!H89,SOCMOB_DETAILED_COST_WKSHT!$F89*(SOCMOB_DETAILED_COST_WKSHT!H89*TOP_ACTV_4_Exchange_Rate))</f>
        <v>0</v>
      </c>
      <c r="G1246" s="116">
        <f t="shared" si="118"/>
        <v>0</v>
      </c>
      <c r="H1246" s="116">
        <f t="shared" si="119"/>
        <v>0</v>
      </c>
    </row>
    <row r="1247" spans="1:8" s="10" customFormat="1" outlineLevel="1" x14ac:dyDescent="0.2">
      <c r="D1247" s="49" t="str">
        <f>SOCMOB_DETAILED_COST_WKSHT!D90</f>
        <v>Other Direct Costs (ODC) Category 4</v>
      </c>
      <c r="E1247" s="115">
        <f>IF(DD_TOP_ACTV_4_Detailed_Currency_Used=2,SOCMOB_DETAILED_COST_WKSHT!$F90*SOCMOB_DETAILED_COST_WKSHT!G90,SOCMOB_DETAILED_COST_WKSHT!$F90*(SOCMOB_DETAILED_COST_WKSHT!G90*TOP_ACTV_4_Exchange_Rate))</f>
        <v>0</v>
      </c>
      <c r="F1247" s="115">
        <f>IF(DD_TOP_ACTV_4_Detailed_Currency_Used=2,SOCMOB_DETAILED_COST_WKSHT!$F90*SOCMOB_DETAILED_COST_WKSHT!H90,SOCMOB_DETAILED_COST_WKSHT!$F90*(SOCMOB_DETAILED_COST_WKSHT!H90*TOP_ACTV_4_Exchange_Rate))</f>
        <v>0</v>
      </c>
      <c r="G1247" s="116">
        <f t="shared" si="118"/>
        <v>0</v>
      </c>
      <c r="H1247" s="116">
        <f t="shared" si="119"/>
        <v>0</v>
      </c>
    </row>
    <row r="1248" spans="1:8" s="10" customFormat="1" outlineLevel="1" x14ac:dyDescent="0.2">
      <c r="D1248" s="49" t="str">
        <f>SOCMOB_DETAILED_COST_WKSHT!D91</f>
        <v>Other Direct Costs (ODC) Category 5</v>
      </c>
      <c r="E1248" s="115">
        <f>IF(DD_TOP_ACTV_4_Detailed_Currency_Used=2,SOCMOB_DETAILED_COST_WKSHT!$F91*SOCMOB_DETAILED_COST_WKSHT!G91,SOCMOB_DETAILED_COST_WKSHT!$F91*(SOCMOB_DETAILED_COST_WKSHT!G91*TOP_ACTV_4_Exchange_Rate))</f>
        <v>0</v>
      </c>
      <c r="F1248" s="115">
        <f>IF(DD_TOP_ACTV_4_Detailed_Currency_Used=2,SOCMOB_DETAILED_COST_WKSHT!$F91*SOCMOB_DETAILED_COST_WKSHT!H91,SOCMOB_DETAILED_COST_WKSHT!$F91*(SOCMOB_DETAILED_COST_WKSHT!H91*TOP_ACTV_4_Exchange_Rate))</f>
        <v>0</v>
      </c>
      <c r="G1248" s="116">
        <f t="shared" si="118"/>
        <v>0</v>
      </c>
      <c r="H1248" s="116">
        <f t="shared" si="119"/>
        <v>0</v>
      </c>
    </row>
    <row r="1249" spans="1:8" s="10" customFormat="1" outlineLevel="1" x14ac:dyDescent="0.2">
      <c r="D1249" s="49" t="str">
        <f>SOCMOB_DETAILED_COST_WKSHT!D92</f>
        <v>Other Direct Costs (ODC) Category 6</v>
      </c>
      <c r="E1249" s="115">
        <f>IF(DD_TOP_ACTV_4_Detailed_Currency_Used=2,SOCMOB_DETAILED_COST_WKSHT!$F92*SOCMOB_DETAILED_COST_WKSHT!G92,SOCMOB_DETAILED_COST_WKSHT!$F92*(SOCMOB_DETAILED_COST_WKSHT!G92*TOP_ACTV_4_Exchange_Rate))</f>
        <v>0</v>
      </c>
      <c r="F1249" s="115">
        <f>IF(DD_TOP_ACTV_4_Detailed_Currency_Used=2,SOCMOB_DETAILED_COST_WKSHT!$F92*SOCMOB_DETAILED_COST_WKSHT!H92,SOCMOB_DETAILED_COST_WKSHT!$F92*(SOCMOB_DETAILED_COST_WKSHT!H92*TOP_ACTV_4_Exchange_Rate))</f>
        <v>0</v>
      </c>
      <c r="G1249" s="116">
        <f t="shared" si="118"/>
        <v>0</v>
      </c>
      <c r="H1249" s="116">
        <f t="shared" si="119"/>
        <v>0</v>
      </c>
    </row>
    <row r="1250" spans="1:8" s="10" customFormat="1" outlineLevel="1" x14ac:dyDescent="0.2">
      <c r="D1250" s="49" t="str">
        <f>SOCMOB_DETAILED_COST_WKSHT!D93</f>
        <v>Other Direct Costs (ODC) Category 7</v>
      </c>
      <c r="E1250" s="115">
        <f>IF(DD_TOP_ACTV_4_Detailed_Currency_Used=2,SOCMOB_DETAILED_COST_WKSHT!$F93*SOCMOB_DETAILED_COST_WKSHT!G93,SOCMOB_DETAILED_COST_WKSHT!$F93*(SOCMOB_DETAILED_COST_WKSHT!G93*TOP_ACTV_4_Exchange_Rate))</f>
        <v>0</v>
      </c>
      <c r="F1250" s="115">
        <f>IF(DD_TOP_ACTV_4_Detailed_Currency_Used=2,SOCMOB_DETAILED_COST_WKSHT!$F93*SOCMOB_DETAILED_COST_WKSHT!H93,SOCMOB_DETAILED_COST_WKSHT!$F93*(SOCMOB_DETAILED_COST_WKSHT!H93*TOP_ACTV_4_Exchange_Rate))</f>
        <v>0</v>
      </c>
      <c r="G1250" s="116">
        <f t="shared" si="118"/>
        <v>0</v>
      </c>
      <c r="H1250" s="116">
        <f t="shared" si="119"/>
        <v>0</v>
      </c>
    </row>
    <row r="1251" spans="1:8" s="10" customFormat="1" outlineLevel="1" x14ac:dyDescent="0.2">
      <c r="D1251" s="49" t="str">
        <f>SOCMOB_DETAILED_COST_WKSHT!D94</f>
        <v>Other Direct Costs (ODC) Category 8</v>
      </c>
      <c r="E1251" s="115">
        <f>IF(DD_TOP_ACTV_4_Detailed_Currency_Used=2,SOCMOB_DETAILED_COST_WKSHT!$F94*SOCMOB_DETAILED_COST_WKSHT!G94,SOCMOB_DETAILED_COST_WKSHT!$F94*(SOCMOB_DETAILED_COST_WKSHT!G94*TOP_ACTV_4_Exchange_Rate))</f>
        <v>0</v>
      </c>
      <c r="F1251" s="115">
        <f>IF(DD_TOP_ACTV_4_Detailed_Currency_Used=2,SOCMOB_DETAILED_COST_WKSHT!$F94*SOCMOB_DETAILED_COST_WKSHT!H94,SOCMOB_DETAILED_COST_WKSHT!$F94*(SOCMOB_DETAILED_COST_WKSHT!H94*TOP_ACTV_4_Exchange_Rate))</f>
        <v>0</v>
      </c>
      <c r="G1251" s="116">
        <f t="shared" si="118"/>
        <v>0</v>
      </c>
      <c r="H1251" s="116">
        <f t="shared" si="119"/>
        <v>0</v>
      </c>
    </row>
    <row r="1252" spans="1:8" s="10" customFormat="1" outlineLevel="1" x14ac:dyDescent="0.2">
      <c r="D1252" s="49" t="str">
        <f>SOCMOB_DETAILED_COST_WKSHT!D95</f>
        <v>Other Direct Costs (ODC) Category 9</v>
      </c>
      <c r="E1252" s="115">
        <f>IF(DD_TOP_ACTV_4_Detailed_Currency_Used=2,SOCMOB_DETAILED_COST_WKSHT!$F95*SOCMOB_DETAILED_COST_WKSHT!G95,SOCMOB_DETAILED_COST_WKSHT!$F95*(SOCMOB_DETAILED_COST_WKSHT!G95*TOP_ACTV_4_Exchange_Rate))</f>
        <v>0</v>
      </c>
      <c r="F1252" s="115">
        <f>IF(DD_TOP_ACTV_4_Detailed_Currency_Used=2,SOCMOB_DETAILED_COST_WKSHT!$F95*SOCMOB_DETAILED_COST_WKSHT!H95,SOCMOB_DETAILED_COST_WKSHT!$F95*(SOCMOB_DETAILED_COST_WKSHT!H95*TOP_ACTV_4_Exchange_Rate))</f>
        <v>0</v>
      </c>
      <c r="G1252" s="116">
        <f t="shared" si="118"/>
        <v>0</v>
      </c>
      <c r="H1252" s="116">
        <f t="shared" si="119"/>
        <v>0</v>
      </c>
    </row>
    <row r="1253" spans="1:8" s="10" customFormat="1" outlineLevel="1" x14ac:dyDescent="0.2">
      <c r="D1253" s="49" t="str">
        <f>SOCMOB_DETAILED_COST_WKSHT!D96</f>
        <v>Other Direct Costs (ODC) Category 10</v>
      </c>
      <c r="E1253" s="115">
        <f>IF(DD_TOP_ACTV_4_Detailed_Currency_Used=2,SOCMOB_DETAILED_COST_WKSHT!$F96*SOCMOB_DETAILED_COST_WKSHT!G96,SOCMOB_DETAILED_COST_WKSHT!$F96*(SOCMOB_DETAILED_COST_WKSHT!G96*TOP_ACTV_4_Exchange_Rate))</f>
        <v>0</v>
      </c>
      <c r="F1253" s="115">
        <f>IF(DD_TOP_ACTV_4_Detailed_Currency_Used=2,SOCMOB_DETAILED_COST_WKSHT!$F96*SOCMOB_DETAILED_COST_WKSHT!H96,SOCMOB_DETAILED_COST_WKSHT!$F96*(SOCMOB_DETAILED_COST_WKSHT!H96*TOP_ACTV_4_Exchange_Rate))</f>
        <v>0</v>
      </c>
      <c r="G1253" s="116">
        <f t="shared" si="118"/>
        <v>0</v>
      </c>
      <c r="H1253" s="116">
        <f t="shared" si="119"/>
        <v>0</v>
      </c>
    </row>
    <row r="1254" spans="1:8" s="10" customFormat="1" outlineLevel="1" x14ac:dyDescent="0.2">
      <c r="D1254" s="48" t="str">
        <f>Lang_Other_Direct_Costs</f>
        <v>Other Direct Costs</v>
      </c>
      <c r="E1254" s="120">
        <f>SUM(E1244:E1253)</f>
        <v>0</v>
      </c>
      <c r="F1254" s="120">
        <f>SUM(F1244:F1253)</f>
        <v>0</v>
      </c>
      <c r="G1254" s="121">
        <f>SUM(G1244:G1253)</f>
        <v>0</v>
      </c>
      <c r="H1254" s="121">
        <f>SUM(H1244:H1253)</f>
        <v>0</v>
      </c>
    </row>
    <row r="1255" spans="1:8" s="10" customFormat="1" outlineLevel="1" x14ac:dyDescent="0.2"/>
    <row r="1256" spans="1:8" s="10" customFormat="1" outlineLevel="1" x14ac:dyDescent="0.2">
      <c r="D1256" s="76" t="str">
        <f>Lang_GoTo&amp;" "&amp;HL_TOP_ACTV_4_Other_Direct_Costs</f>
        <v>Go to IEC Soc Mob  Activity # 1 (Not in Use) - Detailed Other Direct Cost Assumptions</v>
      </c>
    </row>
    <row r="1257" spans="1:8" s="10" customFormat="1" outlineLevel="1" x14ac:dyDescent="0.2">
      <c r="D1257" s="76" t="str">
        <f>Lang_GoTo&amp;" "&amp;HL_TOP_ACTV_4_Cost_Summary_Output</f>
        <v>Go to IEC Soc Mob  Activity # 1 (Not in Use) Detailed Cost Summary</v>
      </c>
    </row>
    <row r="1258" spans="1:8" s="10" customFormat="1" x14ac:dyDescent="0.2"/>
    <row r="1259" spans="1:8" s="13" customFormat="1" x14ac:dyDescent="0.2">
      <c r="A1259" s="12" t="s">
        <v>127</v>
      </c>
      <c r="B1259" s="13" t="str">
        <f>HL_TOP_ACTV_15_Name&amp;" "&amp;Lang_Personnel_Outputs</f>
        <v>IEC Soc Mob  Activity # 2 (Not in Use) Personnel - Outputs</v>
      </c>
    </row>
    <row r="1260" spans="1:8" s="10" customFormat="1" outlineLevel="1" x14ac:dyDescent="0.2"/>
    <row r="1261" spans="1:8" s="10" customFormat="1" outlineLevel="1" x14ac:dyDescent="0.2">
      <c r="C1261" s="114" t="str">
        <f>HL_TOP_ACTV_15_Name</f>
        <v>IEC Soc Mob  Activity # 2 (Not in Use)</v>
      </c>
    </row>
    <row r="1262" spans="1:8" s="10" customFormat="1" outlineLevel="1" x14ac:dyDescent="0.2">
      <c r="E1262" s="86" t="str">
        <f>SOCMOB_Lu!$D$67&amp;" "&amp;Lang_Cost&amp;" ("&amp;SOCMOB_Lu!$D$48&amp;")"</f>
        <v>Financial Cost (LCU)</v>
      </c>
      <c r="F1262" s="86" t="str">
        <f>SOCMOB_Lu!$D$68&amp;" "&amp;Lang_Cost&amp;" ("&amp;SOCMOB_Lu!$D$48&amp;")"</f>
        <v>Economic Cost (LCU)</v>
      </c>
      <c r="G1262" s="86" t="str">
        <f>SOCMOB_Lu!$D$67&amp;" "&amp;Lang_Cost&amp;" ("&amp;SOCMOB_Lu!$D$47&amp;")"</f>
        <v>Financial Cost (USD)</v>
      </c>
      <c r="H1262" s="86" t="str">
        <f>SOCMOB_Lu!$D$68&amp;" "&amp;Lang_Cost&amp;" ("&amp;SOCMOB_Lu!$D$47&amp;")"</f>
        <v>Economic Cost (USD)</v>
      </c>
    </row>
    <row r="1263" spans="1:8" s="10" customFormat="1" outlineLevel="1" x14ac:dyDescent="0.2">
      <c r="D1263" s="49" t="str">
        <f>SOCMOB_DETAILED_COST_WKSHT!D125</f>
        <v>Personnel Category 1</v>
      </c>
      <c r="E1263" s="115">
        <f>IF(DD_TOP_ACTV_15_Detailed_Currency_Used=2,SOCMOB_DETAILED_COST_WKSHT!$F125*SOCMOB_DETAILED_COST_WKSHT!G125,SOCMOB_DETAILED_COST_WKSHT!$F125*(SOCMOB_DETAILED_COST_WKSHT!G125*TOP_ACTV_15_Exchange_Rate))</f>
        <v>0</v>
      </c>
      <c r="F1263" s="115">
        <f>IF(DD_TOP_ACTV_15_Detailed_Currency_Used=2,SOCMOB_DETAILED_COST_WKSHT!$F125*SOCMOB_DETAILED_COST_WKSHT!H125,SOCMOB_DETAILED_COST_WKSHT!$F125*(SOCMOB_DETAILED_COST_WKSHT!H125*TOP_ACTV_15_Exchange_Rate))</f>
        <v>0</v>
      </c>
      <c r="G1263" s="116">
        <f t="shared" ref="G1263:G1277" si="120">IFERROR(E1263/TOP_ACTV_15_Exchange_Rate,0)</f>
        <v>0</v>
      </c>
      <c r="H1263" s="116">
        <f t="shared" ref="H1263:H1277" si="121">IFERROR(F1263/TOP_ACTV_15_Exchange_Rate,0)</f>
        <v>0</v>
      </c>
    </row>
    <row r="1264" spans="1:8" s="10" customFormat="1" outlineLevel="1" x14ac:dyDescent="0.2">
      <c r="D1264" s="49" t="str">
        <f>SOCMOB_DETAILED_COST_WKSHT!D126</f>
        <v>Personnel Category 2</v>
      </c>
      <c r="E1264" s="115">
        <f>IF(DD_TOP_ACTV_15_Detailed_Currency_Used=2,SOCMOB_DETAILED_COST_WKSHT!$F126*SOCMOB_DETAILED_COST_WKSHT!G126,SOCMOB_DETAILED_COST_WKSHT!$F126*(SOCMOB_DETAILED_COST_WKSHT!G126*TOP_ACTV_15_Exchange_Rate))</f>
        <v>0</v>
      </c>
      <c r="F1264" s="115">
        <f>IF(DD_TOP_ACTV_15_Detailed_Currency_Used=2,SOCMOB_DETAILED_COST_WKSHT!$F126*SOCMOB_DETAILED_COST_WKSHT!H126,SOCMOB_DETAILED_COST_WKSHT!$F126*(SOCMOB_DETAILED_COST_WKSHT!H126*TOP_ACTV_15_Exchange_Rate))</f>
        <v>0</v>
      </c>
      <c r="G1264" s="116">
        <f t="shared" si="120"/>
        <v>0</v>
      </c>
      <c r="H1264" s="116">
        <f t="shared" si="121"/>
        <v>0</v>
      </c>
    </row>
    <row r="1265" spans="4:8" s="10" customFormat="1" outlineLevel="1" x14ac:dyDescent="0.2">
      <c r="D1265" s="49" t="str">
        <f>SOCMOB_DETAILED_COST_WKSHT!D127</f>
        <v>Personnel Category 3</v>
      </c>
      <c r="E1265" s="115">
        <f>IF(DD_TOP_ACTV_15_Detailed_Currency_Used=2,SOCMOB_DETAILED_COST_WKSHT!$F127*SOCMOB_DETAILED_COST_WKSHT!G127,SOCMOB_DETAILED_COST_WKSHT!$F127*(SOCMOB_DETAILED_COST_WKSHT!G127*TOP_ACTV_15_Exchange_Rate))</f>
        <v>0</v>
      </c>
      <c r="F1265" s="115">
        <f>IF(DD_TOP_ACTV_15_Detailed_Currency_Used=2,SOCMOB_DETAILED_COST_WKSHT!$F127*SOCMOB_DETAILED_COST_WKSHT!H127,SOCMOB_DETAILED_COST_WKSHT!$F127*(SOCMOB_DETAILED_COST_WKSHT!H127*TOP_ACTV_15_Exchange_Rate))</f>
        <v>0</v>
      </c>
      <c r="G1265" s="116">
        <f t="shared" si="120"/>
        <v>0</v>
      </c>
      <c r="H1265" s="116">
        <f t="shared" si="121"/>
        <v>0</v>
      </c>
    </row>
    <row r="1266" spans="4:8" s="10" customFormat="1" outlineLevel="1" x14ac:dyDescent="0.2">
      <c r="D1266" s="49" t="str">
        <f>SOCMOB_DETAILED_COST_WKSHT!D128</f>
        <v>Personnel Category 4</v>
      </c>
      <c r="E1266" s="115">
        <f>IF(DD_TOP_ACTV_15_Detailed_Currency_Used=2,SOCMOB_DETAILED_COST_WKSHT!$F128*SOCMOB_DETAILED_COST_WKSHT!G128,SOCMOB_DETAILED_COST_WKSHT!$F128*(SOCMOB_DETAILED_COST_WKSHT!G128*TOP_ACTV_15_Exchange_Rate))</f>
        <v>0</v>
      </c>
      <c r="F1266" s="115">
        <f>IF(DD_TOP_ACTV_15_Detailed_Currency_Used=2,SOCMOB_DETAILED_COST_WKSHT!$F128*SOCMOB_DETAILED_COST_WKSHT!H128,SOCMOB_DETAILED_COST_WKSHT!$F128*(SOCMOB_DETAILED_COST_WKSHT!H128*TOP_ACTV_15_Exchange_Rate))</f>
        <v>0</v>
      </c>
      <c r="G1266" s="116">
        <f t="shared" si="120"/>
        <v>0</v>
      </c>
      <c r="H1266" s="116">
        <f t="shared" si="121"/>
        <v>0</v>
      </c>
    </row>
    <row r="1267" spans="4:8" s="10" customFormat="1" outlineLevel="1" x14ac:dyDescent="0.2">
      <c r="D1267" s="49" t="str">
        <f>SOCMOB_DETAILED_COST_WKSHT!D129</f>
        <v>Personnel Category 5</v>
      </c>
      <c r="E1267" s="115">
        <f>IF(DD_TOP_ACTV_15_Detailed_Currency_Used=2,SOCMOB_DETAILED_COST_WKSHT!$F129*SOCMOB_DETAILED_COST_WKSHT!G129,SOCMOB_DETAILED_COST_WKSHT!$F129*(SOCMOB_DETAILED_COST_WKSHT!G129*TOP_ACTV_15_Exchange_Rate))</f>
        <v>0</v>
      </c>
      <c r="F1267" s="115">
        <f>IF(DD_TOP_ACTV_15_Detailed_Currency_Used=2,SOCMOB_DETAILED_COST_WKSHT!$F129*SOCMOB_DETAILED_COST_WKSHT!H129,SOCMOB_DETAILED_COST_WKSHT!$F129*(SOCMOB_DETAILED_COST_WKSHT!H129*TOP_ACTV_15_Exchange_Rate))</f>
        <v>0</v>
      </c>
      <c r="G1267" s="116">
        <f t="shared" si="120"/>
        <v>0</v>
      </c>
      <c r="H1267" s="116">
        <f t="shared" si="121"/>
        <v>0</v>
      </c>
    </row>
    <row r="1268" spans="4:8" s="10" customFormat="1" outlineLevel="1" x14ac:dyDescent="0.2">
      <c r="D1268" s="49" t="str">
        <f>SOCMOB_DETAILED_COST_WKSHT!D130</f>
        <v>Personnel Category 6</v>
      </c>
      <c r="E1268" s="115">
        <f>IF(DD_TOP_ACTV_15_Detailed_Currency_Used=2,SOCMOB_DETAILED_COST_WKSHT!$F130*SOCMOB_DETAILED_COST_WKSHT!G130,SOCMOB_DETAILED_COST_WKSHT!$F130*(SOCMOB_DETAILED_COST_WKSHT!G130*TOP_ACTV_15_Exchange_Rate))</f>
        <v>0</v>
      </c>
      <c r="F1268" s="115">
        <f>IF(DD_TOP_ACTV_15_Detailed_Currency_Used=2,SOCMOB_DETAILED_COST_WKSHT!$F130*SOCMOB_DETAILED_COST_WKSHT!H130,SOCMOB_DETAILED_COST_WKSHT!$F130*(SOCMOB_DETAILED_COST_WKSHT!H130*TOP_ACTV_15_Exchange_Rate))</f>
        <v>0</v>
      </c>
      <c r="G1268" s="116">
        <f t="shared" si="120"/>
        <v>0</v>
      </c>
      <c r="H1268" s="116">
        <f t="shared" si="121"/>
        <v>0</v>
      </c>
    </row>
    <row r="1269" spans="4:8" s="10" customFormat="1" outlineLevel="1" x14ac:dyDescent="0.2">
      <c r="D1269" s="49" t="str">
        <f>SOCMOB_DETAILED_COST_WKSHT!D131</f>
        <v>Personnel Category 7</v>
      </c>
      <c r="E1269" s="115">
        <f>IF(DD_TOP_ACTV_15_Detailed_Currency_Used=2,SOCMOB_DETAILED_COST_WKSHT!$F131*SOCMOB_DETAILED_COST_WKSHT!G131,SOCMOB_DETAILED_COST_WKSHT!$F131*(SOCMOB_DETAILED_COST_WKSHT!G131*TOP_ACTV_15_Exchange_Rate))</f>
        <v>0</v>
      </c>
      <c r="F1269" s="115">
        <f>IF(DD_TOP_ACTV_15_Detailed_Currency_Used=2,SOCMOB_DETAILED_COST_WKSHT!$F131*SOCMOB_DETAILED_COST_WKSHT!H131,SOCMOB_DETAILED_COST_WKSHT!$F131*(SOCMOB_DETAILED_COST_WKSHT!H131*TOP_ACTV_15_Exchange_Rate))</f>
        <v>0</v>
      </c>
      <c r="G1269" s="116">
        <f t="shared" si="120"/>
        <v>0</v>
      </c>
      <c r="H1269" s="116">
        <f t="shared" si="121"/>
        <v>0</v>
      </c>
    </row>
    <row r="1270" spans="4:8" s="10" customFormat="1" outlineLevel="1" x14ac:dyDescent="0.2">
      <c r="D1270" s="49" t="str">
        <f>SOCMOB_DETAILED_COST_WKSHT!D132</f>
        <v>Personnel Category 8</v>
      </c>
      <c r="E1270" s="115">
        <f>IF(DD_TOP_ACTV_15_Detailed_Currency_Used=2,SOCMOB_DETAILED_COST_WKSHT!$F132*SOCMOB_DETAILED_COST_WKSHT!G132,SOCMOB_DETAILED_COST_WKSHT!$F132*(SOCMOB_DETAILED_COST_WKSHT!G132*TOP_ACTV_15_Exchange_Rate))</f>
        <v>0</v>
      </c>
      <c r="F1270" s="115">
        <f>IF(DD_TOP_ACTV_15_Detailed_Currency_Used=2,SOCMOB_DETAILED_COST_WKSHT!$F132*SOCMOB_DETAILED_COST_WKSHT!H132,SOCMOB_DETAILED_COST_WKSHT!$F132*(SOCMOB_DETAILED_COST_WKSHT!H132*TOP_ACTV_15_Exchange_Rate))</f>
        <v>0</v>
      </c>
      <c r="G1270" s="116">
        <f t="shared" si="120"/>
        <v>0</v>
      </c>
      <c r="H1270" s="116">
        <f t="shared" si="121"/>
        <v>0</v>
      </c>
    </row>
    <row r="1271" spans="4:8" s="10" customFormat="1" outlineLevel="1" x14ac:dyDescent="0.2">
      <c r="D1271" s="49" t="str">
        <f>SOCMOB_DETAILED_COST_WKSHT!D133</f>
        <v>Personnel Category 9</v>
      </c>
      <c r="E1271" s="115">
        <f>IF(DD_TOP_ACTV_15_Detailed_Currency_Used=2,SOCMOB_DETAILED_COST_WKSHT!$F133*SOCMOB_DETAILED_COST_WKSHT!G133,SOCMOB_DETAILED_COST_WKSHT!$F133*(SOCMOB_DETAILED_COST_WKSHT!G133*TOP_ACTV_15_Exchange_Rate))</f>
        <v>0</v>
      </c>
      <c r="F1271" s="115">
        <f>IF(DD_TOP_ACTV_15_Detailed_Currency_Used=2,SOCMOB_DETAILED_COST_WKSHT!$F133*SOCMOB_DETAILED_COST_WKSHT!H133,SOCMOB_DETAILED_COST_WKSHT!$F133*(SOCMOB_DETAILED_COST_WKSHT!H133*TOP_ACTV_15_Exchange_Rate))</f>
        <v>0</v>
      </c>
      <c r="G1271" s="116">
        <f t="shared" si="120"/>
        <v>0</v>
      </c>
      <c r="H1271" s="116">
        <f t="shared" si="121"/>
        <v>0</v>
      </c>
    </row>
    <row r="1272" spans="4:8" s="10" customFormat="1" outlineLevel="1" x14ac:dyDescent="0.2">
      <c r="D1272" s="49" t="str">
        <f>SOCMOB_DETAILED_COST_WKSHT!D134</f>
        <v>Personnel Category 10</v>
      </c>
      <c r="E1272" s="115">
        <f>IF(DD_TOP_ACTV_15_Detailed_Currency_Used=2,SOCMOB_DETAILED_COST_WKSHT!$F134*SOCMOB_DETAILED_COST_WKSHT!G134,SOCMOB_DETAILED_COST_WKSHT!$F134*(SOCMOB_DETAILED_COST_WKSHT!G134*TOP_ACTV_15_Exchange_Rate))</f>
        <v>0</v>
      </c>
      <c r="F1272" s="115">
        <f>IF(DD_TOP_ACTV_15_Detailed_Currency_Used=2,SOCMOB_DETAILED_COST_WKSHT!$F134*SOCMOB_DETAILED_COST_WKSHT!H134,SOCMOB_DETAILED_COST_WKSHT!$F134*(SOCMOB_DETAILED_COST_WKSHT!H134*TOP_ACTV_15_Exchange_Rate))</f>
        <v>0</v>
      </c>
      <c r="G1272" s="116">
        <f t="shared" si="120"/>
        <v>0</v>
      </c>
      <c r="H1272" s="116">
        <f t="shared" si="121"/>
        <v>0</v>
      </c>
    </row>
    <row r="1273" spans="4:8" s="10" customFormat="1" outlineLevel="1" x14ac:dyDescent="0.2">
      <c r="D1273" s="49" t="str">
        <f>SOCMOB_DETAILED_COST_WKSHT!D135</f>
        <v>Personnel Category 11</v>
      </c>
      <c r="E1273" s="115">
        <f>IF(DD_TOP_ACTV_15_Detailed_Currency_Used=2,SOCMOB_DETAILED_COST_WKSHT!$F135*SOCMOB_DETAILED_COST_WKSHT!G135,SOCMOB_DETAILED_COST_WKSHT!$F135*(SOCMOB_DETAILED_COST_WKSHT!G135*TOP_ACTV_15_Exchange_Rate))</f>
        <v>0</v>
      </c>
      <c r="F1273" s="115">
        <f>IF(DD_TOP_ACTV_15_Detailed_Currency_Used=2,SOCMOB_DETAILED_COST_WKSHT!$F135*SOCMOB_DETAILED_COST_WKSHT!H135,SOCMOB_DETAILED_COST_WKSHT!$F135*(SOCMOB_DETAILED_COST_WKSHT!H135*TOP_ACTV_15_Exchange_Rate))</f>
        <v>0</v>
      </c>
      <c r="G1273" s="116">
        <f t="shared" si="120"/>
        <v>0</v>
      </c>
      <c r="H1273" s="116">
        <f t="shared" si="121"/>
        <v>0</v>
      </c>
    </row>
    <row r="1274" spans="4:8" s="10" customFormat="1" outlineLevel="1" x14ac:dyDescent="0.2">
      <c r="D1274" s="49" t="str">
        <f>SOCMOB_DETAILED_COST_WKSHT!D136</f>
        <v>Personnel Category 12</v>
      </c>
      <c r="E1274" s="115">
        <f>IF(DD_TOP_ACTV_15_Detailed_Currency_Used=2,SOCMOB_DETAILED_COST_WKSHT!$F136*SOCMOB_DETAILED_COST_WKSHT!G136,SOCMOB_DETAILED_COST_WKSHT!$F136*(SOCMOB_DETAILED_COST_WKSHT!G136*TOP_ACTV_15_Exchange_Rate))</f>
        <v>0</v>
      </c>
      <c r="F1274" s="115">
        <f>IF(DD_TOP_ACTV_15_Detailed_Currency_Used=2,SOCMOB_DETAILED_COST_WKSHT!$F136*SOCMOB_DETAILED_COST_WKSHT!H136,SOCMOB_DETAILED_COST_WKSHT!$F136*(SOCMOB_DETAILED_COST_WKSHT!H136*TOP_ACTV_15_Exchange_Rate))</f>
        <v>0</v>
      </c>
      <c r="G1274" s="116">
        <f t="shared" si="120"/>
        <v>0</v>
      </c>
      <c r="H1274" s="116">
        <f t="shared" si="121"/>
        <v>0</v>
      </c>
    </row>
    <row r="1275" spans="4:8" s="10" customFormat="1" outlineLevel="1" x14ac:dyDescent="0.2">
      <c r="D1275" s="49" t="str">
        <f>SOCMOB_DETAILED_COST_WKSHT!D137</f>
        <v>Personnel Category 13</v>
      </c>
      <c r="E1275" s="115">
        <f>IF(DD_TOP_ACTV_15_Detailed_Currency_Used=2,SOCMOB_DETAILED_COST_WKSHT!$F137*SOCMOB_DETAILED_COST_WKSHT!G137,SOCMOB_DETAILED_COST_WKSHT!$F137*(SOCMOB_DETAILED_COST_WKSHT!G137*TOP_ACTV_15_Exchange_Rate))</f>
        <v>0</v>
      </c>
      <c r="F1275" s="115">
        <f>IF(DD_TOP_ACTV_15_Detailed_Currency_Used=2,SOCMOB_DETAILED_COST_WKSHT!$F137*SOCMOB_DETAILED_COST_WKSHT!H137,SOCMOB_DETAILED_COST_WKSHT!$F137*(SOCMOB_DETAILED_COST_WKSHT!H137*TOP_ACTV_15_Exchange_Rate))</f>
        <v>0</v>
      </c>
      <c r="G1275" s="116">
        <f t="shared" si="120"/>
        <v>0</v>
      </c>
      <c r="H1275" s="116">
        <f t="shared" si="121"/>
        <v>0</v>
      </c>
    </row>
    <row r="1276" spans="4:8" s="10" customFormat="1" outlineLevel="1" x14ac:dyDescent="0.2">
      <c r="D1276" s="49" t="str">
        <f>SOCMOB_DETAILED_COST_WKSHT!D138</f>
        <v>Personnel Category 14</v>
      </c>
      <c r="E1276" s="115">
        <f>IF(DD_TOP_ACTV_15_Detailed_Currency_Used=2,SOCMOB_DETAILED_COST_WKSHT!$F138*SOCMOB_DETAILED_COST_WKSHT!G138,SOCMOB_DETAILED_COST_WKSHT!$F138*(SOCMOB_DETAILED_COST_WKSHT!G138*TOP_ACTV_15_Exchange_Rate))</f>
        <v>0</v>
      </c>
      <c r="F1276" s="115">
        <f>IF(DD_TOP_ACTV_15_Detailed_Currency_Used=2,SOCMOB_DETAILED_COST_WKSHT!$F138*SOCMOB_DETAILED_COST_WKSHT!H138,SOCMOB_DETAILED_COST_WKSHT!$F138*(SOCMOB_DETAILED_COST_WKSHT!H138*TOP_ACTV_15_Exchange_Rate))</f>
        <v>0</v>
      </c>
      <c r="G1276" s="116">
        <f t="shared" si="120"/>
        <v>0</v>
      </c>
      <c r="H1276" s="116">
        <f t="shared" si="121"/>
        <v>0</v>
      </c>
    </row>
    <row r="1277" spans="4:8" s="10" customFormat="1" outlineLevel="1" x14ac:dyDescent="0.2">
      <c r="D1277" s="49" t="str">
        <f>SOCMOB_DETAILED_COST_WKSHT!D139</f>
        <v>Personnel Category 15</v>
      </c>
      <c r="E1277" s="115">
        <f>IF(DD_TOP_ACTV_15_Detailed_Currency_Used=2,SOCMOB_DETAILED_COST_WKSHT!$F139*SOCMOB_DETAILED_COST_WKSHT!G139,SOCMOB_DETAILED_COST_WKSHT!$F139*(SOCMOB_DETAILED_COST_WKSHT!G139*TOP_ACTV_15_Exchange_Rate))</f>
        <v>0</v>
      </c>
      <c r="F1277" s="115">
        <f>IF(DD_TOP_ACTV_15_Detailed_Currency_Used=2,SOCMOB_DETAILED_COST_WKSHT!$F139*SOCMOB_DETAILED_COST_WKSHT!H139,SOCMOB_DETAILED_COST_WKSHT!$F139*(SOCMOB_DETAILED_COST_WKSHT!H139*TOP_ACTV_15_Exchange_Rate))</f>
        <v>0</v>
      </c>
      <c r="G1277" s="116">
        <f t="shared" si="120"/>
        <v>0</v>
      </c>
      <c r="H1277" s="116">
        <f t="shared" si="121"/>
        <v>0</v>
      </c>
    </row>
    <row r="1278" spans="4:8" s="10" customFormat="1" outlineLevel="1" x14ac:dyDescent="0.2">
      <c r="D1278" s="48" t="str">
        <f>Lang_Personnel</f>
        <v>Personnel</v>
      </c>
      <c r="E1278" s="120">
        <f>SUM(E1263:E1277)</f>
        <v>0</v>
      </c>
      <c r="F1278" s="120">
        <f>SUM(F1263:F1277)</f>
        <v>0</v>
      </c>
      <c r="G1278" s="121">
        <f>SUM(G1263:G1277)</f>
        <v>0</v>
      </c>
      <c r="H1278" s="121">
        <f>SUM(H1263:H1277)</f>
        <v>0</v>
      </c>
    </row>
    <row r="1279" spans="4:8" s="10" customFormat="1" outlineLevel="1" x14ac:dyDescent="0.2"/>
    <row r="1280" spans="4:8" s="10" customFormat="1" outlineLevel="1" x14ac:dyDescent="0.2"/>
    <row r="1281" spans="1:8" s="10" customFormat="1" outlineLevel="1" x14ac:dyDescent="0.2">
      <c r="D1281" s="76" t="str">
        <f>Lang_GoTo&amp;" "&amp;HL_TOP_ACTV_15_Personnel_Assumptions</f>
        <v>Go to IEC Soc Mob  Activity # 2 (Not in Use) - Detailed Personnel Cost Assumptions</v>
      </c>
    </row>
    <row r="1282" spans="1:8" s="10" customFormat="1" outlineLevel="1" x14ac:dyDescent="0.2">
      <c r="D1282" s="76" t="str">
        <f>Lang_GoTo&amp;" "&amp;HL_TOP_ACTV_15_Cost_Summary_Output</f>
        <v>Go to IEC Soc Mob  Activity # 2 (Not in Use) Detailed Cost Summary</v>
      </c>
    </row>
    <row r="1283" spans="1:8" s="10" customFormat="1" x14ac:dyDescent="0.2"/>
    <row r="1284" spans="1:8" s="13" customFormat="1" x14ac:dyDescent="0.2">
      <c r="A1284" s="12" t="s">
        <v>127</v>
      </c>
      <c r="B1284" s="13" t="str">
        <f>HL_TOP_ACTV_15_Name&amp;" "&amp;Lang_Allowances_Outputs</f>
        <v>IEC Soc Mob  Activity # 2 (Not in Use) Allowances - Outputs</v>
      </c>
    </row>
    <row r="1285" spans="1:8" s="10" customFormat="1" outlineLevel="1" x14ac:dyDescent="0.2"/>
    <row r="1286" spans="1:8" s="10" customFormat="1" outlineLevel="1" x14ac:dyDescent="0.2">
      <c r="C1286" s="114" t="str">
        <f>HL_TOP_ACTV_15_Name</f>
        <v>IEC Soc Mob  Activity # 2 (Not in Use)</v>
      </c>
    </row>
    <row r="1287" spans="1:8" s="10" customFormat="1" outlineLevel="1" x14ac:dyDescent="0.2">
      <c r="E1287" s="86" t="str">
        <f>SOCMOB_Lu!$D$67&amp;" "&amp;Lang_Cost&amp;" ("&amp;SOCMOB_Lu!$D$48&amp;")"</f>
        <v>Financial Cost (LCU)</v>
      </c>
      <c r="F1287" s="86" t="str">
        <f>SOCMOB_Lu!$D$68&amp;" "&amp;Lang_Cost&amp;" ("&amp;SOCMOB_Lu!$D$48&amp;")"</f>
        <v>Economic Cost (LCU)</v>
      </c>
      <c r="G1287" s="86" t="str">
        <f>SOCMOB_Lu!$D$67&amp;" "&amp;Lang_Cost&amp;" ("&amp;SOCMOB_Lu!$D$47&amp;")"</f>
        <v>Financial Cost (USD)</v>
      </c>
      <c r="H1287" s="86" t="str">
        <f>SOCMOB_Lu!$D$68&amp;" "&amp;Lang_Cost&amp;" ("&amp;SOCMOB_Lu!$D$47&amp;")"</f>
        <v>Economic Cost (USD)</v>
      </c>
    </row>
    <row r="1288" spans="1:8" s="10" customFormat="1" outlineLevel="1" x14ac:dyDescent="0.2">
      <c r="D1288" s="49" t="str">
        <f>SOCMOB_DETAILED_COST_WKSHT!D148</f>
        <v>Allowances Category 1</v>
      </c>
      <c r="E1288" s="115">
        <f>IF(DD_TOP_ACTV_15_Detailed_Currency_Used=2,SOCMOB_DETAILED_COST_WKSHT!$F148*SOCMOB_DETAILED_COST_WKSHT!G148,SOCMOB_DETAILED_COST_WKSHT!$F148*(SOCMOB_DETAILED_COST_WKSHT!G148*TOP_ACTV_15_Exchange_Rate))</f>
        <v>0</v>
      </c>
      <c r="F1288" s="115">
        <f>IF(DD_TOP_ACTV_15_Detailed_Currency_Used=2,SOCMOB_DETAILED_COST_WKSHT!$F148*SOCMOB_DETAILED_COST_WKSHT!H148,SOCMOB_DETAILED_COST_WKSHT!$F148*(SOCMOB_DETAILED_COST_WKSHT!H148*TOP_ACTV_15_Exchange_Rate))</f>
        <v>0</v>
      </c>
      <c r="G1288" s="116">
        <f t="shared" ref="G1288:G1297" si="122">E1288/TOP_ACTV_15_Exchange_Rate</f>
        <v>0</v>
      </c>
      <c r="H1288" s="116">
        <f t="shared" ref="H1288:H1297" si="123">F1288/TOP_ACTV_15_Exchange_Rate</f>
        <v>0</v>
      </c>
    </row>
    <row r="1289" spans="1:8" s="10" customFormat="1" outlineLevel="1" x14ac:dyDescent="0.2">
      <c r="D1289" s="49" t="str">
        <f>SOCMOB_DETAILED_COST_WKSHT!D149</f>
        <v>Allowances Category 2</v>
      </c>
      <c r="E1289" s="115">
        <f>IF(DD_TOP_ACTV_15_Detailed_Currency_Used=2,SOCMOB_DETAILED_COST_WKSHT!$F149*SOCMOB_DETAILED_COST_WKSHT!G149,SOCMOB_DETAILED_COST_WKSHT!$F149*(SOCMOB_DETAILED_COST_WKSHT!G149*TOP_ACTV_15_Exchange_Rate))</f>
        <v>0</v>
      </c>
      <c r="F1289" s="115">
        <f>IF(DD_TOP_ACTV_15_Detailed_Currency_Used=2,SOCMOB_DETAILED_COST_WKSHT!$F149*SOCMOB_DETAILED_COST_WKSHT!H149,SOCMOB_DETAILED_COST_WKSHT!$F149*(SOCMOB_DETAILED_COST_WKSHT!H149*TOP_ACTV_15_Exchange_Rate))</f>
        <v>0</v>
      </c>
      <c r="G1289" s="116">
        <f t="shared" si="122"/>
        <v>0</v>
      </c>
      <c r="H1289" s="116">
        <f t="shared" si="123"/>
        <v>0</v>
      </c>
    </row>
    <row r="1290" spans="1:8" s="10" customFormat="1" outlineLevel="1" x14ac:dyDescent="0.2">
      <c r="D1290" s="49" t="str">
        <f>SOCMOB_DETAILED_COST_WKSHT!D150</f>
        <v>Allowances Category 3</v>
      </c>
      <c r="E1290" s="115">
        <f>IF(DD_TOP_ACTV_15_Detailed_Currency_Used=2,SOCMOB_DETAILED_COST_WKSHT!$F150*SOCMOB_DETAILED_COST_WKSHT!G150,SOCMOB_DETAILED_COST_WKSHT!$F150*(SOCMOB_DETAILED_COST_WKSHT!G150*TOP_ACTV_15_Exchange_Rate))</f>
        <v>0</v>
      </c>
      <c r="F1290" s="115">
        <f>IF(DD_TOP_ACTV_15_Detailed_Currency_Used=2,SOCMOB_DETAILED_COST_WKSHT!$F150*SOCMOB_DETAILED_COST_WKSHT!H150,SOCMOB_DETAILED_COST_WKSHT!$F150*(SOCMOB_DETAILED_COST_WKSHT!H150*TOP_ACTV_15_Exchange_Rate))</f>
        <v>0</v>
      </c>
      <c r="G1290" s="116">
        <f t="shared" si="122"/>
        <v>0</v>
      </c>
      <c r="H1290" s="116">
        <f t="shared" si="123"/>
        <v>0</v>
      </c>
    </row>
    <row r="1291" spans="1:8" s="10" customFormat="1" outlineLevel="1" x14ac:dyDescent="0.2">
      <c r="D1291" s="49" t="str">
        <f>SOCMOB_DETAILED_COST_WKSHT!D151</f>
        <v>Allowances Category 4</v>
      </c>
      <c r="E1291" s="115">
        <f>IF(DD_TOP_ACTV_15_Detailed_Currency_Used=2,SOCMOB_DETAILED_COST_WKSHT!$F151*SOCMOB_DETAILED_COST_WKSHT!G151,SOCMOB_DETAILED_COST_WKSHT!$F151*(SOCMOB_DETAILED_COST_WKSHT!G151*TOP_ACTV_15_Exchange_Rate))</f>
        <v>0</v>
      </c>
      <c r="F1291" s="115">
        <f>IF(DD_TOP_ACTV_15_Detailed_Currency_Used=2,SOCMOB_DETAILED_COST_WKSHT!$F151*SOCMOB_DETAILED_COST_WKSHT!H151,SOCMOB_DETAILED_COST_WKSHT!$F151*(SOCMOB_DETAILED_COST_WKSHT!H151*TOP_ACTV_15_Exchange_Rate))</f>
        <v>0</v>
      </c>
      <c r="G1291" s="116">
        <f t="shared" si="122"/>
        <v>0</v>
      </c>
      <c r="H1291" s="116">
        <f t="shared" si="123"/>
        <v>0</v>
      </c>
    </row>
    <row r="1292" spans="1:8" s="10" customFormat="1" outlineLevel="1" x14ac:dyDescent="0.2">
      <c r="D1292" s="49" t="str">
        <f>SOCMOB_DETAILED_COST_WKSHT!D152</f>
        <v>Allowances Category 5</v>
      </c>
      <c r="E1292" s="115">
        <f>IF(DD_TOP_ACTV_15_Detailed_Currency_Used=2,SOCMOB_DETAILED_COST_WKSHT!$F152*SOCMOB_DETAILED_COST_WKSHT!G152,SOCMOB_DETAILED_COST_WKSHT!$F152*(SOCMOB_DETAILED_COST_WKSHT!G152*TOP_ACTV_15_Exchange_Rate))</f>
        <v>0</v>
      </c>
      <c r="F1292" s="115">
        <f>IF(DD_TOP_ACTV_15_Detailed_Currency_Used=2,SOCMOB_DETAILED_COST_WKSHT!$F152*SOCMOB_DETAILED_COST_WKSHT!H152,SOCMOB_DETAILED_COST_WKSHT!$F152*(SOCMOB_DETAILED_COST_WKSHT!H152*TOP_ACTV_15_Exchange_Rate))</f>
        <v>0</v>
      </c>
      <c r="G1292" s="116">
        <f t="shared" si="122"/>
        <v>0</v>
      </c>
      <c r="H1292" s="116">
        <f t="shared" si="123"/>
        <v>0</v>
      </c>
    </row>
    <row r="1293" spans="1:8" s="10" customFormat="1" outlineLevel="1" x14ac:dyDescent="0.2">
      <c r="D1293" s="49" t="str">
        <f>SOCMOB_DETAILED_COST_WKSHT!D153</f>
        <v>Allowances Category 6</v>
      </c>
      <c r="E1293" s="115">
        <f>IF(DD_TOP_ACTV_15_Detailed_Currency_Used=2,SOCMOB_DETAILED_COST_WKSHT!$F153*SOCMOB_DETAILED_COST_WKSHT!G153,SOCMOB_DETAILED_COST_WKSHT!$F153*(SOCMOB_DETAILED_COST_WKSHT!G153*TOP_ACTV_15_Exchange_Rate))</f>
        <v>0</v>
      </c>
      <c r="F1293" s="115">
        <f>IF(DD_TOP_ACTV_15_Detailed_Currency_Used=2,SOCMOB_DETAILED_COST_WKSHT!$F153*SOCMOB_DETAILED_COST_WKSHT!H153,SOCMOB_DETAILED_COST_WKSHT!$F153*(SOCMOB_DETAILED_COST_WKSHT!H153*TOP_ACTV_15_Exchange_Rate))</f>
        <v>0</v>
      </c>
      <c r="G1293" s="116">
        <f t="shared" si="122"/>
        <v>0</v>
      </c>
      <c r="H1293" s="116">
        <f t="shared" si="123"/>
        <v>0</v>
      </c>
    </row>
    <row r="1294" spans="1:8" s="10" customFormat="1" outlineLevel="1" x14ac:dyDescent="0.2">
      <c r="D1294" s="49" t="str">
        <f>SOCMOB_DETAILED_COST_WKSHT!D154</f>
        <v>Allowances Category 7</v>
      </c>
      <c r="E1294" s="115">
        <f>IF(DD_TOP_ACTV_15_Detailed_Currency_Used=2,SOCMOB_DETAILED_COST_WKSHT!$F154*SOCMOB_DETAILED_COST_WKSHT!G154,SOCMOB_DETAILED_COST_WKSHT!$F154*(SOCMOB_DETAILED_COST_WKSHT!G154*TOP_ACTV_15_Exchange_Rate))</f>
        <v>0</v>
      </c>
      <c r="F1294" s="115">
        <f>IF(DD_TOP_ACTV_15_Detailed_Currency_Used=2,SOCMOB_DETAILED_COST_WKSHT!$F154*SOCMOB_DETAILED_COST_WKSHT!H154,SOCMOB_DETAILED_COST_WKSHT!$F154*(SOCMOB_DETAILED_COST_WKSHT!H154*TOP_ACTV_15_Exchange_Rate))</f>
        <v>0</v>
      </c>
      <c r="G1294" s="116">
        <f t="shared" si="122"/>
        <v>0</v>
      </c>
      <c r="H1294" s="116">
        <f t="shared" si="123"/>
        <v>0</v>
      </c>
    </row>
    <row r="1295" spans="1:8" s="10" customFormat="1" outlineLevel="1" x14ac:dyDescent="0.2">
      <c r="D1295" s="49" t="str">
        <f>SOCMOB_DETAILED_COST_WKSHT!D155</f>
        <v>Allowances Category 8</v>
      </c>
      <c r="E1295" s="115">
        <f>IF(DD_TOP_ACTV_15_Detailed_Currency_Used=2,SOCMOB_DETAILED_COST_WKSHT!$F155*SOCMOB_DETAILED_COST_WKSHT!G155,SOCMOB_DETAILED_COST_WKSHT!$F155*(SOCMOB_DETAILED_COST_WKSHT!G155*TOP_ACTV_15_Exchange_Rate))</f>
        <v>0</v>
      </c>
      <c r="F1295" s="115">
        <f>IF(DD_TOP_ACTV_15_Detailed_Currency_Used=2,SOCMOB_DETAILED_COST_WKSHT!$F155*SOCMOB_DETAILED_COST_WKSHT!H155,SOCMOB_DETAILED_COST_WKSHT!$F155*(SOCMOB_DETAILED_COST_WKSHT!H155*TOP_ACTV_15_Exchange_Rate))</f>
        <v>0</v>
      </c>
      <c r="G1295" s="116">
        <f t="shared" si="122"/>
        <v>0</v>
      </c>
      <c r="H1295" s="116">
        <f t="shared" si="123"/>
        <v>0</v>
      </c>
    </row>
    <row r="1296" spans="1:8" s="10" customFormat="1" outlineLevel="1" x14ac:dyDescent="0.2">
      <c r="D1296" s="49" t="str">
        <f>SOCMOB_DETAILED_COST_WKSHT!D156</f>
        <v>Allowances Category 9</v>
      </c>
      <c r="E1296" s="115">
        <f>IF(DD_TOP_ACTV_15_Detailed_Currency_Used=2,SOCMOB_DETAILED_COST_WKSHT!$F156*SOCMOB_DETAILED_COST_WKSHT!G156,SOCMOB_DETAILED_COST_WKSHT!$F156*(SOCMOB_DETAILED_COST_WKSHT!G156*TOP_ACTV_15_Exchange_Rate))</f>
        <v>0</v>
      </c>
      <c r="F1296" s="115">
        <f>IF(DD_TOP_ACTV_15_Detailed_Currency_Used=2,SOCMOB_DETAILED_COST_WKSHT!$F156*SOCMOB_DETAILED_COST_WKSHT!H156,SOCMOB_DETAILED_COST_WKSHT!$F156*(SOCMOB_DETAILED_COST_WKSHT!H156*TOP_ACTV_15_Exchange_Rate))</f>
        <v>0</v>
      </c>
      <c r="G1296" s="116">
        <f t="shared" si="122"/>
        <v>0</v>
      </c>
      <c r="H1296" s="116">
        <f t="shared" si="123"/>
        <v>0</v>
      </c>
    </row>
    <row r="1297" spans="1:8" s="10" customFormat="1" outlineLevel="1" x14ac:dyDescent="0.2">
      <c r="D1297" s="49" t="str">
        <f>SOCMOB_DETAILED_COST_WKSHT!D157</f>
        <v>Allowances Category 10</v>
      </c>
      <c r="E1297" s="115">
        <f>IF(DD_TOP_ACTV_15_Detailed_Currency_Used=2,SOCMOB_DETAILED_COST_WKSHT!$F157*SOCMOB_DETAILED_COST_WKSHT!G157,SOCMOB_DETAILED_COST_WKSHT!$F157*(SOCMOB_DETAILED_COST_WKSHT!G157*TOP_ACTV_15_Exchange_Rate))</f>
        <v>0</v>
      </c>
      <c r="F1297" s="115">
        <f>IF(DD_TOP_ACTV_15_Detailed_Currency_Used=2,SOCMOB_DETAILED_COST_WKSHT!$F157*SOCMOB_DETAILED_COST_WKSHT!H157,SOCMOB_DETAILED_COST_WKSHT!$F157*(SOCMOB_DETAILED_COST_WKSHT!H157*TOP_ACTV_15_Exchange_Rate))</f>
        <v>0</v>
      </c>
      <c r="G1297" s="116">
        <f t="shared" si="122"/>
        <v>0</v>
      </c>
      <c r="H1297" s="116">
        <f t="shared" si="123"/>
        <v>0</v>
      </c>
    </row>
    <row r="1298" spans="1:8" s="10" customFormat="1" outlineLevel="1" x14ac:dyDescent="0.2">
      <c r="D1298" s="48" t="str">
        <f>Lang_Allowances</f>
        <v>Allowances</v>
      </c>
      <c r="E1298" s="120">
        <f>SUM(E1288:E1297)</f>
        <v>0</v>
      </c>
      <c r="F1298" s="120">
        <f>SUM(F1288:F1297)</f>
        <v>0</v>
      </c>
      <c r="G1298" s="121">
        <f>SUM(G1288:G1297)</f>
        <v>0</v>
      </c>
      <c r="H1298" s="121">
        <f>SUM(H1288:H1297)</f>
        <v>0</v>
      </c>
    </row>
    <row r="1299" spans="1:8" s="10" customFormat="1" outlineLevel="1" x14ac:dyDescent="0.2"/>
    <row r="1300" spans="1:8" s="10" customFormat="1" outlineLevel="1" x14ac:dyDescent="0.2"/>
    <row r="1301" spans="1:8" s="10" customFormat="1" outlineLevel="1" x14ac:dyDescent="0.2">
      <c r="D1301" s="76" t="str">
        <f>Lang_GoTo&amp;" "&amp;HL_TOP_ACTV_15_Ass_A</f>
        <v>Go to IEC Soc Mob  Activity # 2 (Not in Use) - Detailed Allowance Cost Assumptions</v>
      </c>
    </row>
    <row r="1302" spans="1:8" s="10" customFormat="1" outlineLevel="1" x14ac:dyDescent="0.2">
      <c r="D1302" s="76" t="str">
        <f>Lang_GoTo&amp;" "&amp;HL_TOP_ACTV_15_Cost_Summary_Output</f>
        <v>Go to IEC Soc Mob  Activity # 2 (Not in Use) Detailed Cost Summary</v>
      </c>
    </row>
    <row r="1303" spans="1:8" s="10" customFormat="1" x14ac:dyDescent="0.2"/>
    <row r="1304" spans="1:8" s="13" customFormat="1" x14ac:dyDescent="0.2">
      <c r="A1304" s="12" t="s">
        <v>127</v>
      </c>
      <c r="B1304" s="13" t="str">
        <f>HL_TOP_ACTV_15_Name&amp;" "&amp;Lang_Supplies_And_Materials_Outputs</f>
        <v>IEC Soc Mob  Activity # 2 (Not in Use) Supplies and Materials - Outputs</v>
      </c>
    </row>
    <row r="1305" spans="1:8" s="10" customFormat="1" outlineLevel="1" x14ac:dyDescent="0.2"/>
    <row r="1306" spans="1:8" s="10" customFormat="1" outlineLevel="1" x14ac:dyDescent="0.2">
      <c r="C1306" s="114" t="str">
        <f>HL_TOP_ACTV_15_Name</f>
        <v>IEC Soc Mob  Activity # 2 (Not in Use)</v>
      </c>
    </row>
    <row r="1307" spans="1:8" s="10" customFormat="1" outlineLevel="1" x14ac:dyDescent="0.2">
      <c r="E1307" s="86" t="str">
        <f>SOCMOB_Lu!$D$67&amp;" "&amp;Lang_Cost&amp;" ("&amp;SOCMOB_Lu!$D$48&amp;")"</f>
        <v>Financial Cost (LCU)</v>
      </c>
      <c r="F1307" s="86" t="str">
        <f>SOCMOB_Lu!$D$68&amp;" "&amp;Lang_Cost&amp;" ("&amp;SOCMOB_Lu!$D$48&amp;")"</f>
        <v>Economic Cost (LCU)</v>
      </c>
      <c r="G1307" s="86" t="str">
        <f>SOCMOB_Lu!$D$67&amp;" "&amp;Lang_Cost&amp;" ("&amp;SOCMOB_Lu!$D$47&amp;")"</f>
        <v>Financial Cost (USD)</v>
      </c>
      <c r="H1307" s="86" t="str">
        <f>SOCMOB_Lu!$D$68&amp;" "&amp;Lang_Cost&amp;" ("&amp;SOCMOB_Lu!$D$47&amp;")"</f>
        <v>Economic Cost (USD)</v>
      </c>
    </row>
    <row r="1308" spans="1:8" s="10" customFormat="1" outlineLevel="1" x14ac:dyDescent="0.2">
      <c r="D1308" s="49" t="str">
        <f>SOCMOB_DETAILED_COST_WKSHT!D166</f>
        <v>Supplies and Materials Category 1</v>
      </c>
      <c r="E1308" s="115">
        <f>IF(DD_TOP_ACTV_15_Detailed_Currency_Used=2,SOCMOB_DETAILED_COST_WKSHT!$F166*SOCMOB_DETAILED_COST_WKSHT!G166,SOCMOB_DETAILED_COST_WKSHT!$F166*(SOCMOB_DETAILED_COST_WKSHT!G166*TOP_ACTV_15_Exchange_Rate))</f>
        <v>0</v>
      </c>
      <c r="F1308" s="115">
        <f>IF(DD_TOP_ACTV_15_Detailed_Currency_Used=2,SOCMOB_DETAILED_COST_WKSHT!$F166*SOCMOB_DETAILED_COST_WKSHT!H166,SOCMOB_DETAILED_COST_WKSHT!$F166*(SOCMOB_DETAILED_COST_WKSHT!H166*TOP_ACTV_15_Exchange_Rate))</f>
        <v>0</v>
      </c>
      <c r="G1308" s="116">
        <f t="shared" ref="G1308:G1317" si="124">E1308/TOP_ACTV_15_Exchange_Rate</f>
        <v>0</v>
      </c>
      <c r="H1308" s="116">
        <f t="shared" ref="H1308:H1317" si="125">F1308/TOP_ACTV_15_Exchange_Rate</f>
        <v>0</v>
      </c>
    </row>
    <row r="1309" spans="1:8" s="10" customFormat="1" outlineLevel="1" x14ac:dyDescent="0.2">
      <c r="D1309" s="49" t="str">
        <f>SOCMOB_DETAILED_COST_WKSHT!D167</f>
        <v>Supplies and Materials Category 2</v>
      </c>
      <c r="E1309" s="115">
        <f>IF(DD_TOP_ACTV_15_Detailed_Currency_Used=2,SOCMOB_DETAILED_COST_WKSHT!$F167*SOCMOB_DETAILED_COST_WKSHT!G167,SOCMOB_DETAILED_COST_WKSHT!$F167*(SOCMOB_DETAILED_COST_WKSHT!G167*TOP_ACTV_15_Exchange_Rate))</f>
        <v>0</v>
      </c>
      <c r="F1309" s="115">
        <f>IF(DD_TOP_ACTV_15_Detailed_Currency_Used=2,SOCMOB_DETAILED_COST_WKSHT!$F167*SOCMOB_DETAILED_COST_WKSHT!H167,SOCMOB_DETAILED_COST_WKSHT!$F167*(SOCMOB_DETAILED_COST_WKSHT!H167*TOP_ACTV_15_Exchange_Rate))</f>
        <v>0</v>
      </c>
      <c r="G1309" s="116">
        <f t="shared" si="124"/>
        <v>0</v>
      </c>
      <c r="H1309" s="116">
        <f t="shared" si="125"/>
        <v>0</v>
      </c>
    </row>
    <row r="1310" spans="1:8" s="10" customFormat="1" outlineLevel="1" x14ac:dyDescent="0.2">
      <c r="D1310" s="49" t="str">
        <f>SOCMOB_DETAILED_COST_WKSHT!D168</f>
        <v>Supplies and Materials Category 3</v>
      </c>
      <c r="E1310" s="115">
        <f>IF(DD_TOP_ACTV_15_Detailed_Currency_Used=2,SOCMOB_DETAILED_COST_WKSHT!$F168*SOCMOB_DETAILED_COST_WKSHT!G168,SOCMOB_DETAILED_COST_WKSHT!$F168*(SOCMOB_DETAILED_COST_WKSHT!G168*TOP_ACTV_15_Exchange_Rate))</f>
        <v>0</v>
      </c>
      <c r="F1310" s="115">
        <f>IF(DD_TOP_ACTV_15_Detailed_Currency_Used=2,SOCMOB_DETAILED_COST_WKSHT!$F168*SOCMOB_DETAILED_COST_WKSHT!H168,SOCMOB_DETAILED_COST_WKSHT!$F168*(SOCMOB_DETAILED_COST_WKSHT!H168*TOP_ACTV_15_Exchange_Rate))</f>
        <v>0</v>
      </c>
      <c r="G1310" s="116">
        <f t="shared" si="124"/>
        <v>0</v>
      </c>
      <c r="H1310" s="116">
        <f t="shared" si="125"/>
        <v>0</v>
      </c>
    </row>
    <row r="1311" spans="1:8" s="10" customFormat="1" outlineLevel="1" x14ac:dyDescent="0.2">
      <c r="D1311" s="49" t="str">
        <f>SOCMOB_DETAILED_COST_WKSHT!D169</f>
        <v>Supplies and Materials Category 4</v>
      </c>
      <c r="E1311" s="115">
        <f>IF(DD_TOP_ACTV_15_Detailed_Currency_Used=2,SOCMOB_DETAILED_COST_WKSHT!$F169*SOCMOB_DETAILED_COST_WKSHT!G169,SOCMOB_DETAILED_COST_WKSHT!$F169*(SOCMOB_DETAILED_COST_WKSHT!G169*TOP_ACTV_15_Exchange_Rate))</f>
        <v>0</v>
      </c>
      <c r="F1311" s="115">
        <f>IF(DD_TOP_ACTV_15_Detailed_Currency_Used=2,SOCMOB_DETAILED_COST_WKSHT!$F169*SOCMOB_DETAILED_COST_WKSHT!H169,SOCMOB_DETAILED_COST_WKSHT!$F169*(SOCMOB_DETAILED_COST_WKSHT!H169*TOP_ACTV_15_Exchange_Rate))</f>
        <v>0</v>
      </c>
      <c r="G1311" s="116">
        <f t="shared" si="124"/>
        <v>0</v>
      </c>
      <c r="H1311" s="116">
        <f t="shared" si="125"/>
        <v>0</v>
      </c>
    </row>
    <row r="1312" spans="1:8" s="10" customFormat="1" outlineLevel="1" x14ac:dyDescent="0.2">
      <c r="D1312" s="49" t="str">
        <f>SOCMOB_DETAILED_COST_WKSHT!D170</f>
        <v>Supplies and Materials Category 5</v>
      </c>
      <c r="E1312" s="115">
        <f>IF(DD_TOP_ACTV_15_Detailed_Currency_Used=2,SOCMOB_DETAILED_COST_WKSHT!$F170*SOCMOB_DETAILED_COST_WKSHT!G170,SOCMOB_DETAILED_COST_WKSHT!$F170*(SOCMOB_DETAILED_COST_WKSHT!G170*TOP_ACTV_15_Exchange_Rate))</f>
        <v>0</v>
      </c>
      <c r="F1312" s="115">
        <f>IF(DD_TOP_ACTV_15_Detailed_Currency_Used=2,SOCMOB_DETAILED_COST_WKSHT!$F170*SOCMOB_DETAILED_COST_WKSHT!H170,SOCMOB_DETAILED_COST_WKSHT!$F170*(SOCMOB_DETAILED_COST_WKSHT!H170*TOP_ACTV_15_Exchange_Rate))</f>
        <v>0</v>
      </c>
      <c r="G1312" s="116">
        <f t="shared" si="124"/>
        <v>0</v>
      </c>
      <c r="H1312" s="116">
        <f t="shared" si="125"/>
        <v>0</v>
      </c>
    </row>
    <row r="1313" spans="1:8" s="10" customFormat="1" outlineLevel="1" x14ac:dyDescent="0.2">
      <c r="D1313" s="49" t="str">
        <f>SOCMOB_DETAILED_COST_WKSHT!D171</f>
        <v>Supplies and Materials Category 6</v>
      </c>
      <c r="E1313" s="115">
        <f>IF(DD_TOP_ACTV_15_Detailed_Currency_Used=2,SOCMOB_DETAILED_COST_WKSHT!$F171*SOCMOB_DETAILED_COST_WKSHT!G171,SOCMOB_DETAILED_COST_WKSHT!$F171*(SOCMOB_DETAILED_COST_WKSHT!G171*TOP_ACTV_15_Exchange_Rate))</f>
        <v>0</v>
      </c>
      <c r="F1313" s="115">
        <f>IF(DD_TOP_ACTV_15_Detailed_Currency_Used=2,SOCMOB_DETAILED_COST_WKSHT!$F171*SOCMOB_DETAILED_COST_WKSHT!H171,SOCMOB_DETAILED_COST_WKSHT!$F171*(SOCMOB_DETAILED_COST_WKSHT!H171*TOP_ACTV_15_Exchange_Rate))</f>
        <v>0</v>
      </c>
      <c r="G1313" s="116">
        <f t="shared" si="124"/>
        <v>0</v>
      </c>
      <c r="H1313" s="116">
        <f t="shared" si="125"/>
        <v>0</v>
      </c>
    </row>
    <row r="1314" spans="1:8" s="10" customFormat="1" outlineLevel="1" x14ac:dyDescent="0.2">
      <c r="D1314" s="49" t="str">
        <f>SOCMOB_DETAILED_COST_WKSHT!D172</f>
        <v>Supplies and Materials Category 7</v>
      </c>
      <c r="E1314" s="115">
        <f>IF(DD_TOP_ACTV_15_Detailed_Currency_Used=2,SOCMOB_DETAILED_COST_WKSHT!$F172*SOCMOB_DETAILED_COST_WKSHT!G172,SOCMOB_DETAILED_COST_WKSHT!$F172*(SOCMOB_DETAILED_COST_WKSHT!G172*TOP_ACTV_15_Exchange_Rate))</f>
        <v>0</v>
      </c>
      <c r="F1314" s="115">
        <f>IF(DD_TOP_ACTV_15_Detailed_Currency_Used=2,SOCMOB_DETAILED_COST_WKSHT!$F172*SOCMOB_DETAILED_COST_WKSHT!H172,SOCMOB_DETAILED_COST_WKSHT!$F172*(SOCMOB_DETAILED_COST_WKSHT!H172*TOP_ACTV_15_Exchange_Rate))</f>
        <v>0</v>
      </c>
      <c r="G1314" s="116">
        <f t="shared" si="124"/>
        <v>0</v>
      </c>
      <c r="H1314" s="116">
        <f t="shared" si="125"/>
        <v>0</v>
      </c>
    </row>
    <row r="1315" spans="1:8" s="10" customFormat="1" outlineLevel="1" x14ac:dyDescent="0.2">
      <c r="D1315" s="49" t="str">
        <f>SOCMOB_DETAILED_COST_WKSHT!D173</f>
        <v>Supplies and Materials Category 8</v>
      </c>
      <c r="E1315" s="115">
        <f>IF(DD_TOP_ACTV_15_Detailed_Currency_Used=2,SOCMOB_DETAILED_COST_WKSHT!$F173*SOCMOB_DETAILED_COST_WKSHT!G173,SOCMOB_DETAILED_COST_WKSHT!$F173*(SOCMOB_DETAILED_COST_WKSHT!G173*TOP_ACTV_15_Exchange_Rate))</f>
        <v>0</v>
      </c>
      <c r="F1315" s="115">
        <f>IF(DD_TOP_ACTV_15_Detailed_Currency_Used=2,SOCMOB_DETAILED_COST_WKSHT!$F173*SOCMOB_DETAILED_COST_WKSHT!H173,SOCMOB_DETAILED_COST_WKSHT!$F173*(SOCMOB_DETAILED_COST_WKSHT!H173*TOP_ACTV_15_Exchange_Rate))</f>
        <v>0</v>
      </c>
      <c r="G1315" s="116">
        <f t="shared" si="124"/>
        <v>0</v>
      </c>
      <c r="H1315" s="116">
        <f t="shared" si="125"/>
        <v>0</v>
      </c>
    </row>
    <row r="1316" spans="1:8" s="10" customFormat="1" outlineLevel="1" x14ac:dyDescent="0.2">
      <c r="D1316" s="49" t="str">
        <f>SOCMOB_DETAILED_COST_WKSHT!D174</f>
        <v>Supplies and Materials Category 9</v>
      </c>
      <c r="E1316" s="115">
        <f>IF(DD_TOP_ACTV_15_Detailed_Currency_Used=2,SOCMOB_DETAILED_COST_WKSHT!$F174*SOCMOB_DETAILED_COST_WKSHT!G174,SOCMOB_DETAILED_COST_WKSHT!$F174*(SOCMOB_DETAILED_COST_WKSHT!G174*TOP_ACTV_15_Exchange_Rate))</f>
        <v>0</v>
      </c>
      <c r="F1316" s="115">
        <f>IF(DD_TOP_ACTV_15_Detailed_Currency_Used=2,SOCMOB_DETAILED_COST_WKSHT!$F174*SOCMOB_DETAILED_COST_WKSHT!H174,SOCMOB_DETAILED_COST_WKSHT!$F174*(SOCMOB_DETAILED_COST_WKSHT!H174*TOP_ACTV_15_Exchange_Rate))</f>
        <v>0</v>
      </c>
      <c r="G1316" s="116">
        <f t="shared" si="124"/>
        <v>0</v>
      </c>
      <c r="H1316" s="116">
        <f t="shared" si="125"/>
        <v>0</v>
      </c>
    </row>
    <row r="1317" spans="1:8" s="10" customFormat="1" outlineLevel="1" x14ac:dyDescent="0.2">
      <c r="D1317" s="49" t="str">
        <f>SOCMOB_DETAILED_COST_WKSHT!D175</f>
        <v>Supplies and Materials Category 10</v>
      </c>
      <c r="E1317" s="115">
        <f>IF(DD_TOP_ACTV_15_Detailed_Currency_Used=2,SOCMOB_DETAILED_COST_WKSHT!$F175*SOCMOB_DETAILED_COST_WKSHT!G175,SOCMOB_DETAILED_COST_WKSHT!$F175*(SOCMOB_DETAILED_COST_WKSHT!G175*TOP_ACTV_15_Exchange_Rate))</f>
        <v>0</v>
      </c>
      <c r="F1317" s="115">
        <f>IF(DD_TOP_ACTV_15_Detailed_Currency_Used=2,SOCMOB_DETAILED_COST_WKSHT!$F175*SOCMOB_DETAILED_COST_WKSHT!H175,SOCMOB_DETAILED_COST_WKSHT!$F175*(SOCMOB_DETAILED_COST_WKSHT!H175*TOP_ACTV_15_Exchange_Rate))</f>
        <v>0</v>
      </c>
      <c r="G1317" s="116">
        <f t="shared" si="124"/>
        <v>0</v>
      </c>
      <c r="H1317" s="116">
        <f t="shared" si="125"/>
        <v>0</v>
      </c>
    </row>
    <row r="1318" spans="1:8" s="10" customFormat="1" outlineLevel="1" x14ac:dyDescent="0.2">
      <c r="D1318" s="48" t="str">
        <f>Lang_Supplies_And_Materials</f>
        <v>Supplies and Materials</v>
      </c>
      <c r="E1318" s="120">
        <f>SUM(E1308:E1317)</f>
        <v>0</v>
      </c>
      <c r="F1318" s="120">
        <f>SUM(F1308:F1317)</f>
        <v>0</v>
      </c>
      <c r="G1318" s="121">
        <f>SUM(G1308:G1317)</f>
        <v>0</v>
      </c>
      <c r="H1318" s="121">
        <f>SUM(H1308:H1317)</f>
        <v>0</v>
      </c>
    </row>
    <row r="1319" spans="1:8" s="10" customFormat="1" outlineLevel="1" x14ac:dyDescent="0.2"/>
    <row r="1320" spans="1:8" s="10" customFormat="1" outlineLevel="1" x14ac:dyDescent="0.2"/>
    <row r="1321" spans="1:8" s="10" customFormat="1" outlineLevel="1" x14ac:dyDescent="0.2">
      <c r="D1321" s="76" t="str">
        <f>Lang_GoTo&amp;" "&amp;HL_TOP_ACTV_15_Supplies_and_Materials</f>
        <v>Go to IEC Soc Mob  Activity # 2 (Not in Use) - Detailed Supply and Material Cost Assumptions</v>
      </c>
    </row>
    <row r="1322" spans="1:8" s="10" customFormat="1" outlineLevel="1" x14ac:dyDescent="0.2">
      <c r="D1322" s="76" t="str">
        <f>Lang_GoTo&amp;" "&amp;HL_TOP_ACTV_15_Cost_Summary_Output</f>
        <v>Go to IEC Soc Mob  Activity # 2 (Not in Use) Detailed Cost Summary</v>
      </c>
    </row>
    <row r="1323" spans="1:8" s="10" customFormat="1" x14ac:dyDescent="0.2"/>
    <row r="1324" spans="1:8" s="13" customFormat="1" x14ac:dyDescent="0.2">
      <c r="A1324" s="12" t="s">
        <v>127</v>
      </c>
      <c r="B1324" s="13" t="str">
        <f>HL_TOP_ACTV_15_Name&amp;" "&amp;Lang_Other_Direct_Costs_Outputs</f>
        <v>IEC Soc Mob  Activity # 2 (Not in Use) Other Direct Costs - Outputs</v>
      </c>
    </row>
    <row r="1325" spans="1:8" s="10" customFormat="1" outlineLevel="1" x14ac:dyDescent="0.2"/>
    <row r="1326" spans="1:8" s="10" customFormat="1" outlineLevel="1" x14ac:dyDescent="0.2">
      <c r="C1326" s="114" t="str">
        <f>HL_TOP_ACTV_15_Name</f>
        <v>IEC Soc Mob  Activity # 2 (Not in Use)</v>
      </c>
    </row>
    <row r="1327" spans="1:8" s="10" customFormat="1" outlineLevel="1" x14ac:dyDescent="0.2">
      <c r="E1327" s="86" t="str">
        <f>SOCMOB_Lu!$D$67&amp;" "&amp;Lang_Cost&amp;" ("&amp;SOCMOB_Lu!$D$48&amp;")"</f>
        <v>Financial Cost (LCU)</v>
      </c>
      <c r="F1327" s="86" t="str">
        <f>SOCMOB_Lu!$D$68&amp;" "&amp;Lang_Cost&amp;" ("&amp;SOCMOB_Lu!$D$48&amp;")"</f>
        <v>Economic Cost (LCU)</v>
      </c>
      <c r="G1327" s="86" t="str">
        <f>SOCMOB_Lu!$D$67&amp;" "&amp;Lang_Cost&amp;" ("&amp;SOCMOB_Lu!$D$47&amp;")"</f>
        <v>Financial Cost (USD)</v>
      </c>
      <c r="H1327" s="86" t="str">
        <f>SOCMOB_Lu!$D$68&amp;" "&amp;Lang_Cost&amp;" ("&amp;SOCMOB_Lu!$D$47&amp;")"</f>
        <v>Economic Cost (USD)</v>
      </c>
    </row>
    <row r="1328" spans="1:8" s="10" customFormat="1" outlineLevel="1" x14ac:dyDescent="0.2">
      <c r="D1328" s="49" t="str">
        <f>SOCMOB_DETAILED_COST_WKSHT!D184</f>
        <v>Other Direct Costs (ODC) Category 1</v>
      </c>
      <c r="E1328" s="115">
        <f>IF(DD_TOP_ACTV_15_Detailed_Currency_Used=2,SOCMOB_DETAILED_COST_WKSHT!$F184*SOCMOB_DETAILED_COST_WKSHT!G184,SOCMOB_DETAILED_COST_WKSHT!$F184*(SOCMOB_DETAILED_COST_WKSHT!G184*TOP_ACTV_15_Exchange_Rate))</f>
        <v>0</v>
      </c>
      <c r="F1328" s="115">
        <f>IF(DD_TOP_ACTV_15_Detailed_Currency_Used=2,SOCMOB_DETAILED_COST_WKSHT!$F184*SOCMOB_DETAILED_COST_WKSHT!H184,SOCMOB_DETAILED_COST_WKSHT!$F184*(SOCMOB_DETAILED_COST_WKSHT!H184*TOP_ACTV_15_Exchange_Rate))</f>
        <v>0</v>
      </c>
      <c r="G1328" s="116">
        <f t="shared" ref="G1328:G1337" si="126">E1328/TOP_ACTV_15_Exchange_Rate</f>
        <v>0</v>
      </c>
      <c r="H1328" s="116">
        <f t="shared" ref="H1328:H1337" si="127">F1328/TOP_ACTV_15_Exchange_Rate</f>
        <v>0</v>
      </c>
    </row>
    <row r="1329" spans="1:8" s="10" customFormat="1" outlineLevel="1" x14ac:dyDescent="0.2">
      <c r="D1329" s="49" t="str">
        <f>SOCMOB_DETAILED_COST_WKSHT!D185</f>
        <v>Other Direct Costs (ODC) Category 2</v>
      </c>
      <c r="E1329" s="115">
        <f>IF(DD_TOP_ACTV_15_Detailed_Currency_Used=2,SOCMOB_DETAILED_COST_WKSHT!$F185*SOCMOB_DETAILED_COST_WKSHT!G185,SOCMOB_DETAILED_COST_WKSHT!$F185*(SOCMOB_DETAILED_COST_WKSHT!G185*TOP_ACTV_15_Exchange_Rate))</f>
        <v>0</v>
      </c>
      <c r="F1329" s="115">
        <f>IF(DD_TOP_ACTV_15_Detailed_Currency_Used=2,SOCMOB_DETAILED_COST_WKSHT!$F185*SOCMOB_DETAILED_COST_WKSHT!H185,SOCMOB_DETAILED_COST_WKSHT!$F185*(SOCMOB_DETAILED_COST_WKSHT!H185*TOP_ACTV_15_Exchange_Rate))</f>
        <v>0</v>
      </c>
      <c r="G1329" s="116">
        <f t="shared" si="126"/>
        <v>0</v>
      </c>
      <c r="H1329" s="116">
        <f t="shared" si="127"/>
        <v>0</v>
      </c>
    </row>
    <row r="1330" spans="1:8" s="10" customFormat="1" outlineLevel="1" x14ac:dyDescent="0.2">
      <c r="D1330" s="49" t="str">
        <f>SOCMOB_DETAILED_COST_WKSHT!D186</f>
        <v>Other Direct Costs (ODC) Category 3</v>
      </c>
      <c r="E1330" s="115">
        <f>IF(DD_TOP_ACTV_15_Detailed_Currency_Used=2,SOCMOB_DETAILED_COST_WKSHT!$F186*SOCMOB_DETAILED_COST_WKSHT!G186,SOCMOB_DETAILED_COST_WKSHT!$F186*(SOCMOB_DETAILED_COST_WKSHT!G186*TOP_ACTV_15_Exchange_Rate))</f>
        <v>0</v>
      </c>
      <c r="F1330" s="115">
        <f>IF(DD_TOP_ACTV_15_Detailed_Currency_Used=2,SOCMOB_DETAILED_COST_WKSHT!$F186*SOCMOB_DETAILED_COST_WKSHT!H186,SOCMOB_DETAILED_COST_WKSHT!$F186*(SOCMOB_DETAILED_COST_WKSHT!H186*TOP_ACTV_15_Exchange_Rate))</f>
        <v>0</v>
      </c>
      <c r="G1330" s="116">
        <f t="shared" si="126"/>
        <v>0</v>
      </c>
      <c r="H1330" s="116">
        <f t="shared" si="127"/>
        <v>0</v>
      </c>
    </row>
    <row r="1331" spans="1:8" s="10" customFormat="1" outlineLevel="1" x14ac:dyDescent="0.2">
      <c r="D1331" s="49" t="str">
        <f>SOCMOB_DETAILED_COST_WKSHT!D187</f>
        <v>Other Direct Costs (ODC) Category 4</v>
      </c>
      <c r="E1331" s="115">
        <f>IF(DD_TOP_ACTV_15_Detailed_Currency_Used=2,SOCMOB_DETAILED_COST_WKSHT!$F187*SOCMOB_DETAILED_COST_WKSHT!G187,SOCMOB_DETAILED_COST_WKSHT!$F187*(SOCMOB_DETAILED_COST_WKSHT!G187*TOP_ACTV_15_Exchange_Rate))</f>
        <v>0</v>
      </c>
      <c r="F1331" s="115">
        <f>IF(DD_TOP_ACTV_15_Detailed_Currency_Used=2,SOCMOB_DETAILED_COST_WKSHT!$F187*SOCMOB_DETAILED_COST_WKSHT!H187,SOCMOB_DETAILED_COST_WKSHT!$F187*(SOCMOB_DETAILED_COST_WKSHT!H187*TOP_ACTV_15_Exchange_Rate))</f>
        <v>0</v>
      </c>
      <c r="G1331" s="116">
        <f t="shared" si="126"/>
        <v>0</v>
      </c>
      <c r="H1331" s="116">
        <f t="shared" si="127"/>
        <v>0</v>
      </c>
    </row>
    <row r="1332" spans="1:8" s="10" customFormat="1" outlineLevel="1" x14ac:dyDescent="0.2">
      <c r="D1332" s="49" t="str">
        <f>SOCMOB_DETAILED_COST_WKSHT!D188</f>
        <v>Other Direct Costs (ODC) Category 5</v>
      </c>
      <c r="E1332" s="115">
        <f>IF(DD_TOP_ACTV_15_Detailed_Currency_Used=2,SOCMOB_DETAILED_COST_WKSHT!$F188*SOCMOB_DETAILED_COST_WKSHT!G188,SOCMOB_DETAILED_COST_WKSHT!$F188*(SOCMOB_DETAILED_COST_WKSHT!G188*TOP_ACTV_15_Exchange_Rate))</f>
        <v>0</v>
      </c>
      <c r="F1332" s="115">
        <f>IF(DD_TOP_ACTV_15_Detailed_Currency_Used=2,SOCMOB_DETAILED_COST_WKSHT!$F188*SOCMOB_DETAILED_COST_WKSHT!H188,SOCMOB_DETAILED_COST_WKSHT!$F188*(SOCMOB_DETAILED_COST_WKSHT!H188*TOP_ACTV_15_Exchange_Rate))</f>
        <v>0</v>
      </c>
      <c r="G1332" s="116">
        <f t="shared" si="126"/>
        <v>0</v>
      </c>
      <c r="H1332" s="116">
        <f t="shared" si="127"/>
        <v>0</v>
      </c>
    </row>
    <row r="1333" spans="1:8" s="10" customFormat="1" outlineLevel="1" x14ac:dyDescent="0.2">
      <c r="D1333" s="49" t="str">
        <f>SOCMOB_DETAILED_COST_WKSHT!D189</f>
        <v>Other Direct Costs (ODC) Category 6</v>
      </c>
      <c r="E1333" s="115">
        <f>IF(DD_TOP_ACTV_15_Detailed_Currency_Used=2,SOCMOB_DETAILED_COST_WKSHT!$F189*SOCMOB_DETAILED_COST_WKSHT!G189,SOCMOB_DETAILED_COST_WKSHT!$F189*(SOCMOB_DETAILED_COST_WKSHT!G189*TOP_ACTV_15_Exchange_Rate))</f>
        <v>0</v>
      </c>
      <c r="F1333" s="115">
        <f>IF(DD_TOP_ACTV_15_Detailed_Currency_Used=2,SOCMOB_DETAILED_COST_WKSHT!$F189*SOCMOB_DETAILED_COST_WKSHT!H189,SOCMOB_DETAILED_COST_WKSHT!$F189*(SOCMOB_DETAILED_COST_WKSHT!H189*TOP_ACTV_15_Exchange_Rate))</f>
        <v>0</v>
      </c>
      <c r="G1333" s="116">
        <f t="shared" si="126"/>
        <v>0</v>
      </c>
      <c r="H1333" s="116">
        <f t="shared" si="127"/>
        <v>0</v>
      </c>
    </row>
    <row r="1334" spans="1:8" s="10" customFormat="1" outlineLevel="1" x14ac:dyDescent="0.2">
      <c r="D1334" s="49" t="str">
        <f>SOCMOB_DETAILED_COST_WKSHT!D190</f>
        <v>Other Direct Costs (ODC) Category 7</v>
      </c>
      <c r="E1334" s="115">
        <f>IF(DD_TOP_ACTV_15_Detailed_Currency_Used=2,SOCMOB_DETAILED_COST_WKSHT!$F190*SOCMOB_DETAILED_COST_WKSHT!G190,SOCMOB_DETAILED_COST_WKSHT!$F190*(SOCMOB_DETAILED_COST_WKSHT!G190*TOP_ACTV_15_Exchange_Rate))</f>
        <v>0</v>
      </c>
      <c r="F1334" s="115">
        <f>IF(DD_TOP_ACTV_15_Detailed_Currency_Used=2,SOCMOB_DETAILED_COST_WKSHT!$F190*SOCMOB_DETAILED_COST_WKSHT!H190,SOCMOB_DETAILED_COST_WKSHT!$F190*(SOCMOB_DETAILED_COST_WKSHT!H190*TOP_ACTV_15_Exchange_Rate))</f>
        <v>0</v>
      </c>
      <c r="G1334" s="116">
        <f t="shared" si="126"/>
        <v>0</v>
      </c>
      <c r="H1334" s="116">
        <f t="shared" si="127"/>
        <v>0</v>
      </c>
    </row>
    <row r="1335" spans="1:8" s="10" customFormat="1" outlineLevel="1" x14ac:dyDescent="0.2">
      <c r="D1335" s="49" t="str">
        <f>SOCMOB_DETAILED_COST_WKSHT!D191</f>
        <v>Other Direct Costs (ODC) Category 8</v>
      </c>
      <c r="E1335" s="115">
        <f>IF(DD_TOP_ACTV_15_Detailed_Currency_Used=2,SOCMOB_DETAILED_COST_WKSHT!$F191*SOCMOB_DETAILED_COST_WKSHT!G191,SOCMOB_DETAILED_COST_WKSHT!$F191*(SOCMOB_DETAILED_COST_WKSHT!G191*TOP_ACTV_15_Exchange_Rate))</f>
        <v>0</v>
      </c>
      <c r="F1335" s="115">
        <f>IF(DD_TOP_ACTV_15_Detailed_Currency_Used=2,SOCMOB_DETAILED_COST_WKSHT!$F191*SOCMOB_DETAILED_COST_WKSHT!H191,SOCMOB_DETAILED_COST_WKSHT!$F191*(SOCMOB_DETAILED_COST_WKSHT!H191*TOP_ACTV_15_Exchange_Rate))</f>
        <v>0</v>
      </c>
      <c r="G1335" s="116">
        <f t="shared" si="126"/>
        <v>0</v>
      </c>
      <c r="H1335" s="116">
        <f t="shared" si="127"/>
        <v>0</v>
      </c>
    </row>
    <row r="1336" spans="1:8" s="10" customFormat="1" outlineLevel="1" x14ac:dyDescent="0.2">
      <c r="D1336" s="49" t="str">
        <f>SOCMOB_DETAILED_COST_WKSHT!D192</f>
        <v>Other Direct Costs (ODC) Category 9</v>
      </c>
      <c r="E1336" s="115">
        <f>IF(DD_TOP_ACTV_15_Detailed_Currency_Used=2,SOCMOB_DETAILED_COST_WKSHT!$F192*SOCMOB_DETAILED_COST_WKSHT!G192,SOCMOB_DETAILED_COST_WKSHT!$F192*(SOCMOB_DETAILED_COST_WKSHT!G192*TOP_ACTV_15_Exchange_Rate))</f>
        <v>0</v>
      </c>
      <c r="F1336" s="115">
        <f>IF(DD_TOP_ACTV_15_Detailed_Currency_Used=2,SOCMOB_DETAILED_COST_WKSHT!$F192*SOCMOB_DETAILED_COST_WKSHT!H192,SOCMOB_DETAILED_COST_WKSHT!$F192*(SOCMOB_DETAILED_COST_WKSHT!H192*TOP_ACTV_15_Exchange_Rate))</f>
        <v>0</v>
      </c>
      <c r="G1336" s="116">
        <f t="shared" si="126"/>
        <v>0</v>
      </c>
      <c r="H1336" s="116">
        <f t="shared" si="127"/>
        <v>0</v>
      </c>
    </row>
    <row r="1337" spans="1:8" s="10" customFormat="1" outlineLevel="1" x14ac:dyDescent="0.2">
      <c r="D1337" s="49" t="str">
        <f>SOCMOB_DETAILED_COST_WKSHT!D193</f>
        <v>Other Direct Costs (ODC) Category 10</v>
      </c>
      <c r="E1337" s="115">
        <f>IF(DD_TOP_ACTV_15_Detailed_Currency_Used=2,SOCMOB_DETAILED_COST_WKSHT!$F193*SOCMOB_DETAILED_COST_WKSHT!G193,SOCMOB_DETAILED_COST_WKSHT!$F193*(SOCMOB_DETAILED_COST_WKSHT!G193*TOP_ACTV_15_Exchange_Rate))</f>
        <v>0</v>
      </c>
      <c r="F1337" s="115">
        <f>IF(DD_TOP_ACTV_15_Detailed_Currency_Used=2,SOCMOB_DETAILED_COST_WKSHT!$F193*SOCMOB_DETAILED_COST_WKSHT!H193,SOCMOB_DETAILED_COST_WKSHT!$F193*(SOCMOB_DETAILED_COST_WKSHT!H193*TOP_ACTV_15_Exchange_Rate))</f>
        <v>0</v>
      </c>
      <c r="G1337" s="116">
        <f t="shared" si="126"/>
        <v>0</v>
      </c>
      <c r="H1337" s="116">
        <f t="shared" si="127"/>
        <v>0</v>
      </c>
    </row>
    <row r="1338" spans="1:8" s="10" customFormat="1" outlineLevel="1" x14ac:dyDescent="0.2">
      <c r="D1338" s="48" t="str">
        <f>Lang_Other_Direct_Costs</f>
        <v>Other Direct Costs</v>
      </c>
      <c r="E1338" s="120">
        <f>SUM(E1328:E1337)</f>
        <v>0</v>
      </c>
      <c r="F1338" s="120">
        <f>SUM(F1328:F1337)</f>
        <v>0</v>
      </c>
      <c r="G1338" s="121">
        <f>SUM(G1328:G1337)</f>
        <v>0</v>
      </c>
      <c r="H1338" s="121">
        <f>SUM(H1328:H1337)</f>
        <v>0</v>
      </c>
    </row>
    <row r="1339" spans="1:8" s="10" customFormat="1" outlineLevel="1" x14ac:dyDescent="0.2"/>
    <row r="1340" spans="1:8" s="10" customFormat="1" outlineLevel="1" x14ac:dyDescent="0.2">
      <c r="D1340" s="76" t="str">
        <f>Lang_GoTo&amp;" "&amp;HL_TOP_ACTV_15_Other_Direct_Costs</f>
        <v>Go to IEC Soc Mob  Activity # 2 (Not in Use) - Detailed Other Direct Cost Assumptions</v>
      </c>
    </row>
    <row r="1341" spans="1:8" s="10" customFormat="1" outlineLevel="1" x14ac:dyDescent="0.2">
      <c r="D1341" s="76" t="str">
        <f>Lang_GoTo&amp;" "&amp;HL_TOP_ACTV_15_Cost_Summary_Output</f>
        <v>Go to IEC Soc Mob  Activity # 2 (Not in Use) Detailed Cost Summary</v>
      </c>
    </row>
    <row r="1342" spans="1:8" s="10" customFormat="1" x14ac:dyDescent="0.2"/>
    <row r="1343" spans="1:8" s="13" customFormat="1" x14ac:dyDescent="0.2">
      <c r="A1343" s="12" t="s">
        <v>127</v>
      </c>
      <c r="B1343" s="13" t="str">
        <f>HL_TOP_ACTV_16_Name&amp;" "&amp;Lang_Personnel_Outputs</f>
        <v>IEC Soc Mob  Activity # 3 (Not in Use) Personnel - Outputs</v>
      </c>
    </row>
    <row r="1344" spans="1:8" s="10" customFormat="1" outlineLevel="1" x14ac:dyDescent="0.2"/>
    <row r="1345" spans="3:8" s="10" customFormat="1" outlineLevel="1" x14ac:dyDescent="0.2">
      <c r="C1345" s="114" t="str">
        <f>HL_TOP_ACTV_16_Name</f>
        <v>IEC Soc Mob  Activity # 3 (Not in Use)</v>
      </c>
    </row>
    <row r="1346" spans="3:8" s="10" customFormat="1" outlineLevel="1" x14ac:dyDescent="0.2">
      <c r="E1346" s="86" t="str">
        <f>SOCMOB_Lu!$D$102&amp;" "&amp;Lang_Cost&amp;" ("&amp;SOCMOB_Lu!$D$83&amp;")"</f>
        <v>Financial Cost (LCU)</v>
      </c>
      <c r="F1346" s="86" t="str">
        <f>SOCMOB_Lu!$D$103&amp;" "&amp;Lang_Cost&amp;" ("&amp;SOCMOB_Lu!$D$83&amp;")"</f>
        <v>Economic Cost (LCU)</v>
      </c>
      <c r="G1346" s="86" t="str">
        <f>SOCMOB_Lu!$D$102&amp;" "&amp;Lang_Cost&amp;" ("&amp;SOCMOB_Lu!$D$82&amp;")"</f>
        <v>Financial Cost (USD)</v>
      </c>
      <c r="H1346" s="86" t="str">
        <f>SOCMOB_Lu!$D$103&amp;" "&amp;Lang_Cost&amp;" ("&amp;SOCMOB_Lu!$D$82&amp;")"</f>
        <v>Economic Cost (USD)</v>
      </c>
    </row>
    <row r="1347" spans="3:8" s="10" customFormat="1" outlineLevel="1" x14ac:dyDescent="0.2">
      <c r="D1347" s="49" t="str">
        <f>SOCMOB_DETAILED_COST_WKSHT!D222</f>
        <v>Personnel Category 1</v>
      </c>
      <c r="E1347" s="115">
        <f>IF(DD_TOP_ACTV_16_Detailed_Currency_Used=2,SOCMOB_DETAILED_COST_WKSHT!$F222*SOCMOB_DETAILED_COST_WKSHT!G222,SOCMOB_DETAILED_COST_WKSHT!$F222*(SOCMOB_DETAILED_COST_WKSHT!G222*TOP_ACTV_16_Exchange_Rate))</f>
        <v>0</v>
      </c>
      <c r="F1347" s="115">
        <f>IF(DD_TOP_ACTV_16_Detailed_Currency_Used=2,SOCMOB_DETAILED_COST_WKSHT!$F222*SOCMOB_DETAILED_COST_WKSHT!H222,SOCMOB_DETAILED_COST_WKSHT!$F222*(SOCMOB_DETAILED_COST_WKSHT!H222*TOP_ACTV_16_Exchange_Rate))</f>
        <v>0</v>
      </c>
      <c r="G1347" s="116">
        <f t="shared" ref="G1347:G1361" si="128">IFERROR(E1347/TOP_ACTV_16_Exchange_Rate,0)</f>
        <v>0</v>
      </c>
      <c r="H1347" s="116">
        <f t="shared" ref="H1347:H1361" si="129">IFERROR(F1347/TOP_ACTV_16_Exchange_Rate,0)</f>
        <v>0</v>
      </c>
    </row>
    <row r="1348" spans="3:8" s="10" customFormat="1" outlineLevel="1" x14ac:dyDescent="0.2">
      <c r="D1348" s="49" t="str">
        <f>SOCMOB_DETAILED_COST_WKSHT!D223</f>
        <v>Personnel Category 2</v>
      </c>
      <c r="E1348" s="115">
        <f>IF(DD_TOP_ACTV_16_Detailed_Currency_Used=2,SOCMOB_DETAILED_COST_WKSHT!$F223*SOCMOB_DETAILED_COST_WKSHT!G223,SOCMOB_DETAILED_COST_WKSHT!$F223*(SOCMOB_DETAILED_COST_WKSHT!G223*TOP_ACTV_16_Exchange_Rate))</f>
        <v>0</v>
      </c>
      <c r="F1348" s="115">
        <f>IF(DD_TOP_ACTV_16_Detailed_Currency_Used=2,SOCMOB_DETAILED_COST_WKSHT!$F223*SOCMOB_DETAILED_COST_WKSHT!H223,SOCMOB_DETAILED_COST_WKSHT!$F223*(SOCMOB_DETAILED_COST_WKSHT!H223*TOP_ACTV_16_Exchange_Rate))</f>
        <v>0</v>
      </c>
      <c r="G1348" s="116">
        <f t="shared" si="128"/>
        <v>0</v>
      </c>
      <c r="H1348" s="116">
        <f t="shared" si="129"/>
        <v>0</v>
      </c>
    </row>
    <row r="1349" spans="3:8" s="10" customFormat="1" outlineLevel="1" x14ac:dyDescent="0.2">
      <c r="D1349" s="49" t="str">
        <f>SOCMOB_DETAILED_COST_WKSHT!D224</f>
        <v>Personnel Category 3</v>
      </c>
      <c r="E1349" s="115">
        <f>IF(DD_TOP_ACTV_16_Detailed_Currency_Used=2,SOCMOB_DETAILED_COST_WKSHT!$F224*SOCMOB_DETAILED_COST_WKSHT!G224,SOCMOB_DETAILED_COST_WKSHT!$F224*(SOCMOB_DETAILED_COST_WKSHT!G224*TOP_ACTV_16_Exchange_Rate))</f>
        <v>0</v>
      </c>
      <c r="F1349" s="115">
        <f>IF(DD_TOP_ACTV_16_Detailed_Currency_Used=2,SOCMOB_DETAILED_COST_WKSHT!$F224*SOCMOB_DETAILED_COST_WKSHT!H224,SOCMOB_DETAILED_COST_WKSHT!$F224*(SOCMOB_DETAILED_COST_WKSHT!H224*TOP_ACTV_16_Exchange_Rate))</f>
        <v>0</v>
      </c>
      <c r="G1349" s="116">
        <f t="shared" si="128"/>
        <v>0</v>
      </c>
      <c r="H1349" s="116">
        <f t="shared" si="129"/>
        <v>0</v>
      </c>
    </row>
    <row r="1350" spans="3:8" s="10" customFormat="1" outlineLevel="1" x14ac:dyDescent="0.2">
      <c r="D1350" s="49" t="str">
        <f>SOCMOB_DETAILED_COST_WKSHT!D225</f>
        <v>Personnel Category 4</v>
      </c>
      <c r="E1350" s="115">
        <f>IF(DD_TOP_ACTV_16_Detailed_Currency_Used=2,SOCMOB_DETAILED_COST_WKSHT!$F225*SOCMOB_DETAILED_COST_WKSHT!G225,SOCMOB_DETAILED_COST_WKSHT!$F225*(SOCMOB_DETAILED_COST_WKSHT!G225*TOP_ACTV_16_Exchange_Rate))</f>
        <v>0</v>
      </c>
      <c r="F1350" s="115">
        <f>IF(DD_TOP_ACTV_16_Detailed_Currency_Used=2,SOCMOB_DETAILED_COST_WKSHT!$F225*SOCMOB_DETAILED_COST_WKSHT!H225,SOCMOB_DETAILED_COST_WKSHT!$F225*(SOCMOB_DETAILED_COST_WKSHT!H225*TOP_ACTV_16_Exchange_Rate))</f>
        <v>0</v>
      </c>
      <c r="G1350" s="116">
        <f t="shared" si="128"/>
        <v>0</v>
      </c>
      <c r="H1350" s="116">
        <f t="shared" si="129"/>
        <v>0</v>
      </c>
    </row>
    <row r="1351" spans="3:8" s="10" customFormat="1" outlineLevel="1" x14ac:dyDescent="0.2">
      <c r="D1351" s="49" t="str">
        <f>SOCMOB_DETAILED_COST_WKSHT!D226</f>
        <v>Personnel Category 5</v>
      </c>
      <c r="E1351" s="115">
        <f>IF(DD_TOP_ACTV_16_Detailed_Currency_Used=2,SOCMOB_DETAILED_COST_WKSHT!$F226*SOCMOB_DETAILED_COST_WKSHT!G226,SOCMOB_DETAILED_COST_WKSHT!$F226*(SOCMOB_DETAILED_COST_WKSHT!G226*TOP_ACTV_16_Exchange_Rate))</f>
        <v>0</v>
      </c>
      <c r="F1351" s="115">
        <f>IF(DD_TOP_ACTV_16_Detailed_Currency_Used=2,SOCMOB_DETAILED_COST_WKSHT!$F226*SOCMOB_DETAILED_COST_WKSHT!H226,SOCMOB_DETAILED_COST_WKSHT!$F226*(SOCMOB_DETAILED_COST_WKSHT!H226*TOP_ACTV_16_Exchange_Rate))</f>
        <v>0</v>
      </c>
      <c r="G1351" s="116">
        <f t="shared" si="128"/>
        <v>0</v>
      </c>
      <c r="H1351" s="116">
        <f t="shared" si="129"/>
        <v>0</v>
      </c>
    </row>
    <row r="1352" spans="3:8" s="10" customFormat="1" outlineLevel="1" x14ac:dyDescent="0.2">
      <c r="D1352" s="49" t="str">
        <f>SOCMOB_DETAILED_COST_WKSHT!D227</f>
        <v>Personnel Category 6</v>
      </c>
      <c r="E1352" s="115">
        <f>IF(DD_TOP_ACTV_16_Detailed_Currency_Used=2,SOCMOB_DETAILED_COST_WKSHT!$F227*SOCMOB_DETAILED_COST_WKSHT!G227,SOCMOB_DETAILED_COST_WKSHT!$F227*(SOCMOB_DETAILED_COST_WKSHT!G227*TOP_ACTV_16_Exchange_Rate))</f>
        <v>0</v>
      </c>
      <c r="F1352" s="115">
        <f>IF(DD_TOP_ACTV_16_Detailed_Currency_Used=2,SOCMOB_DETAILED_COST_WKSHT!$F227*SOCMOB_DETAILED_COST_WKSHT!H227,SOCMOB_DETAILED_COST_WKSHT!$F227*(SOCMOB_DETAILED_COST_WKSHT!H227*TOP_ACTV_16_Exchange_Rate))</f>
        <v>0</v>
      </c>
      <c r="G1352" s="116">
        <f t="shared" si="128"/>
        <v>0</v>
      </c>
      <c r="H1352" s="116">
        <f t="shared" si="129"/>
        <v>0</v>
      </c>
    </row>
    <row r="1353" spans="3:8" s="10" customFormat="1" outlineLevel="1" x14ac:dyDescent="0.2">
      <c r="D1353" s="49" t="str">
        <f>SOCMOB_DETAILED_COST_WKSHT!D228</f>
        <v>Personnel Category 7</v>
      </c>
      <c r="E1353" s="115">
        <f>IF(DD_TOP_ACTV_16_Detailed_Currency_Used=2,SOCMOB_DETAILED_COST_WKSHT!$F228*SOCMOB_DETAILED_COST_WKSHT!G228,SOCMOB_DETAILED_COST_WKSHT!$F228*(SOCMOB_DETAILED_COST_WKSHT!G228*TOP_ACTV_16_Exchange_Rate))</f>
        <v>0</v>
      </c>
      <c r="F1353" s="115">
        <f>IF(DD_TOP_ACTV_16_Detailed_Currency_Used=2,SOCMOB_DETAILED_COST_WKSHT!$F228*SOCMOB_DETAILED_COST_WKSHT!H228,SOCMOB_DETAILED_COST_WKSHT!$F228*(SOCMOB_DETAILED_COST_WKSHT!H228*TOP_ACTV_16_Exchange_Rate))</f>
        <v>0</v>
      </c>
      <c r="G1353" s="116">
        <f t="shared" si="128"/>
        <v>0</v>
      </c>
      <c r="H1353" s="116">
        <f t="shared" si="129"/>
        <v>0</v>
      </c>
    </row>
    <row r="1354" spans="3:8" s="10" customFormat="1" outlineLevel="1" x14ac:dyDescent="0.2">
      <c r="D1354" s="49" t="str">
        <f>SOCMOB_DETAILED_COST_WKSHT!D229</f>
        <v>Personnel Category 8</v>
      </c>
      <c r="E1354" s="115">
        <f>IF(DD_TOP_ACTV_16_Detailed_Currency_Used=2,SOCMOB_DETAILED_COST_WKSHT!$F229*SOCMOB_DETAILED_COST_WKSHT!G229,SOCMOB_DETAILED_COST_WKSHT!$F229*(SOCMOB_DETAILED_COST_WKSHT!G229*TOP_ACTV_16_Exchange_Rate))</f>
        <v>0</v>
      </c>
      <c r="F1354" s="115">
        <f>IF(DD_TOP_ACTV_16_Detailed_Currency_Used=2,SOCMOB_DETAILED_COST_WKSHT!$F229*SOCMOB_DETAILED_COST_WKSHT!H229,SOCMOB_DETAILED_COST_WKSHT!$F229*(SOCMOB_DETAILED_COST_WKSHT!H229*TOP_ACTV_16_Exchange_Rate))</f>
        <v>0</v>
      </c>
      <c r="G1354" s="116">
        <f t="shared" si="128"/>
        <v>0</v>
      </c>
      <c r="H1354" s="116">
        <f t="shared" si="129"/>
        <v>0</v>
      </c>
    </row>
    <row r="1355" spans="3:8" s="10" customFormat="1" outlineLevel="1" x14ac:dyDescent="0.2">
      <c r="D1355" s="49" t="str">
        <f>SOCMOB_DETAILED_COST_WKSHT!D230</f>
        <v>Personnel Category 9</v>
      </c>
      <c r="E1355" s="115">
        <f>IF(DD_TOP_ACTV_16_Detailed_Currency_Used=2,SOCMOB_DETAILED_COST_WKSHT!$F230*SOCMOB_DETAILED_COST_WKSHT!G230,SOCMOB_DETAILED_COST_WKSHT!$F230*(SOCMOB_DETAILED_COST_WKSHT!G230*TOP_ACTV_16_Exchange_Rate))</f>
        <v>0</v>
      </c>
      <c r="F1355" s="115">
        <f>IF(DD_TOP_ACTV_16_Detailed_Currency_Used=2,SOCMOB_DETAILED_COST_WKSHT!$F230*SOCMOB_DETAILED_COST_WKSHT!H230,SOCMOB_DETAILED_COST_WKSHT!$F230*(SOCMOB_DETAILED_COST_WKSHT!H230*TOP_ACTV_16_Exchange_Rate))</f>
        <v>0</v>
      </c>
      <c r="G1355" s="116">
        <f t="shared" si="128"/>
        <v>0</v>
      </c>
      <c r="H1355" s="116">
        <f t="shared" si="129"/>
        <v>0</v>
      </c>
    </row>
    <row r="1356" spans="3:8" s="10" customFormat="1" outlineLevel="1" x14ac:dyDescent="0.2">
      <c r="D1356" s="49" t="str">
        <f>SOCMOB_DETAILED_COST_WKSHT!D231</f>
        <v>Personnel Category 10</v>
      </c>
      <c r="E1356" s="115">
        <f>IF(DD_TOP_ACTV_16_Detailed_Currency_Used=2,SOCMOB_DETAILED_COST_WKSHT!$F231*SOCMOB_DETAILED_COST_WKSHT!G231,SOCMOB_DETAILED_COST_WKSHT!$F231*(SOCMOB_DETAILED_COST_WKSHT!G231*TOP_ACTV_16_Exchange_Rate))</f>
        <v>0</v>
      </c>
      <c r="F1356" s="115">
        <f>IF(DD_TOP_ACTV_16_Detailed_Currency_Used=2,SOCMOB_DETAILED_COST_WKSHT!$F231*SOCMOB_DETAILED_COST_WKSHT!H231,SOCMOB_DETAILED_COST_WKSHT!$F231*(SOCMOB_DETAILED_COST_WKSHT!H231*TOP_ACTV_16_Exchange_Rate))</f>
        <v>0</v>
      </c>
      <c r="G1356" s="116">
        <f t="shared" si="128"/>
        <v>0</v>
      </c>
      <c r="H1356" s="116">
        <f t="shared" si="129"/>
        <v>0</v>
      </c>
    </row>
    <row r="1357" spans="3:8" s="10" customFormat="1" outlineLevel="1" x14ac:dyDescent="0.2">
      <c r="D1357" s="49" t="str">
        <f>SOCMOB_DETAILED_COST_WKSHT!D232</f>
        <v>Personnel Category 11</v>
      </c>
      <c r="E1357" s="115">
        <f>IF(DD_TOP_ACTV_16_Detailed_Currency_Used=2,SOCMOB_DETAILED_COST_WKSHT!$F232*SOCMOB_DETAILED_COST_WKSHT!G232,SOCMOB_DETAILED_COST_WKSHT!$F232*(SOCMOB_DETAILED_COST_WKSHT!G232*TOP_ACTV_16_Exchange_Rate))</f>
        <v>0</v>
      </c>
      <c r="F1357" s="115">
        <f>IF(DD_TOP_ACTV_16_Detailed_Currency_Used=2,SOCMOB_DETAILED_COST_WKSHT!$F232*SOCMOB_DETAILED_COST_WKSHT!H232,SOCMOB_DETAILED_COST_WKSHT!$F232*(SOCMOB_DETAILED_COST_WKSHT!H232*TOP_ACTV_16_Exchange_Rate))</f>
        <v>0</v>
      </c>
      <c r="G1357" s="116">
        <f t="shared" si="128"/>
        <v>0</v>
      </c>
      <c r="H1357" s="116">
        <f t="shared" si="129"/>
        <v>0</v>
      </c>
    </row>
    <row r="1358" spans="3:8" s="10" customFormat="1" outlineLevel="1" x14ac:dyDescent="0.2">
      <c r="D1358" s="49" t="str">
        <f>SOCMOB_DETAILED_COST_WKSHT!D233</f>
        <v>Personnel Category 12</v>
      </c>
      <c r="E1358" s="115">
        <f>IF(DD_TOP_ACTV_16_Detailed_Currency_Used=2,SOCMOB_DETAILED_COST_WKSHT!$F233*SOCMOB_DETAILED_COST_WKSHT!G233,SOCMOB_DETAILED_COST_WKSHT!$F233*(SOCMOB_DETAILED_COST_WKSHT!G233*TOP_ACTV_16_Exchange_Rate))</f>
        <v>0</v>
      </c>
      <c r="F1358" s="115">
        <f>IF(DD_TOP_ACTV_16_Detailed_Currency_Used=2,SOCMOB_DETAILED_COST_WKSHT!$F233*SOCMOB_DETAILED_COST_WKSHT!H233,SOCMOB_DETAILED_COST_WKSHT!$F233*(SOCMOB_DETAILED_COST_WKSHT!H233*TOP_ACTV_16_Exchange_Rate))</f>
        <v>0</v>
      </c>
      <c r="G1358" s="116">
        <f t="shared" si="128"/>
        <v>0</v>
      </c>
      <c r="H1358" s="116">
        <f t="shared" si="129"/>
        <v>0</v>
      </c>
    </row>
    <row r="1359" spans="3:8" s="10" customFormat="1" outlineLevel="1" x14ac:dyDescent="0.2">
      <c r="D1359" s="49" t="str">
        <f>SOCMOB_DETAILED_COST_WKSHT!D234</f>
        <v>Personnel Category 13</v>
      </c>
      <c r="E1359" s="115">
        <f>IF(DD_TOP_ACTV_16_Detailed_Currency_Used=2,SOCMOB_DETAILED_COST_WKSHT!$F234*SOCMOB_DETAILED_COST_WKSHT!G234,SOCMOB_DETAILED_COST_WKSHT!$F234*(SOCMOB_DETAILED_COST_WKSHT!G234*TOP_ACTV_16_Exchange_Rate))</f>
        <v>0</v>
      </c>
      <c r="F1359" s="115">
        <f>IF(DD_TOP_ACTV_16_Detailed_Currency_Used=2,SOCMOB_DETAILED_COST_WKSHT!$F234*SOCMOB_DETAILED_COST_WKSHT!H234,SOCMOB_DETAILED_COST_WKSHT!$F234*(SOCMOB_DETAILED_COST_WKSHT!H234*TOP_ACTV_16_Exchange_Rate))</f>
        <v>0</v>
      </c>
      <c r="G1359" s="116">
        <f t="shared" si="128"/>
        <v>0</v>
      </c>
      <c r="H1359" s="116">
        <f t="shared" si="129"/>
        <v>0</v>
      </c>
    </row>
    <row r="1360" spans="3:8" s="10" customFormat="1" outlineLevel="1" x14ac:dyDescent="0.2">
      <c r="D1360" s="49" t="str">
        <f>SOCMOB_DETAILED_COST_WKSHT!D235</f>
        <v>Personnel Category 14</v>
      </c>
      <c r="E1360" s="115">
        <f>IF(DD_TOP_ACTV_16_Detailed_Currency_Used=2,SOCMOB_DETAILED_COST_WKSHT!$F235*SOCMOB_DETAILED_COST_WKSHT!G235,SOCMOB_DETAILED_COST_WKSHT!$F235*(SOCMOB_DETAILED_COST_WKSHT!G235*TOP_ACTV_16_Exchange_Rate))</f>
        <v>0</v>
      </c>
      <c r="F1360" s="115">
        <f>IF(DD_TOP_ACTV_16_Detailed_Currency_Used=2,SOCMOB_DETAILED_COST_WKSHT!$F235*SOCMOB_DETAILED_COST_WKSHT!H235,SOCMOB_DETAILED_COST_WKSHT!$F235*(SOCMOB_DETAILED_COST_WKSHT!H235*TOP_ACTV_16_Exchange_Rate))</f>
        <v>0</v>
      </c>
      <c r="G1360" s="116">
        <f t="shared" si="128"/>
        <v>0</v>
      </c>
      <c r="H1360" s="116">
        <f t="shared" si="129"/>
        <v>0</v>
      </c>
    </row>
    <row r="1361" spans="1:8" s="10" customFormat="1" outlineLevel="1" x14ac:dyDescent="0.2">
      <c r="D1361" s="49" t="str">
        <f>SOCMOB_DETAILED_COST_WKSHT!D236</f>
        <v>Personnel Category 15</v>
      </c>
      <c r="E1361" s="115">
        <f>IF(DD_TOP_ACTV_16_Detailed_Currency_Used=2,SOCMOB_DETAILED_COST_WKSHT!$F236*SOCMOB_DETAILED_COST_WKSHT!G236,SOCMOB_DETAILED_COST_WKSHT!$F236*(SOCMOB_DETAILED_COST_WKSHT!G236*TOP_ACTV_16_Exchange_Rate))</f>
        <v>0</v>
      </c>
      <c r="F1361" s="115">
        <f>IF(DD_TOP_ACTV_16_Detailed_Currency_Used=2,SOCMOB_DETAILED_COST_WKSHT!$F236*SOCMOB_DETAILED_COST_WKSHT!H236,SOCMOB_DETAILED_COST_WKSHT!$F236*(SOCMOB_DETAILED_COST_WKSHT!H236*TOP_ACTV_16_Exchange_Rate))</f>
        <v>0</v>
      </c>
      <c r="G1361" s="116">
        <f t="shared" si="128"/>
        <v>0</v>
      </c>
      <c r="H1361" s="116">
        <f t="shared" si="129"/>
        <v>0</v>
      </c>
    </row>
    <row r="1362" spans="1:8" s="10" customFormat="1" outlineLevel="1" x14ac:dyDescent="0.2">
      <c r="D1362" s="48" t="str">
        <f>Lang_Personnel</f>
        <v>Personnel</v>
      </c>
      <c r="E1362" s="120">
        <f>SUM(E1347:E1361)</f>
        <v>0</v>
      </c>
      <c r="F1362" s="120">
        <f>SUM(F1347:F1361)</f>
        <v>0</v>
      </c>
      <c r="G1362" s="121">
        <f>SUM(G1347:G1361)</f>
        <v>0</v>
      </c>
      <c r="H1362" s="121">
        <f>SUM(H1347:H1361)</f>
        <v>0</v>
      </c>
    </row>
    <row r="1363" spans="1:8" s="10" customFormat="1" outlineLevel="1" x14ac:dyDescent="0.2"/>
    <row r="1364" spans="1:8" s="10" customFormat="1" outlineLevel="1" x14ac:dyDescent="0.2"/>
    <row r="1365" spans="1:8" s="10" customFormat="1" outlineLevel="1" x14ac:dyDescent="0.2">
      <c r="D1365" s="76" t="str">
        <f>Lang_GoTo&amp;" "&amp;HL_TOP_ACTV_16_Personnel_Assumptions</f>
        <v>Go to IEC Soc Mob  Activity # 3 (Not in Use) - Detailed Personnel Cost Assumptions</v>
      </c>
    </row>
    <row r="1366" spans="1:8" s="10" customFormat="1" outlineLevel="1" x14ac:dyDescent="0.2">
      <c r="D1366" s="76" t="str">
        <f>Lang_GoTo&amp;" "&amp;HL_TOP_ACTV_16_Cost_Summary_Output</f>
        <v>Go to IEC Soc Mob  Activity # 3 (Not in Use) Detailed Cost Summary</v>
      </c>
    </row>
    <row r="1367" spans="1:8" s="10" customFormat="1" x14ac:dyDescent="0.2"/>
    <row r="1368" spans="1:8" s="13" customFormat="1" x14ac:dyDescent="0.2">
      <c r="A1368" s="12" t="s">
        <v>127</v>
      </c>
      <c r="B1368" s="13" t="str">
        <f>HL_TOP_ACTV_16_Name&amp;" "&amp;Lang_Allowances_Outputs</f>
        <v>IEC Soc Mob  Activity # 3 (Not in Use) Allowances - Outputs</v>
      </c>
    </row>
    <row r="1369" spans="1:8" s="10" customFormat="1" outlineLevel="1" x14ac:dyDescent="0.2"/>
    <row r="1370" spans="1:8" s="10" customFormat="1" outlineLevel="1" x14ac:dyDescent="0.2">
      <c r="C1370" s="114" t="str">
        <f>HL_TOP_ACTV_16_Name</f>
        <v>IEC Soc Mob  Activity # 3 (Not in Use)</v>
      </c>
    </row>
    <row r="1371" spans="1:8" s="10" customFormat="1" outlineLevel="1" x14ac:dyDescent="0.2">
      <c r="E1371" s="86" t="str">
        <f>SOCMOB_Lu!$D$102&amp;" "&amp;Lang_Cost&amp;" ("&amp;SOCMOB_Lu!$D$83&amp;")"</f>
        <v>Financial Cost (LCU)</v>
      </c>
      <c r="F1371" s="86" t="str">
        <f>SOCMOB_Lu!$D$103&amp;" "&amp;Lang_Cost&amp;" ("&amp;SOCMOB_Lu!$D$83&amp;")"</f>
        <v>Economic Cost (LCU)</v>
      </c>
      <c r="G1371" s="86" t="str">
        <f>SOCMOB_Lu!$D$102&amp;" "&amp;Lang_Cost&amp;" ("&amp;SOCMOB_Lu!$D$82&amp;")"</f>
        <v>Financial Cost (USD)</v>
      </c>
      <c r="H1371" s="86" t="str">
        <f>SOCMOB_Lu!$D$103&amp;" "&amp;Lang_Cost&amp;" ("&amp;SOCMOB_Lu!$D$82&amp;")"</f>
        <v>Economic Cost (USD)</v>
      </c>
    </row>
    <row r="1372" spans="1:8" s="10" customFormat="1" outlineLevel="1" x14ac:dyDescent="0.2">
      <c r="D1372" s="49" t="str">
        <f>SOCMOB_DETAILED_COST_WKSHT!D245</f>
        <v>Allowances Category 1</v>
      </c>
      <c r="E1372" s="115">
        <f>IF(DD_TOP_ACTV_16_Detailed_Currency_Used=2,SOCMOB_DETAILED_COST_WKSHT!$F245*SOCMOB_DETAILED_COST_WKSHT!G245,SOCMOB_DETAILED_COST_WKSHT!$F245*(SOCMOB_DETAILED_COST_WKSHT!G245*TOP_ACTV_16_Exchange_Rate))</f>
        <v>0</v>
      </c>
      <c r="F1372" s="115">
        <f>IF(DD_TOP_ACTV_16_Detailed_Currency_Used=2,SOCMOB_DETAILED_COST_WKSHT!$F245*SOCMOB_DETAILED_COST_WKSHT!H245,SOCMOB_DETAILED_COST_WKSHT!$F245*(SOCMOB_DETAILED_COST_WKSHT!H245*TOP_ACTV_16_Exchange_Rate))</f>
        <v>0</v>
      </c>
      <c r="G1372" s="116">
        <f t="shared" ref="G1372:G1381" si="130">E1372/TOP_ACTV_16_Exchange_Rate</f>
        <v>0</v>
      </c>
      <c r="H1372" s="116">
        <f t="shared" ref="H1372:H1381" si="131">F1372/TOP_ACTV_16_Exchange_Rate</f>
        <v>0</v>
      </c>
    </row>
    <row r="1373" spans="1:8" s="10" customFormat="1" outlineLevel="1" x14ac:dyDescent="0.2">
      <c r="D1373" s="49" t="str">
        <f>SOCMOB_DETAILED_COST_WKSHT!D246</f>
        <v>Allowances Category 2</v>
      </c>
      <c r="E1373" s="115">
        <f>IF(DD_TOP_ACTV_16_Detailed_Currency_Used=2,SOCMOB_DETAILED_COST_WKSHT!$F246*SOCMOB_DETAILED_COST_WKSHT!G246,SOCMOB_DETAILED_COST_WKSHT!$F246*(SOCMOB_DETAILED_COST_WKSHT!G246*TOP_ACTV_16_Exchange_Rate))</f>
        <v>0</v>
      </c>
      <c r="F1373" s="115">
        <f>IF(DD_TOP_ACTV_16_Detailed_Currency_Used=2,SOCMOB_DETAILED_COST_WKSHT!$F246*SOCMOB_DETAILED_COST_WKSHT!H246,SOCMOB_DETAILED_COST_WKSHT!$F246*(SOCMOB_DETAILED_COST_WKSHT!H246*TOP_ACTV_16_Exchange_Rate))</f>
        <v>0</v>
      </c>
      <c r="G1373" s="116">
        <f t="shared" si="130"/>
        <v>0</v>
      </c>
      <c r="H1373" s="116">
        <f t="shared" si="131"/>
        <v>0</v>
      </c>
    </row>
    <row r="1374" spans="1:8" s="10" customFormat="1" outlineLevel="1" x14ac:dyDescent="0.2">
      <c r="D1374" s="49" t="str">
        <f>SOCMOB_DETAILED_COST_WKSHT!D247</f>
        <v>Allowances Category 3</v>
      </c>
      <c r="E1374" s="115">
        <f>IF(DD_TOP_ACTV_16_Detailed_Currency_Used=2,SOCMOB_DETAILED_COST_WKSHT!$F247*SOCMOB_DETAILED_COST_WKSHT!G247,SOCMOB_DETAILED_COST_WKSHT!$F247*(SOCMOB_DETAILED_COST_WKSHT!G247*TOP_ACTV_16_Exchange_Rate))</f>
        <v>0</v>
      </c>
      <c r="F1374" s="115">
        <f>IF(DD_TOP_ACTV_16_Detailed_Currency_Used=2,SOCMOB_DETAILED_COST_WKSHT!$F247*SOCMOB_DETAILED_COST_WKSHT!H247,SOCMOB_DETAILED_COST_WKSHT!$F247*(SOCMOB_DETAILED_COST_WKSHT!H247*TOP_ACTV_16_Exchange_Rate))</f>
        <v>0</v>
      </c>
      <c r="G1374" s="116">
        <f t="shared" si="130"/>
        <v>0</v>
      </c>
      <c r="H1374" s="116">
        <f t="shared" si="131"/>
        <v>0</v>
      </c>
    </row>
    <row r="1375" spans="1:8" s="10" customFormat="1" outlineLevel="1" x14ac:dyDescent="0.2">
      <c r="D1375" s="49" t="str">
        <f>SOCMOB_DETAILED_COST_WKSHT!D248</f>
        <v>Allowances Category 4</v>
      </c>
      <c r="E1375" s="115">
        <f>IF(DD_TOP_ACTV_16_Detailed_Currency_Used=2,SOCMOB_DETAILED_COST_WKSHT!$F248*SOCMOB_DETAILED_COST_WKSHT!G248,SOCMOB_DETAILED_COST_WKSHT!$F248*(SOCMOB_DETAILED_COST_WKSHT!G248*TOP_ACTV_16_Exchange_Rate))</f>
        <v>0</v>
      </c>
      <c r="F1375" s="115">
        <f>IF(DD_TOP_ACTV_16_Detailed_Currency_Used=2,SOCMOB_DETAILED_COST_WKSHT!$F248*SOCMOB_DETAILED_COST_WKSHT!H248,SOCMOB_DETAILED_COST_WKSHT!$F248*(SOCMOB_DETAILED_COST_WKSHT!H248*TOP_ACTV_16_Exchange_Rate))</f>
        <v>0</v>
      </c>
      <c r="G1375" s="116">
        <f t="shared" si="130"/>
        <v>0</v>
      </c>
      <c r="H1375" s="116">
        <f t="shared" si="131"/>
        <v>0</v>
      </c>
    </row>
    <row r="1376" spans="1:8" s="10" customFormat="1" outlineLevel="1" x14ac:dyDescent="0.2">
      <c r="D1376" s="49" t="str">
        <f>SOCMOB_DETAILED_COST_WKSHT!D249</f>
        <v>Allowances Category 5</v>
      </c>
      <c r="E1376" s="115">
        <f>IF(DD_TOP_ACTV_16_Detailed_Currency_Used=2,SOCMOB_DETAILED_COST_WKSHT!$F249*SOCMOB_DETAILED_COST_WKSHT!G249,SOCMOB_DETAILED_COST_WKSHT!$F249*(SOCMOB_DETAILED_COST_WKSHT!G249*TOP_ACTV_16_Exchange_Rate))</f>
        <v>0</v>
      </c>
      <c r="F1376" s="115">
        <f>IF(DD_TOP_ACTV_16_Detailed_Currency_Used=2,SOCMOB_DETAILED_COST_WKSHT!$F249*SOCMOB_DETAILED_COST_WKSHT!H249,SOCMOB_DETAILED_COST_WKSHT!$F249*(SOCMOB_DETAILED_COST_WKSHT!H249*TOP_ACTV_16_Exchange_Rate))</f>
        <v>0</v>
      </c>
      <c r="G1376" s="116">
        <f t="shared" si="130"/>
        <v>0</v>
      </c>
      <c r="H1376" s="116">
        <f t="shared" si="131"/>
        <v>0</v>
      </c>
    </row>
    <row r="1377" spans="1:8" s="10" customFormat="1" outlineLevel="1" x14ac:dyDescent="0.2">
      <c r="D1377" s="49" t="str">
        <f>SOCMOB_DETAILED_COST_WKSHT!D250</f>
        <v>Allowances Category 6</v>
      </c>
      <c r="E1377" s="115">
        <f>IF(DD_TOP_ACTV_16_Detailed_Currency_Used=2,SOCMOB_DETAILED_COST_WKSHT!$F250*SOCMOB_DETAILED_COST_WKSHT!G250,SOCMOB_DETAILED_COST_WKSHT!$F250*(SOCMOB_DETAILED_COST_WKSHT!G250*TOP_ACTV_16_Exchange_Rate))</f>
        <v>0</v>
      </c>
      <c r="F1377" s="115">
        <f>IF(DD_TOP_ACTV_16_Detailed_Currency_Used=2,SOCMOB_DETAILED_COST_WKSHT!$F250*SOCMOB_DETAILED_COST_WKSHT!H250,SOCMOB_DETAILED_COST_WKSHT!$F250*(SOCMOB_DETAILED_COST_WKSHT!H250*TOP_ACTV_16_Exchange_Rate))</f>
        <v>0</v>
      </c>
      <c r="G1377" s="116">
        <f t="shared" si="130"/>
        <v>0</v>
      </c>
      <c r="H1377" s="116">
        <f t="shared" si="131"/>
        <v>0</v>
      </c>
    </row>
    <row r="1378" spans="1:8" s="10" customFormat="1" outlineLevel="1" x14ac:dyDescent="0.2">
      <c r="D1378" s="49" t="str">
        <f>SOCMOB_DETAILED_COST_WKSHT!D251</f>
        <v>Allowances Category 7</v>
      </c>
      <c r="E1378" s="115">
        <f>IF(DD_TOP_ACTV_16_Detailed_Currency_Used=2,SOCMOB_DETAILED_COST_WKSHT!$F251*SOCMOB_DETAILED_COST_WKSHT!G251,SOCMOB_DETAILED_COST_WKSHT!$F251*(SOCMOB_DETAILED_COST_WKSHT!G251*TOP_ACTV_16_Exchange_Rate))</f>
        <v>0</v>
      </c>
      <c r="F1378" s="115">
        <f>IF(DD_TOP_ACTV_16_Detailed_Currency_Used=2,SOCMOB_DETAILED_COST_WKSHT!$F251*SOCMOB_DETAILED_COST_WKSHT!H251,SOCMOB_DETAILED_COST_WKSHT!$F251*(SOCMOB_DETAILED_COST_WKSHT!H251*TOP_ACTV_16_Exchange_Rate))</f>
        <v>0</v>
      </c>
      <c r="G1378" s="116">
        <f t="shared" si="130"/>
        <v>0</v>
      </c>
      <c r="H1378" s="116">
        <f t="shared" si="131"/>
        <v>0</v>
      </c>
    </row>
    <row r="1379" spans="1:8" s="10" customFormat="1" outlineLevel="1" x14ac:dyDescent="0.2">
      <c r="D1379" s="49" t="str">
        <f>SOCMOB_DETAILED_COST_WKSHT!D252</f>
        <v>Allowances Category 8</v>
      </c>
      <c r="E1379" s="115">
        <f>IF(DD_TOP_ACTV_16_Detailed_Currency_Used=2,SOCMOB_DETAILED_COST_WKSHT!$F252*SOCMOB_DETAILED_COST_WKSHT!G252,SOCMOB_DETAILED_COST_WKSHT!$F252*(SOCMOB_DETAILED_COST_WKSHT!G252*TOP_ACTV_16_Exchange_Rate))</f>
        <v>0</v>
      </c>
      <c r="F1379" s="115">
        <f>IF(DD_TOP_ACTV_16_Detailed_Currency_Used=2,SOCMOB_DETAILED_COST_WKSHT!$F252*SOCMOB_DETAILED_COST_WKSHT!H252,SOCMOB_DETAILED_COST_WKSHT!$F252*(SOCMOB_DETAILED_COST_WKSHT!H252*TOP_ACTV_16_Exchange_Rate))</f>
        <v>0</v>
      </c>
      <c r="G1379" s="116">
        <f t="shared" si="130"/>
        <v>0</v>
      </c>
      <c r="H1379" s="116">
        <f t="shared" si="131"/>
        <v>0</v>
      </c>
    </row>
    <row r="1380" spans="1:8" s="10" customFormat="1" outlineLevel="1" x14ac:dyDescent="0.2">
      <c r="D1380" s="49" t="str">
        <f>SOCMOB_DETAILED_COST_WKSHT!D253</f>
        <v>Allowances Category 9</v>
      </c>
      <c r="E1380" s="115">
        <f>IF(DD_TOP_ACTV_16_Detailed_Currency_Used=2,SOCMOB_DETAILED_COST_WKSHT!$F253*SOCMOB_DETAILED_COST_WKSHT!G253,SOCMOB_DETAILED_COST_WKSHT!$F253*(SOCMOB_DETAILED_COST_WKSHT!G253*TOP_ACTV_16_Exchange_Rate))</f>
        <v>0</v>
      </c>
      <c r="F1380" s="115">
        <f>IF(DD_TOP_ACTV_16_Detailed_Currency_Used=2,SOCMOB_DETAILED_COST_WKSHT!$F253*SOCMOB_DETAILED_COST_WKSHT!H253,SOCMOB_DETAILED_COST_WKSHT!$F253*(SOCMOB_DETAILED_COST_WKSHT!H253*TOP_ACTV_16_Exchange_Rate))</f>
        <v>0</v>
      </c>
      <c r="G1380" s="116">
        <f t="shared" si="130"/>
        <v>0</v>
      </c>
      <c r="H1380" s="116">
        <f t="shared" si="131"/>
        <v>0</v>
      </c>
    </row>
    <row r="1381" spans="1:8" s="10" customFormat="1" outlineLevel="1" x14ac:dyDescent="0.2">
      <c r="D1381" s="49" t="str">
        <f>SOCMOB_DETAILED_COST_WKSHT!D254</f>
        <v>Allowances Category 10</v>
      </c>
      <c r="E1381" s="115">
        <f>IF(DD_TOP_ACTV_16_Detailed_Currency_Used=2,SOCMOB_DETAILED_COST_WKSHT!$F254*SOCMOB_DETAILED_COST_WKSHT!G254,SOCMOB_DETAILED_COST_WKSHT!$F254*(SOCMOB_DETAILED_COST_WKSHT!G254*TOP_ACTV_16_Exchange_Rate))</f>
        <v>0</v>
      </c>
      <c r="F1381" s="115">
        <f>IF(DD_TOP_ACTV_16_Detailed_Currency_Used=2,SOCMOB_DETAILED_COST_WKSHT!$F254*SOCMOB_DETAILED_COST_WKSHT!H254,SOCMOB_DETAILED_COST_WKSHT!$F254*(SOCMOB_DETAILED_COST_WKSHT!H254*TOP_ACTV_16_Exchange_Rate))</f>
        <v>0</v>
      </c>
      <c r="G1381" s="116">
        <f t="shared" si="130"/>
        <v>0</v>
      </c>
      <c r="H1381" s="116">
        <f t="shared" si="131"/>
        <v>0</v>
      </c>
    </row>
    <row r="1382" spans="1:8" s="10" customFormat="1" outlineLevel="1" x14ac:dyDescent="0.2">
      <c r="D1382" s="48" t="str">
        <f>Lang_Allowances</f>
        <v>Allowances</v>
      </c>
      <c r="E1382" s="120">
        <f>SUM(E1372:E1381)</f>
        <v>0</v>
      </c>
      <c r="F1382" s="120">
        <f>SUM(F1372:F1381)</f>
        <v>0</v>
      </c>
      <c r="G1382" s="121">
        <f>SUM(G1372:G1381)</f>
        <v>0</v>
      </c>
      <c r="H1382" s="121">
        <f>SUM(H1372:H1381)</f>
        <v>0</v>
      </c>
    </row>
    <row r="1383" spans="1:8" s="10" customFormat="1" outlineLevel="1" x14ac:dyDescent="0.2"/>
    <row r="1384" spans="1:8" s="10" customFormat="1" outlineLevel="1" x14ac:dyDescent="0.2"/>
    <row r="1385" spans="1:8" s="10" customFormat="1" outlineLevel="1" x14ac:dyDescent="0.2">
      <c r="D1385" s="76" t="str">
        <f>Lang_GoTo&amp;" "&amp;HL_TOP_ACTV_16_Ass_A</f>
        <v>Go to IEC Soc Mob  Activity # 3 (Not in Use) - Detailed Allowance Cost Assumptions</v>
      </c>
    </row>
    <row r="1386" spans="1:8" s="10" customFormat="1" outlineLevel="1" x14ac:dyDescent="0.2">
      <c r="D1386" s="76" t="str">
        <f>Lang_GoTo&amp;" "&amp;HL_TOP_ACTV_16_Cost_Summary_Output</f>
        <v>Go to IEC Soc Mob  Activity # 3 (Not in Use) Detailed Cost Summary</v>
      </c>
    </row>
    <row r="1387" spans="1:8" s="10" customFormat="1" x14ac:dyDescent="0.2"/>
    <row r="1388" spans="1:8" s="13" customFormat="1" x14ac:dyDescent="0.2">
      <c r="A1388" s="12" t="s">
        <v>127</v>
      </c>
      <c r="B1388" s="13" t="str">
        <f>HL_TOP_ACTV_16_Name&amp;" "&amp;Lang_Supplies_And_Materials_Outputs</f>
        <v>IEC Soc Mob  Activity # 3 (Not in Use) Supplies and Materials - Outputs</v>
      </c>
    </row>
    <row r="1389" spans="1:8" s="10" customFormat="1" outlineLevel="1" x14ac:dyDescent="0.2"/>
    <row r="1390" spans="1:8" s="10" customFormat="1" outlineLevel="1" x14ac:dyDescent="0.2">
      <c r="C1390" s="114" t="str">
        <f>HL_TOP_ACTV_16_Name</f>
        <v>IEC Soc Mob  Activity # 3 (Not in Use)</v>
      </c>
    </row>
    <row r="1391" spans="1:8" s="10" customFormat="1" outlineLevel="1" x14ac:dyDescent="0.2">
      <c r="E1391" s="86" t="str">
        <f>SOCMOB_Lu!$D$102&amp;" "&amp;Lang_Cost&amp;" ("&amp;SOCMOB_Lu!$D$83&amp;")"</f>
        <v>Financial Cost (LCU)</v>
      </c>
      <c r="F1391" s="86" t="str">
        <f>SOCMOB_Lu!$D$103&amp;" "&amp;Lang_Cost&amp;" ("&amp;SOCMOB_Lu!$D$83&amp;")"</f>
        <v>Economic Cost (LCU)</v>
      </c>
      <c r="G1391" s="86" t="str">
        <f>SOCMOB_Lu!$D$102&amp;" "&amp;Lang_Cost&amp;" ("&amp;SOCMOB_Lu!$D$82&amp;")"</f>
        <v>Financial Cost (USD)</v>
      </c>
      <c r="H1391" s="86" t="str">
        <f>SOCMOB_Lu!$D$103&amp;" "&amp;Lang_Cost&amp;" ("&amp;SOCMOB_Lu!$D$82&amp;")"</f>
        <v>Economic Cost (USD)</v>
      </c>
    </row>
    <row r="1392" spans="1:8" s="10" customFormat="1" outlineLevel="1" x14ac:dyDescent="0.2">
      <c r="D1392" s="49" t="str">
        <f>SOCMOB_DETAILED_COST_WKSHT!D263</f>
        <v>Supplies and Materials Category 1</v>
      </c>
      <c r="E1392" s="115">
        <f>IF(DD_TOP_ACTV_16_Detailed_Currency_Used=2,SOCMOB_DETAILED_COST_WKSHT!$F263*SOCMOB_DETAILED_COST_WKSHT!G263,SOCMOB_DETAILED_COST_WKSHT!$F263*(SOCMOB_DETAILED_COST_WKSHT!G263*TOP_ACTV_16_Exchange_Rate))</f>
        <v>0</v>
      </c>
      <c r="F1392" s="115">
        <f>IF(DD_TOP_ACTV_16_Detailed_Currency_Used=2,SOCMOB_DETAILED_COST_WKSHT!$F263*SOCMOB_DETAILED_COST_WKSHT!H263,SOCMOB_DETAILED_COST_WKSHT!$F263*(SOCMOB_DETAILED_COST_WKSHT!H263*TOP_ACTV_16_Exchange_Rate))</f>
        <v>0</v>
      </c>
      <c r="G1392" s="116">
        <f t="shared" ref="G1392:G1401" si="132">E1392/TOP_ACTV_16_Exchange_Rate</f>
        <v>0</v>
      </c>
      <c r="H1392" s="116">
        <f t="shared" ref="H1392:H1401" si="133">F1392/TOP_ACTV_16_Exchange_Rate</f>
        <v>0</v>
      </c>
    </row>
    <row r="1393" spans="1:8" s="10" customFormat="1" outlineLevel="1" x14ac:dyDescent="0.2">
      <c r="D1393" s="49" t="str">
        <f>SOCMOB_DETAILED_COST_WKSHT!D264</f>
        <v>Supplies and Materials Category 2</v>
      </c>
      <c r="E1393" s="115">
        <f>IF(DD_TOP_ACTV_16_Detailed_Currency_Used=2,SOCMOB_DETAILED_COST_WKSHT!$F264*SOCMOB_DETAILED_COST_WKSHT!G264,SOCMOB_DETAILED_COST_WKSHT!$F264*(SOCMOB_DETAILED_COST_WKSHT!G264*TOP_ACTV_16_Exchange_Rate))</f>
        <v>0</v>
      </c>
      <c r="F1393" s="115">
        <f>IF(DD_TOP_ACTV_16_Detailed_Currency_Used=2,SOCMOB_DETAILED_COST_WKSHT!$F264*SOCMOB_DETAILED_COST_WKSHT!H264,SOCMOB_DETAILED_COST_WKSHT!$F264*(SOCMOB_DETAILED_COST_WKSHT!H264*TOP_ACTV_16_Exchange_Rate))</f>
        <v>0</v>
      </c>
      <c r="G1393" s="116">
        <f t="shared" si="132"/>
        <v>0</v>
      </c>
      <c r="H1393" s="116">
        <f t="shared" si="133"/>
        <v>0</v>
      </c>
    </row>
    <row r="1394" spans="1:8" s="10" customFormat="1" outlineLevel="1" x14ac:dyDescent="0.2">
      <c r="D1394" s="49" t="str">
        <f>SOCMOB_DETAILED_COST_WKSHT!D265</f>
        <v>Supplies and Materials Category 3</v>
      </c>
      <c r="E1394" s="115">
        <f>IF(DD_TOP_ACTV_16_Detailed_Currency_Used=2,SOCMOB_DETAILED_COST_WKSHT!$F265*SOCMOB_DETAILED_COST_WKSHT!G265,SOCMOB_DETAILED_COST_WKSHT!$F265*(SOCMOB_DETAILED_COST_WKSHT!G265*TOP_ACTV_16_Exchange_Rate))</f>
        <v>0</v>
      </c>
      <c r="F1394" s="115">
        <f>IF(DD_TOP_ACTV_16_Detailed_Currency_Used=2,SOCMOB_DETAILED_COST_WKSHT!$F265*SOCMOB_DETAILED_COST_WKSHT!H265,SOCMOB_DETAILED_COST_WKSHT!$F265*(SOCMOB_DETAILED_COST_WKSHT!H265*TOP_ACTV_16_Exchange_Rate))</f>
        <v>0</v>
      </c>
      <c r="G1394" s="116">
        <f t="shared" si="132"/>
        <v>0</v>
      </c>
      <c r="H1394" s="116">
        <f t="shared" si="133"/>
        <v>0</v>
      </c>
    </row>
    <row r="1395" spans="1:8" s="10" customFormat="1" outlineLevel="1" x14ac:dyDescent="0.2">
      <c r="D1395" s="49" t="str">
        <f>SOCMOB_DETAILED_COST_WKSHT!D266</f>
        <v>Supplies and Materials Category 4</v>
      </c>
      <c r="E1395" s="115">
        <f>IF(DD_TOP_ACTV_16_Detailed_Currency_Used=2,SOCMOB_DETAILED_COST_WKSHT!$F266*SOCMOB_DETAILED_COST_WKSHT!G266,SOCMOB_DETAILED_COST_WKSHT!$F266*(SOCMOB_DETAILED_COST_WKSHT!G266*TOP_ACTV_16_Exchange_Rate))</f>
        <v>0</v>
      </c>
      <c r="F1395" s="115">
        <f>IF(DD_TOP_ACTV_16_Detailed_Currency_Used=2,SOCMOB_DETAILED_COST_WKSHT!$F266*SOCMOB_DETAILED_COST_WKSHT!H266,SOCMOB_DETAILED_COST_WKSHT!$F266*(SOCMOB_DETAILED_COST_WKSHT!H266*TOP_ACTV_16_Exchange_Rate))</f>
        <v>0</v>
      </c>
      <c r="G1395" s="116">
        <f t="shared" si="132"/>
        <v>0</v>
      </c>
      <c r="H1395" s="116">
        <f t="shared" si="133"/>
        <v>0</v>
      </c>
    </row>
    <row r="1396" spans="1:8" s="10" customFormat="1" outlineLevel="1" x14ac:dyDescent="0.2">
      <c r="D1396" s="49" t="str">
        <f>SOCMOB_DETAILED_COST_WKSHT!D267</f>
        <v>Supplies and Materials Category 5</v>
      </c>
      <c r="E1396" s="115">
        <f>IF(DD_TOP_ACTV_16_Detailed_Currency_Used=2,SOCMOB_DETAILED_COST_WKSHT!$F267*SOCMOB_DETAILED_COST_WKSHT!G267,SOCMOB_DETAILED_COST_WKSHT!$F267*(SOCMOB_DETAILED_COST_WKSHT!G267*TOP_ACTV_16_Exchange_Rate))</f>
        <v>0</v>
      </c>
      <c r="F1396" s="115">
        <f>IF(DD_TOP_ACTV_16_Detailed_Currency_Used=2,SOCMOB_DETAILED_COST_WKSHT!$F267*SOCMOB_DETAILED_COST_WKSHT!H267,SOCMOB_DETAILED_COST_WKSHT!$F267*(SOCMOB_DETAILED_COST_WKSHT!H267*TOP_ACTV_16_Exchange_Rate))</f>
        <v>0</v>
      </c>
      <c r="G1396" s="116">
        <f t="shared" si="132"/>
        <v>0</v>
      </c>
      <c r="H1396" s="116">
        <f t="shared" si="133"/>
        <v>0</v>
      </c>
    </row>
    <row r="1397" spans="1:8" s="10" customFormat="1" outlineLevel="1" x14ac:dyDescent="0.2">
      <c r="D1397" s="49" t="str">
        <f>SOCMOB_DETAILED_COST_WKSHT!D268</f>
        <v>Supplies and Materials Category 6</v>
      </c>
      <c r="E1397" s="115">
        <f>IF(DD_TOP_ACTV_16_Detailed_Currency_Used=2,SOCMOB_DETAILED_COST_WKSHT!$F268*SOCMOB_DETAILED_COST_WKSHT!G268,SOCMOB_DETAILED_COST_WKSHT!$F268*(SOCMOB_DETAILED_COST_WKSHT!G268*TOP_ACTV_16_Exchange_Rate))</f>
        <v>0</v>
      </c>
      <c r="F1397" s="115">
        <f>IF(DD_TOP_ACTV_16_Detailed_Currency_Used=2,SOCMOB_DETAILED_COST_WKSHT!$F268*SOCMOB_DETAILED_COST_WKSHT!H268,SOCMOB_DETAILED_COST_WKSHT!$F268*(SOCMOB_DETAILED_COST_WKSHT!H268*TOP_ACTV_16_Exchange_Rate))</f>
        <v>0</v>
      </c>
      <c r="G1397" s="116">
        <f t="shared" si="132"/>
        <v>0</v>
      </c>
      <c r="H1397" s="116">
        <f t="shared" si="133"/>
        <v>0</v>
      </c>
    </row>
    <row r="1398" spans="1:8" s="10" customFormat="1" outlineLevel="1" x14ac:dyDescent="0.2">
      <c r="D1398" s="49" t="str">
        <f>SOCMOB_DETAILED_COST_WKSHT!D269</f>
        <v>Supplies and Materials Category 7</v>
      </c>
      <c r="E1398" s="115">
        <f>IF(DD_TOP_ACTV_16_Detailed_Currency_Used=2,SOCMOB_DETAILED_COST_WKSHT!$F269*SOCMOB_DETAILED_COST_WKSHT!G269,SOCMOB_DETAILED_COST_WKSHT!$F269*(SOCMOB_DETAILED_COST_WKSHT!G269*TOP_ACTV_16_Exchange_Rate))</f>
        <v>0</v>
      </c>
      <c r="F1398" s="115">
        <f>IF(DD_TOP_ACTV_16_Detailed_Currency_Used=2,SOCMOB_DETAILED_COST_WKSHT!$F269*SOCMOB_DETAILED_COST_WKSHT!H269,SOCMOB_DETAILED_COST_WKSHT!$F269*(SOCMOB_DETAILED_COST_WKSHT!H269*TOP_ACTV_16_Exchange_Rate))</f>
        <v>0</v>
      </c>
      <c r="G1398" s="116">
        <f t="shared" si="132"/>
        <v>0</v>
      </c>
      <c r="H1398" s="116">
        <f t="shared" si="133"/>
        <v>0</v>
      </c>
    </row>
    <row r="1399" spans="1:8" s="10" customFormat="1" outlineLevel="1" x14ac:dyDescent="0.2">
      <c r="D1399" s="49" t="str">
        <f>SOCMOB_DETAILED_COST_WKSHT!D270</f>
        <v>Supplies and Materials Category 8</v>
      </c>
      <c r="E1399" s="115">
        <f>IF(DD_TOP_ACTV_16_Detailed_Currency_Used=2,SOCMOB_DETAILED_COST_WKSHT!$F270*SOCMOB_DETAILED_COST_WKSHT!G270,SOCMOB_DETAILED_COST_WKSHT!$F270*(SOCMOB_DETAILED_COST_WKSHT!G270*TOP_ACTV_16_Exchange_Rate))</f>
        <v>0</v>
      </c>
      <c r="F1399" s="115">
        <f>IF(DD_TOP_ACTV_16_Detailed_Currency_Used=2,SOCMOB_DETAILED_COST_WKSHT!$F270*SOCMOB_DETAILED_COST_WKSHT!H270,SOCMOB_DETAILED_COST_WKSHT!$F270*(SOCMOB_DETAILED_COST_WKSHT!H270*TOP_ACTV_16_Exchange_Rate))</f>
        <v>0</v>
      </c>
      <c r="G1399" s="116">
        <f t="shared" si="132"/>
        <v>0</v>
      </c>
      <c r="H1399" s="116">
        <f t="shared" si="133"/>
        <v>0</v>
      </c>
    </row>
    <row r="1400" spans="1:8" s="10" customFormat="1" outlineLevel="1" x14ac:dyDescent="0.2">
      <c r="D1400" s="49" t="str">
        <f>SOCMOB_DETAILED_COST_WKSHT!D271</f>
        <v>Supplies and Materials Category 9</v>
      </c>
      <c r="E1400" s="115">
        <f>IF(DD_TOP_ACTV_16_Detailed_Currency_Used=2,SOCMOB_DETAILED_COST_WKSHT!$F271*SOCMOB_DETAILED_COST_WKSHT!G271,SOCMOB_DETAILED_COST_WKSHT!$F271*(SOCMOB_DETAILED_COST_WKSHT!G271*TOP_ACTV_16_Exchange_Rate))</f>
        <v>0</v>
      </c>
      <c r="F1400" s="115">
        <f>IF(DD_TOP_ACTV_16_Detailed_Currency_Used=2,SOCMOB_DETAILED_COST_WKSHT!$F271*SOCMOB_DETAILED_COST_WKSHT!H271,SOCMOB_DETAILED_COST_WKSHT!$F271*(SOCMOB_DETAILED_COST_WKSHT!H271*TOP_ACTV_16_Exchange_Rate))</f>
        <v>0</v>
      </c>
      <c r="G1400" s="116">
        <f t="shared" si="132"/>
        <v>0</v>
      </c>
      <c r="H1400" s="116">
        <f t="shared" si="133"/>
        <v>0</v>
      </c>
    </row>
    <row r="1401" spans="1:8" s="10" customFormat="1" outlineLevel="1" x14ac:dyDescent="0.2">
      <c r="D1401" s="49" t="str">
        <f>SOCMOB_DETAILED_COST_WKSHT!D272</f>
        <v>Supplies and Materials Category 10</v>
      </c>
      <c r="E1401" s="115">
        <f>IF(DD_TOP_ACTV_16_Detailed_Currency_Used=2,SOCMOB_DETAILED_COST_WKSHT!$F272*SOCMOB_DETAILED_COST_WKSHT!G272,SOCMOB_DETAILED_COST_WKSHT!$F272*(SOCMOB_DETAILED_COST_WKSHT!G272*TOP_ACTV_16_Exchange_Rate))</f>
        <v>0</v>
      </c>
      <c r="F1401" s="115">
        <f>IF(DD_TOP_ACTV_16_Detailed_Currency_Used=2,SOCMOB_DETAILED_COST_WKSHT!$F272*SOCMOB_DETAILED_COST_WKSHT!H272,SOCMOB_DETAILED_COST_WKSHT!$F272*(SOCMOB_DETAILED_COST_WKSHT!H272*TOP_ACTV_16_Exchange_Rate))</f>
        <v>0</v>
      </c>
      <c r="G1401" s="116">
        <f t="shared" si="132"/>
        <v>0</v>
      </c>
      <c r="H1401" s="116">
        <f t="shared" si="133"/>
        <v>0</v>
      </c>
    </row>
    <row r="1402" spans="1:8" s="10" customFormat="1" outlineLevel="1" x14ac:dyDescent="0.2">
      <c r="D1402" s="48" t="str">
        <f>Lang_Supplies_And_Materials</f>
        <v>Supplies and Materials</v>
      </c>
      <c r="E1402" s="120">
        <f>SUM(E1392:E1401)</f>
        <v>0</v>
      </c>
      <c r="F1402" s="120">
        <f>SUM(F1392:F1401)</f>
        <v>0</v>
      </c>
      <c r="G1402" s="121">
        <f>SUM(G1392:G1401)</f>
        <v>0</v>
      </c>
      <c r="H1402" s="121">
        <f>SUM(H1392:H1401)</f>
        <v>0</v>
      </c>
    </row>
    <row r="1403" spans="1:8" s="10" customFormat="1" outlineLevel="1" x14ac:dyDescent="0.2"/>
    <row r="1404" spans="1:8" s="10" customFormat="1" outlineLevel="1" x14ac:dyDescent="0.2"/>
    <row r="1405" spans="1:8" s="10" customFormat="1" outlineLevel="1" x14ac:dyDescent="0.2">
      <c r="D1405" s="76" t="str">
        <f>Lang_GoTo&amp;" "&amp;HL_TOP_ACTV_16_Supplies_and_Materials</f>
        <v>Go to IEC Soc Mob  Activity # 3 (Not in Use) - Detailed Supply and Material Cost Assumptions</v>
      </c>
    </row>
    <row r="1406" spans="1:8" s="10" customFormat="1" outlineLevel="1" x14ac:dyDescent="0.2">
      <c r="D1406" s="76" t="str">
        <f>Lang_GoTo&amp;" "&amp;HL_TOP_ACTV_16_Cost_Summary_Output</f>
        <v>Go to IEC Soc Mob  Activity # 3 (Not in Use) Detailed Cost Summary</v>
      </c>
    </row>
    <row r="1407" spans="1:8" s="10" customFormat="1" x14ac:dyDescent="0.2"/>
    <row r="1408" spans="1:8" s="13" customFormat="1" x14ac:dyDescent="0.2">
      <c r="A1408" s="12" t="s">
        <v>127</v>
      </c>
      <c r="B1408" s="13" t="str">
        <f>HL_TOP_ACTV_16_Name&amp;" "&amp;Lang_Other_Direct_Costs_Outputs</f>
        <v>IEC Soc Mob  Activity # 3 (Not in Use) Other Direct Costs - Outputs</v>
      </c>
    </row>
    <row r="1409" spans="3:8" s="10" customFormat="1" outlineLevel="1" x14ac:dyDescent="0.2"/>
    <row r="1410" spans="3:8" s="10" customFormat="1" outlineLevel="1" x14ac:dyDescent="0.2">
      <c r="C1410" s="114" t="str">
        <f>HL_TOP_ACTV_16_Name</f>
        <v>IEC Soc Mob  Activity # 3 (Not in Use)</v>
      </c>
    </row>
    <row r="1411" spans="3:8" s="10" customFormat="1" outlineLevel="1" x14ac:dyDescent="0.2">
      <c r="E1411" s="86" t="str">
        <f>SOCMOB_Lu!$D$102&amp;" "&amp;Lang_Cost&amp;" ("&amp;SOCMOB_Lu!$D$83&amp;")"</f>
        <v>Financial Cost (LCU)</v>
      </c>
      <c r="F1411" s="86" t="str">
        <f>SOCMOB_Lu!$D$103&amp;" "&amp;Lang_Cost&amp;" ("&amp;SOCMOB_Lu!$D$83&amp;")"</f>
        <v>Economic Cost (LCU)</v>
      </c>
      <c r="G1411" s="86" t="str">
        <f>SOCMOB_Lu!$D$102&amp;" "&amp;Lang_Cost&amp;" ("&amp;SOCMOB_Lu!$D$82&amp;")"</f>
        <v>Financial Cost (USD)</v>
      </c>
      <c r="H1411" s="86" t="str">
        <f>SOCMOB_Lu!$D$103&amp;" "&amp;Lang_Cost&amp;" ("&amp;SOCMOB_Lu!$D$82&amp;")"</f>
        <v>Economic Cost (USD)</v>
      </c>
    </row>
    <row r="1412" spans="3:8" s="10" customFormat="1" outlineLevel="1" x14ac:dyDescent="0.2">
      <c r="D1412" s="49" t="str">
        <f>SOCMOB_DETAILED_COST_WKSHT!D281</f>
        <v>Other Direct Costs (ODC) Category 1</v>
      </c>
      <c r="E1412" s="115">
        <f>IF(DD_TOP_ACTV_16_Detailed_Currency_Used=2,SOCMOB_DETAILED_COST_WKSHT!$F281*SOCMOB_DETAILED_COST_WKSHT!G281,SOCMOB_DETAILED_COST_WKSHT!$F281*(SOCMOB_DETAILED_COST_WKSHT!G281*TOP_ACTV_16_Exchange_Rate))</f>
        <v>0</v>
      </c>
      <c r="F1412" s="115">
        <f>IF(DD_TOP_ACTV_16_Detailed_Currency_Used=2,SOCMOB_DETAILED_COST_WKSHT!$F281*SOCMOB_DETAILED_COST_WKSHT!H281,SOCMOB_DETAILED_COST_WKSHT!$F281*(SOCMOB_DETAILED_COST_WKSHT!H281*TOP_ACTV_16_Exchange_Rate))</f>
        <v>0</v>
      </c>
      <c r="G1412" s="116">
        <f t="shared" ref="G1412:G1421" si="134">E1412/TOP_ACTV_16_Exchange_Rate</f>
        <v>0</v>
      </c>
      <c r="H1412" s="116">
        <f t="shared" ref="H1412:H1421" si="135">F1412/TOP_ACTV_16_Exchange_Rate</f>
        <v>0</v>
      </c>
    </row>
    <row r="1413" spans="3:8" s="10" customFormat="1" outlineLevel="1" x14ac:dyDescent="0.2">
      <c r="D1413" s="49" t="str">
        <f>SOCMOB_DETAILED_COST_WKSHT!D282</f>
        <v>Other Direct Costs (ODC) Category 2</v>
      </c>
      <c r="E1413" s="115">
        <f>IF(DD_TOP_ACTV_16_Detailed_Currency_Used=2,SOCMOB_DETAILED_COST_WKSHT!$F282*SOCMOB_DETAILED_COST_WKSHT!G282,SOCMOB_DETAILED_COST_WKSHT!$F282*(SOCMOB_DETAILED_COST_WKSHT!G282*TOP_ACTV_16_Exchange_Rate))</f>
        <v>0</v>
      </c>
      <c r="F1413" s="115">
        <f>IF(DD_TOP_ACTV_16_Detailed_Currency_Used=2,SOCMOB_DETAILED_COST_WKSHT!$F282*SOCMOB_DETAILED_COST_WKSHT!H282,SOCMOB_DETAILED_COST_WKSHT!$F282*(SOCMOB_DETAILED_COST_WKSHT!H282*TOP_ACTV_16_Exchange_Rate))</f>
        <v>0</v>
      </c>
      <c r="G1413" s="116">
        <f t="shared" si="134"/>
        <v>0</v>
      </c>
      <c r="H1413" s="116">
        <f t="shared" si="135"/>
        <v>0</v>
      </c>
    </row>
    <row r="1414" spans="3:8" s="10" customFormat="1" outlineLevel="1" x14ac:dyDescent="0.2">
      <c r="D1414" s="49" t="str">
        <f>SOCMOB_DETAILED_COST_WKSHT!D283</f>
        <v>Other Direct Costs (ODC) Category 3</v>
      </c>
      <c r="E1414" s="115">
        <f>IF(DD_TOP_ACTV_16_Detailed_Currency_Used=2,SOCMOB_DETAILED_COST_WKSHT!$F283*SOCMOB_DETAILED_COST_WKSHT!G283,SOCMOB_DETAILED_COST_WKSHT!$F283*(SOCMOB_DETAILED_COST_WKSHT!G283*TOP_ACTV_16_Exchange_Rate))</f>
        <v>0</v>
      </c>
      <c r="F1414" s="115">
        <f>IF(DD_TOP_ACTV_16_Detailed_Currency_Used=2,SOCMOB_DETAILED_COST_WKSHT!$F283*SOCMOB_DETAILED_COST_WKSHT!H283,SOCMOB_DETAILED_COST_WKSHT!$F283*(SOCMOB_DETAILED_COST_WKSHT!H283*TOP_ACTV_16_Exchange_Rate))</f>
        <v>0</v>
      </c>
      <c r="G1414" s="116">
        <f t="shared" si="134"/>
        <v>0</v>
      </c>
      <c r="H1414" s="116">
        <f t="shared" si="135"/>
        <v>0</v>
      </c>
    </row>
    <row r="1415" spans="3:8" s="10" customFormat="1" outlineLevel="1" x14ac:dyDescent="0.2">
      <c r="D1415" s="49" t="str">
        <f>SOCMOB_DETAILED_COST_WKSHT!D284</f>
        <v>Other Direct Costs (ODC) Category 4</v>
      </c>
      <c r="E1415" s="115">
        <f>IF(DD_TOP_ACTV_16_Detailed_Currency_Used=2,SOCMOB_DETAILED_COST_WKSHT!$F284*SOCMOB_DETAILED_COST_WKSHT!G284,SOCMOB_DETAILED_COST_WKSHT!$F284*(SOCMOB_DETAILED_COST_WKSHT!G284*TOP_ACTV_16_Exchange_Rate))</f>
        <v>0</v>
      </c>
      <c r="F1415" s="115">
        <f>IF(DD_TOP_ACTV_16_Detailed_Currency_Used=2,SOCMOB_DETAILED_COST_WKSHT!$F284*SOCMOB_DETAILED_COST_WKSHT!H284,SOCMOB_DETAILED_COST_WKSHT!$F284*(SOCMOB_DETAILED_COST_WKSHT!H284*TOP_ACTV_16_Exchange_Rate))</f>
        <v>0</v>
      </c>
      <c r="G1415" s="116">
        <f t="shared" si="134"/>
        <v>0</v>
      </c>
      <c r="H1415" s="116">
        <f t="shared" si="135"/>
        <v>0</v>
      </c>
    </row>
    <row r="1416" spans="3:8" s="10" customFormat="1" outlineLevel="1" x14ac:dyDescent="0.2">
      <c r="D1416" s="49" t="str">
        <f>SOCMOB_DETAILED_COST_WKSHT!D285</f>
        <v>Other Direct Costs (ODC) Category 5</v>
      </c>
      <c r="E1416" s="115">
        <f>IF(DD_TOP_ACTV_16_Detailed_Currency_Used=2,SOCMOB_DETAILED_COST_WKSHT!$F285*SOCMOB_DETAILED_COST_WKSHT!G285,SOCMOB_DETAILED_COST_WKSHT!$F285*(SOCMOB_DETAILED_COST_WKSHT!G285*TOP_ACTV_16_Exchange_Rate))</f>
        <v>0</v>
      </c>
      <c r="F1416" s="115">
        <f>IF(DD_TOP_ACTV_16_Detailed_Currency_Used=2,SOCMOB_DETAILED_COST_WKSHT!$F285*SOCMOB_DETAILED_COST_WKSHT!H285,SOCMOB_DETAILED_COST_WKSHT!$F285*(SOCMOB_DETAILED_COST_WKSHT!H285*TOP_ACTV_16_Exchange_Rate))</f>
        <v>0</v>
      </c>
      <c r="G1416" s="116">
        <f t="shared" si="134"/>
        <v>0</v>
      </c>
      <c r="H1416" s="116">
        <f t="shared" si="135"/>
        <v>0</v>
      </c>
    </row>
    <row r="1417" spans="3:8" s="10" customFormat="1" outlineLevel="1" x14ac:dyDescent="0.2">
      <c r="D1417" s="49" t="str">
        <f>SOCMOB_DETAILED_COST_WKSHT!D286</f>
        <v>Other Direct Costs (ODC) Category 6</v>
      </c>
      <c r="E1417" s="115">
        <f>IF(DD_TOP_ACTV_16_Detailed_Currency_Used=2,SOCMOB_DETAILED_COST_WKSHT!$F286*SOCMOB_DETAILED_COST_WKSHT!G286,SOCMOB_DETAILED_COST_WKSHT!$F286*(SOCMOB_DETAILED_COST_WKSHT!G286*TOP_ACTV_16_Exchange_Rate))</f>
        <v>0</v>
      </c>
      <c r="F1417" s="115">
        <f>IF(DD_TOP_ACTV_16_Detailed_Currency_Used=2,SOCMOB_DETAILED_COST_WKSHT!$F286*SOCMOB_DETAILED_COST_WKSHT!H286,SOCMOB_DETAILED_COST_WKSHT!$F286*(SOCMOB_DETAILED_COST_WKSHT!H286*TOP_ACTV_16_Exchange_Rate))</f>
        <v>0</v>
      </c>
      <c r="G1417" s="116">
        <f t="shared" si="134"/>
        <v>0</v>
      </c>
      <c r="H1417" s="116">
        <f t="shared" si="135"/>
        <v>0</v>
      </c>
    </row>
    <row r="1418" spans="3:8" s="10" customFormat="1" outlineLevel="1" x14ac:dyDescent="0.2">
      <c r="D1418" s="49" t="str">
        <f>SOCMOB_DETAILED_COST_WKSHT!D287</f>
        <v>Other Direct Costs (ODC) Category 7</v>
      </c>
      <c r="E1418" s="115">
        <f>IF(DD_TOP_ACTV_16_Detailed_Currency_Used=2,SOCMOB_DETAILED_COST_WKSHT!$F287*SOCMOB_DETAILED_COST_WKSHT!G287,SOCMOB_DETAILED_COST_WKSHT!$F287*(SOCMOB_DETAILED_COST_WKSHT!G287*TOP_ACTV_16_Exchange_Rate))</f>
        <v>0</v>
      </c>
      <c r="F1418" s="115">
        <f>IF(DD_TOP_ACTV_16_Detailed_Currency_Used=2,SOCMOB_DETAILED_COST_WKSHT!$F287*SOCMOB_DETAILED_COST_WKSHT!H287,SOCMOB_DETAILED_COST_WKSHT!$F287*(SOCMOB_DETAILED_COST_WKSHT!H287*TOP_ACTV_16_Exchange_Rate))</f>
        <v>0</v>
      </c>
      <c r="G1418" s="116">
        <f t="shared" si="134"/>
        <v>0</v>
      </c>
      <c r="H1418" s="116">
        <f t="shared" si="135"/>
        <v>0</v>
      </c>
    </row>
    <row r="1419" spans="3:8" s="10" customFormat="1" outlineLevel="1" x14ac:dyDescent="0.2">
      <c r="D1419" s="49" t="str">
        <f>SOCMOB_DETAILED_COST_WKSHT!D288</f>
        <v>Other Direct Costs (ODC) Category 8</v>
      </c>
      <c r="E1419" s="115">
        <f>IF(DD_TOP_ACTV_16_Detailed_Currency_Used=2,SOCMOB_DETAILED_COST_WKSHT!$F288*SOCMOB_DETAILED_COST_WKSHT!G288,SOCMOB_DETAILED_COST_WKSHT!$F288*(SOCMOB_DETAILED_COST_WKSHT!G288*TOP_ACTV_16_Exchange_Rate))</f>
        <v>0</v>
      </c>
      <c r="F1419" s="115">
        <f>IF(DD_TOP_ACTV_16_Detailed_Currency_Used=2,SOCMOB_DETAILED_COST_WKSHT!$F288*SOCMOB_DETAILED_COST_WKSHT!H288,SOCMOB_DETAILED_COST_WKSHT!$F288*(SOCMOB_DETAILED_COST_WKSHT!H288*TOP_ACTV_16_Exchange_Rate))</f>
        <v>0</v>
      </c>
      <c r="G1419" s="116">
        <f t="shared" si="134"/>
        <v>0</v>
      </c>
      <c r="H1419" s="116">
        <f t="shared" si="135"/>
        <v>0</v>
      </c>
    </row>
    <row r="1420" spans="3:8" s="10" customFormat="1" outlineLevel="1" x14ac:dyDescent="0.2">
      <c r="D1420" s="49" t="str">
        <f>SOCMOB_DETAILED_COST_WKSHT!D289</f>
        <v>Other Direct Costs (ODC) Category 9</v>
      </c>
      <c r="E1420" s="115">
        <f>IF(DD_TOP_ACTV_16_Detailed_Currency_Used=2,SOCMOB_DETAILED_COST_WKSHT!$F289*SOCMOB_DETAILED_COST_WKSHT!G289,SOCMOB_DETAILED_COST_WKSHT!$F289*(SOCMOB_DETAILED_COST_WKSHT!G289*TOP_ACTV_16_Exchange_Rate))</f>
        <v>0</v>
      </c>
      <c r="F1420" s="115">
        <f>IF(DD_TOP_ACTV_16_Detailed_Currency_Used=2,SOCMOB_DETAILED_COST_WKSHT!$F289*SOCMOB_DETAILED_COST_WKSHT!H289,SOCMOB_DETAILED_COST_WKSHT!$F289*(SOCMOB_DETAILED_COST_WKSHT!H289*TOP_ACTV_16_Exchange_Rate))</f>
        <v>0</v>
      </c>
      <c r="G1420" s="116">
        <f t="shared" si="134"/>
        <v>0</v>
      </c>
      <c r="H1420" s="116">
        <f t="shared" si="135"/>
        <v>0</v>
      </c>
    </row>
    <row r="1421" spans="3:8" s="10" customFormat="1" outlineLevel="1" x14ac:dyDescent="0.2">
      <c r="D1421" s="49" t="str">
        <f>SOCMOB_DETAILED_COST_WKSHT!D290</f>
        <v>Other Direct Costs (ODC) Category 10</v>
      </c>
      <c r="E1421" s="115">
        <f>IF(DD_TOP_ACTV_16_Detailed_Currency_Used=2,SOCMOB_DETAILED_COST_WKSHT!$F290*SOCMOB_DETAILED_COST_WKSHT!G290,SOCMOB_DETAILED_COST_WKSHT!$F290*(SOCMOB_DETAILED_COST_WKSHT!G290*TOP_ACTV_16_Exchange_Rate))</f>
        <v>0</v>
      </c>
      <c r="F1421" s="115">
        <f>IF(DD_TOP_ACTV_16_Detailed_Currency_Used=2,SOCMOB_DETAILED_COST_WKSHT!$F290*SOCMOB_DETAILED_COST_WKSHT!H290,SOCMOB_DETAILED_COST_WKSHT!$F290*(SOCMOB_DETAILED_COST_WKSHT!H290*TOP_ACTV_16_Exchange_Rate))</f>
        <v>0</v>
      </c>
      <c r="G1421" s="116">
        <f t="shared" si="134"/>
        <v>0</v>
      </c>
      <c r="H1421" s="116">
        <f t="shared" si="135"/>
        <v>0</v>
      </c>
    </row>
    <row r="1422" spans="3:8" s="10" customFormat="1" outlineLevel="1" x14ac:dyDescent="0.2">
      <c r="D1422" s="48" t="str">
        <f>Lang_Other_Direct_Costs</f>
        <v>Other Direct Costs</v>
      </c>
      <c r="E1422" s="120">
        <f>SUM(E1412:E1421)</f>
        <v>0</v>
      </c>
      <c r="F1422" s="120">
        <f>SUM(F1412:F1421)</f>
        <v>0</v>
      </c>
      <c r="G1422" s="121">
        <f>SUM(G1412:G1421)</f>
        <v>0</v>
      </c>
      <c r="H1422" s="121">
        <f>SUM(H1412:H1421)</f>
        <v>0</v>
      </c>
    </row>
    <row r="1423" spans="3:8" s="10" customFormat="1" outlineLevel="1" x14ac:dyDescent="0.2"/>
    <row r="1424" spans="3:8" s="10" customFormat="1" outlineLevel="1" x14ac:dyDescent="0.2">
      <c r="D1424" s="76" t="str">
        <f>Lang_GoTo&amp;" "&amp;HL_TOP_ACTV_16_Other_Direct_Costs</f>
        <v>Go to IEC Soc Mob  Activity # 3 (Not in Use) - Detailed Other Direct Cost Assumptions</v>
      </c>
    </row>
    <row r="1425" spans="1:8" s="10" customFormat="1" outlineLevel="1" x14ac:dyDescent="0.2">
      <c r="D1425" s="76" t="str">
        <f>Lang_GoTo&amp;" "&amp;HL_TOP_ACTV_16_Cost_Summary_Output</f>
        <v>Go to IEC Soc Mob  Activity # 3 (Not in Use) Detailed Cost Summary</v>
      </c>
    </row>
    <row r="1426" spans="1:8" s="10" customFormat="1" x14ac:dyDescent="0.2"/>
    <row r="1427" spans="1:8" s="13" customFormat="1" x14ac:dyDescent="0.2">
      <c r="A1427" s="12" t="s">
        <v>127</v>
      </c>
      <c r="B1427" s="13" t="str">
        <f>C1429&amp;" "&amp;Lang_Personnel_Outputs</f>
        <v>IEC Soc Mob  Activity # 4  (Not in Use) Personnel - Outputs</v>
      </c>
    </row>
    <row r="1428" spans="1:8" s="10" customFormat="1" outlineLevel="1" x14ac:dyDescent="0.2"/>
    <row r="1429" spans="1:8" s="10" customFormat="1" outlineLevel="1" x14ac:dyDescent="0.2">
      <c r="C1429" s="114" t="str">
        <f>HL_LVL2_ACTV_4_Name</f>
        <v>IEC Soc Mob  Activity # 4  (Not in Use)</v>
      </c>
    </row>
    <row r="1430" spans="1:8" s="10" customFormat="1" outlineLevel="1" x14ac:dyDescent="0.2">
      <c r="E1430" s="86" t="str">
        <f>SOCMOB_Lu!$D$137&amp;" "&amp;Lang_Cost&amp;" ("&amp;SOCMOB_Lu!$D$118&amp;")"</f>
        <v>Financial Cost (LCU)</v>
      </c>
      <c r="F1430" s="86" t="str">
        <f>SOCMOB_Lu!$D$138&amp;" "&amp;Lang_Cost&amp;" ("&amp;SOCMOB_Lu!$D$118&amp;")"</f>
        <v>Economic Cost (LCU)</v>
      </c>
      <c r="G1430" s="86" t="str">
        <f>SOCMOB_Lu!$D$137&amp;" "&amp;Lang_Cost&amp;" ("&amp;SOCMOB_Lu!$D$117&amp;")"</f>
        <v>Financial Cost (USD)</v>
      </c>
      <c r="H1430" s="86" t="str">
        <f>SOCMOB_Lu!$D$138&amp;" "&amp;Lang_Cost&amp;" ("&amp;SOCMOB_Lu!$D$117&amp;")"</f>
        <v>Economic Cost (USD)</v>
      </c>
    </row>
    <row r="1431" spans="1:8" s="10" customFormat="1" outlineLevel="1" x14ac:dyDescent="0.2">
      <c r="D1431" s="49" t="str">
        <f>SOCMOB_DETAILED_COST_WKSHT!D321</f>
        <v>Personnel Category 1</v>
      </c>
      <c r="E1431" s="115">
        <f>IF(DD_LVL2_ACTV_4_Currency_Selected=2,SOCMOB_DETAILED_COST_WKSHT!$F321*SOCMOB_DETAILED_COST_WKSHT!G321,SOCMOB_DETAILED_COST_WKSHT!$F321*(SOCMOB_DETAILED_COST_WKSHT!G321*LVL2_ACTV_4_Exchange_Rate))</f>
        <v>0</v>
      </c>
      <c r="F1431" s="115">
        <f>IF(DD_LVL2_ACTV_4_Currency_Selected=2,SOCMOB_DETAILED_COST_WKSHT!$F321*SOCMOB_DETAILED_COST_WKSHT!H321,SOCMOB_DETAILED_COST_WKSHT!$F321*(SOCMOB_DETAILED_COST_WKSHT!H321*LVL2_ACTV_4_Exchange_Rate))</f>
        <v>0</v>
      </c>
      <c r="G1431" s="116">
        <f t="shared" ref="G1431:G1445" si="136">IFERROR(E1431/LVL2_ACTV_4_Exchange_Rate,0)</f>
        <v>0</v>
      </c>
      <c r="H1431" s="116">
        <f t="shared" ref="H1431:H1445" si="137">IFERROR(F1431/LVL2_ACTV_4_Exchange_Rate,0)</f>
        <v>0</v>
      </c>
    </row>
    <row r="1432" spans="1:8" s="10" customFormat="1" outlineLevel="1" x14ac:dyDescent="0.2">
      <c r="D1432" s="49" t="str">
        <f>SOCMOB_DETAILED_COST_WKSHT!D322</f>
        <v>Personnel Category 2</v>
      </c>
      <c r="E1432" s="115">
        <f>IF(DD_LVL2_ACTV_4_Currency_Selected=2,SOCMOB_DETAILED_COST_WKSHT!$F322*SOCMOB_DETAILED_COST_WKSHT!G322,SOCMOB_DETAILED_COST_WKSHT!$F322*(SOCMOB_DETAILED_COST_WKSHT!G322*LVL2_ACTV_4_Exchange_Rate))</f>
        <v>0</v>
      </c>
      <c r="F1432" s="115">
        <f>IF(DD_LVL2_ACTV_4_Currency_Selected=2,SOCMOB_DETAILED_COST_WKSHT!$F322*SOCMOB_DETAILED_COST_WKSHT!H322,SOCMOB_DETAILED_COST_WKSHT!$F322*(SOCMOB_DETAILED_COST_WKSHT!H322*LVL2_ACTV_4_Exchange_Rate))</f>
        <v>0</v>
      </c>
      <c r="G1432" s="116">
        <f t="shared" si="136"/>
        <v>0</v>
      </c>
      <c r="H1432" s="116">
        <f t="shared" si="137"/>
        <v>0</v>
      </c>
    </row>
    <row r="1433" spans="1:8" s="10" customFormat="1" outlineLevel="1" x14ac:dyDescent="0.2">
      <c r="D1433" s="49" t="str">
        <f>SOCMOB_DETAILED_COST_WKSHT!D323</f>
        <v>Personnel Category 3</v>
      </c>
      <c r="E1433" s="115">
        <f>IF(DD_LVL2_ACTV_4_Currency_Selected=2,SOCMOB_DETAILED_COST_WKSHT!$F323*SOCMOB_DETAILED_COST_WKSHT!G323,SOCMOB_DETAILED_COST_WKSHT!$F323*(SOCMOB_DETAILED_COST_WKSHT!G323*LVL2_ACTV_4_Exchange_Rate))</f>
        <v>0</v>
      </c>
      <c r="F1433" s="115">
        <f>IF(DD_LVL2_ACTV_4_Currency_Selected=2,SOCMOB_DETAILED_COST_WKSHT!$F323*SOCMOB_DETAILED_COST_WKSHT!H323,SOCMOB_DETAILED_COST_WKSHT!$F323*(SOCMOB_DETAILED_COST_WKSHT!H323*LVL2_ACTV_4_Exchange_Rate))</f>
        <v>0</v>
      </c>
      <c r="G1433" s="116">
        <f t="shared" si="136"/>
        <v>0</v>
      </c>
      <c r="H1433" s="116">
        <f t="shared" si="137"/>
        <v>0</v>
      </c>
    </row>
    <row r="1434" spans="1:8" s="10" customFormat="1" outlineLevel="1" x14ac:dyDescent="0.2">
      <c r="D1434" s="49" t="str">
        <f>SOCMOB_DETAILED_COST_WKSHT!D324</f>
        <v>Personnel Category 4</v>
      </c>
      <c r="E1434" s="115">
        <f>IF(DD_LVL2_ACTV_4_Currency_Selected=2,SOCMOB_DETAILED_COST_WKSHT!$F324*SOCMOB_DETAILED_COST_WKSHT!G324,SOCMOB_DETAILED_COST_WKSHT!$F324*(SOCMOB_DETAILED_COST_WKSHT!G324*LVL2_ACTV_4_Exchange_Rate))</f>
        <v>0</v>
      </c>
      <c r="F1434" s="115">
        <f>IF(DD_LVL2_ACTV_4_Currency_Selected=2,SOCMOB_DETAILED_COST_WKSHT!$F324*SOCMOB_DETAILED_COST_WKSHT!H324,SOCMOB_DETAILED_COST_WKSHT!$F324*(SOCMOB_DETAILED_COST_WKSHT!H324*LVL2_ACTV_4_Exchange_Rate))</f>
        <v>0</v>
      </c>
      <c r="G1434" s="116">
        <f t="shared" si="136"/>
        <v>0</v>
      </c>
      <c r="H1434" s="116">
        <f t="shared" si="137"/>
        <v>0</v>
      </c>
    </row>
    <row r="1435" spans="1:8" s="10" customFormat="1" outlineLevel="1" x14ac:dyDescent="0.2">
      <c r="D1435" s="49" t="str">
        <f>SOCMOB_DETAILED_COST_WKSHT!D325</f>
        <v>Personnel Category 5</v>
      </c>
      <c r="E1435" s="115">
        <f>IF(DD_LVL2_ACTV_4_Currency_Selected=2,SOCMOB_DETAILED_COST_WKSHT!$F325*SOCMOB_DETAILED_COST_WKSHT!G325,SOCMOB_DETAILED_COST_WKSHT!$F325*(SOCMOB_DETAILED_COST_WKSHT!G325*LVL2_ACTV_4_Exchange_Rate))</f>
        <v>0</v>
      </c>
      <c r="F1435" s="115">
        <f>IF(DD_LVL2_ACTV_4_Currency_Selected=2,SOCMOB_DETAILED_COST_WKSHT!$F325*SOCMOB_DETAILED_COST_WKSHT!H325,SOCMOB_DETAILED_COST_WKSHT!$F325*(SOCMOB_DETAILED_COST_WKSHT!H325*LVL2_ACTV_4_Exchange_Rate))</f>
        <v>0</v>
      </c>
      <c r="G1435" s="116">
        <f t="shared" si="136"/>
        <v>0</v>
      </c>
      <c r="H1435" s="116">
        <f t="shared" si="137"/>
        <v>0</v>
      </c>
    </row>
    <row r="1436" spans="1:8" s="10" customFormat="1" outlineLevel="1" x14ac:dyDescent="0.2">
      <c r="D1436" s="49" t="str">
        <f>SOCMOB_DETAILED_COST_WKSHT!D326</f>
        <v>Personnel Category 6</v>
      </c>
      <c r="E1436" s="115">
        <f>IF(DD_LVL2_ACTV_4_Currency_Selected=2,SOCMOB_DETAILED_COST_WKSHT!$F326*SOCMOB_DETAILED_COST_WKSHT!G326,SOCMOB_DETAILED_COST_WKSHT!$F326*(SOCMOB_DETAILED_COST_WKSHT!G326*LVL2_ACTV_4_Exchange_Rate))</f>
        <v>0</v>
      </c>
      <c r="F1436" s="115">
        <f>IF(DD_LVL2_ACTV_4_Currency_Selected=2,SOCMOB_DETAILED_COST_WKSHT!$F326*SOCMOB_DETAILED_COST_WKSHT!H326,SOCMOB_DETAILED_COST_WKSHT!$F326*(SOCMOB_DETAILED_COST_WKSHT!H326*LVL2_ACTV_4_Exchange_Rate))</f>
        <v>0</v>
      </c>
      <c r="G1436" s="116">
        <f t="shared" si="136"/>
        <v>0</v>
      </c>
      <c r="H1436" s="116">
        <f t="shared" si="137"/>
        <v>0</v>
      </c>
    </row>
    <row r="1437" spans="1:8" s="10" customFormat="1" outlineLevel="1" x14ac:dyDescent="0.2">
      <c r="D1437" s="49" t="str">
        <f>SOCMOB_DETAILED_COST_WKSHT!D327</f>
        <v>Personnel Category 7</v>
      </c>
      <c r="E1437" s="115">
        <f>IF(DD_LVL2_ACTV_4_Currency_Selected=2,SOCMOB_DETAILED_COST_WKSHT!$F327*SOCMOB_DETAILED_COST_WKSHT!G327,SOCMOB_DETAILED_COST_WKSHT!$F327*(SOCMOB_DETAILED_COST_WKSHT!G327*LVL2_ACTV_4_Exchange_Rate))</f>
        <v>0</v>
      </c>
      <c r="F1437" s="115">
        <f>IF(DD_LVL2_ACTV_4_Currency_Selected=2,SOCMOB_DETAILED_COST_WKSHT!$F327*SOCMOB_DETAILED_COST_WKSHT!H327,SOCMOB_DETAILED_COST_WKSHT!$F327*(SOCMOB_DETAILED_COST_WKSHT!H327*LVL2_ACTV_4_Exchange_Rate))</f>
        <v>0</v>
      </c>
      <c r="G1437" s="116">
        <f t="shared" si="136"/>
        <v>0</v>
      </c>
      <c r="H1437" s="116">
        <f t="shared" si="137"/>
        <v>0</v>
      </c>
    </row>
    <row r="1438" spans="1:8" s="10" customFormat="1" outlineLevel="1" x14ac:dyDescent="0.2">
      <c r="D1438" s="49" t="str">
        <f>SOCMOB_DETAILED_COST_WKSHT!D328</f>
        <v>Personnel Category 8</v>
      </c>
      <c r="E1438" s="115">
        <f>IF(DD_LVL2_ACTV_4_Currency_Selected=2,SOCMOB_DETAILED_COST_WKSHT!$F328*SOCMOB_DETAILED_COST_WKSHT!G328,SOCMOB_DETAILED_COST_WKSHT!$F328*(SOCMOB_DETAILED_COST_WKSHT!G328*LVL2_ACTV_4_Exchange_Rate))</f>
        <v>0</v>
      </c>
      <c r="F1438" s="115">
        <f>IF(DD_LVL2_ACTV_4_Currency_Selected=2,SOCMOB_DETAILED_COST_WKSHT!$F328*SOCMOB_DETAILED_COST_WKSHT!H328,SOCMOB_DETAILED_COST_WKSHT!$F328*(SOCMOB_DETAILED_COST_WKSHT!H328*LVL2_ACTV_4_Exchange_Rate))</f>
        <v>0</v>
      </c>
      <c r="G1438" s="116">
        <f t="shared" si="136"/>
        <v>0</v>
      </c>
      <c r="H1438" s="116">
        <f t="shared" si="137"/>
        <v>0</v>
      </c>
    </row>
    <row r="1439" spans="1:8" s="10" customFormat="1" outlineLevel="1" x14ac:dyDescent="0.2">
      <c r="D1439" s="49" t="str">
        <f>SOCMOB_DETAILED_COST_WKSHT!D329</f>
        <v>Personnel Category 9</v>
      </c>
      <c r="E1439" s="115">
        <f>IF(DD_LVL2_ACTV_4_Currency_Selected=2,SOCMOB_DETAILED_COST_WKSHT!$F329*SOCMOB_DETAILED_COST_WKSHT!G329,SOCMOB_DETAILED_COST_WKSHT!$F329*(SOCMOB_DETAILED_COST_WKSHT!G329*LVL2_ACTV_4_Exchange_Rate))</f>
        <v>0</v>
      </c>
      <c r="F1439" s="115">
        <f>IF(DD_LVL2_ACTV_4_Currency_Selected=2,SOCMOB_DETAILED_COST_WKSHT!$F329*SOCMOB_DETAILED_COST_WKSHT!H329,SOCMOB_DETAILED_COST_WKSHT!$F329*(SOCMOB_DETAILED_COST_WKSHT!H329*LVL2_ACTV_4_Exchange_Rate))</f>
        <v>0</v>
      </c>
      <c r="G1439" s="116">
        <f t="shared" si="136"/>
        <v>0</v>
      </c>
      <c r="H1439" s="116">
        <f t="shared" si="137"/>
        <v>0</v>
      </c>
    </row>
    <row r="1440" spans="1:8" s="10" customFormat="1" outlineLevel="1" x14ac:dyDescent="0.2">
      <c r="D1440" s="49" t="str">
        <f>SOCMOB_DETAILED_COST_WKSHT!D330</f>
        <v>Personnel Category 10</v>
      </c>
      <c r="E1440" s="115">
        <f>IF(DD_LVL2_ACTV_4_Currency_Selected=2,SOCMOB_DETAILED_COST_WKSHT!$F330*SOCMOB_DETAILED_COST_WKSHT!G330,SOCMOB_DETAILED_COST_WKSHT!$F330*(SOCMOB_DETAILED_COST_WKSHT!G330*LVL2_ACTV_4_Exchange_Rate))</f>
        <v>0</v>
      </c>
      <c r="F1440" s="115">
        <f>IF(DD_LVL2_ACTV_4_Currency_Selected=2,SOCMOB_DETAILED_COST_WKSHT!$F330*SOCMOB_DETAILED_COST_WKSHT!H330,SOCMOB_DETAILED_COST_WKSHT!$F330*(SOCMOB_DETAILED_COST_WKSHT!H330*LVL2_ACTV_4_Exchange_Rate))</f>
        <v>0</v>
      </c>
      <c r="G1440" s="116">
        <f t="shared" si="136"/>
        <v>0</v>
      </c>
      <c r="H1440" s="116">
        <f t="shared" si="137"/>
        <v>0</v>
      </c>
    </row>
    <row r="1441" spans="1:8" s="10" customFormat="1" outlineLevel="1" x14ac:dyDescent="0.2">
      <c r="D1441" s="49" t="str">
        <f>SOCMOB_DETAILED_COST_WKSHT!D331</f>
        <v>Personnel Category 11</v>
      </c>
      <c r="E1441" s="115">
        <f>IF(DD_LVL2_ACTV_4_Currency_Selected=2,SOCMOB_DETAILED_COST_WKSHT!$F331*SOCMOB_DETAILED_COST_WKSHT!G331,SOCMOB_DETAILED_COST_WKSHT!$F331*(SOCMOB_DETAILED_COST_WKSHT!G331*LVL2_ACTV_4_Exchange_Rate))</f>
        <v>0</v>
      </c>
      <c r="F1441" s="115">
        <f>IF(DD_LVL2_ACTV_4_Currency_Selected=2,SOCMOB_DETAILED_COST_WKSHT!$F331*SOCMOB_DETAILED_COST_WKSHT!H331,SOCMOB_DETAILED_COST_WKSHT!$F331*(SOCMOB_DETAILED_COST_WKSHT!H331*LVL2_ACTV_4_Exchange_Rate))</f>
        <v>0</v>
      </c>
      <c r="G1441" s="116">
        <f t="shared" si="136"/>
        <v>0</v>
      </c>
      <c r="H1441" s="116">
        <f t="shared" si="137"/>
        <v>0</v>
      </c>
    </row>
    <row r="1442" spans="1:8" s="10" customFormat="1" outlineLevel="1" x14ac:dyDescent="0.2">
      <c r="D1442" s="49" t="str">
        <f>SOCMOB_DETAILED_COST_WKSHT!D332</f>
        <v>Personnel Category 12</v>
      </c>
      <c r="E1442" s="115">
        <f>IF(DD_LVL2_ACTV_4_Currency_Selected=2,SOCMOB_DETAILED_COST_WKSHT!$F332*SOCMOB_DETAILED_COST_WKSHT!G332,SOCMOB_DETAILED_COST_WKSHT!$F332*(SOCMOB_DETAILED_COST_WKSHT!G332*LVL2_ACTV_4_Exchange_Rate))</f>
        <v>0</v>
      </c>
      <c r="F1442" s="115">
        <f>IF(DD_LVL2_ACTV_4_Currency_Selected=2,SOCMOB_DETAILED_COST_WKSHT!$F332*SOCMOB_DETAILED_COST_WKSHT!H332,SOCMOB_DETAILED_COST_WKSHT!$F332*(SOCMOB_DETAILED_COST_WKSHT!H332*LVL2_ACTV_4_Exchange_Rate))</f>
        <v>0</v>
      </c>
      <c r="G1442" s="116">
        <f t="shared" si="136"/>
        <v>0</v>
      </c>
      <c r="H1442" s="116">
        <f t="shared" si="137"/>
        <v>0</v>
      </c>
    </row>
    <row r="1443" spans="1:8" s="10" customFormat="1" outlineLevel="1" x14ac:dyDescent="0.2">
      <c r="D1443" s="49" t="str">
        <f>SOCMOB_DETAILED_COST_WKSHT!D333</f>
        <v>Personnel Category 13</v>
      </c>
      <c r="E1443" s="115">
        <f>IF(DD_LVL2_ACTV_4_Currency_Selected=2,SOCMOB_DETAILED_COST_WKSHT!$F333*SOCMOB_DETAILED_COST_WKSHT!G333,SOCMOB_DETAILED_COST_WKSHT!$F333*(SOCMOB_DETAILED_COST_WKSHT!G333*LVL2_ACTV_4_Exchange_Rate))</f>
        <v>0</v>
      </c>
      <c r="F1443" s="115">
        <f>IF(DD_LVL2_ACTV_4_Currency_Selected=2,SOCMOB_DETAILED_COST_WKSHT!$F333*SOCMOB_DETAILED_COST_WKSHT!H333,SOCMOB_DETAILED_COST_WKSHT!$F333*(SOCMOB_DETAILED_COST_WKSHT!H333*LVL2_ACTV_4_Exchange_Rate))</f>
        <v>0</v>
      </c>
      <c r="G1443" s="116">
        <f t="shared" si="136"/>
        <v>0</v>
      </c>
      <c r="H1443" s="116">
        <f t="shared" si="137"/>
        <v>0</v>
      </c>
    </row>
    <row r="1444" spans="1:8" s="10" customFormat="1" outlineLevel="1" x14ac:dyDescent="0.2">
      <c r="D1444" s="49" t="str">
        <f>SOCMOB_DETAILED_COST_WKSHT!D334</f>
        <v>Personnel Category 14</v>
      </c>
      <c r="E1444" s="115">
        <f>IF(DD_LVL2_ACTV_4_Currency_Selected=2,SOCMOB_DETAILED_COST_WKSHT!$F334*SOCMOB_DETAILED_COST_WKSHT!G334,SOCMOB_DETAILED_COST_WKSHT!$F334*(SOCMOB_DETAILED_COST_WKSHT!G334*LVL2_ACTV_4_Exchange_Rate))</f>
        <v>0</v>
      </c>
      <c r="F1444" s="115">
        <f>IF(DD_LVL2_ACTV_4_Currency_Selected=2,SOCMOB_DETAILED_COST_WKSHT!$F334*SOCMOB_DETAILED_COST_WKSHT!H334,SOCMOB_DETAILED_COST_WKSHT!$F334*(SOCMOB_DETAILED_COST_WKSHT!H334*LVL2_ACTV_4_Exchange_Rate))</f>
        <v>0</v>
      </c>
      <c r="G1444" s="116">
        <f t="shared" si="136"/>
        <v>0</v>
      </c>
      <c r="H1444" s="116">
        <f t="shared" si="137"/>
        <v>0</v>
      </c>
    </row>
    <row r="1445" spans="1:8" s="10" customFormat="1" outlineLevel="1" x14ac:dyDescent="0.2">
      <c r="D1445" s="49" t="str">
        <f>SOCMOB_DETAILED_COST_WKSHT!D335</f>
        <v>Personnel Category 15</v>
      </c>
      <c r="E1445" s="115">
        <f>IF(DD_LVL2_ACTV_4_Currency_Selected=2,SOCMOB_DETAILED_COST_WKSHT!$F335*SOCMOB_DETAILED_COST_WKSHT!G335,SOCMOB_DETAILED_COST_WKSHT!$F335*(SOCMOB_DETAILED_COST_WKSHT!G335*LVL2_ACTV_4_Exchange_Rate))</f>
        <v>0</v>
      </c>
      <c r="F1445" s="115">
        <f>IF(DD_LVL2_ACTV_4_Currency_Selected=2,SOCMOB_DETAILED_COST_WKSHT!$F335*SOCMOB_DETAILED_COST_WKSHT!H335,SOCMOB_DETAILED_COST_WKSHT!$F335*(SOCMOB_DETAILED_COST_WKSHT!H335*LVL2_ACTV_4_Exchange_Rate))</f>
        <v>0</v>
      </c>
      <c r="G1445" s="116">
        <f t="shared" si="136"/>
        <v>0</v>
      </c>
      <c r="H1445" s="116">
        <f t="shared" si="137"/>
        <v>0</v>
      </c>
    </row>
    <row r="1446" spans="1:8" s="10" customFormat="1" outlineLevel="1" x14ac:dyDescent="0.2">
      <c r="D1446" s="48" t="str">
        <f>Lang_Personnel</f>
        <v>Personnel</v>
      </c>
      <c r="E1446" s="120">
        <f>SUM(E1431:E1445)</f>
        <v>0</v>
      </c>
      <c r="F1446" s="120">
        <f>SUM(F1431:F1445)</f>
        <v>0</v>
      </c>
      <c r="G1446" s="121">
        <f>SUM(G1431:G1445)</f>
        <v>0</v>
      </c>
      <c r="H1446" s="121">
        <f>SUM(H1431:H1445)</f>
        <v>0</v>
      </c>
    </row>
    <row r="1447" spans="1:8" s="10" customFormat="1" outlineLevel="1" x14ac:dyDescent="0.2"/>
    <row r="1448" spans="1:8" s="10" customFormat="1" outlineLevel="1" x14ac:dyDescent="0.2"/>
    <row r="1449" spans="1:8" s="10" customFormat="1" outlineLevel="1" x14ac:dyDescent="0.2">
      <c r="D1449" s="76" t="str">
        <f>Lang_GoTo&amp;" "&amp;HL_LVL2_ACTV_4_Personnel_Assumptions</f>
        <v>Go to IEC Soc Mob  Activity # 4  (Not in Use) - Detailed Personnel Cost Assumptions</v>
      </c>
    </row>
    <row r="1450" spans="1:8" s="10" customFormat="1" outlineLevel="1" x14ac:dyDescent="0.2">
      <c r="D1450" s="76" t="str">
        <f>Lang_GoTo&amp;" "&amp;HL_LVL2_ACTV_4_Cost_Summary_Output</f>
        <v>Go to IEC Soc Mob  Activity # 4  (Not in Use) Detailed Cost Summary</v>
      </c>
    </row>
    <row r="1451" spans="1:8" s="10" customFormat="1" x14ac:dyDescent="0.2"/>
    <row r="1452" spans="1:8" s="13" customFormat="1" x14ac:dyDescent="0.2">
      <c r="A1452" s="12" t="s">
        <v>127</v>
      </c>
      <c r="B1452" s="13" t="str">
        <f>C1454&amp;" "&amp;Lang_Allowances_Outputs</f>
        <v>IEC Soc Mob  Activity # 4  (Not in Use) Allowances - Outputs</v>
      </c>
    </row>
    <row r="1453" spans="1:8" s="10" customFormat="1" outlineLevel="1" x14ac:dyDescent="0.2"/>
    <row r="1454" spans="1:8" s="10" customFormat="1" outlineLevel="1" x14ac:dyDescent="0.2">
      <c r="C1454" s="114" t="str">
        <f>HL_LVL2_ACTV_4_Name</f>
        <v>IEC Soc Mob  Activity # 4  (Not in Use)</v>
      </c>
    </row>
    <row r="1455" spans="1:8" s="10" customFormat="1" outlineLevel="1" x14ac:dyDescent="0.2">
      <c r="E1455" s="86" t="str">
        <f>SOCMOB_Lu!$D$137&amp;" "&amp;Lang_Cost&amp;" ("&amp;SOCMOB_Lu!$D$118&amp;")"</f>
        <v>Financial Cost (LCU)</v>
      </c>
      <c r="F1455" s="86" t="str">
        <f>SOCMOB_Lu!$D$138&amp;" "&amp;Lang_Cost&amp;" ("&amp;SOCMOB_Lu!$D$118&amp;")"</f>
        <v>Economic Cost (LCU)</v>
      </c>
      <c r="G1455" s="86" t="str">
        <f>SOCMOB_Lu!$D$137&amp;" "&amp;Lang_Cost&amp;" ("&amp;SOCMOB_Lu!$D$117&amp;")"</f>
        <v>Financial Cost (USD)</v>
      </c>
      <c r="H1455" s="86" t="str">
        <f>SOCMOB_Lu!$D$138&amp;" "&amp;Lang_Cost&amp;" ("&amp;SOCMOB_Lu!$D$117&amp;")"</f>
        <v>Economic Cost (USD)</v>
      </c>
    </row>
    <row r="1456" spans="1:8" s="10" customFormat="1" outlineLevel="1" x14ac:dyDescent="0.2">
      <c r="D1456" s="49" t="str">
        <f>SOCMOB_DETAILED_COST_WKSHT!D344</f>
        <v>Allowances Category 1</v>
      </c>
      <c r="E1456" s="115">
        <f>IF(DD_LVL2_ACTV_4_Currency_Selected=2,SOCMOB_DETAILED_COST_WKSHT!$F344*SOCMOB_DETAILED_COST_WKSHT!G344,SOCMOB_DETAILED_COST_WKSHT!$F344*(SOCMOB_DETAILED_COST_WKSHT!G344*LVL2_ACTV_4_Exchange_Rate))</f>
        <v>0</v>
      </c>
      <c r="F1456" s="115">
        <f>IF(DD_LVL2_ACTV_4_Currency_Selected=2,SOCMOB_DETAILED_COST_WKSHT!$F344*SOCMOB_DETAILED_COST_WKSHT!H344,SOCMOB_DETAILED_COST_WKSHT!$F344*(SOCMOB_DETAILED_COST_WKSHT!H344*LVL2_ACTV_4_Exchange_Rate))</f>
        <v>0</v>
      </c>
      <c r="G1456" s="116">
        <f t="shared" ref="G1456:G1465" si="138">E1456/LVL2_ACTV_4_Exchange_Rate</f>
        <v>0</v>
      </c>
      <c r="H1456" s="116">
        <f t="shared" ref="H1456:H1465" si="139">F1456/LVL2_ACTV_4_Exchange_Rate</f>
        <v>0</v>
      </c>
    </row>
    <row r="1457" spans="1:8" s="10" customFormat="1" outlineLevel="1" x14ac:dyDescent="0.2">
      <c r="D1457" s="49" t="str">
        <f>SOCMOB_DETAILED_COST_WKSHT!D345</f>
        <v>Allowances Category 2</v>
      </c>
      <c r="E1457" s="115">
        <f>IF(DD_LVL2_ACTV_4_Currency_Selected=2,SOCMOB_DETAILED_COST_WKSHT!$F345*SOCMOB_DETAILED_COST_WKSHT!G345,SOCMOB_DETAILED_COST_WKSHT!$F345*(SOCMOB_DETAILED_COST_WKSHT!G345*LVL2_ACTV_4_Exchange_Rate))</f>
        <v>0</v>
      </c>
      <c r="F1457" s="115">
        <f>IF(DD_LVL2_ACTV_4_Currency_Selected=2,SOCMOB_DETAILED_COST_WKSHT!$F345*SOCMOB_DETAILED_COST_WKSHT!H345,SOCMOB_DETAILED_COST_WKSHT!$F345*(SOCMOB_DETAILED_COST_WKSHT!H345*LVL2_ACTV_4_Exchange_Rate))</f>
        <v>0</v>
      </c>
      <c r="G1457" s="116">
        <f t="shared" si="138"/>
        <v>0</v>
      </c>
      <c r="H1457" s="116">
        <f t="shared" si="139"/>
        <v>0</v>
      </c>
    </row>
    <row r="1458" spans="1:8" s="10" customFormat="1" outlineLevel="1" x14ac:dyDescent="0.2">
      <c r="D1458" s="49" t="str">
        <f>SOCMOB_DETAILED_COST_WKSHT!D346</f>
        <v>Allowances Category 3</v>
      </c>
      <c r="E1458" s="115">
        <f>IF(DD_LVL2_ACTV_4_Currency_Selected=2,SOCMOB_DETAILED_COST_WKSHT!$F346*SOCMOB_DETAILED_COST_WKSHT!G346,SOCMOB_DETAILED_COST_WKSHT!$F346*(SOCMOB_DETAILED_COST_WKSHT!G346*LVL2_ACTV_4_Exchange_Rate))</f>
        <v>0</v>
      </c>
      <c r="F1458" s="115">
        <f>IF(DD_LVL2_ACTV_4_Currency_Selected=2,SOCMOB_DETAILED_COST_WKSHT!$F346*SOCMOB_DETAILED_COST_WKSHT!H346,SOCMOB_DETAILED_COST_WKSHT!$F346*(SOCMOB_DETAILED_COST_WKSHT!H346*LVL2_ACTV_4_Exchange_Rate))</f>
        <v>0</v>
      </c>
      <c r="G1458" s="116">
        <f t="shared" si="138"/>
        <v>0</v>
      </c>
      <c r="H1458" s="116">
        <f t="shared" si="139"/>
        <v>0</v>
      </c>
    </row>
    <row r="1459" spans="1:8" s="10" customFormat="1" outlineLevel="1" x14ac:dyDescent="0.2">
      <c r="D1459" s="49" t="str">
        <f>SOCMOB_DETAILED_COST_WKSHT!D347</f>
        <v>Allowances Category 4</v>
      </c>
      <c r="E1459" s="115">
        <f>IF(DD_LVL2_ACTV_4_Currency_Selected=2,SOCMOB_DETAILED_COST_WKSHT!$F347*SOCMOB_DETAILED_COST_WKSHT!G347,SOCMOB_DETAILED_COST_WKSHT!$F347*(SOCMOB_DETAILED_COST_WKSHT!G347*LVL2_ACTV_4_Exchange_Rate))</f>
        <v>0</v>
      </c>
      <c r="F1459" s="115">
        <f>IF(DD_LVL2_ACTV_4_Currency_Selected=2,SOCMOB_DETAILED_COST_WKSHT!$F347*SOCMOB_DETAILED_COST_WKSHT!H347,SOCMOB_DETAILED_COST_WKSHT!$F347*(SOCMOB_DETAILED_COST_WKSHT!H347*LVL2_ACTV_4_Exchange_Rate))</f>
        <v>0</v>
      </c>
      <c r="G1459" s="116">
        <f t="shared" si="138"/>
        <v>0</v>
      </c>
      <c r="H1459" s="116">
        <f t="shared" si="139"/>
        <v>0</v>
      </c>
    </row>
    <row r="1460" spans="1:8" s="10" customFormat="1" outlineLevel="1" x14ac:dyDescent="0.2">
      <c r="D1460" s="49" t="str">
        <f>SOCMOB_DETAILED_COST_WKSHT!D348</f>
        <v>Allowances Category 5</v>
      </c>
      <c r="E1460" s="115">
        <f>IF(DD_LVL2_ACTV_4_Currency_Selected=2,SOCMOB_DETAILED_COST_WKSHT!$F348*SOCMOB_DETAILED_COST_WKSHT!G348,SOCMOB_DETAILED_COST_WKSHT!$F348*(SOCMOB_DETAILED_COST_WKSHT!G348*LVL2_ACTV_4_Exchange_Rate))</f>
        <v>0</v>
      </c>
      <c r="F1460" s="115">
        <f>IF(DD_LVL2_ACTV_4_Currency_Selected=2,SOCMOB_DETAILED_COST_WKSHT!$F348*SOCMOB_DETAILED_COST_WKSHT!H348,SOCMOB_DETAILED_COST_WKSHT!$F348*(SOCMOB_DETAILED_COST_WKSHT!H348*LVL2_ACTV_4_Exchange_Rate))</f>
        <v>0</v>
      </c>
      <c r="G1460" s="116">
        <f t="shared" si="138"/>
        <v>0</v>
      </c>
      <c r="H1460" s="116">
        <f t="shared" si="139"/>
        <v>0</v>
      </c>
    </row>
    <row r="1461" spans="1:8" s="10" customFormat="1" outlineLevel="1" x14ac:dyDescent="0.2">
      <c r="D1461" s="49" t="str">
        <f>SOCMOB_DETAILED_COST_WKSHT!D349</f>
        <v>Allowances Category 6</v>
      </c>
      <c r="E1461" s="115">
        <f>IF(DD_LVL2_ACTV_4_Currency_Selected=2,SOCMOB_DETAILED_COST_WKSHT!$F349*SOCMOB_DETAILED_COST_WKSHT!G349,SOCMOB_DETAILED_COST_WKSHT!$F349*(SOCMOB_DETAILED_COST_WKSHT!G349*LVL2_ACTV_4_Exchange_Rate))</f>
        <v>0</v>
      </c>
      <c r="F1461" s="115">
        <f>IF(DD_LVL2_ACTV_4_Currency_Selected=2,SOCMOB_DETAILED_COST_WKSHT!$F349*SOCMOB_DETAILED_COST_WKSHT!H349,SOCMOB_DETAILED_COST_WKSHT!$F349*(SOCMOB_DETAILED_COST_WKSHT!H349*LVL2_ACTV_4_Exchange_Rate))</f>
        <v>0</v>
      </c>
      <c r="G1461" s="116">
        <f t="shared" si="138"/>
        <v>0</v>
      </c>
      <c r="H1461" s="116">
        <f t="shared" si="139"/>
        <v>0</v>
      </c>
    </row>
    <row r="1462" spans="1:8" s="10" customFormat="1" outlineLevel="1" x14ac:dyDescent="0.2">
      <c r="D1462" s="49" t="str">
        <f>SOCMOB_DETAILED_COST_WKSHT!D350</f>
        <v>Allowances Category 7</v>
      </c>
      <c r="E1462" s="115">
        <f>IF(DD_LVL2_ACTV_4_Currency_Selected=2,SOCMOB_DETAILED_COST_WKSHT!$F350*SOCMOB_DETAILED_COST_WKSHT!G350,SOCMOB_DETAILED_COST_WKSHT!$F350*(SOCMOB_DETAILED_COST_WKSHT!G350*LVL2_ACTV_4_Exchange_Rate))</f>
        <v>0</v>
      </c>
      <c r="F1462" s="115">
        <f>IF(DD_LVL2_ACTV_4_Currency_Selected=2,SOCMOB_DETAILED_COST_WKSHT!$F350*SOCMOB_DETAILED_COST_WKSHT!H350,SOCMOB_DETAILED_COST_WKSHT!$F350*(SOCMOB_DETAILED_COST_WKSHT!H350*LVL2_ACTV_4_Exchange_Rate))</f>
        <v>0</v>
      </c>
      <c r="G1462" s="116">
        <f t="shared" si="138"/>
        <v>0</v>
      </c>
      <c r="H1462" s="116">
        <f t="shared" si="139"/>
        <v>0</v>
      </c>
    </row>
    <row r="1463" spans="1:8" s="10" customFormat="1" outlineLevel="1" x14ac:dyDescent="0.2">
      <c r="D1463" s="49" t="str">
        <f>SOCMOB_DETAILED_COST_WKSHT!D351</f>
        <v>Allowances Category 8</v>
      </c>
      <c r="E1463" s="115">
        <f>IF(DD_LVL2_ACTV_4_Currency_Selected=2,SOCMOB_DETAILED_COST_WKSHT!$F351*SOCMOB_DETAILED_COST_WKSHT!G351,SOCMOB_DETAILED_COST_WKSHT!$F351*(SOCMOB_DETAILED_COST_WKSHT!G351*LVL2_ACTV_4_Exchange_Rate))</f>
        <v>0</v>
      </c>
      <c r="F1463" s="115">
        <f>IF(DD_LVL2_ACTV_4_Currency_Selected=2,SOCMOB_DETAILED_COST_WKSHT!$F351*SOCMOB_DETAILED_COST_WKSHT!H351,SOCMOB_DETAILED_COST_WKSHT!$F351*(SOCMOB_DETAILED_COST_WKSHT!H351*LVL2_ACTV_4_Exchange_Rate))</f>
        <v>0</v>
      </c>
      <c r="G1463" s="116">
        <f t="shared" si="138"/>
        <v>0</v>
      </c>
      <c r="H1463" s="116">
        <f t="shared" si="139"/>
        <v>0</v>
      </c>
    </row>
    <row r="1464" spans="1:8" s="10" customFormat="1" outlineLevel="1" x14ac:dyDescent="0.2">
      <c r="D1464" s="49" t="str">
        <f>SOCMOB_DETAILED_COST_WKSHT!D352</f>
        <v>Allowances Category 9</v>
      </c>
      <c r="E1464" s="115">
        <f>IF(DD_LVL2_ACTV_4_Currency_Selected=2,SOCMOB_DETAILED_COST_WKSHT!$F352*SOCMOB_DETAILED_COST_WKSHT!G352,SOCMOB_DETAILED_COST_WKSHT!$F352*(SOCMOB_DETAILED_COST_WKSHT!G352*LVL2_ACTV_4_Exchange_Rate))</f>
        <v>0</v>
      </c>
      <c r="F1464" s="115">
        <f>IF(DD_LVL2_ACTV_4_Currency_Selected=2,SOCMOB_DETAILED_COST_WKSHT!$F352*SOCMOB_DETAILED_COST_WKSHT!H352,SOCMOB_DETAILED_COST_WKSHT!$F352*(SOCMOB_DETAILED_COST_WKSHT!H352*LVL2_ACTV_4_Exchange_Rate))</f>
        <v>0</v>
      </c>
      <c r="G1464" s="116">
        <f t="shared" si="138"/>
        <v>0</v>
      </c>
      <c r="H1464" s="116">
        <f t="shared" si="139"/>
        <v>0</v>
      </c>
    </row>
    <row r="1465" spans="1:8" s="10" customFormat="1" outlineLevel="1" x14ac:dyDescent="0.2">
      <c r="D1465" s="49" t="str">
        <f>SOCMOB_DETAILED_COST_WKSHT!D353</f>
        <v>Allowances Category 10</v>
      </c>
      <c r="E1465" s="115">
        <f>IF(DD_LVL2_ACTV_4_Currency_Selected=2,SOCMOB_DETAILED_COST_WKSHT!$F353*SOCMOB_DETAILED_COST_WKSHT!G353,SOCMOB_DETAILED_COST_WKSHT!$F353*(SOCMOB_DETAILED_COST_WKSHT!G353*LVL2_ACTV_4_Exchange_Rate))</f>
        <v>0</v>
      </c>
      <c r="F1465" s="115">
        <f>IF(DD_LVL2_ACTV_4_Currency_Selected=2,SOCMOB_DETAILED_COST_WKSHT!$F353*SOCMOB_DETAILED_COST_WKSHT!H353,SOCMOB_DETAILED_COST_WKSHT!$F353*(SOCMOB_DETAILED_COST_WKSHT!H353*LVL2_ACTV_4_Exchange_Rate))</f>
        <v>0</v>
      </c>
      <c r="G1465" s="116">
        <f t="shared" si="138"/>
        <v>0</v>
      </c>
      <c r="H1465" s="116">
        <f t="shared" si="139"/>
        <v>0</v>
      </c>
    </row>
    <row r="1466" spans="1:8" s="10" customFormat="1" outlineLevel="1" x14ac:dyDescent="0.2">
      <c r="D1466" s="48" t="str">
        <f>Lang_Allowances</f>
        <v>Allowances</v>
      </c>
      <c r="E1466" s="120">
        <f>SUM(E1456:E1465)</f>
        <v>0</v>
      </c>
      <c r="F1466" s="120">
        <f>SUM(F1456:F1465)</f>
        <v>0</v>
      </c>
      <c r="G1466" s="121">
        <f>SUM(G1456:G1465)</f>
        <v>0</v>
      </c>
      <c r="H1466" s="121">
        <f>SUM(H1456:H1465)</f>
        <v>0</v>
      </c>
    </row>
    <row r="1467" spans="1:8" s="10" customFormat="1" outlineLevel="1" x14ac:dyDescent="0.2"/>
    <row r="1468" spans="1:8" s="10" customFormat="1" outlineLevel="1" x14ac:dyDescent="0.2"/>
    <row r="1469" spans="1:8" s="10" customFormat="1" outlineLevel="1" x14ac:dyDescent="0.2">
      <c r="D1469" s="76" t="str">
        <f>Lang_GoTo&amp;" "&amp;HL_LVL2_ACTV_4_Ass_A</f>
        <v>Go to IEC Soc Mob  Activity # 4  (Not in Use) - Detailed Allowance Cost Assumptions</v>
      </c>
    </row>
    <row r="1470" spans="1:8" s="10" customFormat="1" outlineLevel="1" x14ac:dyDescent="0.2">
      <c r="D1470" s="76" t="str">
        <f>Lang_GoTo&amp;" "&amp;HL_LVL2_ACTV_4_Cost_Summary_Output</f>
        <v>Go to IEC Soc Mob  Activity # 4  (Not in Use) Detailed Cost Summary</v>
      </c>
    </row>
    <row r="1471" spans="1:8" s="10" customFormat="1" x14ac:dyDescent="0.2"/>
    <row r="1472" spans="1:8" s="13" customFormat="1" x14ac:dyDescent="0.2">
      <c r="A1472" s="12" t="s">
        <v>127</v>
      </c>
      <c r="B1472" s="13" t="str">
        <f>C1474&amp;" "&amp;Lang_Supplies_And_Materials_Outputs</f>
        <v>IEC Soc Mob  Activity # 4  (Not in Use) Supplies and Materials - Outputs</v>
      </c>
    </row>
    <row r="1473" spans="3:8" s="10" customFormat="1" outlineLevel="1" x14ac:dyDescent="0.2"/>
    <row r="1474" spans="3:8" s="10" customFormat="1" outlineLevel="1" x14ac:dyDescent="0.2">
      <c r="C1474" s="114" t="str">
        <f>HL_LVL2_ACTV_4_Name</f>
        <v>IEC Soc Mob  Activity # 4  (Not in Use)</v>
      </c>
    </row>
    <row r="1475" spans="3:8" s="10" customFormat="1" outlineLevel="1" x14ac:dyDescent="0.2">
      <c r="E1475" s="86" t="str">
        <f>SOCMOB_Lu!$D$137&amp;" "&amp;Lang_Cost&amp;" ("&amp;SOCMOB_Lu!$D$118&amp;")"</f>
        <v>Financial Cost (LCU)</v>
      </c>
      <c r="F1475" s="86" t="str">
        <f>SOCMOB_Lu!$D$138&amp;" "&amp;Lang_Cost&amp;" ("&amp;SOCMOB_Lu!$D$118&amp;")"</f>
        <v>Economic Cost (LCU)</v>
      </c>
      <c r="G1475" s="86" t="str">
        <f>SOCMOB_Lu!$D$137&amp;" "&amp;Lang_Cost&amp;" ("&amp;SOCMOB_Lu!$D$117&amp;")"</f>
        <v>Financial Cost (USD)</v>
      </c>
      <c r="H1475" s="86" t="str">
        <f>SOCMOB_Lu!$D$138&amp;" "&amp;Lang_Cost&amp;" ("&amp;SOCMOB_Lu!$D$117&amp;")"</f>
        <v>Economic Cost (USD)</v>
      </c>
    </row>
    <row r="1476" spans="3:8" s="10" customFormat="1" outlineLevel="1" x14ac:dyDescent="0.2">
      <c r="D1476" s="49" t="str">
        <f>SOCMOB_DETAILED_COST_WKSHT!D362</f>
        <v>Supplies and Materials Category 1</v>
      </c>
      <c r="E1476" s="115">
        <f>IF(DD_LVL2_ACTV_4_Currency_Selected=2,SOCMOB_DETAILED_COST_WKSHT!$F362*SOCMOB_DETAILED_COST_WKSHT!G362,SOCMOB_DETAILED_COST_WKSHT!$F362*(SOCMOB_DETAILED_COST_WKSHT!G362*LVL2_ACTV_4_Exchange_Rate))</f>
        <v>0</v>
      </c>
      <c r="F1476" s="115">
        <f>IF(DD_LVL2_ACTV_4_Currency_Selected=2,SOCMOB_DETAILED_COST_WKSHT!$F362*SOCMOB_DETAILED_COST_WKSHT!H362,SOCMOB_DETAILED_COST_WKSHT!$F362*(SOCMOB_DETAILED_COST_WKSHT!H362*LVL2_ACTV_4_Exchange_Rate))</f>
        <v>0</v>
      </c>
      <c r="G1476" s="116">
        <f t="shared" ref="G1476:G1485" si="140">E1476/LVL2_ACTV_4_Exchange_Rate</f>
        <v>0</v>
      </c>
      <c r="H1476" s="116">
        <f t="shared" ref="H1476:H1485" si="141">F1476/LVL2_ACTV_4_Exchange_Rate</f>
        <v>0</v>
      </c>
    </row>
    <row r="1477" spans="3:8" s="10" customFormat="1" outlineLevel="1" x14ac:dyDescent="0.2">
      <c r="D1477" s="49" t="str">
        <f>SOCMOB_DETAILED_COST_WKSHT!D363</f>
        <v>Supplies and Materials Category 2</v>
      </c>
      <c r="E1477" s="115">
        <f>IF(DD_LVL2_ACTV_4_Currency_Selected=2,SOCMOB_DETAILED_COST_WKSHT!$F363*SOCMOB_DETAILED_COST_WKSHT!G363,SOCMOB_DETAILED_COST_WKSHT!$F363*(SOCMOB_DETAILED_COST_WKSHT!G363*LVL2_ACTV_4_Exchange_Rate))</f>
        <v>0</v>
      </c>
      <c r="F1477" s="115">
        <f>IF(DD_LVL2_ACTV_4_Currency_Selected=2,SOCMOB_DETAILED_COST_WKSHT!$F363*SOCMOB_DETAILED_COST_WKSHT!H363,SOCMOB_DETAILED_COST_WKSHT!$F363*(SOCMOB_DETAILED_COST_WKSHT!H363*LVL2_ACTV_4_Exchange_Rate))</f>
        <v>0</v>
      </c>
      <c r="G1477" s="116">
        <f t="shared" si="140"/>
        <v>0</v>
      </c>
      <c r="H1477" s="116">
        <f t="shared" si="141"/>
        <v>0</v>
      </c>
    </row>
    <row r="1478" spans="3:8" s="10" customFormat="1" outlineLevel="1" x14ac:dyDescent="0.2">
      <c r="D1478" s="49" t="str">
        <f>SOCMOB_DETAILED_COST_WKSHT!D364</f>
        <v>Supplies and Materials Category 3</v>
      </c>
      <c r="E1478" s="115">
        <f>IF(DD_LVL2_ACTV_4_Currency_Selected=2,SOCMOB_DETAILED_COST_WKSHT!$F364*SOCMOB_DETAILED_COST_WKSHT!G364,SOCMOB_DETAILED_COST_WKSHT!$F364*(SOCMOB_DETAILED_COST_WKSHT!G364*LVL2_ACTV_4_Exchange_Rate))</f>
        <v>0</v>
      </c>
      <c r="F1478" s="115">
        <f>IF(DD_LVL2_ACTV_4_Currency_Selected=2,SOCMOB_DETAILED_COST_WKSHT!$F364*SOCMOB_DETAILED_COST_WKSHT!H364,SOCMOB_DETAILED_COST_WKSHT!$F364*(SOCMOB_DETAILED_COST_WKSHT!H364*LVL2_ACTV_4_Exchange_Rate))</f>
        <v>0</v>
      </c>
      <c r="G1478" s="116">
        <f t="shared" si="140"/>
        <v>0</v>
      </c>
      <c r="H1478" s="116">
        <f t="shared" si="141"/>
        <v>0</v>
      </c>
    </row>
    <row r="1479" spans="3:8" s="10" customFormat="1" outlineLevel="1" x14ac:dyDescent="0.2">
      <c r="D1479" s="49" t="str">
        <f>SOCMOB_DETAILED_COST_WKSHT!D365</f>
        <v>Supplies and Materials Category 4</v>
      </c>
      <c r="E1479" s="115">
        <f>IF(DD_LVL2_ACTV_4_Currency_Selected=2,SOCMOB_DETAILED_COST_WKSHT!$F365*SOCMOB_DETAILED_COST_WKSHT!G365,SOCMOB_DETAILED_COST_WKSHT!$F365*(SOCMOB_DETAILED_COST_WKSHT!G365*LVL2_ACTV_4_Exchange_Rate))</f>
        <v>0</v>
      </c>
      <c r="F1479" s="115">
        <f>IF(DD_LVL2_ACTV_4_Currency_Selected=2,SOCMOB_DETAILED_COST_WKSHT!$F365*SOCMOB_DETAILED_COST_WKSHT!H365,SOCMOB_DETAILED_COST_WKSHT!$F365*(SOCMOB_DETAILED_COST_WKSHT!H365*LVL2_ACTV_4_Exchange_Rate))</f>
        <v>0</v>
      </c>
      <c r="G1479" s="116">
        <f t="shared" si="140"/>
        <v>0</v>
      </c>
      <c r="H1479" s="116">
        <f t="shared" si="141"/>
        <v>0</v>
      </c>
    </row>
    <row r="1480" spans="3:8" s="10" customFormat="1" outlineLevel="1" x14ac:dyDescent="0.2">
      <c r="D1480" s="49" t="str">
        <f>SOCMOB_DETAILED_COST_WKSHT!D366</f>
        <v>Supplies and Materials Category 5</v>
      </c>
      <c r="E1480" s="115">
        <f>IF(DD_LVL2_ACTV_4_Currency_Selected=2,SOCMOB_DETAILED_COST_WKSHT!$F366*SOCMOB_DETAILED_COST_WKSHT!G366,SOCMOB_DETAILED_COST_WKSHT!$F366*(SOCMOB_DETAILED_COST_WKSHT!G366*LVL2_ACTV_4_Exchange_Rate))</f>
        <v>0</v>
      </c>
      <c r="F1480" s="115">
        <f>IF(DD_LVL2_ACTV_4_Currency_Selected=2,SOCMOB_DETAILED_COST_WKSHT!$F366*SOCMOB_DETAILED_COST_WKSHT!H366,SOCMOB_DETAILED_COST_WKSHT!$F366*(SOCMOB_DETAILED_COST_WKSHT!H366*LVL2_ACTV_4_Exchange_Rate))</f>
        <v>0</v>
      </c>
      <c r="G1480" s="116">
        <f t="shared" si="140"/>
        <v>0</v>
      </c>
      <c r="H1480" s="116">
        <f t="shared" si="141"/>
        <v>0</v>
      </c>
    </row>
    <row r="1481" spans="3:8" s="10" customFormat="1" outlineLevel="1" x14ac:dyDescent="0.2">
      <c r="D1481" s="49" t="str">
        <f>SOCMOB_DETAILED_COST_WKSHT!D367</f>
        <v>Supplies and Materials Category 6</v>
      </c>
      <c r="E1481" s="115">
        <f>IF(DD_LVL2_ACTV_4_Currency_Selected=2,SOCMOB_DETAILED_COST_WKSHT!$F367*SOCMOB_DETAILED_COST_WKSHT!G367,SOCMOB_DETAILED_COST_WKSHT!$F367*(SOCMOB_DETAILED_COST_WKSHT!G367*LVL2_ACTV_4_Exchange_Rate))</f>
        <v>0</v>
      </c>
      <c r="F1481" s="115">
        <f>IF(DD_LVL2_ACTV_4_Currency_Selected=2,SOCMOB_DETAILED_COST_WKSHT!$F367*SOCMOB_DETAILED_COST_WKSHT!H367,SOCMOB_DETAILED_COST_WKSHT!$F367*(SOCMOB_DETAILED_COST_WKSHT!H367*LVL2_ACTV_4_Exchange_Rate))</f>
        <v>0</v>
      </c>
      <c r="G1481" s="116">
        <f t="shared" si="140"/>
        <v>0</v>
      </c>
      <c r="H1481" s="116">
        <f t="shared" si="141"/>
        <v>0</v>
      </c>
    </row>
    <row r="1482" spans="3:8" s="10" customFormat="1" outlineLevel="1" x14ac:dyDescent="0.2">
      <c r="D1482" s="49" t="str">
        <f>SOCMOB_DETAILED_COST_WKSHT!D368</f>
        <v>Supplies and Materials Category 7</v>
      </c>
      <c r="E1482" s="115">
        <f>IF(DD_LVL2_ACTV_4_Currency_Selected=2,SOCMOB_DETAILED_COST_WKSHT!$F368*SOCMOB_DETAILED_COST_WKSHT!G368,SOCMOB_DETAILED_COST_WKSHT!$F368*(SOCMOB_DETAILED_COST_WKSHT!G368*LVL2_ACTV_4_Exchange_Rate))</f>
        <v>0</v>
      </c>
      <c r="F1482" s="115">
        <f>IF(DD_LVL2_ACTV_4_Currency_Selected=2,SOCMOB_DETAILED_COST_WKSHT!$F368*SOCMOB_DETAILED_COST_WKSHT!H368,SOCMOB_DETAILED_COST_WKSHT!$F368*(SOCMOB_DETAILED_COST_WKSHT!H368*LVL2_ACTV_4_Exchange_Rate))</f>
        <v>0</v>
      </c>
      <c r="G1482" s="116">
        <f t="shared" si="140"/>
        <v>0</v>
      </c>
      <c r="H1482" s="116">
        <f t="shared" si="141"/>
        <v>0</v>
      </c>
    </row>
    <row r="1483" spans="3:8" s="10" customFormat="1" outlineLevel="1" x14ac:dyDescent="0.2">
      <c r="D1483" s="49" t="str">
        <f>SOCMOB_DETAILED_COST_WKSHT!D369</f>
        <v>Supplies and Materials Category 8</v>
      </c>
      <c r="E1483" s="115">
        <f>IF(DD_LVL2_ACTV_4_Currency_Selected=2,SOCMOB_DETAILED_COST_WKSHT!$F369*SOCMOB_DETAILED_COST_WKSHT!G369,SOCMOB_DETAILED_COST_WKSHT!$F369*(SOCMOB_DETAILED_COST_WKSHT!G369*LVL2_ACTV_4_Exchange_Rate))</f>
        <v>0</v>
      </c>
      <c r="F1483" s="115">
        <f>IF(DD_LVL2_ACTV_4_Currency_Selected=2,SOCMOB_DETAILED_COST_WKSHT!$F369*SOCMOB_DETAILED_COST_WKSHT!H369,SOCMOB_DETAILED_COST_WKSHT!$F369*(SOCMOB_DETAILED_COST_WKSHT!H369*LVL2_ACTV_4_Exchange_Rate))</f>
        <v>0</v>
      </c>
      <c r="G1483" s="116">
        <f t="shared" si="140"/>
        <v>0</v>
      </c>
      <c r="H1483" s="116">
        <f t="shared" si="141"/>
        <v>0</v>
      </c>
    </row>
    <row r="1484" spans="3:8" s="10" customFormat="1" outlineLevel="1" x14ac:dyDescent="0.2">
      <c r="D1484" s="49" t="str">
        <f>SOCMOB_DETAILED_COST_WKSHT!D370</f>
        <v>Supplies and Materials Category 9</v>
      </c>
      <c r="E1484" s="115">
        <f>IF(DD_LVL2_ACTV_4_Currency_Selected=2,SOCMOB_DETAILED_COST_WKSHT!$F370*SOCMOB_DETAILED_COST_WKSHT!G370,SOCMOB_DETAILED_COST_WKSHT!$F370*(SOCMOB_DETAILED_COST_WKSHT!G370*LVL2_ACTV_4_Exchange_Rate))</f>
        <v>0</v>
      </c>
      <c r="F1484" s="115">
        <f>IF(DD_LVL2_ACTV_4_Currency_Selected=2,SOCMOB_DETAILED_COST_WKSHT!$F370*SOCMOB_DETAILED_COST_WKSHT!H370,SOCMOB_DETAILED_COST_WKSHT!$F370*(SOCMOB_DETAILED_COST_WKSHT!H370*LVL2_ACTV_4_Exchange_Rate))</f>
        <v>0</v>
      </c>
      <c r="G1484" s="116">
        <f t="shared" si="140"/>
        <v>0</v>
      </c>
      <c r="H1484" s="116">
        <f t="shared" si="141"/>
        <v>0</v>
      </c>
    </row>
    <row r="1485" spans="3:8" s="10" customFormat="1" outlineLevel="1" x14ac:dyDescent="0.2">
      <c r="D1485" s="49" t="str">
        <f>SOCMOB_DETAILED_COST_WKSHT!D371</f>
        <v>Supplies and Materials Category 10</v>
      </c>
      <c r="E1485" s="115">
        <f>IF(DD_LVL2_ACTV_4_Currency_Selected=2,SOCMOB_DETAILED_COST_WKSHT!$F371*SOCMOB_DETAILED_COST_WKSHT!G371,SOCMOB_DETAILED_COST_WKSHT!$F371*(SOCMOB_DETAILED_COST_WKSHT!G371*LVL2_ACTV_4_Exchange_Rate))</f>
        <v>0</v>
      </c>
      <c r="F1485" s="115">
        <f>IF(DD_LVL2_ACTV_4_Currency_Selected=2,SOCMOB_DETAILED_COST_WKSHT!$F371*SOCMOB_DETAILED_COST_WKSHT!H371,SOCMOB_DETAILED_COST_WKSHT!$F371*(SOCMOB_DETAILED_COST_WKSHT!H371*LVL2_ACTV_4_Exchange_Rate))</f>
        <v>0</v>
      </c>
      <c r="G1485" s="116">
        <f t="shared" si="140"/>
        <v>0</v>
      </c>
      <c r="H1485" s="116">
        <f t="shared" si="141"/>
        <v>0</v>
      </c>
    </row>
    <row r="1486" spans="3:8" s="10" customFormat="1" outlineLevel="1" x14ac:dyDescent="0.2">
      <c r="D1486" s="48" t="str">
        <f>Lang_Supplies_And_Materials</f>
        <v>Supplies and Materials</v>
      </c>
      <c r="E1486" s="120">
        <f>SUM(E1476:E1485)</f>
        <v>0</v>
      </c>
      <c r="F1486" s="120">
        <f>SUM(F1476:F1485)</f>
        <v>0</v>
      </c>
      <c r="G1486" s="121">
        <f>SUM(G1476:G1485)</f>
        <v>0</v>
      </c>
      <c r="H1486" s="121">
        <f>SUM(H1476:H1485)</f>
        <v>0</v>
      </c>
    </row>
    <row r="1487" spans="3:8" s="10" customFormat="1" outlineLevel="1" x14ac:dyDescent="0.2"/>
    <row r="1488" spans="3:8" s="10" customFormat="1" outlineLevel="1" x14ac:dyDescent="0.2"/>
    <row r="1489" spans="1:8" s="10" customFormat="1" outlineLevel="1" x14ac:dyDescent="0.2">
      <c r="D1489" s="76" t="str">
        <f>Lang_GoTo&amp;" "&amp;HL_LVL2_ACTV_4_Supplies_and_Materials</f>
        <v>Go to IEC Soc Mob  Activity # 4  (Not in Use) - Detailed Supply and Material Cost Assumptions</v>
      </c>
    </row>
    <row r="1490" spans="1:8" s="10" customFormat="1" outlineLevel="1" x14ac:dyDescent="0.2">
      <c r="D1490" s="76" t="str">
        <f>Lang_GoTo&amp;" "&amp;HL_LVL2_ACTV_4_Cost_Summary_Output</f>
        <v>Go to IEC Soc Mob  Activity # 4  (Not in Use) Detailed Cost Summary</v>
      </c>
    </row>
    <row r="1491" spans="1:8" s="10" customFormat="1" x14ac:dyDescent="0.2"/>
    <row r="1492" spans="1:8" s="13" customFormat="1" x14ac:dyDescent="0.2">
      <c r="A1492" s="12" t="s">
        <v>127</v>
      </c>
      <c r="B1492" s="13" t="str">
        <f>C1494&amp;" "&amp;Lang_Other_Direct_Costs_Outputs</f>
        <v>IEC Soc Mob  Activity # 4  (Not in Use) Other Direct Costs - Outputs</v>
      </c>
    </row>
    <row r="1493" spans="1:8" s="10" customFormat="1" outlineLevel="1" x14ac:dyDescent="0.2"/>
    <row r="1494" spans="1:8" s="10" customFormat="1" outlineLevel="1" x14ac:dyDescent="0.2">
      <c r="C1494" s="114" t="str">
        <f>HL_LVL2_ACTV_4_Name</f>
        <v>IEC Soc Mob  Activity # 4  (Not in Use)</v>
      </c>
    </row>
    <row r="1495" spans="1:8" s="10" customFormat="1" outlineLevel="1" x14ac:dyDescent="0.2">
      <c r="E1495" s="86" t="str">
        <f>SOCMOB_Lu!$D$137&amp;" "&amp;Lang_Cost&amp;" ("&amp;SOCMOB_Lu!$D$118&amp;")"</f>
        <v>Financial Cost (LCU)</v>
      </c>
      <c r="F1495" s="86" t="str">
        <f>SOCMOB_Lu!$D$138&amp;" "&amp;Lang_Cost&amp;" ("&amp;SOCMOB_Lu!$D$118&amp;")"</f>
        <v>Economic Cost (LCU)</v>
      </c>
      <c r="G1495" s="86" t="str">
        <f>SOCMOB_Lu!$D$137&amp;" "&amp;Lang_Cost&amp;" ("&amp;SOCMOB_Lu!$D$117&amp;")"</f>
        <v>Financial Cost (USD)</v>
      </c>
      <c r="H1495" s="86" t="str">
        <f>SOCMOB_Lu!$D$138&amp;" "&amp;Lang_Cost&amp;" ("&amp;SOCMOB_Lu!$D$117&amp;")"</f>
        <v>Economic Cost (USD)</v>
      </c>
    </row>
    <row r="1496" spans="1:8" s="10" customFormat="1" outlineLevel="1" x14ac:dyDescent="0.2">
      <c r="D1496" s="49" t="str">
        <f>SOCMOB_DETAILED_COST_WKSHT!D380</f>
        <v>Other Direct Costs (ODC) Category 1</v>
      </c>
      <c r="E1496" s="115">
        <f>IF(DD_LVL2_ACTV_4_Currency_Selected=2,SOCMOB_DETAILED_COST_WKSHT!$F380*SOCMOB_DETAILED_COST_WKSHT!G380,SOCMOB_DETAILED_COST_WKSHT!$F380*(SOCMOB_DETAILED_COST_WKSHT!G380*LVL2_ACTV_4_Exchange_Rate))</f>
        <v>0</v>
      </c>
      <c r="F1496" s="115">
        <f>IF(DD_LVL2_ACTV_4_Currency_Selected=2,SOCMOB_DETAILED_COST_WKSHT!$F380*SOCMOB_DETAILED_COST_WKSHT!H380,SOCMOB_DETAILED_COST_WKSHT!$F380*(SOCMOB_DETAILED_COST_WKSHT!H380*LVL2_ACTV_4_Exchange_Rate))</f>
        <v>0</v>
      </c>
      <c r="G1496" s="116">
        <f t="shared" ref="G1496:G1505" si="142">E1496/LVL2_ACTV_4_Exchange_Rate</f>
        <v>0</v>
      </c>
      <c r="H1496" s="116">
        <f t="shared" ref="H1496:H1505" si="143">F1496/LVL2_ACTV_4_Exchange_Rate</f>
        <v>0</v>
      </c>
    </row>
    <row r="1497" spans="1:8" s="10" customFormat="1" outlineLevel="1" x14ac:dyDescent="0.2">
      <c r="D1497" s="49" t="str">
        <f>SOCMOB_DETAILED_COST_WKSHT!D381</f>
        <v>Other Direct Costs (ODC) Category 2</v>
      </c>
      <c r="E1497" s="115">
        <f>IF(DD_LVL2_ACTV_4_Currency_Selected=2,SOCMOB_DETAILED_COST_WKSHT!$F381*SOCMOB_DETAILED_COST_WKSHT!G381,SOCMOB_DETAILED_COST_WKSHT!$F381*(SOCMOB_DETAILED_COST_WKSHT!G381*LVL2_ACTV_4_Exchange_Rate))</f>
        <v>0</v>
      </c>
      <c r="F1497" s="115">
        <f>IF(DD_LVL2_ACTV_4_Currency_Selected=2,SOCMOB_DETAILED_COST_WKSHT!$F381*SOCMOB_DETAILED_COST_WKSHT!H381,SOCMOB_DETAILED_COST_WKSHT!$F381*(SOCMOB_DETAILED_COST_WKSHT!H381*LVL2_ACTV_4_Exchange_Rate))</f>
        <v>0</v>
      </c>
      <c r="G1497" s="116">
        <f t="shared" si="142"/>
        <v>0</v>
      </c>
      <c r="H1497" s="116">
        <f t="shared" si="143"/>
        <v>0</v>
      </c>
    </row>
    <row r="1498" spans="1:8" s="10" customFormat="1" outlineLevel="1" x14ac:dyDescent="0.2">
      <c r="D1498" s="49" t="str">
        <f>SOCMOB_DETAILED_COST_WKSHT!D382</f>
        <v>Other Direct Costs (ODC) Category 3</v>
      </c>
      <c r="E1498" s="115">
        <f>IF(DD_LVL2_ACTV_4_Currency_Selected=2,SOCMOB_DETAILED_COST_WKSHT!$F382*SOCMOB_DETAILED_COST_WKSHT!G382,SOCMOB_DETAILED_COST_WKSHT!$F382*(SOCMOB_DETAILED_COST_WKSHT!G382*LVL2_ACTV_4_Exchange_Rate))</f>
        <v>0</v>
      </c>
      <c r="F1498" s="115">
        <f>IF(DD_LVL2_ACTV_4_Currency_Selected=2,SOCMOB_DETAILED_COST_WKSHT!$F382*SOCMOB_DETAILED_COST_WKSHT!H382,SOCMOB_DETAILED_COST_WKSHT!$F382*(SOCMOB_DETAILED_COST_WKSHT!H382*LVL2_ACTV_4_Exchange_Rate))</f>
        <v>0</v>
      </c>
      <c r="G1498" s="116">
        <f t="shared" si="142"/>
        <v>0</v>
      </c>
      <c r="H1498" s="116">
        <f t="shared" si="143"/>
        <v>0</v>
      </c>
    </row>
    <row r="1499" spans="1:8" s="10" customFormat="1" outlineLevel="1" x14ac:dyDescent="0.2">
      <c r="D1499" s="49" t="str">
        <f>SOCMOB_DETAILED_COST_WKSHT!D383</f>
        <v>Other Direct Costs (ODC) Category 4</v>
      </c>
      <c r="E1499" s="115">
        <f>IF(DD_LVL2_ACTV_4_Currency_Selected=2,SOCMOB_DETAILED_COST_WKSHT!$F383*SOCMOB_DETAILED_COST_WKSHT!G383,SOCMOB_DETAILED_COST_WKSHT!$F383*(SOCMOB_DETAILED_COST_WKSHT!G383*LVL2_ACTV_4_Exchange_Rate))</f>
        <v>0</v>
      </c>
      <c r="F1499" s="115">
        <f>IF(DD_LVL2_ACTV_4_Currency_Selected=2,SOCMOB_DETAILED_COST_WKSHT!$F383*SOCMOB_DETAILED_COST_WKSHT!H383,SOCMOB_DETAILED_COST_WKSHT!$F383*(SOCMOB_DETAILED_COST_WKSHT!H383*LVL2_ACTV_4_Exchange_Rate))</f>
        <v>0</v>
      </c>
      <c r="G1499" s="116">
        <f t="shared" si="142"/>
        <v>0</v>
      </c>
      <c r="H1499" s="116">
        <f t="shared" si="143"/>
        <v>0</v>
      </c>
    </row>
    <row r="1500" spans="1:8" s="10" customFormat="1" outlineLevel="1" x14ac:dyDescent="0.2">
      <c r="D1500" s="49" t="str">
        <f>SOCMOB_DETAILED_COST_WKSHT!D384</f>
        <v>Other Direct Costs (ODC) Category 5</v>
      </c>
      <c r="E1500" s="115">
        <f>IF(DD_LVL2_ACTV_4_Currency_Selected=2,SOCMOB_DETAILED_COST_WKSHT!$F384*SOCMOB_DETAILED_COST_WKSHT!G384,SOCMOB_DETAILED_COST_WKSHT!$F384*(SOCMOB_DETAILED_COST_WKSHT!G384*LVL2_ACTV_4_Exchange_Rate))</f>
        <v>0</v>
      </c>
      <c r="F1500" s="115">
        <f>IF(DD_LVL2_ACTV_4_Currency_Selected=2,SOCMOB_DETAILED_COST_WKSHT!$F384*SOCMOB_DETAILED_COST_WKSHT!H384,SOCMOB_DETAILED_COST_WKSHT!$F384*(SOCMOB_DETAILED_COST_WKSHT!H384*LVL2_ACTV_4_Exchange_Rate))</f>
        <v>0</v>
      </c>
      <c r="G1500" s="116">
        <f t="shared" si="142"/>
        <v>0</v>
      </c>
      <c r="H1500" s="116">
        <f t="shared" si="143"/>
        <v>0</v>
      </c>
    </row>
    <row r="1501" spans="1:8" s="10" customFormat="1" outlineLevel="1" x14ac:dyDescent="0.2">
      <c r="D1501" s="49" t="str">
        <f>SOCMOB_DETAILED_COST_WKSHT!D385</f>
        <v>Other Direct Costs (ODC) Category 6</v>
      </c>
      <c r="E1501" s="115">
        <f>IF(DD_LVL2_ACTV_4_Currency_Selected=2,SOCMOB_DETAILED_COST_WKSHT!$F385*SOCMOB_DETAILED_COST_WKSHT!G385,SOCMOB_DETAILED_COST_WKSHT!$F385*(SOCMOB_DETAILED_COST_WKSHT!G385*LVL2_ACTV_4_Exchange_Rate))</f>
        <v>0</v>
      </c>
      <c r="F1501" s="115">
        <f>IF(DD_LVL2_ACTV_4_Currency_Selected=2,SOCMOB_DETAILED_COST_WKSHT!$F385*SOCMOB_DETAILED_COST_WKSHT!H385,SOCMOB_DETAILED_COST_WKSHT!$F385*(SOCMOB_DETAILED_COST_WKSHT!H385*LVL2_ACTV_4_Exchange_Rate))</f>
        <v>0</v>
      </c>
      <c r="G1501" s="116">
        <f t="shared" si="142"/>
        <v>0</v>
      </c>
      <c r="H1501" s="116">
        <f t="shared" si="143"/>
        <v>0</v>
      </c>
    </row>
    <row r="1502" spans="1:8" s="10" customFormat="1" outlineLevel="1" x14ac:dyDescent="0.2">
      <c r="D1502" s="49" t="str">
        <f>SOCMOB_DETAILED_COST_WKSHT!D386</f>
        <v>Other Direct Costs (ODC) Category 7</v>
      </c>
      <c r="E1502" s="115">
        <f>IF(DD_LVL2_ACTV_4_Currency_Selected=2,SOCMOB_DETAILED_COST_WKSHT!$F386*SOCMOB_DETAILED_COST_WKSHT!G386,SOCMOB_DETAILED_COST_WKSHT!$F386*(SOCMOB_DETAILED_COST_WKSHT!G386*LVL2_ACTV_4_Exchange_Rate))</f>
        <v>0</v>
      </c>
      <c r="F1502" s="115">
        <f>IF(DD_LVL2_ACTV_4_Currency_Selected=2,SOCMOB_DETAILED_COST_WKSHT!$F386*SOCMOB_DETAILED_COST_WKSHT!H386,SOCMOB_DETAILED_COST_WKSHT!$F386*(SOCMOB_DETAILED_COST_WKSHT!H386*LVL2_ACTV_4_Exchange_Rate))</f>
        <v>0</v>
      </c>
      <c r="G1502" s="116">
        <f t="shared" si="142"/>
        <v>0</v>
      </c>
      <c r="H1502" s="116">
        <f t="shared" si="143"/>
        <v>0</v>
      </c>
    </row>
    <row r="1503" spans="1:8" s="10" customFormat="1" outlineLevel="1" x14ac:dyDescent="0.2">
      <c r="D1503" s="49" t="str">
        <f>SOCMOB_DETAILED_COST_WKSHT!D387</f>
        <v>Other Direct Costs (ODC) Category 8</v>
      </c>
      <c r="E1503" s="115">
        <f>IF(DD_LVL2_ACTV_4_Currency_Selected=2,SOCMOB_DETAILED_COST_WKSHT!$F387*SOCMOB_DETAILED_COST_WKSHT!G387,SOCMOB_DETAILED_COST_WKSHT!$F387*(SOCMOB_DETAILED_COST_WKSHT!G387*LVL2_ACTV_4_Exchange_Rate))</f>
        <v>0</v>
      </c>
      <c r="F1503" s="115">
        <f>IF(DD_LVL2_ACTV_4_Currency_Selected=2,SOCMOB_DETAILED_COST_WKSHT!$F387*SOCMOB_DETAILED_COST_WKSHT!H387,SOCMOB_DETAILED_COST_WKSHT!$F387*(SOCMOB_DETAILED_COST_WKSHT!H387*LVL2_ACTV_4_Exchange_Rate))</f>
        <v>0</v>
      </c>
      <c r="G1503" s="116">
        <f t="shared" si="142"/>
        <v>0</v>
      </c>
      <c r="H1503" s="116">
        <f t="shared" si="143"/>
        <v>0</v>
      </c>
    </row>
    <row r="1504" spans="1:8" s="10" customFormat="1" outlineLevel="1" x14ac:dyDescent="0.2">
      <c r="D1504" s="49" t="str">
        <f>SOCMOB_DETAILED_COST_WKSHT!D388</f>
        <v>Other Direct Costs (ODC) Category 9</v>
      </c>
      <c r="E1504" s="115">
        <f>IF(DD_LVL2_ACTV_4_Currency_Selected=2,SOCMOB_DETAILED_COST_WKSHT!$F388*SOCMOB_DETAILED_COST_WKSHT!G388,SOCMOB_DETAILED_COST_WKSHT!$F388*(SOCMOB_DETAILED_COST_WKSHT!G388*LVL2_ACTV_4_Exchange_Rate))</f>
        <v>0</v>
      </c>
      <c r="F1504" s="115">
        <f>IF(DD_LVL2_ACTV_4_Currency_Selected=2,SOCMOB_DETAILED_COST_WKSHT!$F388*SOCMOB_DETAILED_COST_WKSHT!H388,SOCMOB_DETAILED_COST_WKSHT!$F388*(SOCMOB_DETAILED_COST_WKSHT!H388*LVL2_ACTV_4_Exchange_Rate))</f>
        <v>0</v>
      </c>
      <c r="G1504" s="116">
        <f t="shared" si="142"/>
        <v>0</v>
      </c>
      <c r="H1504" s="116">
        <f t="shared" si="143"/>
        <v>0</v>
      </c>
    </row>
    <row r="1505" spans="1:8" s="10" customFormat="1" outlineLevel="1" x14ac:dyDescent="0.2">
      <c r="D1505" s="49" t="str">
        <f>SOCMOB_DETAILED_COST_WKSHT!D389</f>
        <v>Other Direct Costs (ODC) Category 10</v>
      </c>
      <c r="E1505" s="115">
        <f>IF(DD_LVL2_ACTV_4_Currency_Selected=2,SOCMOB_DETAILED_COST_WKSHT!$F389*SOCMOB_DETAILED_COST_WKSHT!G389,SOCMOB_DETAILED_COST_WKSHT!$F389*(SOCMOB_DETAILED_COST_WKSHT!G389*LVL2_ACTV_4_Exchange_Rate))</f>
        <v>0</v>
      </c>
      <c r="F1505" s="115">
        <f>IF(DD_LVL2_ACTV_4_Currency_Selected=2,SOCMOB_DETAILED_COST_WKSHT!$F389*SOCMOB_DETAILED_COST_WKSHT!H389,SOCMOB_DETAILED_COST_WKSHT!$F389*(SOCMOB_DETAILED_COST_WKSHT!H389*LVL2_ACTV_4_Exchange_Rate))</f>
        <v>0</v>
      </c>
      <c r="G1505" s="116">
        <f t="shared" si="142"/>
        <v>0</v>
      </c>
      <c r="H1505" s="116">
        <f t="shared" si="143"/>
        <v>0</v>
      </c>
    </row>
    <row r="1506" spans="1:8" s="10" customFormat="1" outlineLevel="1" x14ac:dyDescent="0.2">
      <c r="D1506" s="48" t="str">
        <f>Lang_Other_Direct_Costs</f>
        <v>Other Direct Costs</v>
      </c>
      <c r="E1506" s="120">
        <f>SUM(E1496:E1505)</f>
        <v>0</v>
      </c>
      <c r="F1506" s="120">
        <f>SUM(F1496:F1505)</f>
        <v>0</v>
      </c>
      <c r="G1506" s="121">
        <f>SUM(G1496:G1505)</f>
        <v>0</v>
      </c>
      <c r="H1506" s="121">
        <f>SUM(H1496:H1505)</f>
        <v>0</v>
      </c>
    </row>
    <row r="1507" spans="1:8" s="10" customFormat="1" outlineLevel="1" x14ac:dyDescent="0.2"/>
    <row r="1508" spans="1:8" s="10" customFormat="1" outlineLevel="1" x14ac:dyDescent="0.2">
      <c r="D1508" s="76" t="str">
        <f>Lang_GoTo&amp;" "&amp;HL_LVL2_ACTV_4_Other_Direct_Costs</f>
        <v>Go to IEC Soc Mob  Activity # 4  (Not in Use) - Detailed Other Direct Cost Assumptions</v>
      </c>
    </row>
    <row r="1509" spans="1:8" s="10" customFormat="1" outlineLevel="1" x14ac:dyDescent="0.2">
      <c r="D1509" s="76" t="str">
        <f>Lang_GoTo&amp;" "&amp;HL_LVL2_ACTV_4_Cost_Summary_Output</f>
        <v>Go to IEC Soc Mob  Activity # 4  (Not in Use) Detailed Cost Summary</v>
      </c>
    </row>
    <row r="1510" spans="1:8" s="10" customFormat="1" x14ac:dyDescent="0.2"/>
    <row r="1511" spans="1:8" s="13" customFormat="1" x14ac:dyDescent="0.2">
      <c r="A1511" s="12" t="s">
        <v>127</v>
      </c>
      <c r="B1511" s="13" t="str">
        <f>C1513&amp;" "&amp;Lang_Personnel_Outputs</f>
        <v>IEC Soc Mob  Activity # 5  (Not in Use) Personnel - Outputs</v>
      </c>
    </row>
    <row r="1512" spans="1:8" s="10" customFormat="1" outlineLevel="1" x14ac:dyDescent="0.2"/>
    <row r="1513" spans="1:8" s="10" customFormat="1" outlineLevel="1" x14ac:dyDescent="0.2">
      <c r="C1513" s="114" t="str">
        <f>HL_LVL2_ACTV_10_Name</f>
        <v>IEC Soc Mob  Activity # 5  (Not in Use)</v>
      </c>
    </row>
    <row r="1514" spans="1:8" s="10" customFormat="1" outlineLevel="1" x14ac:dyDescent="0.2">
      <c r="E1514" s="86" t="str">
        <f>SOCMOB_Lu!$D$172&amp;" "&amp;Lang_Cost&amp;" ("&amp;SOCMOB_Lu!$D$153&amp;")"</f>
        <v>Financial Cost (LCU)</v>
      </c>
      <c r="F1514" s="86" t="str">
        <f>SOCMOB_Lu!$D$173&amp;" "&amp;Lang_Cost&amp;" ("&amp;SOCMOB_Lu!$D$153&amp;")"</f>
        <v>Economic Cost (LCU)</v>
      </c>
      <c r="G1514" s="86" t="str">
        <f>SOCMOB_Lu!$D$172&amp;" "&amp;Lang_Cost&amp;" ("&amp;SOCMOB_Lu!$D$152&amp;")"</f>
        <v>Financial Cost (USD)</v>
      </c>
      <c r="H1514" s="86" t="str">
        <f>SOCMOB_Lu!$D$173&amp;" "&amp;Lang_Cost&amp;" ("&amp;SOCMOB_Lu!$D$152&amp;")"</f>
        <v>Economic Cost (USD)</v>
      </c>
    </row>
    <row r="1515" spans="1:8" s="10" customFormat="1" outlineLevel="1" x14ac:dyDescent="0.2">
      <c r="D1515" s="49" t="str">
        <f>SOCMOB_DETAILED_COST_WKSHT!D420</f>
        <v>Personnel Category 1</v>
      </c>
      <c r="E1515" s="115">
        <f>IF(DD_LVL2_ACTV_10_Currency_Selected=2,SOCMOB_DETAILED_COST_WKSHT!$F420*SOCMOB_DETAILED_COST_WKSHT!G420,SOCMOB_DETAILED_COST_WKSHT!$F420*(SOCMOB_DETAILED_COST_WKSHT!G420*LVL2_ACTV_10_Exchange_Rate))</f>
        <v>0</v>
      </c>
      <c r="F1515" s="115">
        <f>IF(DD_LVL2_ACTV_10_Currency_Selected=2,SOCMOB_DETAILED_COST_WKSHT!$F420*SOCMOB_DETAILED_COST_WKSHT!H420,SOCMOB_DETAILED_COST_WKSHT!$F420*(SOCMOB_DETAILED_COST_WKSHT!H420*LVL2_ACTV_10_Exchange_Rate))</f>
        <v>0</v>
      </c>
      <c r="G1515" s="116">
        <f t="shared" ref="G1515:G1529" si="144">IFERROR(E1515/LVL2_ACTV_10_Exchange_Rate,0)</f>
        <v>0</v>
      </c>
      <c r="H1515" s="116">
        <f t="shared" ref="H1515:H1529" si="145">IFERROR(F1515/LVL2_ACTV_10_Exchange_Rate,0)</f>
        <v>0</v>
      </c>
    </row>
    <row r="1516" spans="1:8" s="10" customFormat="1" outlineLevel="1" x14ac:dyDescent="0.2">
      <c r="D1516" s="49" t="str">
        <f>SOCMOB_DETAILED_COST_WKSHT!D421</f>
        <v>Personnel Category 2</v>
      </c>
      <c r="E1516" s="115">
        <f>IF(DD_LVL2_ACTV_10_Currency_Selected=2,SOCMOB_DETAILED_COST_WKSHT!$F421*SOCMOB_DETAILED_COST_WKSHT!G421,SOCMOB_DETAILED_COST_WKSHT!$F421*(SOCMOB_DETAILED_COST_WKSHT!G421*LVL2_ACTV_10_Exchange_Rate))</f>
        <v>0</v>
      </c>
      <c r="F1516" s="115">
        <f>IF(DD_LVL2_ACTV_10_Currency_Selected=2,SOCMOB_DETAILED_COST_WKSHT!$F421*SOCMOB_DETAILED_COST_WKSHT!H421,SOCMOB_DETAILED_COST_WKSHT!$F421*(SOCMOB_DETAILED_COST_WKSHT!H421*LVL2_ACTV_10_Exchange_Rate))</f>
        <v>0</v>
      </c>
      <c r="G1516" s="116">
        <f t="shared" si="144"/>
        <v>0</v>
      </c>
      <c r="H1516" s="116">
        <f t="shared" si="145"/>
        <v>0</v>
      </c>
    </row>
    <row r="1517" spans="1:8" s="10" customFormat="1" outlineLevel="1" x14ac:dyDescent="0.2">
      <c r="D1517" s="49" t="str">
        <f>SOCMOB_DETAILED_COST_WKSHT!D422</f>
        <v>Personnel Category 3</v>
      </c>
      <c r="E1517" s="115">
        <f>IF(DD_LVL2_ACTV_10_Currency_Selected=2,SOCMOB_DETAILED_COST_WKSHT!$F422*SOCMOB_DETAILED_COST_WKSHT!G422,SOCMOB_DETAILED_COST_WKSHT!$F422*(SOCMOB_DETAILED_COST_WKSHT!G422*LVL2_ACTV_10_Exchange_Rate))</f>
        <v>0</v>
      </c>
      <c r="F1517" s="115">
        <f>IF(DD_LVL2_ACTV_10_Currency_Selected=2,SOCMOB_DETAILED_COST_WKSHT!$F422*SOCMOB_DETAILED_COST_WKSHT!H422,SOCMOB_DETAILED_COST_WKSHT!$F422*(SOCMOB_DETAILED_COST_WKSHT!H422*LVL2_ACTV_10_Exchange_Rate))</f>
        <v>0</v>
      </c>
      <c r="G1517" s="116">
        <f t="shared" si="144"/>
        <v>0</v>
      </c>
      <c r="H1517" s="116">
        <f t="shared" si="145"/>
        <v>0</v>
      </c>
    </row>
    <row r="1518" spans="1:8" s="10" customFormat="1" outlineLevel="1" x14ac:dyDescent="0.2">
      <c r="D1518" s="49" t="str">
        <f>SOCMOB_DETAILED_COST_WKSHT!D423</f>
        <v>Personnel Category 4</v>
      </c>
      <c r="E1518" s="115">
        <f>IF(DD_LVL2_ACTV_10_Currency_Selected=2,SOCMOB_DETAILED_COST_WKSHT!$F423*SOCMOB_DETAILED_COST_WKSHT!G423,SOCMOB_DETAILED_COST_WKSHT!$F423*(SOCMOB_DETAILED_COST_WKSHT!G423*LVL2_ACTV_10_Exchange_Rate))</f>
        <v>0</v>
      </c>
      <c r="F1518" s="115">
        <f>IF(DD_LVL2_ACTV_10_Currency_Selected=2,SOCMOB_DETAILED_COST_WKSHT!$F423*SOCMOB_DETAILED_COST_WKSHT!H423,SOCMOB_DETAILED_COST_WKSHT!$F423*(SOCMOB_DETAILED_COST_WKSHT!H423*LVL2_ACTV_10_Exchange_Rate))</f>
        <v>0</v>
      </c>
      <c r="G1518" s="116">
        <f t="shared" si="144"/>
        <v>0</v>
      </c>
      <c r="H1518" s="116">
        <f t="shared" si="145"/>
        <v>0</v>
      </c>
    </row>
    <row r="1519" spans="1:8" s="10" customFormat="1" outlineLevel="1" x14ac:dyDescent="0.2">
      <c r="D1519" s="49" t="str">
        <f>SOCMOB_DETAILED_COST_WKSHT!D424</f>
        <v>Personnel Category 5</v>
      </c>
      <c r="E1519" s="115">
        <f>IF(DD_LVL2_ACTV_10_Currency_Selected=2,SOCMOB_DETAILED_COST_WKSHT!$F424*SOCMOB_DETAILED_COST_WKSHT!G424,SOCMOB_DETAILED_COST_WKSHT!$F424*(SOCMOB_DETAILED_COST_WKSHT!G424*LVL2_ACTV_10_Exchange_Rate))</f>
        <v>0</v>
      </c>
      <c r="F1519" s="115">
        <f>IF(DD_LVL2_ACTV_10_Currency_Selected=2,SOCMOB_DETAILED_COST_WKSHT!$F424*SOCMOB_DETAILED_COST_WKSHT!H424,SOCMOB_DETAILED_COST_WKSHT!$F424*(SOCMOB_DETAILED_COST_WKSHT!H424*LVL2_ACTV_10_Exchange_Rate))</f>
        <v>0</v>
      </c>
      <c r="G1519" s="116">
        <f t="shared" si="144"/>
        <v>0</v>
      </c>
      <c r="H1519" s="116">
        <f t="shared" si="145"/>
        <v>0</v>
      </c>
    </row>
    <row r="1520" spans="1:8" s="10" customFormat="1" outlineLevel="1" x14ac:dyDescent="0.2">
      <c r="D1520" s="49" t="str">
        <f>SOCMOB_DETAILED_COST_WKSHT!D425</f>
        <v>Personnel Category 6</v>
      </c>
      <c r="E1520" s="115">
        <f>IF(DD_LVL2_ACTV_10_Currency_Selected=2,SOCMOB_DETAILED_COST_WKSHT!$F425*SOCMOB_DETAILED_COST_WKSHT!G425,SOCMOB_DETAILED_COST_WKSHT!$F425*(SOCMOB_DETAILED_COST_WKSHT!G425*LVL2_ACTV_10_Exchange_Rate))</f>
        <v>0</v>
      </c>
      <c r="F1520" s="115">
        <f>IF(DD_LVL2_ACTV_10_Currency_Selected=2,SOCMOB_DETAILED_COST_WKSHT!$F425*SOCMOB_DETAILED_COST_WKSHT!H425,SOCMOB_DETAILED_COST_WKSHT!$F425*(SOCMOB_DETAILED_COST_WKSHT!H425*LVL2_ACTV_10_Exchange_Rate))</f>
        <v>0</v>
      </c>
      <c r="G1520" s="116">
        <f t="shared" si="144"/>
        <v>0</v>
      </c>
      <c r="H1520" s="116">
        <f t="shared" si="145"/>
        <v>0</v>
      </c>
    </row>
    <row r="1521" spans="1:8" s="10" customFormat="1" outlineLevel="1" x14ac:dyDescent="0.2">
      <c r="D1521" s="49" t="str">
        <f>SOCMOB_DETAILED_COST_WKSHT!D426</f>
        <v>Personnel Category 7</v>
      </c>
      <c r="E1521" s="115">
        <f>IF(DD_LVL2_ACTV_10_Currency_Selected=2,SOCMOB_DETAILED_COST_WKSHT!$F426*SOCMOB_DETAILED_COST_WKSHT!G426,SOCMOB_DETAILED_COST_WKSHT!$F426*(SOCMOB_DETAILED_COST_WKSHT!G426*LVL2_ACTV_10_Exchange_Rate))</f>
        <v>0</v>
      </c>
      <c r="F1521" s="115">
        <f>IF(DD_LVL2_ACTV_10_Currency_Selected=2,SOCMOB_DETAILED_COST_WKSHT!$F426*SOCMOB_DETAILED_COST_WKSHT!H426,SOCMOB_DETAILED_COST_WKSHT!$F426*(SOCMOB_DETAILED_COST_WKSHT!H426*LVL2_ACTV_10_Exchange_Rate))</f>
        <v>0</v>
      </c>
      <c r="G1521" s="116">
        <f t="shared" si="144"/>
        <v>0</v>
      </c>
      <c r="H1521" s="116">
        <f t="shared" si="145"/>
        <v>0</v>
      </c>
    </row>
    <row r="1522" spans="1:8" s="10" customFormat="1" outlineLevel="1" x14ac:dyDescent="0.2">
      <c r="D1522" s="49" t="str">
        <f>SOCMOB_DETAILED_COST_WKSHT!D427</f>
        <v>Personnel Category 8</v>
      </c>
      <c r="E1522" s="115">
        <f>IF(DD_LVL2_ACTV_10_Currency_Selected=2,SOCMOB_DETAILED_COST_WKSHT!$F427*SOCMOB_DETAILED_COST_WKSHT!G427,SOCMOB_DETAILED_COST_WKSHT!$F427*(SOCMOB_DETAILED_COST_WKSHT!G427*LVL2_ACTV_10_Exchange_Rate))</f>
        <v>0</v>
      </c>
      <c r="F1522" s="115">
        <f>IF(DD_LVL2_ACTV_10_Currency_Selected=2,SOCMOB_DETAILED_COST_WKSHT!$F427*SOCMOB_DETAILED_COST_WKSHT!H427,SOCMOB_DETAILED_COST_WKSHT!$F427*(SOCMOB_DETAILED_COST_WKSHT!H427*LVL2_ACTV_10_Exchange_Rate))</f>
        <v>0</v>
      </c>
      <c r="G1522" s="116">
        <f t="shared" si="144"/>
        <v>0</v>
      </c>
      <c r="H1522" s="116">
        <f t="shared" si="145"/>
        <v>0</v>
      </c>
    </row>
    <row r="1523" spans="1:8" s="10" customFormat="1" outlineLevel="1" x14ac:dyDescent="0.2">
      <c r="D1523" s="49" t="str">
        <f>SOCMOB_DETAILED_COST_WKSHT!D428</f>
        <v>Personnel Category 9</v>
      </c>
      <c r="E1523" s="115">
        <f>IF(DD_LVL2_ACTV_10_Currency_Selected=2,SOCMOB_DETAILED_COST_WKSHT!$F428*SOCMOB_DETAILED_COST_WKSHT!G428,SOCMOB_DETAILED_COST_WKSHT!$F428*(SOCMOB_DETAILED_COST_WKSHT!G428*LVL2_ACTV_10_Exchange_Rate))</f>
        <v>0</v>
      </c>
      <c r="F1523" s="115">
        <f>IF(DD_LVL2_ACTV_10_Currency_Selected=2,SOCMOB_DETAILED_COST_WKSHT!$F428*SOCMOB_DETAILED_COST_WKSHT!H428,SOCMOB_DETAILED_COST_WKSHT!$F428*(SOCMOB_DETAILED_COST_WKSHT!H428*LVL2_ACTV_10_Exchange_Rate))</f>
        <v>0</v>
      </c>
      <c r="G1523" s="116">
        <f t="shared" si="144"/>
        <v>0</v>
      </c>
      <c r="H1523" s="116">
        <f t="shared" si="145"/>
        <v>0</v>
      </c>
    </row>
    <row r="1524" spans="1:8" s="10" customFormat="1" outlineLevel="1" x14ac:dyDescent="0.2">
      <c r="D1524" s="49" t="str">
        <f>SOCMOB_DETAILED_COST_WKSHT!D429</f>
        <v>Personnel Category 10</v>
      </c>
      <c r="E1524" s="115">
        <f>IF(DD_LVL2_ACTV_10_Currency_Selected=2,SOCMOB_DETAILED_COST_WKSHT!$F429*SOCMOB_DETAILED_COST_WKSHT!G429,SOCMOB_DETAILED_COST_WKSHT!$F429*(SOCMOB_DETAILED_COST_WKSHT!G429*LVL2_ACTV_10_Exchange_Rate))</f>
        <v>0</v>
      </c>
      <c r="F1524" s="115">
        <f>IF(DD_LVL2_ACTV_10_Currency_Selected=2,SOCMOB_DETAILED_COST_WKSHT!$F429*SOCMOB_DETAILED_COST_WKSHT!H429,SOCMOB_DETAILED_COST_WKSHT!$F429*(SOCMOB_DETAILED_COST_WKSHT!H429*LVL2_ACTV_10_Exchange_Rate))</f>
        <v>0</v>
      </c>
      <c r="G1524" s="116">
        <f t="shared" si="144"/>
        <v>0</v>
      </c>
      <c r="H1524" s="116">
        <f t="shared" si="145"/>
        <v>0</v>
      </c>
    </row>
    <row r="1525" spans="1:8" s="10" customFormat="1" outlineLevel="1" x14ac:dyDescent="0.2">
      <c r="D1525" s="49" t="str">
        <f>SOCMOB_DETAILED_COST_WKSHT!D430</f>
        <v>Personnel Category 11</v>
      </c>
      <c r="E1525" s="115">
        <f>IF(DD_LVL2_ACTV_10_Currency_Selected=2,SOCMOB_DETAILED_COST_WKSHT!$F430*SOCMOB_DETAILED_COST_WKSHT!G430,SOCMOB_DETAILED_COST_WKSHT!$F430*(SOCMOB_DETAILED_COST_WKSHT!G430*LVL2_ACTV_10_Exchange_Rate))</f>
        <v>0</v>
      </c>
      <c r="F1525" s="115">
        <f>IF(DD_LVL2_ACTV_10_Currency_Selected=2,SOCMOB_DETAILED_COST_WKSHT!$F430*SOCMOB_DETAILED_COST_WKSHT!H430,SOCMOB_DETAILED_COST_WKSHT!$F430*(SOCMOB_DETAILED_COST_WKSHT!H430*LVL2_ACTV_10_Exchange_Rate))</f>
        <v>0</v>
      </c>
      <c r="G1525" s="116">
        <f t="shared" si="144"/>
        <v>0</v>
      </c>
      <c r="H1525" s="116">
        <f t="shared" si="145"/>
        <v>0</v>
      </c>
    </row>
    <row r="1526" spans="1:8" s="10" customFormat="1" outlineLevel="1" x14ac:dyDescent="0.2">
      <c r="D1526" s="49" t="str">
        <f>SOCMOB_DETAILED_COST_WKSHT!D431</f>
        <v>Personnel Category 12</v>
      </c>
      <c r="E1526" s="115">
        <f>IF(DD_LVL2_ACTV_10_Currency_Selected=2,SOCMOB_DETAILED_COST_WKSHT!$F431*SOCMOB_DETAILED_COST_WKSHT!G431,SOCMOB_DETAILED_COST_WKSHT!$F431*(SOCMOB_DETAILED_COST_WKSHT!G431*LVL2_ACTV_10_Exchange_Rate))</f>
        <v>0</v>
      </c>
      <c r="F1526" s="115">
        <f>IF(DD_LVL2_ACTV_10_Currency_Selected=2,SOCMOB_DETAILED_COST_WKSHT!$F431*SOCMOB_DETAILED_COST_WKSHT!H431,SOCMOB_DETAILED_COST_WKSHT!$F431*(SOCMOB_DETAILED_COST_WKSHT!H431*LVL2_ACTV_10_Exchange_Rate))</f>
        <v>0</v>
      </c>
      <c r="G1526" s="116">
        <f t="shared" si="144"/>
        <v>0</v>
      </c>
      <c r="H1526" s="116">
        <f t="shared" si="145"/>
        <v>0</v>
      </c>
    </row>
    <row r="1527" spans="1:8" s="10" customFormat="1" outlineLevel="1" x14ac:dyDescent="0.2">
      <c r="D1527" s="49" t="str">
        <f>SOCMOB_DETAILED_COST_WKSHT!D432</f>
        <v>Personnel Category 13</v>
      </c>
      <c r="E1527" s="115">
        <f>IF(DD_LVL2_ACTV_10_Currency_Selected=2,SOCMOB_DETAILED_COST_WKSHT!$F432*SOCMOB_DETAILED_COST_WKSHT!G432,SOCMOB_DETAILED_COST_WKSHT!$F432*(SOCMOB_DETAILED_COST_WKSHT!G432*LVL2_ACTV_10_Exchange_Rate))</f>
        <v>0</v>
      </c>
      <c r="F1527" s="115">
        <f>IF(DD_LVL2_ACTV_10_Currency_Selected=2,SOCMOB_DETAILED_COST_WKSHT!$F432*SOCMOB_DETAILED_COST_WKSHT!H432,SOCMOB_DETAILED_COST_WKSHT!$F432*(SOCMOB_DETAILED_COST_WKSHT!H432*LVL2_ACTV_10_Exchange_Rate))</f>
        <v>0</v>
      </c>
      <c r="G1527" s="116">
        <f t="shared" si="144"/>
        <v>0</v>
      </c>
      <c r="H1527" s="116">
        <f t="shared" si="145"/>
        <v>0</v>
      </c>
    </row>
    <row r="1528" spans="1:8" s="10" customFormat="1" outlineLevel="1" x14ac:dyDescent="0.2">
      <c r="D1528" s="49" t="str">
        <f>SOCMOB_DETAILED_COST_WKSHT!D433</f>
        <v>Personnel Category 14</v>
      </c>
      <c r="E1528" s="115">
        <f>IF(DD_LVL2_ACTV_10_Currency_Selected=2,SOCMOB_DETAILED_COST_WKSHT!$F433*SOCMOB_DETAILED_COST_WKSHT!G433,SOCMOB_DETAILED_COST_WKSHT!$F433*(SOCMOB_DETAILED_COST_WKSHT!G433*LVL2_ACTV_10_Exchange_Rate))</f>
        <v>0</v>
      </c>
      <c r="F1528" s="115">
        <f>IF(DD_LVL2_ACTV_10_Currency_Selected=2,SOCMOB_DETAILED_COST_WKSHT!$F433*SOCMOB_DETAILED_COST_WKSHT!H433,SOCMOB_DETAILED_COST_WKSHT!$F433*(SOCMOB_DETAILED_COST_WKSHT!H433*LVL2_ACTV_10_Exchange_Rate))</f>
        <v>0</v>
      </c>
      <c r="G1528" s="116">
        <f t="shared" si="144"/>
        <v>0</v>
      </c>
      <c r="H1528" s="116">
        <f t="shared" si="145"/>
        <v>0</v>
      </c>
    </row>
    <row r="1529" spans="1:8" s="10" customFormat="1" outlineLevel="1" x14ac:dyDescent="0.2">
      <c r="D1529" s="49" t="str">
        <f>SOCMOB_DETAILED_COST_WKSHT!D434</f>
        <v>Personnel Category 15</v>
      </c>
      <c r="E1529" s="115">
        <f>IF(DD_LVL2_ACTV_10_Currency_Selected=2,SOCMOB_DETAILED_COST_WKSHT!$F434*SOCMOB_DETAILED_COST_WKSHT!G434,SOCMOB_DETAILED_COST_WKSHT!$F434*(SOCMOB_DETAILED_COST_WKSHT!G434*LVL2_ACTV_10_Exchange_Rate))</f>
        <v>0</v>
      </c>
      <c r="F1529" s="115">
        <f>IF(DD_LVL2_ACTV_10_Currency_Selected=2,SOCMOB_DETAILED_COST_WKSHT!$F434*SOCMOB_DETAILED_COST_WKSHT!H434,SOCMOB_DETAILED_COST_WKSHT!$F434*(SOCMOB_DETAILED_COST_WKSHT!H434*LVL2_ACTV_10_Exchange_Rate))</f>
        <v>0</v>
      </c>
      <c r="G1529" s="116">
        <f t="shared" si="144"/>
        <v>0</v>
      </c>
      <c r="H1529" s="116">
        <f t="shared" si="145"/>
        <v>0</v>
      </c>
    </row>
    <row r="1530" spans="1:8" s="10" customFormat="1" outlineLevel="1" x14ac:dyDescent="0.2">
      <c r="D1530" s="48" t="str">
        <f>Lang_Personnel</f>
        <v>Personnel</v>
      </c>
      <c r="E1530" s="120">
        <f>SUM(E1515:E1529)</f>
        <v>0</v>
      </c>
      <c r="F1530" s="120">
        <f>SUM(F1515:F1529)</f>
        <v>0</v>
      </c>
      <c r="G1530" s="121">
        <f>SUM(G1515:G1529)</f>
        <v>0</v>
      </c>
      <c r="H1530" s="121">
        <f>SUM(H1515:H1529)</f>
        <v>0</v>
      </c>
    </row>
    <row r="1531" spans="1:8" s="10" customFormat="1" outlineLevel="1" x14ac:dyDescent="0.2"/>
    <row r="1532" spans="1:8" s="10" customFormat="1" outlineLevel="1" x14ac:dyDescent="0.2"/>
    <row r="1533" spans="1:8" s="10" customFormat="1" outlineLevel="1" x14ac:dyDescent="0.2">
      <c r="D1533" s="76" t="str">
        <f>Lang_GoTo&amp;" "&amp;HL_LVL2_ACTV_10_Personnel_Assumptions</f>
        <v>Go to IEC Soc Mob  Activity # 5  (Not in Use) - Detailed Personnel Cost Assumptions</v>
      </c>
    </row>
    <row r="1534" spans="1:8" s="10" customFormat="1" outlineLevel="1" x14ac:dyDescent="0.2">
      <c r="D1534" s="76" t="str">
        <f>Lang_GoTo&amp;" "&amp;HL_LVL2_ACTV_10_Cost_Summary_Output</f>
        <v>Go to IEC Soc Mob  Activity # 5  (Not in Use) Detailed Cost Summary</v>
      </c>
    </row>
    <row r="1535" spans="1:8" s="10" customFormat="1" x14ac:dyDescent="0.2"/>
    <row r="1536" spans="1:8" s="13" customFormat="1" x14ac:dyDescent="0.2">
      <c r="A1536" s="12" t="s">
        <v>127</v>
      </c>
      <c r="B1536" s="13" t="str">
        <f>C1538&amp;" "&amp;Lang_Allowances_Outputs</f>
        <v>IEC Soc Mob  Activity # 5  (Not in Use) Allowances - Outputs</v>
      </c>
    </row>
    <row r="1537" spans="3:8" s="10" customFormat="1" outlineLevel="1" x14ac:dyDescent="0.2"/>
    <row r="1538" spans="3:8" s="10" customFormat="1" outlineLevel="1" x14ac:dyDescent="0.2">
      <c r="C1538" s="114" t="str">
        <f>HL_LVL2_ACTV_10_Name</f>
        <v>IEC Soc Mob  Activity # 5  (Not in Use)</v>
      </c>
    </row>
    <row r="1539" spans="3:8" s="10" customFormat="1" outlineLevel="1" x14ac:dyDescent="0.2">
      <c r="E1539" s="86" t="str">
        <f>SOCMOB_Lu!$D$172&amp;" "&amp;Lang_Cost&amp;" ("&amp;SOCMOB_Lu!$D$153&amp;")"</f>
        <v>Financial Cost (LCU)</v>
      </c>
      <c r="F1539" s="86" t="str">
        <f>SOCMOB_Lu!$D$173&amp;" "&amp;Lang_Cost&amp;" ("&amp;SOCMOB_Lu!$D$153&amp;")"</f>
        <v>Economic Cost (LCU)</v>
      </c>
      <c r="G1539" s="86" t="str">
        <f>SOCMOB_Lu!$D$172&amp;" "&amp;Lang_Cost&amp;" ("&amp;SOCMOB_Lu!$D$152&amp;")"</f>
        <v>Financial Cost (USD)</v>
      </c>
      <c r="H1539" s="86" t="str">
        <f>SOCMOB_Lu!$D$173&amp;" "&amp;Lang_Cost&amp;" ("&amp;SOCMOB_Lu!$D$152&amp;")"</f>
        <v>Economic Cost (USD)</v>
      </c>
    </row>
    <row r="1540" spans="3:8" s="10" customFormat="1" outlineLevel="1" x14ac:dyDescent="0.2">
      <c r="D1540" s="49" t="str">
        <f>SOCMOB_DETAILED_COST_WKSHT!D443</f>
        <v>Allowances Category 1</v>
      </c>
      <c r="E1540" s="115">
        <f>IF(DD_LVL2_ACTV_10_Currency_Selected=2,SOCMOB_DETAILED_COST_WKSHT!$F443*SOCMOB_DETAILED_COST_WKSHT!G443,SOCMOB_DETAILED_COST_WKSHT!$F443*(SOCMOB_DETAILED_COST_WKSHT!G443*LVL2_ACTV_10_Exchange_Rate))</f>
        <v>0</v>
      </c>
      <c r="F1540" s="115">
        <f>IF(DD_LVL2_ACTV_10_Currency_Selected=2,SOCMOB_DETAILED_COST_WKSHT!$F443*SOCMOB_DETAILED_COST_WKSHT!H443,SOCMOB_DETAILED_COST_WKSHT!$F443*(SOCMOB_DETAILED_COST_WKSHT!H443*LVL2_ACTV_10_Exchange_Rate))</f>
        <v>0</v>
      </c>
      <c r="G1540" s="116">
        <f t="shared" ref="G1540:G1549" si="146">E1540/LVL2_ACTV_10_Exchange_Rate</f>
        <v>0</v>
      </c>
      <c r="H1540" s="116">
        <f t="shared" ref="H1540:H1549" si="147">F1540/LVL2_ACTV_10_Exchange_Rate</f>
        <v>0</v>
      </c>
    </row>
    <row r="1541" spans="3:8" s="10" customFormat="1" outlineLevel="1" x14ac:dyDescent="0.2">
      <c r="D1541" s="49" t="str">
        <f>SOCMOB_DETAILED_COST_WKSHT!D444</f>
        <v>Allowances Category 2</v>
      </c>
      <c r="E1541" s="115">
        <f>IF(DD_LVL2_ACTV_10_Currency_Selected=2,SOCMOB_DETAILED_COST_WKSHT!$F444*SOCMOB_DETAILED_COST_WKSHT!G444,SOCMOB_DETAILED_COST_WKSHT!$F444*(SOCMOB_DETAILED_COST_WKSHT!G444*LVL2_ACTV_10_Exchange_Rate))</f>
        <v>0</v>
      </c>
      <c r="F1541" s="115">
        <f>IF(DD_LVL2_ACTV_10_Currency_Selected=2,SOCMOB_DETAILED_COST_WKSHT!$F444*SOCMOB_DETAILED_COST_WKSHT!H444,SOCMOB_DETAILED_COST_WKSHT!$F444*(SOCMOB_DETAILED_COST_WKSHT!H444*LVL2_ACTV_10_Exchange_Rate))</f>
        <v>0</v>
      </c>
      <c r="G1541" s="116">
        <f t="shared" si="146"/>
        <v>0</v>
      </c>
      <c r="H1541" s="116">
        <f t="shared" si="147"/>
        <v>0</v>
      </c>
    </row>
    <row r="1542" spans="3:8" s="10" customFormat="1" outlineLevel="1" x14ac:dyDescent="0.2">
      <c r="D1542" s="49" t="str">
        <f>SOCMOB_DETAILED_COST_WKSHT!D445</f>
        <v>Allowances Category 3</v>
      </c>
      <c r="E1542" s="115">
        <f>IF(DD_LVL2_ACTV_10_Currency_Selected=2,SOCMOB_DETAILED_COST_WKSHT!$F445*SOCMOB_DETAILED_COST_WKSHT!G445,SOCMOB_DETAILED_COST_WKSHT!$F445*(SOCMOB_DETAILED_COST_WKSHT!G445*LVL2_ACTV_10_Exchange_Rate))</f>
        <v>0</v>
      </c>
      <c r="F1542" s="115">
        <f>IF(DD_LVL2_ACTV_10_Currency_Selected=2,SOCMOB_DETAILED_COST_WKSHT!$F445*SOCMOB_DETAILED_COST_WKSHT!H445,SOCMOB_DETAILED_COST_WKSHT!$F445*(SOCMOB_DETAILED_COST_WKSHT!H445*LVL2_ACTV_10_Exchange_Rate))</f>
        <v>0</v>
      </c>
      <c r="G1542" s="116">
        <f t="shared" si="146"/>
        <v>0</v>
      </c>
      <c r="H1542" s="116">
        <f t="shared" si="147"/>
        <v>0</v>
      </c>
    </row>
    <row r="1543" spans="3:8" s="10" customFormat="1" outlineLevel="1" x14ac:dyDescent="0.2">
      <c r="D1543" s="49" t="str">
        <f>SOCMOB_DETAILED_COST_WKSHT!D446</f>
        <v>Allowances Category 4</v>
      </c>
      <c r="E1543" s="115">
        <f>IF(DD_LVL2_ACTV_10_Currency_Selected=2,SOCMOB_DETAILED_COST_WKSHT!$F446*SOCMOB_DETAILED_COST_WKSHT!G446,SOCMOB_DETAILED_COST_WKSHT!$F446*(SOCMOB_DETAILED_COST_WKSHT!G446*LVL2_ACTV_10_Exchange_Rate))</f>
        <v>0</v>
      </c>
      <c r="F1543" s="115">
        <f>IF(DD_LVL2_ACTV_10_Currency_Selected=2,SOCMOB_DETAILED_COST_WKSHT!$F446*SOCMOB_DETAILED_COST_WKSHT!H446,SOCMOB_DETAILED_COST_WKSHT!$F446*(SOCMOB_DETAILED_COST_WKSHT!H446*LVL2_ACTV_10_Exchange_Rate))</f>
        <v>0</v>
      </c>
      <c r="G1543" s="116">
        <f t="shared" si="146"/>
        <v>0</v>
      </c>
      <c r="H1543" s="116">
        <f t="shared" si="147"/>
        <v>0</v>
      </c>
    </row>
    <row r="1544" spans="3:8" s="10" customFormat="1" outlineLevel="1" x14ac:dyDescent="0.2">
      <c r="D1544" s="49" t="str">
        <f>SOCMOB_DETAILED_COST_WKSHT!D447</f>
        <v>Allowances Category 5</v>
      </c>
      <c r="E1544" s="115">
        <f>IF(DD_LVL2_ACTV_10_Currency_Selected=2,SOCMOB_DETAILED_COST_WKSHT!$F447*SOCMOB_DETAILED_COST_WKSHT!G447,SOCMOB_DETAILED_COST_WKSHT!$F447*(SOCMOB_DETAILED_COST_WKSHT!G447*LVL2_ACTV_10_Exchange_Rate))</f>
        <v>0</v>
      </c>
      <c r="F1544" s="115">
        <f>IF(DD_LVL2_ACTV_10_Currency_Selected=2,SOCMOB_DETAILED_COST_WKSHT!$F447*SOCMOB_DETAILED_COST_WKSHT!H447,SOCMOB_DETAILED_COST_WKSHT!$F447*(SOCMOB_DETAILED_COST_WKSHT!H447*LVL2_ACTV_10_Exchange_Rate))</f>
        <v>0</v>
      </c>
      <c r="G1544" s="116">
        <f t="shared" si="146"/>
        <v>0</v>
      </c>
      <c r="H1544" s="116">
        <f t="shared" si="147"/>
        <v>0</v>
      </c>
    </row>
    <row r="1545" spans="3:8" s="10" customFormat="1" outlineLevel="1" x14ac:dyDescent="0.2">
      <c r="D1545" s="49" t="str">
        <f>SOCMOB_DETAILED_COST_WKSHT!D448</f>
        <v>Allowances Category 6</v>
      </c>
      <c r="E1545" s="115">
        <f>IF(DD_LVL2_ACTV_10_Currency_Selected=2,SOCMOB_DETAILED_COST_WKSHT!$F448*SOCMOB_DETAILED_COST_WKSHT!G448,SOCMOB_DETAILED_COST_WKSHT!$F448*(SOCMOB_DETAILED_COST_WKSHT!G448*LVL2_ACTV_10_Exchange_Rate))</f>
        <v>0</v>
      </c>
      <c r="F1545" s="115">
        <f>IF(DD_LVL2_ACTV_10_Currency_Selected=2,SOCMOB_DETAILED_COST_WKSHT!$F448*SOCMOB_DETAILED_COST_WKSHT!H448,SOCMOB_DETAILED_COST_WKSHT!$F448*(SOCMOB_DETAILED_COST_WKSHT!H448*LVL2_ACTV_10_Exchange_Rate))</f>
        <v>0</v>
      </c>
      <c r="G1545" s="116">
        <f t="shared" si="146"/>
        <v>0</v>
      </c>
      <c r="H1545" s="116">
        <f t="shared" si="147"/>
        <v>0</v>
      </c>
    </row>
    <row r="1546" spans="3:8" s="10" customFormat="1" outlineLevel="1" x14ac:dyDescent="0.2">
      <c r="D1546" s="49" t="str">
        <f>SOCMOB_DETAILED_COST_WKSHT!D449</f>
        <v>Allowances Category 7</v>
      </c>
      <c r="E1546" s="115">
        <f>IF(DD_LVL2_ACTV_10_Currency_Selected=2,SOCMOB_DETAILED_COST_WKSHT!$F449*SOCMOB_DETAILED_COST_WKSHT!G449,SOCMOB_DETAILED_COST_WKSHT!$F449*(SOCMOB_DETAILED_COST_WKSHT!G449*LVL2_ACTV_10_Exchange_Rate))</f>
        <v>0</v>
      </c>
      <c r="F1546" s="115">
        <f>IF(DD_LVL2_ACTV_10_Currency_Selected=2,SOCMOB_DETAILED_COST_WKSHT!$F449*SOCMOB_DETAILED_COST_WKSHT!H449,SOCMOB_DETAILED_COST_WKSHT!$F449*(SOCMOB_DETAILED_COST_WKSHT!H449*LVL2_ACTV_10_Exchange_Rate))</f>
        <v>0</v>
      </c>
      <c r="G1546" s="116">
        <f t="shared" si="146"/>
        <v>0</v>
      </c>
      <c r="H1546" s="116">
        <f t="shared" si="147"/>
        <v>0</v>
      </c>
    </row>
    <row r="1547" spans="3:8" s="10" customFormat="1" outlineLevel="1" x14ac:dyDescent="0.2">
      <c r="D1547" s="49" t="str">
        <f>SOCMOB_DETAILED_COST_WKSHT!D450</f>
        <v>Allowances Category 8</v>
      </c>
      <c r="E1547" s="115">
        <f>IF(DD_LVL2_ACTV_10_Currency_Selected=2,SOCMOB_DETAILED_COST_WKSHT!$F450*SOCMOB_DETAILED_COST_WKSHT!G450,SOCMOB_DETAILED_COST_WKSHT!$F450*(SOCMOB_DETAILED_COST_WKSHT!G450*LVL2_ACTV_10_Exchange_Rate))</f>
        <v>0</v>
      </c>
      <c r="F1547" s="115">
        <f>IF(DD_LVL2_ACTV_10_Currency_Selected=2,SOCMOB_DETAILED_COST_WKSHT!$F450*SOCMOB_DETAILED_COST_WKSHT!H450,SOCMOB_DETAILED_COST_WKSHT!$F450*(SOCMOB_DETAILED_COST_WKSHT!H450*LVL2_ACTV_10_Exchange_Rate))</f>
        <v>0</v>
      </c>
      <c r="G1547" s="116">
        <f t="shared" si="146"/>
        <v>0</v>
      </c>
      <c r="H1547" s="116">
        <f t="shared" si="147"/>
        <v>0</v>
      </c>
    </row>
    <row r="1548" spans="3:8" s="10" customFormat="1" outlineLevel="1" x14ac:dyDescent="0.2">
      <c r="D1548" s="49" t="str">
        <f>SOCMOB_DETAILED_COST_WKSHT!D451</f>
        <v>Allowances Category 9</v>
      </c>
      <c r="E1548" s="115">
        <f>IF(DD_LVL2_ACTV_10_Currency_Selected=2,SOCMOB_DETAILED_COST_WKSHT!$F451*SOCMOB_DETAILED_COST_WKSHT!G451,SOCMOB_DETAILED_COST_WKSHT!$F451*(SOCMOB_DETAILED_COST_WKSHT!G451*LVL2_ACTV_10_Exchange_Rate))</f>
        <v>0</v>
      </c>
      <c r="F1548" s="115">
        <f>IF(DD_LVL2_ACTV_10_Currency_Selected=2,SOCMOB_DETAILED_COST_WKSHT!$F451*SOCMOB_DETAILED_COST_WKSHT!H451,SOCMOB_DETAILED_COST_WKSHT!$F451*(SOCMOB_DETAILED_COST_WKSHT!H451*LVL2_ACTV_10_Exchange_Rate))</f>
        <v>0</v>
      </c>
      <c r="G1548" s="116">
        <f t="shared" si="146"/>
        <v>0</v>
      </c>
      <c r="H1548" s="116">
        <f t="shared" si="147"/>
        <v>0</v>
      </c>
    </row>
    <row r="1549" spans="3:8" s="10" customFormat="1" outlineLevel="1" x14ac:dyDescent="0.2">
      <c r="D1549" s="49" t="str">
        <f>SOCMOB_DETAILED_COST_WKSHT!D452</f>
        <v>Allowances Category 10</v>
      </c>
      <c r="E1549" s="115">
        <f>IF(DD_LVL2_ACTV_10_Currency_Selected=2,SOCMOB_DETAILED_COST_WKSHT!$F452*SOCMOB_DETAILED_COST_WKSHT!G452,SOCMOB_DETAILED_COST_WKSHT!$F452*(SOCMOB_DETAILED_COST_WKSHT!G452*LVL2_ACTV_10_Exchange_Rate))</f>
        <v>0</v>
      </c>
      <c r="F1549" s="115">
        <f>IF(DD_LVL2_ACTV_10_Currency_Selected=2,SOCMOB_DETAILED_COST_WKSHT!$F452*SOCMOB_DETAILED_COST_WKSHT!H452,SOCMOB_DETAILED_COST_WKSHT!$F452*(SOCMOB_DETAILED_COST_WKSHT!H452*LVL2_ACTV_10_Exchange_Rate))</f>
        <v>0</v>
      </c>
      <c r="G1549" s="116">
        <f t="shared" si="146"/>
        <v>0</v>
      </c>
      <c r="H1549" s="116">
        <f t="shared" si="147"/>
        <v>0</v>
      </c>
    </row>
    <row r="1550" spans="3:8" s="10" customFormat="1" outlineLevel="1" x14ac:dyDescent="0.2">
      <c r="D1550" s="48" t="str">
        <f>Lang_Allowances</f>
        <v>Allowances</v>
      </c>
      <c r="E1550" s="120">
        <f>SUM(E1540:E1549)</f>
        <v>0</v>
      </c>
      <c r="F1550" s="120">
        <f>SUM(F1540:F1549)</f>
        <v>0</v>
      </c>
      <c r="G1550" s="121">
        <f>SUM(G1540:G1549)</f>
        <v>0</v>
      </c>
      <c r="H1550" s="121">
        <f>SUM(H1540:H1549)</f>
        <v>0</v>
      </c>
    </row>
    <row r="1551" spans="3:8" s="10" customFormat="1" outlineLevel="1" x14ac:dyDescent="0.2"/>
    <row r="1552" spans="3:8" s="10" customFormat="1" outlineLevel="1" x14ac:dyDescent="0.2"/>
    <row r="1553" spans="1:8" s="10" customFormat="1" outlineLevel="1" x14ac:dyDescent="0.2">
      <c r="D1553" s="76" t="str">
        <f>Lang_GoTo&amp;" "&amp;HL_LVL2_ACTV_10_Ass_A</f>
        <v>Go to IEC Soc Mob  Activity # 5  (Not in Use) - Detailed Allowance Cost Assumptions</v>
      </c>
    </row>
    <row r="1554" spans="1:8" s="10" customFormat="1" outlineLevel="1" x14ac:dyDescent="0.2">
      <c r="D1554" s="76" t="str">
        <f>Lang_GoTo&amp;" "&amp;HL_LVL2_ACTV_10_Cost_Summary_Output</f>
        <v>Go to IEC Soc Mob  Activity # 5  (Not in Use) Detailed Cost Summary</v>
      </c>
    </row>
    <row r="1555" spans="1:8" s="10" customFormat="1" x14ac:dyDescent="0.2"/>
    <row r="1556" spans="1:8" s="13" customFormat="1" x14ac:dyDescent="0.2">
      <c r="A1556" s="12" t="s">
        <v>127</v>
      </c>
      <c r="B1556" s="13" t="str">
        <f>C1558&amp;" "&amp;Lang_Supplies_And_Materials_Outputs</f>
        <v>IEC Soc Mob  Activity # 5  (Not in Use) Supplies and Materials - Outputs</v>
      </c>
    </row>
    <row r="1557" spans="1:8" s="10" customFormat="1" outlineLevel="1" x14ac:dyDescent="0.2"/>
    <row r="1558" spans="1:8" s="10" customFormat="1" outlineLevel="1" x14ac:dyDescent="0.2">
      <c r="C1558" s="114" t="str">
        <f>HL_LVL2_ACTV_10_Name</f>
        <v>IEC Soc Mob  Activity # 5  (Not in Use)</v>
      </c>
    </row>
    <row r="1559" spans="1:8" s="10" customFormat="1" outlineLevel="1" x14ac:dyDescent="0.2">
      <c r="E1559" s="86" t="str">
        <f>SOCMOB_Lu!$D$172&amp;" "&amp;Lang_Cost&amp;" ("&amp;SOCMOB_Lu!$D$153&amp;")"</f>
        <v>Financial Cost (LCU)</v>
      </c>
      <c r="F1559" s="86" t="str">
        <f>SOCMOB_Lu!$D$173&amp;" "&amp;Lang_Cost&amp;" ("&amp;SOCMOB_Lu!$D$153&amp;")"</f>
        <v>Economic Cost (LCU)</v>
      </c>
      <c r="G1559" s="86" t="str">
        <f>SOCMOB_Lu!$D$172&amp;" "&amp;Lang_Cost&amp;" ("&amp;SOCMOB_Lu!$D$152&amp;")"</f>
        <v>Financial Cost (USD)</v>
      </c>
      <c r="H1559" s="86" t="str">
        <f>SOCMOB_Lu!$D$173&amp;" "&amp;Lang_Cost&amp;" ("&amp;SOCMOB_Lu!$D$152&amp;")"</f>
        <v>Economic Cost (USD)</v>
      </c>
    </row>
    <row r="1560" spans="1:8" s="10" customFormat="1" outlineLevel="1" x14ac:dyDescent="0.2">
      <c r="D1560" s="49" t="str">
        <f>SOCMOB_DETAILED_COST_WKSHT!D461</f>
        <v>Supplies and Materials Category 1</v>
      </c>
      <c r="E1560" s="115">
        <f>IF(DD_LVL2_ACTV_10_Currency_Selected=2,SOCMOB_DETAILED_COST_WKSHT!$F461*SOCMOB_DETAILED_COST_WKSHT!G461,SOCMOB_DETAILED_COST_WKSHT!$F461*(SOCMOB_DETAILED_COST_WKSHT!G461*LVL2_ACTV_10_Exchange_Rate))</f>
        <v>0</v>
      </c>
      <c r="F1560" s="115">
        <f>IF(DD_LVL2_ACTV_10_Currency_Selected=2,SOCMOB_DETAILED_COST_WKSHT!$F461*SOCMOB_DETAILED_COST_WKSHT!H461,SOCMOB_DETAILED_COST_WKSHT!$F461*(SOCMOB_DETAILED_COST_WKSHT!H461*LVL2_ACTV_10_Exchange_Rate))</f>
        <v>0</v>
      </c>
      <c r="G1560" s="116">
        <f t="shared" ref="G1560:G1569" si="148">E1560/LVL2_ACTV_10_Exchange_Rate</f>
        <v>0</v>
      </c>
      <c r="H1560" s="116">
        <f t="shared" ref="H1560:H1569" si="149">F1560/LVL2_ACTV_10_Exchange_Rate</f>
        <v>0</v>
      </c>
    </row>
    <row r="1561" spans="1:8" s="10" customFormat="1" outlineLevel="1" x14ac:dyDescent="0.2">
      <c r="D1561" s="49" t="str">
        <f>SOCMOB_DETAILED_COST_WKSHT!D462</f>
        <v>Supplies and Materials Category 2</v>
      </c>
      <c r="E1561" s="115">
        <f>IF(DD_LVL2_ACTV_10_Currency_Selected=2,SOCMOB_DETAILED_COST_WKSHT!$F462*SOCMOB_DETAILED_COST_WKSHT!G462,SOCMOB_DETAILED_COST_WKSHT!$F462*(SOCMOB_DETAILED_COST_WKSHT!G462*LVL2_ACTV_10_Exchange_Rate))</f>
        <v>0</v>
      </c>
      <c r="F1561" s="115">
        <f>IF(DD_LVL2_ACTV_10_Currency_Selected=2,SOCMOB_DETAILED_COST_WKSHT!$F462*SOCMOB_DETAILED_COST_WKSHT!H462,SOCMOB_DETAILED_COST_WKSHT!$F462*(SOCMOB_DETAILED_COST_WKSHT!H462*LVL2_ACTV_10_Exchange_Rate))</f>
        <v>0</v>
      </c>
      <c r="G1561" s="116">
        <f t="shared" si="148"/>
        <v>0</v>
      </c>
      <c r="H1561" s="116">
        <f t="shared" si="149"/>
        <v>0</v>
      </c>
    </row>
    <row r="1562" spans="1:8" s="10" customFormat="1" outlineLevel="1" x14ac:dyDescent="0.2">
      <c r="D1562" s="49" t="str">
        <f>SOCMOB_DETAILED_COST_WKSHT!D463</f>
        <v>Supplies and Materials Category 3</v>
      </c>
      <c r="E1562" s="115">
        <f>IF(DD_LVL2_ACTV_10_Currency_Selected=2,SOCMOB_DETAILED_COST_WKSHT!$F463*SOCMOB_DETAILED_COST_WKSHT!G463,SOCMOB_DETAILED_COST_WKSHT!$F463*(SOCMOB_DETAILED_COST_WKSHT!G463*LVL2_ACTV_10_Exchange_Rate))</f>
        <v>0</v>
      </c>
      <c r="F1562" s="115">
        <f>IF(DD_LVL2_ACTV_10_Currency_Selected=2,SOCMOB_DETAILED_COST_WKSHT!$F463*SOCMOB_DETAILED_COST_WKSHT!H463,SOCMOB_DETAILED_COST_WKSHT!$F463*(SOCMOB_DETAILED_COST_WKSHT!H463*LVL2_ACTV_10_Exchange_Rate))</f>
        <v>0</v>
      </c>
      <c r="G1562" s="116">
        <f t="shared" si="148"/>
        <v>0</v>
      </c>
      <c r="H1562" s="116">
        <f t="shared" si="149"/>
        <v>0</v>
      </c>
    </row>
    <row r="1563" spans="1:8" s="10" customFormat="1" outlineLevel="1" x14ac:dyDescent="0.2">
      <c r="D1563" s="49" t="str">
        <f>SOCMOB_DETAILED_COST_WKSHT!D464</f>
        <v>Supplies and Materials Category 4</v>
      </c>
      <c r="E1563" s="115">
        <f>IF(DD_LVL2_ACTV_10_Currency_Selected=2,SOCMOB_DETAILED_COST_WKSHT!$F464*SOCMOB_DETAILED_COST_WKSHT!G464,SOCMOB_DETAILED_COST_WKSHT!$F464*(SOCMOB_DETAILED_COST_WKSHT!G464*LVL2_ACTV_10_Exchange_Rate))</f>
        <v>0</v>
      </c>
      <c r="F1563" s="115">
        <f>IF(DD_LVL2_ACTV_10_Currency_Selected=2,SOCMOB_DETAILED_COST_WKSHT!$F464*SOCMOB_DETAILED_COST_WKSHT!H464,SOCMOB_DETAILED_COST_WKSHT!$F464*(SOCMOB_DETAILED_COST_WKSHT!H464*LVL2_ACTV_10_Exchange_Rate))</f>
        <v>0</v>
      </c>
      <c r="G1563" s="116">
        <f t="shared" si="148"/>
        <v>0</v>
      </c>
      <c r="H1563" s="116">
        <f t="shared" si="149"/>
        <v>0</v>
      </c>
    </row>
    <row r="1564" spans="1:8" s="10" customFormat="1" outlineLevel="1" x14ac:dyDescent="0.2">
      <c r="D1564" s="49" t="str">
        <f>SOCMOB_DETAILED_COST_WKSHT!D465</f>
        <v>Supplies and Materials Category 5</v>
      </c>
      <c r="E1564" s="115">
        <f>IF(DD_LVL2_ACTV_10_Currency_Selected=2,SOCMOB_DETAILED_COST_WKSHT!$F465*SOCMOB_DETAILED_COST_WKSHT!G465,SOCMOB_DETAILED_COST_WKSHT!$F465*(SOCMOB_DETAILED_COST_WKSHT!G465*LVL2_ACTV_10_Exchange_Rate))</f>
        <v>0</v>
      </c>
      <c r="F1564" s="115">
        <f>IF(DD_LVL2_ACTV_10_Currency_Selected=2,SOCMOB_DETAILED_COST_WKSHT!$F465*SOCMOB_DETAILED_COST_WKSHT!H465,SOCMOB_DETAILED_COST_WKSHT!$F465*(SOCMOB_DETAILED_COST_WKSHT!H465*LVL2_ACTV_10_Exchange_Rate))</f>
        <v>0</v>
      </c>
      <c r="G1564" s="116">
        <f t="shared" si="148"/>
        <v>0</v>
      </c>
      <c r="H1564" s="116">
        <f t="shared" si="149"/>
        <v>0</v>
      </c>
    </row>
    <row r="1565" spans="1:8" s="10" customFormat="1" outlineLevel="1" x14ac:dyDescent="0.2">
      <c r="D1565" s="49" t="str">
        <f>SOCMOB_DETAILED_COST_WKSHT!D466</f>
        <v>Supplies and Materials Category 6</v>
      </c>
      <c r="E1565" s="115">
        <f>IF(DD_LVL2_ACTV_10_Currency_Selected=2,SOCMOB_DETAILED_COST_WKSHT!$F466*SOCMOB_DETAILED_COST_WKSHT!G466,SOCMOB_DETAILED_COST_WKSHT!$F466*(SOCMOB_DETAILED_COST_WKSHT!G466*LVL2_ACTV_10_Exchange_Rate))</f>
        <v>0</v>
      </c>
      <c r="F1565" s="115">
        <f>IF(DD_LVL2_ACTV_10_Currency_Selected=2,SOCMOB_DETAILED_COST_WKSHT!$F466*SOCMOB_DETAILED_COST_WKSHT!H466,SOCMOB_DETAILED_COST_WKSHT!$F466*(SOCMOB_DETAILED_COST_WKSHT!H466*LVL2_ACTV_10_Exchange_Rate))</f>
        <v>0</v>
      </c>
      <c r="G1565" s="116">
        <f t="shared" si="148"/>
        <v>0</v>
      </c>
      <c r="H1565" s="116">
        <f t="shared" si="149"/>
        <v>0</v>
      </c>
    </row>
    <row r="1566" spans="1:8" s="10" customFormat="1" outlineLevel="1" x14ac:dyDescent="0.2">
      <c r="D1566" s="49" t="str">
        <f>SOCMOB_DETAILED_COST_WKSHT!D467</f>
        <v>Supplies and Materials Category 7</v>
      </c>
      <c r="E1566" s="115">
        <f>IF(DD_LVL2_ACTV_10_Currency_Selected=2,SOCMOB_DETAILED_COST_WKSHT!$F467*SOCMOB_DETAILED_COST_WKSHT!G467,SOCMOB_DETAILED_COST_WKSHT!$F467*(SOCMOB_DETAILED_COST_WKSHT!G467*LVL2_ACTV_10_Exchange_Rate))</f>
        <v>0</v>
      </c>
      <c r="F1566" s="115">
        <f>IF(DD_LVL2_ACTV_10_Currency_Selected=2,SOCMOB_DETAILED_COST_WKSHT!$F467*SOCMOB_DETAILED_COST_WKSHT!H467,SOCMOB_DETAILED_COST_WKSHT!$F467*(SOCMOB_DETAILED_COST_WKSHT!H467*LVL2_ACTV_10_Exchange_Rate))</f>
        <v>0</v>
      </c>
      <c r="G1566" s="116">
        <f t="shared" si="148"/>
        <v>0</v>
      </c>
      <c r="H1566" s="116">
        <f t="shared" si="149"/>
        <v>0</v>
      </c>
    </row>
    <row r="1567" spans="1:8" s="10" customFormat="1" outlineLevel="1" x14ac:dyDescent="0.2">
      <c r="D1567" s="49" t="str">
        <f>SOCMOB_DETAILED_COST_WKSHT!D468</f>
        <v>Supplies and Materials Category 8</v>
      </c>
      <c r="E1567" s="115">
        <f>IF(DD_LVL2_ACTV_10_Currency_Selected=2,SOCMOB_DETAILED_COST_WKSHT!$F468*SOCMOB_DETAILED_COST_WKSHT!G468,SOCMOB_DETAILED_COST_WKSHT!$F468*(SOCMOB_DETAILED_COST_WKSHT!G468*LVL2_ACTV_10_Exchange_Rate))</f>
        <v>0</v>
      </c>
      <c r="F1567" s="115">
        <f>IF(DD_LVL2_ACTV_10_Currency_Selected=2,SOCMOB_DETAILED_COST_WKSHT!$F468*SOCMOB_DETAILED_COST_WKSHT!H468,SOCMOB_DETAILED_COST_WKSHT!$F468*(SOCMOB_DETAILED_COST_WKSHT!H468*LVL2_ACTV_10_Exchange_Rate))</f>
        <v>0</v>
      </c>
      <c r="G1567" s="116">
        <f t="shared" si="148"/>
        <v>0</v>
      </c>
      <c r="H1567" s="116">
        <f t="shared" si="149"/>
        <v>0</v>
      </c>
    </row>
    <row r="1568" spans="1:8" s="10" customFormat="1" outlineLevel="1" x14ac:dyDescent="0.2">
      <c r="D1568" s="49" t="str">
        <f>SOCMOB_DETAILED_COST_WKSHT!D469</f>
        <v>Supplies and Materials Category 9</v>
      </c>
      <c r="E1568" s="115">
        <f>IF(DD_LVL2_ACTV_10_Currency_Selected=2,SOCMOB_DETAILED_COST_WKSHT!$F469*SOCMOB_DETAILED_COST_WKSHT!G469,SOCMOB_DETAILED_COST_WKSHT!$F469*(SOCMOB_DETAILED_COST_WKSHT!G469*LVL2_ACTV_10_Exchange_Rate))</f>
        <v>0</v>
      </c>
      <c r="F1568" s="115">
        <f>IF(DD_LVL2_ACTV_10_Currency_Selected=2,SOCMOB_DETAILED_COST_WKSHT!$F469*SOCMOB_DETAILED_COST_WKSHT!H469,SOCMOB_DETAILED_COST_WKSHT!$F469*(SOCMOB_DETAILED_COST_WKSHT!H469*LVL2_ACTV_10_Exchange_Rate))</f>
        <v>0</v>
      </c>
      <c r="G1568" s="116">
        <f t="shared" si="148"/>
        <v>0</v>
      </c>
      <c r="H1568" s="116">
        <f t="shared" si="149"/>
        <v>0</v>
      </c>
    </row>
    <row r="1569" spans="1:8" s="10" customFormat="1" outlineLevel="1" x14ac:dyDescent="0.2">
      <c r="D1569" s="49" t="str">
        <f>SOCMOB_DETAILED_COST_WKSHT!D470</f>
        <v>Supplies and Materials Category 10</v>
      </c>
      <c r="E1569" s="115">
        <f>IF(DD_LVL2_ACTV_10_Currency_Selected=2,SOCMOB_DETAILED_COST_WKSHT!$F470*SOCMOB_DETAILED_COST_WKSHT!G470,SOCMOB_DETAILED_COST_WKSHT!$F470*(SOCMOB_DETAILED_COST_WKSHT!G470*LVL2_ACTV_10_Exchange_Rate))</f>
        <v>0</v>
      </c>
      <c r="F1569" s="115">
        <f>IF(DD_LVL2_ACTV_10_Currency_Selected=2,SOCMOB_DETAILED_COST_WKSHT!$F470*SOCMOB_DETAILED_COST_WKSHT!H470,SOCMOB_DETAILED_COST_WKSHT!$F470*(SOCMOB_DETAILED_COST_WKSHT!H470*LVL2_ACTV_10_Exchange_Rate))</f>
        <v>0</v>
      </c>
      <c r="G1569" s="116">
        <f t="shared" si="148"/>
        <v>0</v>
      </c>
      <c r="H1569" s="116">
        <f t="shared" si="149"/>
        <v>0</v>
      </c>
    </row>
    <row r="1570" spans="1:8" s="10" customFormat="1" outlineLevel="1" x14ac:dyDescent="0.2">
      <c r="D1570" s="48" t="str">
        <f>Lang_Supplies_And_Materials</f>
        <v>Supplies and Materials</v>
      </c>
      <c r="E1570" s="120">
        <f>SUM(E1560:E1569)</f>
        <v>0</v>
      </c>
      <c r="F1570" s="120">
        <f>SUM(F1560:F1569)</f>
        <v>0</v>
      </c>
      <c r="G1570" s="121">
        <f>SUM(G1560:G1569)</f>
        <v>0</v>
      </c>
      <c r="H1570" s="121">
        <f>SUM(H1560:H1569)</f>
        <v>0</v>
      </c>
    </row>
    <row r="1571" spans="1:8" s="10" customFormat="1" outlineLevel="1" x14ac:dyDescent="0.2"/>
    <row r="1572" spans="1:8" s="10" customFormat="1" outlineLevel="1" x14ac:dyDescent="0.2"/>
    <row r="1573" spans="1:8" s="10" customFormat="1" outlineLevel="1" x14ac:dyDescent="0.2">
      <c r="D1573" s="76" t="str">
        <f>Lang_GoTo&amp;" "&amp;HL_LVL2_ACTV_10_Supplies_and_Materials</f>
        <v>Go to IEC Soc Mob  Activity # 5  (Not in Use) - Detailed Supply and Material Cost Assumptions</v>
      </c>
    </row>
    <row r="1574" spans="1:8" s="10" customFormat="1" outlineLevel="1" x14ac:dyDescent="0.2">
      <c r="D1574" s="76" t="str">
        <f>Lang_GoTo&amp;" "&amp;HL_LVL2_ACTV_10_Cost_Summary_Output</f>
        <v>Go to IEC Soc Mob  Activity # 5  (Not in Use) Detailed Cost Summary</v>
      </c>
    </row>
    <row r="1575" spans="1:8" s="10" customFormat="1" x14ac:dyDescent="0.2"/>
    <row r="1576" spans="1:8" s="13" customFormat="1" x14ac:dyDescent="0.2">
      <c r="A1576" s="12" t="s">
        <v>127</v>
      </c>
      <c r="B1576" s="13" t="str">
        <f>C1578&amp;" "&amp;Lang_Other_Direct_Costs_Outputs</f>
        <v>IEC Soc Mob  Activity # 5  (Not in Use) Other Direct Costs - Outputs</v>
      </c>
    </row>
    <row r="1577" spans="1:8" s="10" customFormat="1" outlineLevel="1" x14ac:dyDescent="0.2"/>
    <row r="1578" spans="1:8" s="10" customFormat="1" outlineLevel="1" x14ac:dyDescent="0.2">
      <c r="C1578" s="114" t="str">
        <f>HL_LVL2_ACTV_10_Name</f>
        <v>IEC Soc Mob  Activity # 5  (Not in Use)</v>
      </c>
    </row>
    <row r="1579" spans="1:8" s="10" customFormat="1" outlineLevel="1" x14ac:dyDescent="0.2">
      <c r="E1579" s="86" t="str">
        <f>SOCMOB_Lu!$D$172&amp;" "&amp;Lang_Cost&amp;" ("&amp;SOCMOB_Lu!$D$153&amp;")"</f>
        <v>Financial Cost (LCU)</v>
      </c>
      <c r="F1579" s="86" t="str">
        <f>SOCMOB_Lu!$D$173&amp;" "&amp;Lang_Cost&amp;" ("&amp;SOCMOB_Lu!$D$153&amp;")"</f>
        <v>Economic Cost (LCU)</v>
      </c>
      <c r="G1579" s="86" t="str">
        <f>SOCMOB_Lu!$D$172&amp;" "&amp;Lang_Cost&amp;" ("&amp;SOCMOB_Lu!$D$152&amp;")"</f>
        <v>Financial Cost (USD)</v>
      </c>
      <c r="H1579" s="86" t="str">
        <f>SOCMOB_Lu!$D$173&amp;" "&amp;Lang_Cost&amp;" ("&amp;SOCMOB_Lu!$D$152&amp;")"</f>
        <v>Economic Cost (USD)</v>
      </c>
    </row>
    <row r="1580" spans="1:8" s="10" customFormat="1" outlineLevel="1" x14ac:dyDescent="0.2">
      <c r="D1580" s="49" t="str">
        <f>SOCMOB_DETAILED_COST_WKSHT!D479</f>
        <v>Other Direct Costs (ODC) Category 1</v>
      </c>
      <c r="E1580" s="115">
        <f>IF(DD_LVL2_ACTV_10_Currency_Selected=2,SOCMOB_DETAILED_COST_WKSHT!$F479*SOCMOB_DETAILED_COST_WKSHT!G479,SOCMOB_DETAILED_COST_WKSHT!$F479*(SOCMOB_DETAILED_COST_WKSHT!G479*LVL2_ACTV_10_Exchange_Rate))</f>
        <v>0</v>
      </c>
      <c r="F1580" s="115">
        <f>IF(DD_LVL2_ACTV_10_Currency_Selected=2,SOCMOB_DETAILED_COST_WKSHT!$F479*SOCMOB_DETAILED_COST_WKSHT!H479,SOCMOB_DETAILED_COST_WKSHT!$F479*(SOCMOB_DETAILED_COST_WKSHT!H479*LVL2_ACTV_10_Exchange_Rate))</f>
        <v>0</v>
      </c>
      <c r="G1580" s="116">
        <f t="shared" ref="G1580:G1589" si="150">E1580/LVL2_ACTV_10_Exchange_Rate</f>
        <v>0</v>
      </c>
      <c r="H1580" s="116">
        <f t="shared" ref="H1580:H1589" si="151">F1580/LVL2_ACTV_10_Exchange_Rate</f>
        <v>0</v>
      </c>
    </row>
    <row r="1581" spans="1:8" s="10" customFormat="1" outlineLevel="1" x14ac:dyDescent="0.2">
      <c r="D1581" s="49" t="str">
        <f>SOCMOB_DETAILED_COST_WKSHT!D480</f>
        <v>Other Direct Costs (ODC) Category 2</v>
      </c>
      <c r="E1581" s="115">
        <f>IF(DD_LVL2_ACTV_10_Currency_Selected=2,SOCMOB_DETAILED_COST_WKSHT!$F480*SOCMOB_DETAILED_COST_WKSHT!G480,SOCMOB_DETAILED_COST_WKSHT!$F480*(SOCMOB_DETAILED_COST_WKSHT!G480*LVL2_ACTV_10_Exchange_Rate))</f>
        <v>0</v>
      </c>
      <c r="F1581" s="115">
        <f>IF(DD_LVL2_ACTV_10_Currency_Selected=2,SOCMOB_DETAILED_COST_WKSHT!$F480*SOCMOB_DETAILED_COST_WKSHT!H480,SOCMOB_DETAILED_COST_WKSHT!$F480*(SOCMOB_DETAILED_COST_WKSHT!H480*LVL2_ACTV_10_Exchange_Rate))</f>
        <v>0</v>
      </c>
      <c r="G1581" s="116">
        <f t="shared" si="150"/>
        <v>0</v>
      </c>
      <c r="H1581" s="116">
        <f t="shared" si="151"/>
        <v>0</v>
      </c>
    </row>
    <row r="1582" spans="1:8" s="10" customFormat="1" outlineLevel="1" x14ac:dyDescent="0.2">
      <c r="D1582" s="49" t="str">
        <f>SOCMOB_DETAILED_COST_WKSHT!D481</f>
        <v>Other Direct Costs (ODC) Category 3</v>
      </c>
      <c r="E1582" s="115">
        <f>IF(DD_LVL2_ACTV_10_Currency_Selected=2,SOCMOB_DETAILED_COST_WKSHT!$F481*SOCMOB_DETAILED_COST_WKSHT!G481,SOCMOB_DETAILED_COST_WKSHT!$F481*(SOCMOB_DETAILED_COST_WKSHT!G481*LVL2_ACTV_10_Exchange_Rate))</f>
        <v>0</v>
      </c>
      <c r="F1582" s="115">
        <f>IF(DD_LVL2_ACTV_10_Currency_Selected=2,SOCMOB_DETAILED_COST_WKSHT!$F481*SOCMOB_DETAILED_COST_WKSHT!H481,SOCMOB_DETAILED_COST_WKSHT!$F481*(SOCMOB_DETAILED_COST_WKSHT!H481*LVL2_ACTV_10_Exchange_Rate))</f>
        <v>0</v>
      </c>
      <c r="G1582" s="116">
        <f t="shared" si="150"/>
        <v>0</v>
      </c>
      <c r="H1582" s="116">
        <f t="shared" si="151"/>
        <v>0</v>
      </c>
    </row>
    <row r="1583" spans="1:8" s="10" customFormat="1" outlineLevel="1" x14ac:dyDescent="0.2">
      <c r="D1583" s="49" t="str">
        <f>SOCMOB_DETAILED_COST_WKSHT!D482</f>
        <v>Other Direct Costs (ODC) Category 4</v>
      </c>
      <c r="E1583" s="115">
        <f>IF(DD_LVL2_ACTV_10_Currency_Selected=2,SOCMOB_DETAILED_COST_WKSHT!$F482*SOCMOB_DETAILED_COST_WKSHT!G482,SOCMOB_DETAILED_COST_WKSHT!$F482*(SOCMOB_DETAILED_COST_WKSHT!G482*LVL2_ACTV_10_Exchange_Rate))</f>
        <v>0</v>
      </c>
      <c r="F1583" s="115">
        <f>IF(DD_LVL2_ACTV_10_Currency_Selected=2,SOCMOB_DETAILED_COST_WKSHT!$F482*SOCMOB_DETAILED_COST_WKSHT!H482,SOCMOB_DETAILED_COST_WKSHT!$F482*(SOCMOB_DETAILED_COST_WKSHT!H482*LVL2_ACTV_10_Exchange_Rate))</f>
        <v>0</v>
      </c>
      <c r="G1583" s="116">
        <f t="shared" si="150"/>
        <v>0</v>
      </c>
      <c r="H1583" s="116">
        <f t="shared" si="151"/>
        <v>0</v>
      </c>
    </row>
    <row r="1584" spans="1:8" s="10" customFormat="1" outlineLevel="1" x14ac:dyDescent="0.2">
      <c r="D1584" s="49" t="str">
        <f>SOCMOB_DETAILED_COST_WKSHT!D483</f>
        <v>Other Direct Costs (ODC) Category 5</v>
      </c>
      <c r="E1584" s="115">
        <f>IF(DD_LVL2_ACTV_10_Currency_Selected=2,SOCMOB_DETAILED_COST_WKSHT!$F483*SOCMOB_DETAILED_COST_WKSHT!G483,SOCMOB_DETAILED_COST_WKSHT!$F483*(SOCMOB_DETAILED_COST_WKSHT!G483*LVL2_ACTV_10_Exchange_Rate))</f>
        <v>0</v>
      </c>
      <c r="F1584" s="115">
        <f>IF(DD_LVL2_ACTV_10_Currency_Selected=2,SOCMOB_DETAILED_COST_WKSHT!$F483*SOCMOB_DETAILED_COST_WKSHT!H483,SOCMOB_DETAILED_COST_WKSHT!$F483*(SOCMOB_DETAILED_COST_WKSHT!H483*LVL2_ACTV_10_Exchange_Rate))</f>
        <v>0</v>
      </c>
      <c r="G1584" s="116">
        <f t="shared" si="150"/>
        <v>0</v>
      </c>
      <c r="H1584" s="116">
        <f t="shared" si="151"/>
        <v>0</v>
      </c>
    </row>
    <row r="1585" spans="1:8" s="10" customFormat="1" outlineLevel="1" x14ac:dyDescent="0.2">
      <c r="D1585" s="49" t="str">
        <f>SOCMOB_DETAILED_COST_WKSHT!D484</f>
        <v>Other Direct Costs (ODC) Category 6</v>
      </c>
      <c r="E1585" s="115">
        <f>IF(DD_LVL2_ACTV_10_Currency_Selected=2,SOCMOB_DETAILED_COST_WKSHT!$F484*SOCMOB_DETAILED_COST_WKSHT!G484,SOCMOB_DETAILED_COST_WKSHT!$F484*(SOCMOB_DETAILED_COST_WKSHT!G484*LVL2_ACTV_10_Exchange_Rate))</f>
        <v>0</v>
      </c>
      <c r="F1585" s="115">
        <f>IF(DD_LVL2_ACTV_10_Currency_Selected=2,SOCMOB_DETAILED_COST_WKSHT!$F484*SOCMOB_DETAILED_COST_WKSHT!H484,SOCMOB_DETAILED_COST_WKSHT!$F484*(SOCMOB_DETAILED_COST_WKSHT!H484*LVL2_ACTV_10_Exchange_Rate))</f>
        <v>0</v>
      </c>
      <c r="G1585" s="116">
        <f t="shared" si="150"/>
        <v>0</v>
      </c>
      <c r="H1585" s="116">
        <f t="shared" si="151"/>
        <v>0</v>
      </c>
    </row>
    <row r="1586" spans="1:8" s="10" customFormat="1" outlineLevel="1" x14ac:dyDescent="0.2">
      <c r="D1586" s="49" t="str">
        <f>SOCMOB_DETAILED_COST_WKSHT!D485</f>
        <v>Other Direct Costs (ODC) Category 7</v>
      </c>
      <c r="E1586" s="115">
        <f>IF(DD_LVL2_ACTV_10_Currency_Selected=2,SOCMOB_DETAILED_COST_WKSHT!$F485*SOCMOB_DETAILED_COST_WKSHT!G485,SOCMOB_DETAILED_COST_WKSHT!$F485*(SOCMOB_DETAILED_COST_WKSHT!G485*LVL2_ACTV_10_Exchange_Rate))</f>
        <v>0</v>
      </c>
      <c r="F1586" s="115">
        <f>IF(DD_LVL2_ACTV_10_Currency_Selected=2,SOCMOB_DETAILED_COST_WKSHT!$F485*SOCMOB_DETAILED_COST_WKSHT!H485,SOCMOB_DETAILED_COST_WKSHT!$F485*(SOCMOB_DETAILED_COST_WKSHT!H485*LVL2_ACTV_10_Exchange_Rate))</f>
        <v>0</v>
      </c>
      <c r="G1586" s="116">
        <f t="shared" si="150"/>
        <v>0</v>
      </c>
      <c r="H1586" s="116">
        <f t="shared" si="151"/>
        <v>0</v>
      </c>
    </row>
    <row r="1587" spans="1:8" s="10" customFormat="1" outlineLevel="1" x14ac:dyDescent="0.2">
      <c r="D1587" s="49" t="str">
        <f>SOCMOB_DETAILED_COST_WKSHT!D486</f>
        <v>Other Direct Costs (ODC) Category 8</v>
      </c>
      <c r="E1587" s="115">
        <f>IF(DD_LVL2_ACTV_10_Currency_Selected=2,SOCMOB_DETAILED_COST_WKSHT!$F486*SOCMOB_DETAILED_COST_WKSHT!G486,SOCMOB_DETAILED_COST_WKSHT!$F486*(SOCMOB_DETAILED_COST_WKSHT!G486*LVL2_ACTV_10_Exchange_Rate))</f>
        <v>0</v>
      </c>
      <c r="F1587" s="115">
        <f>IF(DD_LVL2_ACTV_10_Currency_Selected=2,SOCMOB_DETAILED_COST_WKSHT!$F486*SOCMOB_DETAILED_COST_WKSHT!H486,SOCMOB_DETAILED_COST_WKSHT!$F486*(SOCMOB_DETAILED_COST_WKSHT!H486*LVL2_ACTV_10_Exchange_Rate))</f>
        <v>0</v>
      </c>
      <c r="G1587" s="116">
        <f t="shared" si="150"/>
        <v>0</v>
      </c>
      <c r="H1587" s="116">
        <f t="shared" si="151"/>
        <v>0</v>
      </c>
    </row>
    <row r="1588" spans="1:8" s="10" customFormat="1" outlineLevel="1" x14ac:dyDescent="0.2">
      <c r="D1588" s="49" t="str">
        <f>SOCMOB_DETAILED_COST_WKSHT!D487</f>
        <v>Other Direct Costs (ODC) Category 9</v>
      </c>
      <c r="E1588" s="115">
        <f>IF(DD_LVL2_ACTV_10_Currency_Selected=2,SOCMOB_DETAILED_COST_WKSHT!$F487*SOCMOB_DETAILED_COST_WKSHT!G487,SOCMOB_DETAILED_COST_WKSHT!$F487*(SOCMOB_DETAILED_COST_WKSHT!G487*LVL2_ACTV_10_Exchange_Rate))</f>
        <v>0</v>
      </c>
      <c r="F1588" s="115">
        <f>IF(DD_LVL2_ACTV_10_Currency_Selected=2,SOCMOB_DETAILED_COST_WKSHT!$F487*SOCMOB_DETAILED_COST_WKSHT!H487,SOCMOB_DETAILED_COST_WKSHT!$F487*(SOCMOB_DETAILED_COST_WKSHT!H487*LVL2_ACTV_10_Exchange_Rate))</f>
        <v>0</v>
      </c>
      <c r="G1588" s="116">
        <f t="shared" si="150"/>
        <v>0</v>
      </c>
      <c r="H1588" s="116">
        <f t="shared" si="151"/>
        <v>0</v>
      </c>
    </row>
    <row r="1589" spans="1:8" s="10" customFormat="1" outlineLevel="1" x14ac:dyDescent="0.2">
      <c r="D1589" s="49" t="str">
        <f>SOCMOB_DETAILED_COST_WKSHT!D488</f>
        <v>Other Direct Costs (ODC) Category 10</v>
      </c>
      <c r="E1589" s="115">
        <f>IF(DD_LVL2_ACTV_10_Currency_Selected=2,SOCMOB_DETAILED_COST_WKSHT!$F488*SOCMOB_DETAILED_COST_WKSHT!G488,SOCMOB_DETAILED_COST_WKSHT!$F488*(SOCMOB_DETAILED_COST_WKSHT!G488*LVL2_ACTV_10_Exchange_Rate))</f>
        <v>0</v>
      </c>
      <c r="F1589" s="115">
        <f>IF(DD_LVL2_ACTV_10_Currency_Selected=2,SOCMOB_DETAILED_COST_WKSHT!$F488*SOCMOB_DETAILED_COST_WKSHT!H488,SOCMOB_DETAILED_COST_WKSHT!$F488*(SOCMOB_DETAILED_COST_WKSHT!H488*LVL2_ACTV_10_Exchange_Rate))</f>
        <v>0</v>
      </c>
      <c r="G1589" s="116">
        <f t="shared" si="150"/>
        <v>0</v>
      </c>
      <c r="H1589" s="116">
        <f t="shared" si="151"/>
        <v>0</v>
      </c>
    </row>
    <row r="1590" spans="1:8" s="10" customFormat="1" outlineLevel="1" x14ac:dyDescent="0.2">
      <c r="D1590" s="48" t="str">
        <f>Lang_Other_Direct_Costs</f>
        <v>Other Direct Costs</v>
      </c>
      <c r="E1590" s="120">
        <f>SUM(E1580:E1589)</f>
        <v>0</v>
      </c>
      <c r="F1590" s="120">
        <f>SUM(F1580:F1589)</f>
        <v>0</v>
      </c>
      <c r="G1590" s="121">
        <f>SUM(G1580:G1589)</f>
        <v>0</v>
      </c>
      <c r="H1590" s="121">
        <f>SUM(H1580:H1589)</f>
        <v>0</v>
      </c>
    </row>
    <row r="1591" spans="1:8" s="10" customFormat="1" outlineLevel="1" x14ac:dyDescent="0.2"/>
    <row r="1592" spans="1:8" s="10" customFormat="1" outlineLevel="1" x14ac:dyDescent="0.2">
      <c r="D1592" s="76" t="str">
        <f>Lang_GoTo&amp;" "&amp;HL_LVL2_ACTV_10_Other_Direct_Costs</f>
        <v>Go to IEC Soc Mob  Activity # 5  (Not in Use) - Detailed Other Direct Cost Assumptions</v>
      </c>
    </row>
    <row r="1593" spans="1:8" s="10" customFormat="1" outlineLevel="1" x14ac:dyDescent="0.2">
      <c r="D1593" s="76" t="str">
        <f>Lang_GoTo&amp;" "&amp;HL_LVL2_ACTV_10_Cost_Summary_Output</f>
        <v>Go to IEC Soc Mob  Activity # 5  (Not in Use) Detailed Cost Summary</v>
      </c>
    </row>
    <row r="1594" spans="1:8" s="10" customFormat="1" x14ac:dyDescent="0.2"/>
    <row r="1595" spans="1:8" s="13" customFormat="1" x14ac:dyDescent="0.2">
      <c r="A1595" s="12" t="s">
        <v>127</v>
      </c>
      <c r="B1595" s="13" t="str">
        <f>C1597&amp;" "&amp;Lang_Personnel_Outputs</f>
        <v>IEC Soc Mob  Activity # 6 (Not in Use) Personnel - Outputs</v>
      </c>
    </row>
    <row r="1596" spans="1:8" s="10" customFormat="1" outlineLevel="1" x14ac:dyDescent="0.2"/>
    <row r="1597" spans="1:8" s="10" customFormat="1" outlineLevel="1" x14ac:dyDescent="0.2">
      <c r="C1597" s="114" t="str">
        <f>HL_LVL2_ACTV_11_Name</f>
        <v>IEC Soc Mob  Activity # 6 (Not in Use)</v>
      </c>
    </row>
    <row r="1598" spans="1:8" s="10" customFormat="1" outlineLevel="1" x14ac:dyDescent="0.2">
      <c r="E1598" s="86" t="str">
        <f>SOCMOB_Lu!$D$207&amp;" "&amp;Lang_Cost&amp;" ("&amp;SOCMOB_Lu!$D$188&amp;")"</f>
        <v>Financial Cost (LCU)</v>
      </c>
      <c r="F1598" s="86" t="str">
        <f>SOCMOB_Lu!$D$208&amp;" "&amp;Lang_Cost&amp;" ("&amp;SOCMOB_Lu!$D$188&amp;")"</f>
        <v>Economic Cost (LCU)</v>
      </c>
      <c r="G1598" s="86" t="str">
        <f>SOCMOB_Lu!$D$207&amp;" "&amp;Lang_Cost&amp;" ("&amp;SOCMOB_Lu!$D$187&amp;")"</f>
        <v>Financial Cost (USD)</v>
      </c>
      <c r="H1598" s="86" t="str">
        <f>SOCMOB_Lu!$D$208&amp;" "&amp;Lang_Cost&amp;" ("&amp;SOCMOB_Lu!$D$187&amp;")"</f>
        <v>Economic Cost (USD)</v>
      </c>
    </row>
    <row r="1599" spans="1:8" s="10" customFormat="1" outlineLevel="1" x14ac:dyDescent="0.2">
      <c r="D1599" s="49" t="str">
        <f>SOCMOB_DETAILED_COST_WKSHT!D519</f>
        <v>Personnel Category 1</v>
      </c>
      <c r="E1599" s="115">
        <f>IF(DD_LVL2_ACTV_11_Currency_Selected=2,SOCMOB_DETAILED_COST_WKSHT!$F519*SOCMOB_DETAILED_COST_WKSHT!G519,SOCMOB_DETAILED_COST_WKSHT!$F519*(SOCMOB_DETAILED_COST_WKSHT!G519*LVL2_ACTV_11_Exchange_Rate))</f>
        <v>0</v>
      </c>
      <c r="F1599" s="115">
        <f>IF(DD_LVL2_ACTV_11_Currency_Selected=2,SOCMOB_DETAILED_COST_WKSHT!$F519*SOCMOB_DETAILED_COST_WKSHT!H519,SOCMOB_DETAILED_COST_WKSHT!$F519*(SOCMOB_DETAILED_COST_WKSHT!H519*LVL2_ACTV_11_Exchange_Rate))</f>
        <v>0</v>
      </c>
      <c r="G1599" s="116">
        <f t="shared" ref="G1599:G1613" si="152">IFERROR(E1599/LVL2_ACTV_11_Exchange_Rate,0)</f>
        <v>0</v>
      </c>
      <c r="H1599" s="116">
        <f t="shared" ref="H1599:H1613" si="153">IFERROR(F1599/LVL2_ACTV_11_Exchange_Rate,0)</f>
        <v>0</v>
      </c>
    </row>
    <row r="1600" spans="1:8" s="10" customFormat="1" outlineLevel="1" x14ac:dyDescent="0.2">
      <c r="D1600" s="49" t="str">
        <f>SOCMOB_DETAILED_COST_WKSHT!D520</f>
        <v>Personnel Category 2</v>
      </c>
      <c r="E1600" s="115">
        <f>IF(DD_LVL2_ACTV_11_Currency_Selected=2,SOCMOB_DETAILED_COST_WKSHT!$F520*SOCMOB_DETAILED_COST_WKSHT!G520,SOCMOB_DETAILED_COST_WKSHT!$F520*(SOCMOB_DETAILED_COST_WKSHT!G520*LVL2_ACTV_11_Exchange_Rate))</f>
        <v>0</v>
      </c>
      <c r="F1600" s="115">
        <f>IF(DD_LVL2_ACTV_11_Currency_Selected=2,SOCMOB_DETAILED_COST_WKSHT!$F520*SOCMOB_DETAILED_COST_WKSHT!H520,SOCMOB_DETAILED_COST_WKSHT!$F520*(SOCMOB_DETAILED_COST_WKSHT!H520*LVL2_ACTV_11_Exchange_Rate))</f>
        <v>0</v>
      </c>
      <c r="G1600" s="116">
        <f t="shared" si="152"/>
        <v>0</v>
      </c>
      <c r="H1600" s="116">
        <f t="shared" si="153"/>
        <v>0</v>
      </c>
    </row>
    <row r="1601" spans="4:8" s="10" customFormat="1" outlineLevel="1" x14ac:dyDescent="0.2">
      <c r="D1601" s="49" t="str">
        <f>SOCMOB_DETAILED_COST_WKSHT!D521</f>
        <v>Personnel Category 3</v>
      </c>
      <c r="E1601" s="115">
        <f>IF(DD_LVL2_ACTV_11_Currency_Selected=2,SOCMOB_DETAILED_COST_WKSHT!$F521*SOCMOB_DETAILED_COST_WKSHT!G521,SOCMOB_DETAILED_COST_WKSHT!$F521*(SOCMOB_DETAILED_COST_WKSHT!G521*LVL2_ACTV_11_Exchange_Rate))</f>
        <v>0</v>
      </c>
      <c r="F1601" s="115">
        <f>IF(DD_LVL2_ACTV_11_Currency_Selected=2,SOCMOB_DETAILED_COST_WKSHT!$F521*SOCMOB_DETAILED_COST_WKSHT!H521,SOCMOB_DETAILED_COST_WKSHT!$F521*(SOCMOB_DETAILED_COST_WKSHT!H521*LVL2_ACTV_11_Exchange_Rate))</f>
        <v>0</v>
      </c>
      <c r="G1601" s="116">
        <f t="shared" si="152"/>
        <v>0</v>
      </c>
      <c r="H1601" s="116">
        <f t="shared" si="153"/>
        <v>0</v>
      </c>
    </row>
    <row r="1602" spans="4:8" s="10" customFormat="1" outlineLevel="1" x14ac:dyDescent="0.2">
      <c r="D1602" s="49" t="str">
        <f>SOCMOB_DETAILED_COST_WKSHT!D522</f>
        <v>Personnel Category 4</v>
      </c>
      <c r="E1602" s="115">
        <f>IF(DD_LVL2_ACTV_11_Currency_Selected=2,SOCMOB_DETAILED_COST_WKSHT!$F522*SOCMOB_DETAILED_COST_WKSHT!G522,SOCMOB_DETAILED_COST_WKSHT!$F522*(SOCMOB_DETAILED_COST_WKSHT!G522*LVL2_ACTV_11_Exchange_Rate))</f>
        <v>0</v>
      </c>
      <c r="F1602" s="115">
        <f>IF(DD_LVL2_ACTV_11_Currency_Selected=2,SOCMOB_DETAILED_COST_WKSHT!$F522*SOCMOB_DETAILED_COST_WKSHT!H522,SOCMOB_DETAILED_COST_WKSHT!$F522*(SOCMOB_DETAILED_COST_WKSHT!H522*LVL2_ACTV_11_Exchange_Rate))</f>
        <v>0</v>
      </c>
      <c r="G1602" s="116">
        <f t="shared" si="152"/>
        <v>0</v>
      </c>
      <c r="H1602" s="116">
        <f t="shared" si="153"/>
        <v>0</v>
      </c>
    </row>
    <row r="1603" spans="4:8" s="10" customFormat="1" outlineLevel="1" x14ac:dyDescent="0.2">
      <c r="D1603" s="49" t="str">
        <f>SOCMOB_DETAILED_COST_WKSHT!D523</f>
        <v>Personnel Category 5</v>
      </c>
      <c r="E1603" s="115">
        <f>IF(DD_LVL2_ACTV_11_Currency_Selected=2,SOCMOB_DETAILED_COST_WKSHT!$F523*SOCMOB_DETAILED_COST_WKSHT!G523,SOCMOB_DETAILED_COST_WKSHT!$F523*(SOCMOB_DETAILED_COST_WKSHT!G523*LVL2_ACTV_11_Exchange_Rate))</f>
        <v>0</v>
      </c>
      <c r="F1603" s="115">
        <f>IF(DD_LVL2_ACTV_11_Currency_Selected=2,SOCMOB_DETAILED_COST_WKSHT!$F523*SOCMOB_DETAILED_COST_WKSHT!H523,SOCMOB_DETAILED_COST_WKSHT!$F523*(SOCMOB_DETAILED_COST_WKSHT!H523*LVL2_ACTV_11_Exchange_Rate))</f>
        <v>0</v>
      </c>
      <c r="G1603" s="116">
        <f t="shared" si="152"/>
        <v>0</v>
      </c>
      <c r="H1603" s="116">
        <f t="shared" si="153"/>
        <v>0</v>
      </c>
    </row>
    <row r="1604" spans="4:8" s="10" customFormat="1" outlineLevel="1" x14ac:dyDescent="0.2">
      <c r="D1604" s="49" t="str">
        <f>SOCMOB_DETAILED_COST_WKSHT!D524</f>
        <v>Personnel Category 6</v>
      </c>
      <c r="E1604" s="115">
        <f>IF(DD_LVL2_ACTV_11_Currency_Selected=2,SOCMOB_DETAILED_COST_WKSHT!$F524*SOCMOB_DETAILED_COST_WKSHT!G524,SOCMOB_DETAILED_COST_WKSHT!$F524*(SOCMOB_DETAILED_COST_WKSHT!G524*LVL2_ACTV_11_Exchange_Rate))</f>
        <v>0</v>
      </c>
      <c r="F1604" s="115">
        <f>IF(DD_LVL2_ACTV_11_Currency_Selected=2,SOCMOB_DETAILED_COST_WKSHT!$F524*SOCMOB_DETAILED_COST_WKSHT!H524,SOCMOB_DETAILED_COST_WKSHT!$F524*(SOCMOB_DETAILED_COST_WKSHT!H524*LVL2_ACTV_11_Exchange_Rate))</f>
        <v>0</v>
      </c>
      <c r="G1604" s="116">
        <f t="shared" si="152"/>
        <v>0</v>
      </c>
      <c r="H1604" s="116">
        <f t="shared" si="153"/>
        <v>0</v>
      </c>
    </row>
    <row r="1605" spans="4:8" s="10" customFormat="1" outlineLevel="1" x14ac:dyDescent="0.2">
      <c r="D1605" s="49" t="str">
        <f>SOCMOB_DETAILED_COST_WKSHT!D525</f>
        <v>Personnel Category 7</v>
      </c>
      <c r="E1605" s="115">
        <f>IF(DD_LVL2_ACTV_11_Currency_Selected=2,SOCMOB_DETAILED_COST_WKSHT!$F525*SOCMOB_DETAILED_COST_WKSHT!G525,SOCMOB_DETAILED_COST_WKSHT!$F525*(SOCMOB_DETAILED_COST_WKSHT!G525*LVL2_ACTV_11_Exchange_Rate))</f>
        <v>0</v>
      </c>
      <c r="F1605" s="115">
        <f>IF(DD_LVL2_ACTV_11_Currency_Selected=2,SOCMOB_DETAILED_COST_WKSHT!$F525*SOCMOB_DETAILED_COST_WKSHT!H525,SOCMOB_DETAILED_COST_WKSHT!$F525*(SOCMOB_DETAILED_COST_WKSHT!H525*LVL2_ACTV_11_Exchange_Rate))</f>
        <v>0</v>
      </c>
      <c r="G1605" s="116">
        <f t="shared" si="152"/>
        <v>0</v>
      </c>
      <c r="H1605" s="116">
        <f t="shared" si="153"/>
        <v>0</v>
      </c>
    </row>
    <row r="1606" spans="4:8" s="10" customFormat="1" outlineLevel="1" x14ac:dyDescent="0.2">
      <c r="D1606" s="49" t="str">
        <f>SOCMOB_DETAILED_COST_WKSHT!D526</f>
        <v>Personnel Category 8</v>
      </c>
      <c r="E1606" s="115">
        <f>IF(DD_LVL2_ACTV_11_Currency_Selected=2,SOCMOB_DETAILED_COST_WKSHT!$F526*SOCMOB_DETAILED_COST_WKSHT!G526,SOCMOB_DETAILED_COST_WKSHT!$F526*(SOCMOB_DETAILED_COST_WKSHT!G526*LVL2_ACTV_11_Exchange_Rate))</f>
        <v>0</v>
      </c>
      <c r="F1606" s="115">
        <f>IF(DD_LVL2_ACTV_11_Currency_Selected=2,SOCMOB_DETAILED_COST_WKSHT!$F526*SOCMOB_DETAILED_COST_WKSHT!H526,SOCMOB_DETAILED_COST_WKSHT!$F526*(SOCMOB_DETAILED_COST_WKSHT!H526*LVL2_ACTV_11_Exchange_Rate))</f>
        <v>0</v>
      </c>
      <c r="G1606" s="116">
        <f t="shared" si="152"/>
        <v>0</v>
      </c>
      <c r="H1606" s="116">
        <f t="shared" si="153"/>
        <v>0</v>
      </c>
    </row>
    <row r="1607" spans="4:8" s="10" customFormat="1" outlineLevel="1" x14ac:dyDescent="0.2">
      <c r="D1607" s="49" t="str">
        <f>SOCMOB_DETAILED_COST_WKSHT!D527</f>
        <v>Personnel Category 9</v>
      </c>
      <c r="E1607" s="115">
        <f>IF(DD_LVL2_ACTV_11_Currency_Selected=2,SOCMOB_DETAILED_COST_WKSHT!$F527*SOCMOB_DETAILED_COST_WKSHT!G527,SOCMOB_DETAILED_COST_WKSHT!$F527*(SOCMOB_DETAILED_COST_WKSHT!G527*LVL2_ACTV_11_Exchange_Rate))</f>
        <v>0</v>
      </c>
      <c r="F1607" s="115">
        <f>IF(DD_LVL2_ACTV_11_Currency_Selected=2,SOCMOB_DETAILED_COST_WKSHT!$F527*SOCMOB_DETAILED_COST_WKSHT!H527,SOCMOB_DETAILED_COST_WKSHT!$F527*(SOCMOB_DETAILED_COST_WKSHT!H527*LVL2_ACTV_11_Exchange_Rate))</f>
        <v>0</v>
      </c>
      <c r="G1607" s="116">
        <f t="shared" si="152"/>
        <v>0</v>
      </c>
      <c r="H1607" s="116">
        <f t="shared" si="153"/>
        <v>0</v>
      </c>
    </row>
    <row r="1608" spans="4:8" s="10" customFormat="1" outlineLevel="1" x14ac:dyDescent="0.2">
      <c r="D1608" s="49" t="str">
        <f>SOCMOB_DETAILED_COST_WKSHT!D528</f>
        <v>Personnel Category 10</v>
      </c>
      <c r="E1608" s="115">
        <f>IF(DD_LVL2_ACTV_11_Currency_Selected=2,SOCMOB_DETAILED_COST_WKSHT!$F528*SOCMOB_DETAILED_COST_WKSHT!G528,SOCMOB_DETAILED_COST_WKSHT!$F528*(SOCMOB_DETAILED_COST_WKSHT!G528*LVL2_ACTV_11_Exchange_Rate))</f>
        <v>0</v>
      </c>
      <c r="F1608" s="115">
        <f>IF(DD_LVL2_ACTV_11_Currency_Selected=2,SOCMOB_DETAILED_COST_WKSHT!$F528*SOCMOB_DETAILED_COST_WKSHT!H528,SOCMOB_DETAILED_COST_WKSHT!$F528*(SOCMOB_DETAILED_COST_WKSHT!H528*LVL2_ACTV_11_Exchange_Rate))</f>
        <v>0</v>
      </c>
      <c r="G1608" s="116">
        <f t="shared" si="152"/>
        <v>0</v>
      </c>
      <c r="H1608" s="116">
        <f t="shared" si="153"/>
        <v>0</v>
      </c>
    </row>
    <row r="1609" spans="4:8" s="10" customFormat="1" outlineLevel="1" x14ac:dyDescent="0.2">
      <c r="D1609" s="49" t="str">
        <f>SOCMOB_DETAILED_COST_WKSHT!D529</f>
        <v>Personnel Category 11</v>
      </c>
      <c r="E1609" s="115">
        <f>IF(DD_LVL2_ACTV_11_Currency_Selected=2,SOCMOB_DETAILED_COST_WKSHT!$F529*SOCMOB_DETAILED_COST_WKSHT!G529,SOCMOB_DETAILED_COST_WKSHT!$F529*(SOCMOB_DETAILED_COST_WKSHT!G529*LVL2_ACTV_11_Exchange_Rate))</f>
        <v>0</v>
      </c>
      <c r="F1609" s="115">
        <f>IF(DD_LVL2_ACTV_11_Currency_Selected=2,SOCMOB_DETAILED_COST_WKSHT!$F529*SOCMOB_DETAILED_COST_WKSHT!H529,SOCMOB_DETAILED_COST_WKSHT!$F529*(SOCMOB_DETAILED_COST_WKSHT!H529*LVL2_ACTV_11_Exchange_Rate))</f>
        <v>0</v>
      </c>
      <c r="G1609" s="116">
        <f t="shared" si="152"/>
        <v>0</v>
      </c>
      <c r="H1609" s="116">
        <f t="shared" si="153"/>
        <v>0</v>
      </c>
    </row>
    <row r="1610" spans="4:8" s="10" customFormat="1" outlineLevel="1" x14ac:dyDescent="0.2">
      <c r="D1610" s="49" t="str">
        <f>SOCMOB_DETAILED_COST_WKSHT!D530</f>
        <v>Personnel Category 12</v>
      </c>
      <c r="E1610" s="115">
        <f>IF(DD_LVL2_ACTV_11_Currency_Selected=2,SOCMOB_DETAILED_COST_WKSHT!$F530*SOCMOB_DETAILED_COST_WKSHT!G530,SOCMOB_DETAILED_COST_WKSHT!$F530*(SOCMOB_DETAILED_COST_WKSHT!G530*LVL2_ACTV_11_Exchange_Rate))</f>
        <v>0</v>
      </c>
      <c r="F1610" s="115">
        <f>IF(DD_LVL2_ACTV_11_Currency_Selected=2,SOCMOB_DETAILED_COST_WKSHT!$F530*SOCMOB_DETAILED_COST_WKSHT!H530,SOCMOB_DETAILED_COST_WKSHT!$F530*(SOCMOB_DETAILED_COST_WKSHT!H530*LVL2_ACTV_11_Exchange_Rate))</f>
        <v>0</v>
      </c>
      <c r="G1610" s="116">
        <f t="shared" si="152"/>
        <v>0</v>
      </c>
      <c r="H1610" s="116">
        <f t="shared" si="153"/>
        <v>0</v>
      </c>
    </row>
    <row r="1611" spans="4:8" s="10" customFormat="1" outlineLevel="1" x14ac:dyDescent="0.2">
      <c r="D1611" s="49" t="str">
        <f>SOCMOB_DETAILED_COST_WKSHT!D531</f>
        <v>Personnel Category 13</v>
      </c>
      <c r="E1611" s="115">
        <f>IF(DD_LVL2_ACTV_11_Currency_Selected=2,SOCMOB_DETAILED_COST_WKSHT!$F531*SOCMOB_DETAILED_COST_WKSHT!G531,SOCMOB_DETAILED_COST_WKSHT!$F531*(SOCMOB_DETAILED_COST_WKSHT!G531*LVL2_ACTV_11_Exchange_Rate))</f>
        <v>0</v>
      </c>
      <c r="F1611" s="115">
        <f>IF(DD_LVL2_ACTV_11_Currency_Selected=2,SOCMOB_DETAILED_COST_WKSHT!$F531*SOCMOB_DETAILED_COST_WKSHT!H531,SOCMOB_DETAILED_COST_WKSHT!$F531*(SOCMOB_DETAILED_COST_WKSHT!H531*LVL2_ACTV_11_Exchange_Rate))</f>
        <v>0</v>
      </c>
      <c r="G1611" s="116">
        <f t="shared" si="152"/>
        <v>0</v>
      </c>
      <c r="H1611" s="116">
        <f t="shared" si="153"/>
        <v>0</v>
      </c>
    </row>
    <row r="1612" spans="4:8" s="10" customFormat="1" outlineLevel="1" x14ac:dyDescent="0.2">
      <c r="D1612" s="49" t="str">
        <f>SOCMOB_DETAILED_COST_WKSHT!D532</f>
        <v>Personnel Category 14</v>
      </c>
      <c r="E1612" s="115">
        <f>IF(DD_LVL2_ACTV_11_Currency_Selected=2,SOCMOB_DETAILED_COST_WKSHT!$F532*SOCMOB_DETAILED_COST_WKSHT!G532,SOCMOB_DETAILED_COST_WKSHT!$F532*(SOCMOB_DETAILED_COST_WKSHT!G532*LVL2_ACTV_11_Exchange_Rate))</f>
        <v>0</v>
      </c>
      <c r="F1612" s="115">
        <f>IF(DD_LVL2_ACTV_11_Currency_Selected=2,SOCMOB_DETAILED_COST_WKSHT!$F532*SOCMOB_DETAILED_COST_WKSHT!H532,SOCMOB_DETAILED_COST_WKSHT!$F532*(SOCMOB_DETAILED_COST_WKSHT!H532*LVL2_ACTV_11_Exchange_Rate))</f>
        <v>0</v>
      </c>
      <c r="G1612" s="116">
        <f t="shared" si="152"/>
        <v>0</v>
      </c>
      <c r="H1612" s="116">
        <f t="shared" si="153"/>
        <v>0</v>
      </c>
    </row>
    <row r="1613" spans="4:8" s="10" customFormat="1" outlineLevel="1" x14ac:dyDescent="0.2">
      <c r="D1613" s="49" t="str">
        <f>SOCMOB_DETAILED_COST_WKSHT!D533</f>
        <v>Personnel Category 15</v>
      </c>
      <c r="E1613" s="115">
        <f>IF(DD_LVL2_ACTV_11_Currency_Selected=2,SOCMOB_DETAILED_COST_WKSHT!$F533*SOCMOB_DETAILED_COST_WKSHT!G533,SOCMOB_DETAILED_COST_WKSHT!$F533*(SOCMOB_DETAILED_COST_WKSHT!G533*LVL2_ACTV_11_Exchange_Rate))</f>
        <v>0</v>
      </c>
      <c r="F1613" s="115">
        <f>IF(DD_LVL2_ACTV_11_Currency_Selected=2,SOCMOB_DETAILED_COST_WKSHT!$F533*SOCMOB_DETAILED_COST_WKSHT!H533,SOCMOB_DETAILED_COST_WKSHT!$F533*(SOCMOB_DETAILED_COST_WKSHT!H533*LVL2_ACTV_11_Exchange_Rate))</f>
        <v>0</v>
      </c>
      <c r="G1613" s="116">
        <f t="shared" si="152"/>
        <v>0</v>
      </c>
      <c r="H1613" s="116">
        <f t="shared" si="153"/>
        <v>0</v>
      </c>
    </row>
    <row r="1614" spans="4:8" s="10" customFormat="1" outlineLevel="1" x14ac:dyDescent="0.2">
      <c r="D1614" s="48" t="str">
        <f>Lang_Personnel</f>
        <v>Personnel</v>
      </c>
      <c r="E1614" s="120">
        <f>SUM(E1599:E1613)</f>
        <v>0</v>
      </c>
      <c r="F1614" s="120">
        <f>SUM(F1599:F1613)</f>
        <v>0</v>
      </c>
      <c r="G1614" s="121">
        <f>SUM(G1599:G1613)</f>
        <v>0</v>
      </c>
      <c r="H1614" s="121">
        <f>SUM(H1599:H1613)</f>
        <v>0</v>
      </c>
    </row>
    <row r="1615" spans="4:8" s="10" customFormat="1" outlineLevel="1" x14ac:dyDescent="0.2"/>
    <row r="1616" spans="4:8" s="10" customFormat="1" outlineLevel="1" x14ac:dyDescent="0.2"/>
    <row r="1617" spans="1:8" s="10" customFormat="1" outlineLevel="1" x14ac:dyDescent="0.2">
      <c r="D1617" s="76" t="str">
        <f>Lang_GoTo&amp;" "&amp;HL_LVL2_ACTV_11_Personnel_Assumptions</f>
        <v>Go to IEC Soc Mob  Activity # 6 (Not in Use) - Detailed Personnel Cost Assumptions</v>
      </c>
    </row>
    <row r="1618" spans="1:8" s="10" customFormat="1" outlineLevel="1" x14ac:dyDescent="0.2">
      <c r="D1618" s="76" t="str">
        <f>Lang_GoTo&amp;" "&amp;HL_LVL2_ACTV_11_Cost_Summary_Output</f>
        <v>Go to IEC Soc Mob  Activity # 6 (Not in Use) Detailed Cost Summary</v>
      </c>
    </row>
    <row r="1619" spans="1:8" s="10" customFormat="1" x14ac:dyDescent="0.2"/>
    <row r="1620" spans="1:8" s="13" customFormat="1" x14ac:dyDescent="0.2">
      <c r="A1620" s="12" t="s">
        <v>127</v>
      </c>
      <c r="B1620" s="13" t="str">
        <f>C1622&amp;" "&amp;Lang_Allowances_Outputs</f>
        <v>IEC Soc Mob  Activity # 6 (Not in Use) Allowances - Outputs</v>
      </c>
    </row>
    <row r="1621" spans="1:8" s="10" customFormat="1" outlineLevel="1" x14ac:dyDescent="0.2"/>
    <row r="1622" spans="1:8" s="10" customFormat="1" outlineLevel="1" x14ac:dyDescent="0.2">
      <c r="C1622" s="114" t="str">
        <f>HL_LVL2_ACTV_11_Name</f>
        <v>IEC Soc Mob  Activity # 6 (Not in Use)</v>
      </c>
    </row>
    <row r="1623" spans="1:8" s="10" customFormat="1" outlineLevel="1" x14ac:dyDescent="0.2">
      <c r="E1623" s="86" t="str">
        <f>SOCMOB_Lu!$D$207&amp;" "&amp;Lang_Cost&amp;" ("&amp;SOCMOB_Lu!$D$188&amp;")"</f>
        <v>Financial Cost (LCU)</v>
      </c>
      <c r="F1623" s="86" t="str">
        <f>SOCMOB_Lu!$D$208&amp;" "&amp;Lang_Cost&amp;" ("&amp;SOCMOB_Lu!$D$188&amp;")"</f>
        <v>Economic Cost (LCU)</v>
      </c>
      <c r="G1623" s="86" t="str">
        <f>SOCMOB_Lu!$D$207&amp;" "&amp;Lang_Cost&amp;" ("&amp;SOCMOB_Lu!$D$187&amp;")"</f>
        <v>Financial Cost (USD)</v>
      </c>
      <c r="H1623" s="86" t="str">
        <f>SOCMOB_Lu!$D$208&amp;" "&amp;Lang_Cost&amp;" ("&amp;SOCMOB_Lu!$D$187&amp;")"</f>
        <v>Economic Cost (USD)</v>
      </c>
    </row>
    <row r="1624" spans="1:8" s="10" customFormat="1" outlineLevel="1" x14ac:dyDescent="0.2">
      <c r="D1624" s="49" t="str">
        <f>SOCMOB_DETAILED_COST_WKSHT!D542</f>
        <v>Allowances Category 1</v>
      </c>
      <c r="E1624" s="115">
        <f>IF(DD_LVL2_ACTV_11_Currency_Selected=2,SOCMOB_DETAILED_COST_WKSHT!$F542*SOCMOB_DETAILED_COST_WKSHT!G542,SOCMOB_DETAILED_COST_WKSHT!$F542*(SOCMOB_DETAILED_COST_WKSHT!G542*LVL2_ACTV_11_Exchange_Rate))</f>
        <v>0</v>
      </c>
      <c r="F1624" s="115">
        <f>IF(DD_LVL2_ACTV_11_Currency_Selected=2,SOCMOB_DETAILED_COST_WKSHT!$F542*SOCMOB_DETAILED_COST_WKSHT!H542,SOCMOB_DETAILED_COST_WKSHT!$F542*(SOCMOB_DETAILED_COST_WKSHT!H542*LVL2_ACTV_11_Exchange_Rate))</f>
        <v>0</v>
      </c>
      <c r="G1624" s="116">
        <f t="shared" ref="G1624:G1633" si="154">E1624/LVL2_ACTV_11_Exchange_Rate</f>
        <v>0</v>
      </c>
      <c r="H1624" s="116">
        <f t="shared" ref="H1624:H1633" si="155">F1624/LVL2_ACTV_11_Exchange_Rate</f>
        <v>0</v>
      </c>
    </row>
    <row r="1625" spans="1:8" s="10" customFormat="1" outlineLevel="1" x14ac:dyDescent="0.2">
      <c r="D1625" s="49" t="str">
        <f>SOCMOB_DETAILED_COST_WKSHT!D543</f>
        <v>Allowances Category 2</v>
      </c>
      <c r="E1625" s="115">
        <f>IF(DD_LVL2_ACTV_11_Currency_Selected=2,SOCMOB_DETAILED_COST_WKSHT!$F543*SOCMOB_DETAILED_COST_WKSHT!G543,SOCMOB_DETAILED_COST_WKSHT!$F543*(SOCMOB_DETAILED_COST_WKSHT!G543*LVL2_ACTV_11_Exchange_Rate))</f>
        <v>0</v>
      </c>
      <c r="F1625" s="115">
        <f>IF(DD_LVL2_ACTV_11_Currency_Selected=2,SOCMOB_DETAILED_COST_WKSHT!$F543*SOCMOB_DETAILED_COST_WKSHT!H543,SOCMOB_DETAILED_COST_WKSHT!$F543*(SOCMOB_DETAILED_COST_WKSHT!H543*LVL2_ACTV_11_Exchange_Rate))</f>
        <v>0</v>
      </c>
      <c r="G1625" s="116">
        <f t="shared" si="154"/>
        <v>0</v>
      </c>
      <c r="H1625" s="116">
        <f t="shared" si="155"/>
        <v>0</v>
      </c>
    </row>
    <row r="1626" spans="1:8" s="10" customFormat="1" outlineLevel="1" x14ac:dyDescent="0.2">
      <c r="D1626" s="49" t="str">
        <f>SOCMOB_DETAILED_COST_WKSHT!D544</f>
        <v>Allowances Category 3</v>
      </c>
      <c r="E1626" s="115">
        <f>IF(DD_LVL2_ACTV_11_Currency_Selected=2,SOCMOB_DETAILED_COST_WKSHT!$F544*SOCMOB_DETAILED_COST_WKSHT!G544,SOCMOB_DETAILED_COST_WKSHT!$F544*(SOCMOB_DETAILED_COST_WKSHT!G544*LVL2_ACTV_11_Exchange_Rate))</f>
        <v>0</v>
      </c>
      <c r="F1626" s="115">
        <f>IF(DD_LVL2_ACTV_11_Currency_Selected=2,SOCMOB_DETAILED_COST_WKSHT!$F544*SOCMOB_DETAILED_COST_WKSHT!H544,SOCMOB_DETAILED_COST_WKSHT!$F544*(SOCMOB_DETAILED_COST_WKSHT!H544*LVL2_ACTV_11_Exchange_Rate))</f>
        <v>0</v>
      </c>
      <c r="G1626" s="116">
        <f t="shared" si="154"/>
        <v>0</v>
      </c>
      <c r="H1626" s="116">
        <f t="shared" si="155"/>
        <v>0</v>
      </c>
    </row>
    <row r="1627" spans="1:8" s="10" customFormat="1" outlineLevel="1" x14ac:dyDescent="0.2">
      <c r="D1627" s="49" t="str">
        <f>SOCMOB_DETAILED_COST_WKSHT!D545</f>
        <v>Allowances Category 4</v>
      </c>
      <c r="E1627" s="115">
        <f>IF(DD_LVL2_ACTV_11_Currency_Selected=2,SOCMOB_DETAILED_COST_WKSHT!$F545*SOCMOB_DETAILED_COST_WKSHT!G545,SOCMOB_DETAILED_COST_WKSHT!$F545*(SOCMOB_DETAILED_COST_WKSHT!G545*LVL2_ACTV_11_Exchange_Rate))</f>
        <v>0</v>
      </c>
      <c r="F1627" s="115">
        <f>IF(DD_LVL2_ACTV_11_Currency_Selected=2,SOCMOB_DETAILED_COST_WKSHT!$F545*SOCMOB_DETAILED_COST_WKSHT!H545,SOCMOB_DETAILED_COST_WKSHT!$F545*(SOCMOB_DETAILED_COST_WKSHT!H545*LVL2_ACTV_11_Exchange_Rate))</f>
        <v>0</v>
      </c>
      <c r="G1627" s="116">
        <f t="shared" si="154"/>
        <v>0</v>
      </c>
      <c r="H1627" s="116">
        <f t="shared" si="155"/>
        <v>0</v>
      </c>
    </row>
    <row r="1628" spans="1:8" s="10" customFormat="1" outlineLevel="1" x14ac:dyDescent="0.2">
      <c r="D1628" s="49" t="str">
        <f>SOCMOB_DETAILED_COST_WKSHT!D546</f>
        <v>Allowances Category 5</v>
      </c>
      <c r="E1628" s="115">
        <f>IF(DD_LVL2_ACTV_11_Currency_Selected=2,SOCMOB_DETAILED_COST_WKSHT!$F546*SOCMOB_DETAILED_COST_WKSHT!G546,SOCMOB_DETAILED_COST_WKSHT!$F546*(SOCMOB_DETAILED_COST_WKSHT!G546*LVL2_ACTV_11_Exchange_Rate))</f>
        <v>0</v>
      </c>
      <c r="F1628" s="115">
        <f>IF(DD_LVL2_ACTV_11_Currency_Selected=2,SOCMOB_DETAILED_COST_WKSHT!$F546*SOCMOB_DETAILED_COST_WKSHT!H546,SOCMOB_DETAILED_COST_WKSHT!$F546*(SOCMOB_DETAILED_COST_WKSHT!H546*LVL2_ACTV_11_Exchange_Rate))</f>
        <v>0</v>
      </c>
      <c r="G1628" s="116">
        <f t="shared" si="154"/>
        <v>0</v>
      </c>
      <c r="H1628" s="116">
        <f t="shared" si="155"/>
        <v>0</v>
      </c>
    </row>
    <row r="1629" spans="1:8" s="10" customFormat="1" outlineLevel="1" x14ac:dyDescent="0.2">
      <c r="D1629" s="49" t="str">
        <f>SOCMOB_DETAILED_COST_WKSHT!D547</f>
        <v>Allowances Category 6</v>
      </c>
      <c r="E1629" s="115">
        <f>IF(DD_LVL2_ACTV_11_Currency_Selected=2,SOCMOB_DETAILED_COST_WKSHT!$F547*SOCMOB_DETAILED_COST_WKSHT!G547,SOCMOB_DETAILED_COST_WKSHT!$F547*(SOCMOB_DETAILED_COST_WKSHT!G547*LVL2_ACTV_11_Exchange_Rate))</f>
        <v>0</v>
      </c>
      <c r="F1629" s="115">
        <f>IF(DD_LVL2_ACTV_11_Currency_Selected=2,SOCMOB_DETAILED_COST_WKSHT!$F547*SOCMOB_DETAILED_COST_WKSHT!H547,SOCMOB_DETAILED_COST_WKSHT!$F547*(SOCMOB_DETAILED_COST_WKSHT!H547*LVL2_ACTV_11_Exchange_Rate))</f>
        <v>0</v>
      </c>
      <c r="G1629" s="116">
        <f t="shared" si="154"/>
        <v>0</v>
      </c>
      <c r="H1629" s="116">
        <f t="shared" si="155"/>
        <v>0</v>
      </c>
    </row>
    <row r="1630" spans="1:8" s="10" customFormat="1" outlineLevel="1" x14ac:dyDescent="0.2">
      <c r="D1630" s="49" t="str">
        <f>SOCMOB_DETAILED_COST_WKSHT!D548</f>
        <v>Allowances Category 7</v>
      </c>
      <c r="E1630" s="115">
        <f>IF(DD_LVL2_ACTV_11_Currency_Selected=2,SOCMOB_DETAILED_COST_WKSHT!$F548*SOCMOB_DETAILED_COST_WKSHT!G548,SOCMOB_DETAILED_COST_WKSHT!$F548*(SOCMOB_DETAILED_COST_WKSHT!G548*LVL2_ACTV_11_Exchange_Rate))</f>
        <v>0</v>
      </c>
      <c r="F1630" s="115">
        <f>IF(DD_LVL2_ACTV_11_Currency_Selected=2,SOCMOB_DETAILED_COST_WKSHT!$F548*SOCMOB_DETAILED_COST_WKSHT!H548,SOCMOB_DETAILED_COST_WKSHT!$F548*(SOCMOB_DETAILED_COST_WKSHT!H548*LVL2_ACTV_11_Exchange_Rate))</f>
        <v>0</v>
      </c>
      <c r="G1630" s="116">
        <f t="shared" si="154"/>
        <v>0</v>
      </c>
      <c r="H1630" s="116">
        <f t="shared" si="155"/>
        <v>0</v>
      </c>
    </row>
    <row r="1631" spans="1:8" s="10" customFormat="1" outlineLevel="1" x14ac:dyDescent="0.2">
      <c r="D1631" s="49" t="str">
        <f>SOCMOB_DETAILED_COST_WKSHT!D549</f>
        <v>Allowances Category 8</v>
      </c>
      <c r="E1631" s="115">
        <f>IF(DD_LVL2_ACTV_11_Currency_Selected=2,SOCMOB_DETAILED_COST_WKSHT!$F549*SOCMOB_DETAILED_COST_WKSHT!G549,SOCMOB_DETAILED_COST_WKSHT!$F549*(SOCMOB_DETAILED_COST_WKSHT!G549*LVL2_ACTV_11_Exchange_Rate))</f>
        <v>0</v>
      </c>
      <c r="F1631" s="115">
        <f>IF(DD_LVL2_ACTV_11_Currency_Selected=2,SOCMOB_DETAILED_COST_WKSHT!$F549*SOCMOB_DETAILED_COST_WKSHT!H549,SOCMOB_DETAILED_COST_WKSHT!$F549*(SOCMOB_DETAILED_COST_WKSHT!H549*LVL2_ACTV_11_Exchange_Rate))</f>
        <v>0</v>
      </c>
      <c r="G1631" s="116">
        <f t="shared" si="154"/>
        <v>0</v>
      </c>
      <c r="H1631" s="116">
        <f t="shared" si="155"/>
        <v>0</v>
      </c>
    </row>
    <row r="1632" spans="1:8" s="10" customFormat="1" outlineLevel="1" x14ac:dyDescent="0.2">
      <c r="D1632" s="49" t="str">
        <f>SOCMOB_DETAILED_COST_WKSHT!D550</f>
        <v>Allowances Category 9</v>
      </c>
      <c r="E1632" s="115">
        <f>IF(DD_LVL2_ACTV_11_Currency_Selected=2,SOCMOB_DETAILED_COST_WKSHT!$F550*SOCMOB_DETAILED_COST_WKSHT!G550,SOCMOB_DETAILED_COST_WKSHT!$F550*(SOCMOB_DETAILED_COST_WKSHT!G550*LVL2_ACTV_11_Exchange_Rate))</f>
        <v>0</v>
      </c>
      <c r="F1632" s="115">
        <f>IF(DD_LVL2_ACTV_11_Currency_Selected=2,SOCMOB_DETAILED_COST_WKSHT!$F550*SOCMOB_DETAILED_COST_WKSHT!H550,SOCMOB_DETAILED_COST_WKSHT!$F550*(SOCMOB_DETAILED_COST_WKSHT!H550*LVL2_ACTV_11_Exchange_Rate))</f>
        <v>0</v>
      </c>
      <c r="G1632" s="116">
        <f t="shared" si="154"/>
        <v>0</v>
      </c>
      <c r="H1632" s="116">
        <f t="shared" si="155"/>
        <v>0</v>
      </c>
    </row>
    <row r="1633" spans="1:8" s="10" customFormat="1" outlineLevel="1" x14ac:dyDescent="0.2">
      <c r="D1633" s="49" t="str">
        <f>SOCMOB_DETAILED_COST_WKSHT!D551</f>
        <v>Allowances Category 10</v>
      </c>
      <c r="E1633" s="115">
        <f>IF(DD_LVL2_ACTV_11_Currency_Selected=2,SOCMOB_DETAILED_COST_WKSHT!$F551*SOCMOB_DETAILED_COST_WKSHT!G551,SOCMOB_DETAILED_COST_WKSHT!$F551*(SOCMOB_DETAILED_COST_WKSHT!G551*LVL2_ACTV_11_Exchange_Rate))</f>
        <v>0</v>
      </c>
      <c r="F1633" s="115">
        <f>IF(DD_LVL2_ACTV_11_Currency_Selected=2,SOCMOB_DETAILED_COST_WKSHT!$F551*SOCMOB_DETAILED_COST_WKSHT!H551,SOCMOB_DETAILED_COST_WKSHT!$F551*(SOCMOB_DETAILED_COST_WKSHT!H551*LVL2_ACTV_11_Exchange_Rate))</f>
        <v>0</v>
      </c>
      <c r="G1633" s="116">
        <f t="shared" si="154"/>
        <v>0</v>
      </c>
      <c r="H1633" s="116">
        <f t="shared" si="155"/>
        <v>0</v>
      </c>
    </row>
    <row r="1634" spans="1:8" s="10" customFormat="1" outlineLevel="1" x14ac:dyDescent="0.2">
      <c r="D1634" s="48" t="str">
        <f>Lang_Allowances</f>
        <v>Allowances</v>
      </c>
      <c r="E1634" s="120">
        <f>SUM(E1624:E1633)</f>
        <v>0</v>
      </c>
      <c r="F1634" s="120">
        <f>SUM(F1624:F1633)</f>
        <v>0</v>
      </c>
      <c r="G1634" s="121">
        <f>SUM(G1624:G1633)</f>
        <v>0</v>
      </c>
      <c r="H1634" s="121">
        <f>SUM(H1624:H1633)</f>
        <v>0</v>
      </c>
    </row>
    <row r="1635" spans="1:8" s="10" customFormat="1" outlineLevel="1" x14ac:dyDescent="0.2"/>
    <row r="1636" spans="1:8" s="10" customFormat="1" outlineLevel="1" x14ac:dyDescent="0.2"/>
    <row r="1637" spans="1:8" s="10" customFormat="1" outlineLevel="1" x14ac:dyDescent="0.2">
      <c r="D1637" s="76" t="str">
        <f>Lang_GoTo&amp;" "&amp;HL_LVL2_ACTV_11_Ass_A</f>
        <v>Go to IEC Soc Mob  Activity # 6 (Not in Use) - Detailed Allowance Cost Assumptions</v>
      </c>
    </row>
    <row r="1638" spans="1:8" s="10" customFormat="1" outlineLevel="1" x14ac:dyDescent="0.2">
      <c r="D1638" s="76" t="str">
        <f>Lang_GoTo&amp;" "&amp;HL_LVL2_ACTV_11_Cost_Summary_Output</f>
        <v>Go to IEC Soc Mob  Activity # 6 (Not in Use) Detailed Cost Summary</v>
      </c>
    </row>
    <row r="1639" spans="1:8" s="10" customFormat="1" x14ac:dyDescent="0.2"/>
    <row r="1640" spans="1:8" s="13" customFormat="1" x14ac:dyDescent="0.2">
      <c r="A1640" s="12" t="s">
        <v>127</v>
      </c>
      <c r="B1640" s="13" t="str">
        <f>C1642&amp;" "&amp;Lang_Supplies_And_Materials_Outputs</f>
        <v>IEC Soc Mob  Activity # 6 (Not in Use) Supplies and Materials - Outputs</v>
      </c>
    </row>
    <row r="1641" spans="1:8" s="10" customFormat="1" outlineLevel="1" x14ac:dyDescent="0.2"/>
    <row r="1642" spans="1:8" s="10" customFormat="1" outlineLevel="1" x14ac:dyDescent="0.2">
      <c r="C1642" s="114" t="str">
        <f>HL_LVL2_ACTV_11_Name</f>
        <v>IEC Soc Mob  Activity # 6 (Not in Use)</v>
      </c>
    </row>
    <row r="1643" spans="1:8" s="10" customFormat="1" outlineLevel="1" x14ac:dyDescent="0.2">
      <c r="E1643" s="86" t="str">
        <f>SOCMOB_Lu!$D$207&amp;" "&amp;Lang_Cost&amp;" ("&amp;SOCMOB_Lu!$D$188&amp;")"</f>
        <v>Financial Cost (LCU)</v>
      </c>
      <c r="F1643" s="86" t="str">
        <f>SOCMOB_Lu!$D$208&amp;" "&amp;Lang_Cost&amp;" ("&amp;SOCMOB_Lu!$D$188&amp;")"</f>
        <v>Economic Cost (LCU)</v>
      </c>
      <c r="G1643" s="86" t="str">
        <f>SOCMOB_Lu!$D$207&amp;" "&amp;Lang_Cost&amp;" ("&amp;SOCMOB_Lu!$D$187&amp;")"</f>
        <v>Financial Cost (USD)</v>
      </c>
      <c r="H1643" s="86" t="str">
        <f>SOCMOB_Lu!$D$208&amp;" "&amp;Lang_Cost&amp;" ("&amp;SOCMOB_Lu!$D$187&amp;")"</f>
        <v>Economic Cost (USD)</v>
      </c>
    </row>
    <row r="1644" spans="1:8" s="10" customFormat="1" outlineLevel="1" x14ac:dyDescent="0.2">
      <c r="D1644" s="49" t="str">
        <f>SOCMOB_DETAILED_COST_WKSHT!D560</f>
        <v>Supplies and Materials Category 1</v>
      </c>
      <c r="E1644" s="115">
        <f>IF(DD_LVL2_ACTV_11_Currency_Selected=2,SOCMOB_DETAILED_COST_WKSHT!$F560*SOCMOB_DETAILED_COST_WKSHT!G560,SOCMOB_DETAILED_COST_WKSHT!$F560*(SOCMOB_DETAILED_COST_WKSHT!G560*LVL2_ACTV_11_Exchange_Rate))</f>
        <v>0</v>
      </c>
      <c r="F1644" s="115">
        <f>IF(DD_LVL2_ACTV_11_Currency_Selected=2,SOCMOB_DETAILED_COST_WKSHT!$F560*SOCMOB_DETAILED_COST_WKSHT!H560,SOCMOB_DETAILED_COST_WKSHT!$F560*(SOCMOB_DETAILED_COST_WKSHT!H560*LVL2_ACTV_11_Exchange_Rate))</f>
        <v>0</v>
      </c>
      <c r="G1644" s="116">
        <f t="shared" ref="G1644:G1653" si="156">E1644/LVL2_ACTV_11_Exchange_Rate</f>
        <v>0</v>
      </c>
      <c r="H1644" s="116">
        <f t="shared" ref="H1644:H1653" si="157">F1644/LVL2_ACTV_11_Exchange_Rate</f>
        <v>0</v>
      </c>
    </row>
    <row r="1645" spans="1:8" s="10" customFormat="1" outlineLevel="1" x14ac:dyDescent="0.2">
      <c r="D1645" s="49" t="str">
        <f>SOCMOB_DETAILED_COST_WKSHT!D561</f>
        <v>Supplies and Materials Category 2</v>
      </c>
      <c r="E1645" s="115">
        <f>IF(DD_LVL2_ACTV_11_Currency_Selected=2,SOCMOB_DETAILED_COST_WKSHT!$F561*SOCMOB_DETAILED_COST_WKSHT!G561,SOCMOB_DETAILED_COST_WKSHT!$F561*(SOCMOB_DETAILED_COST_WKSHT!G561*LVL2_ACTV_11_Exchange_Rate))</f>
        <v>0</v>
      </c>
      <c r="F1645" s="115">
        <f>IF(DD_LVL2_ACTV_11_Currency_Selected=2,SOCMOB_DETAILED_COST_WKSHT!$F561*SOCMOB_DETAILED_COST_WKSHT!H561,SOCMOB_DETAILED_COST_WKSHT!$F561*(SOCMOB_DETAILED_COST_WKSHT!H561*LVL2_ACTV_11_Exchange_Rate))</f>
        <v>0</v>
      </c>
      <c r="G1645" s="116">
        <f t="shared" si="156"/>
        <v>0</v>
      </c>
      <c r="H1645" s="116">
        <f t="shared" si="157"/>
        <v>0</v>
      </c>
    </row>
    <row r="1646" spans="1:8" s="10" customFormat="1" outlineLevel="1" x14ac:dyDescent="0.2">
      <c r="D1646" s="49" t="str">
        <f>SOCMOB_DETAILED_COST_WKSHT!D562</f>
        <v>Supplies and Materials Category 3</v>
      </c>
      <c r="E1646" s="115">
        <f>IF(DD_LVL2_ACTV_11_Currency_Selected=2,SOCMOB_DETAILED_COST_WKSHT!$F562*SOCMOB_DETAILED_COST_WKSHT!G562,SOCMOB_DETAILED_COST_WKSHT!$F562*(SOCMOB_DETAILED_COST_WKSHT!G562*LVL2_ACTV_11_Exchange_Rate))</f>
        <v>0</v>
      </c>
      <c r="F1646" s="115">
        <f>IF(DD_LVL2_ACTV_11_Currency_Selected=2,SOCMOB_DETAILED_COST_WKSHT!$F562*SOCMOB_DETAILED_COST_WKSHT!H562,SOCMOB_DETAILED_COST_WKSHT!$F562*(SOCMOB_DETAILED_COST_WKSHT!H562*LVL2_ACTV_11_Exchange_Rate))</f>
        <v>0</v>
      </c>
      <c r="G1646" s="116">
        <f t="shared" si="156"/>
        <v>0</v>
      </c>
      <c r="H1646" s="116">
        <f t="shared" si="157"/>
        <v>0</v>
      </c>
    </row>
    <row r="1647" spans="1:8" s="10" customFormat="1" outlineLevel="1" x14ac:dyDescent="0.2">
      <c r="D1647" s="49" t="str">
        <f>SOCMOB_DETAILED_COST_WKSHT!D563</f>
        <v>Supplies and Materials Category 4</v>
      </c>
      <c r="E1647" s="115">
        <f>IF(DD_LVL2_ACTV_11_Currency_Selected=2,SOCMOB_DETAILED_COST_WKSHT!$F563*SOCMOB_DETAILED_COST_WKSHT!G563,SOCMOB_DETAILED_COST_WKSHT!$F563*(SOCMOB_DETAILED_COST_WKSHT!G563*LVL2_ACTV_11_Exchange_Rate))</f>
        <v>0</v>
      </c>
      <c r="F1647" s="115">
        <f>IF(DD_LVL2_ACTV_11_Currency_Selected=2,SOCMOB_DETAILED_COST_WKSHT!$F563*SOCMOB_DETAILED_COST_WKSHT!H563,SOCMOB_DETAILED_COST_WKSHT!$F563*(SOCMOB_DETAILED_COST_WKSHT!H563*LVL2_ACTV_11_Exchange_Rate))</f>
        <v>0</v>
      </c>
      <c r="G1647" s="116">
        <f t="shared" si="156"/>
        <v>0</v>
      </c>
      <c r="H1647" s="116">
        <f t="shared" si="157"/>
        <v>0</v>
      </c>
    </row>
    <row r="1648" spans="1:8" s="10" customFormat="1" outlineLevel="1" x14ac:dyDescent="0.2">
      <c r="D1648" s="49" t="str">
        <f>SOCMOB_DETAILED_COST_WKSHT!D564</f>
        <v>Supplies and Materials Category 5</v>
      </c>
      <c r="E1648" s="115">
        <f>IF(DD_LVL2_ACTV_11_Currency_Selected=2,SOCMOB_DETAILED_COST_WKSHT!$F564*SOCMOB_DETAILED_COST_WKSHT!G564,SOCMOB_DETAILED_COST_WKSHT!$F564*(SOCMOB_DETAILED_COST_WKSHT!G564*LVL2_ACTV_11_Exchange_Rate))</f>
        <v>0</v>
      </c>
      <c r="F1648" s="115">
        <f>IF(DD_LVL2_ACTV_11_Currency_Selected=2,SOCMOB_DETAILED_COST_WKSHT!$F564*SOCMOB_DETAILED_COST_WKSHT!H564,SOCMOB_DETAILED_COST_WKSHT!$F564*(SOCMOB_DETAILED_COST_WKSHT!H564*LVL2_ACTV_11_Exchange_Rate))</f>
        <v>0</v>
      </c>
      <c r="G1648" s="116">
        <f t="shared" si="156"/>
        <v>0</v>
      </c>
      <c r="H1648" s="116">
        <f t="shared" si="157"/>
        <v>0</v>
      </c>
    </row>
    <row r="1649" spans="1:8" s="10" customFormat="1" outlineLevel="1" x14ac:dyDescent="0.2">
      <c r="D1649" s="49" t="str">
        <f>SOCMOB_DETAILED_COST_WKSHT!D565</f>
        <v>Supplies and Materials Category 6</v>
      </c>
      <c r="E1649" s="115">
        <f>IF(DD_LVL2_ACTV_11_Currency_Selected=2,SOCMOB_DETAILED_COST_WKSHT!$F565*SOCMOB_DETAILED_COST_WKSHT!G565,SOCMOB_DETAILED_COST_WKSHT!$F565*(SOCMOB_DETAILED_COST_WKSHT!G565*LVL2_ACTV_11_Exchange_Rate))</f>
        <v>0</v>
      </c>
      <c r="F1649" s="115">
        <f>IF(DD_LVL2_ACTV_11_Currency_Selected=2,SOCMOB_DETAILED_COST_WKSHT!$F565*SOCMOB_DETAILED_COST_WKSHT!H565,SOCMOB_DETAILED_COST_WKSHT!$F565*(SOCMOB_DETAILED_COST_WKSHT!H565*LVL2_ACTV_11_Exchange_Rate))</f>
        <v>0</v>
      </c>
      <c r="G1649" s="116">
        <f t="shared" si="156"/>
        <v>0</v>
      </c>
      <c r="H1649" s="116">
        <f t="shared" si="157"/>
        <v>0</v>
      </c>
    </row>
    <row r="1650" spans="1:8" s="10" customFormat="1" outlineLevel="1" x14ac:dyDescent="0.2">
      <c r="D1650" s="49" t="str">
        <f>SOCMOB_DETAILED_COST_WKSHT!D566</f>
        <v>Supplies and Materials Category 7</v>
      </c>
      <c r="E1650" s="115">
        <f>IF(DD_LVL2_ACTV_11_Currency_Selected=2,SOCMOB_DETAILED_COST_WKSHT!$F566*SOCMOB_DETAILED_COST_WKSHT!G566,SOCMOB_DETAILED_COST_WKSHT!$F566*(SOCMOB_DETAILED_COST_WKSHT!G566*LVL2_ACTV_11_Exchange_Rate))</f>
        <v>0</v>
      </c>
      <c r="F1650" s="115">
        <f>IF(DD_LVL2_ACTV_11_Currency_Selected=2,SOCMOB_DETAILED_COST_WKSHT!$F566*SOCMOB_DETAILED_COST_WKSHT!H566,SOCMOB_DETAILED_COST_WKSHT!$F566*(SOCMOB_DETAILED_COST_WKSHT!H566*LVL2_ACTV_11_Exchange_Rate))</f>
        <v>0</v>
      </c>
      <c r="G1650" s="116">
        <f t="shared" si="156"/>
        <v>0</v>
      </c>
      <c r="H1650" s="116">
        <f t="shared" si="157"/>
        <v>0</v>
      </c>
    </row>
    <row r="1651" spans="1:8" s="10" customFormat="1" outlineLevel="1" x14ac:dyDescent="0.2">
      <c r="D1651" s="49" t="str">
        <f>SOCMOB_DETAILED_COST_WKSHT!D567</f>
        <v>Supplies and Materials Category 8</v>
      </c>
      <c r="E1651" s="115">
        <f>IF(DD_LVL2_ACTV_11_Currency_Selected=2,SOCMOB_DETAILED_COST_WKSHT!$F567*SOCMOB_DETAILED_COST_WKSHT!G567,SOCMOB_DETAILED_COST_WKSHT!$F567*(SOCMOB_DETAILED_COST_WKSHT!G567*LVL2_ACTV_11_Exchange_Rate))</f>
        <v>0</v>
      </c>
      <c r="F1651" s="115">
        <f>IF(DD_LVL2_ACTV_11_Currency_Selected=2,SOCMOB_DETAILED_COST_WKSHT!$F567*SOCMOB_DETAILED_COST_WKSHT!H567,SOCMOB_DETAILED_COST_WKSHT!$F567*(SOCMOB_DETAILED_COST_WKSHT!H567*LVL2_ACTV_11_Exchange_Rate))</f>
        <v>0</v>
      </c>
      <c r="G1651" s="116">
        <f t="shared" si="156"/>
        <v>0</v>
      </c>
      <c r="H1651" s="116">
        <f t="shared" si="157"/>
        <v>0</v>
      </c>
    </row>
    <row r="1652" spans="1:8" s="10" customFormat="1" outlineLevel="1" x14ac:dyDescent="0.2">
      <c r="D1652" s="49" t="str">
        <f>SOCMOB_DETAILED_COST_WKSHT!D568</f>
        <v>Supplies and Materials Category 9</v>
      </c>
      <c r="E1652" s="115">
        <f>IF(DD_LVL2_ACTV_11_Currency_Selected=2,SOCMOB_DETAILED_COST_WKSHT!$F568*SOCMOB_DETAILED_COST_WKSHT!G568,SOCMOB_DETAILED_COST_WKSHT!$F568*(SOCMOB_DETAILED_COST_WKSHT!G568*LVL2_ACTV_11_Exchange_Rate))</f>
        <v>0</v>
      </c>
      <c r="F1652" s="115">
        <f>IF(DD_LVL2_ACTV_11_Currency_Selected=2,SOCMOB_DETAILED_COST_WKSHT!$F568*SOCMOB_DETAILED_COST_WKSHT!H568,SOCMOB_DETAILED_COST_WKSHT!$F568*(SOCMOB_DETAILED_COST_WKSHT!H568*LVL2_ACTV_11_Exchange_Rate))</f>
        <v>0</v>
      </c>
      <c r="G1652" s="116">
        <f t="shared" si="156"/>
        <v>0</v>
      </c>
      <c r="H1652" s="116">
        <f t="shared" si="157"/>
        <v>0</v>
      </c>
    </row>
    <row r="1653" spans="1:8" s="10" customFormat="1" outlineLevel="1" x14ac:dyDescent="0.2">
      <c r="D1653" s="49" t="str">
        <f>SOCMOB_DETAILED_COST_WKSHT!D569</f>
        <v>Supplies and Materials Category 10</v>
      </c>
      <c r="E1653" s="115">
        <f>IF(DD_LVL2_ACTV_11_Currency_Selected=2,SOCMOB_DETAILED_COST_WKSHT!$F569*SOCMOB_DETAILED_COST_WKSHT!G569,SOCMOB_DETAILED_COST_WKSHT!$F569*(SOCMOB_DETAILED_COST_WKSHT!G569*LVL2_ACTV_11_Exchange_Rate))</f>
        <v>0</v>
      </c>
      <c r="F1653" s="115">
        <f>IF(DD_LVL2_ACTV_11_Currency_Selected=2,SOCMOB_DETAILED_COST_WKSHT!$F569*SOCMOB_DETAILED_COST_WKSHT!H569,SOCMOB_DETAILED_COST_WKSHT!$F569*(SOCMOB_DETAILED_COST_WKSHT!H569*LVL2_ACTV_11_Exchange_Rate))</f>
        <v>0</v>
      </c>
      <c r="G1653" s="116">
        <f t="shared" si="156"/>
        <v>0</v>
      </c>
      <c r="H1653" s="116">
        <f t="shared" si="157"/>
        <v>0</v>
      </c>
    </row>
    <row r="1654" spans="1:8" s="10" customFormat="1" outlineLevel="1" x14ac:dyDescent="0.2">
      <c r="D1654" s="48" t="str">
        <f>Lang_Supplies_And_Materials</f>
        <v>Supplies and Materials</v>
      </c>
      <c r="E1654" s="120">
        <f>SUM(E1644:E1653)</f>
        <v>0</v>
      </c>
      <c r="F1654" s="120">
        <f>SUM(F1644:F1653)</f>
        <v>0</v>
      </c>
      <c r="G1654" s="121">
        <f>SUM(G1644:G1653)</f>
        <v>0</v>
      </c>
      <c r="H1654" s="121">
        <f>SUM(H1644:H1653)</f>
        <v>0</v>
      </c>
    </row>
    <row r="1655" spans="1:8" s="10" customFormat="1" outlineLevel="1" x14ac:dyDescent="0.2"/>
    <row r="1656" spans="1:8" s="10" customFormat="1" outlineLevel="1" x14ac:dyDescent="0.2"/>
    <row r="1657" spans="1:8" s="10" customFormat="1" outlineLevel="1" x14ac:dyDescent="0.2">
      <c r="D1657" s="76" t="str">
        <f>Lang_GoTo&amp;" "&amp;HL_LVL2_ACTV_11_Supplies_and_Materials</f>
        <v>Go to IEC Soc Mob  Activity # 6 (Not in Use) - Detailed Supply and Material Cost Assumptions</v>
      </c>
    </row>
    <row r="1658" spans="1:8" s="10" customFormat="1" outlineLevel="1" x14ac:dyDescent="0.2">
      <c r="D1658" s="76" t="str">
        <f>Lang_GoTo&amp;" "&amp;HL_LVL2_ACTV_11_Cost_Summary_Output</f>
        <v>Go to IEC Soc Mob  Activity # 6 (Not in Use) Detailed Cost Summary</v>
      </c>
    </row>
    <row r="1659" spans="1:8" s="10" customFormat="1" x14ac:dyDescent="0.2"/>
    <row r="1660" spans="1:8" s="13" customFormat="1" x14ac:dyDescent="0.2">
      <c r="A1660" s="12" t="s">
        <v>127</v>
      </c>
      <c r="B1660" s="13" t="str">
        <f>C1662&amp;" "&amp;Lang_Other_Direct_Costs_Outputs</f>
        <v>IEC Soc Mob  Activity # 6 (Not in Use) Other Direct Costs - Outputs</v>
      </c>
    </row>
    <row r="1661" spans="1:8" s="10" customFormat="1" outlineLevel="1" x14ac:dyDescent="0.2"/>
    <row r="1662" spans="1:8" s="10" customFormat="1" outlineLevel="1" x14ac:dyDescent="0.2">
      <c r="C1662" s="114" t="str">
        <f>HL_LVL2_ACTV_11_Name</f>
        <v>IEC Soc Mob  Activity # 6 (Not in Use)</v>
      </c>
    </row>
    <row r="1663" spans="1:8" s="10" customFormat="1" outlineLevel="1" x14ac:dyDescent="0.2">
      <c r="E1663" s="86" t="str">
        <f>SOCMOB_Lu!$D$207&amp;" "&amp;Lang_Cost&amp;" ("&amp;SOCMOB_Lu!$D$188&amp;")"</f>
        <v>Financial Cost (LCU)</v>
      </c>
      <c r="F1663" s="86" t="str">
        <f>SOCMOB_Lu!$D$208&amp;" "&amp;Lang_Cost&amp;" ("&amp;SOCMOB_Lu!$D$188&amp;")"</f>
        <v>Economic Cost (LCU)</v>
      </c>
      <c r="G1663" s="86" t="str">
        <f>SOCMOB_Lu!$D$207&amp;" "&amp;Lang_Cost&amp;" ("&amp;SOCMOB_Lu!$D$187&amp;")"</f>
        <v>Financial Cost (USD)</v>
      </c>
      <c r="H1663" s="86" t="str">
        <f>SOCMOB_Lu!$D$208&amp;" "&amp;Lang_Cost&amp;" ("&amp;SOCMOB_Lu!$D$187&amp;")"</f>
        <v>Economic Cost (USD)</v>
      </c>
    </row>
    <row r="1664" spans="1:8" s="10" customFormat="1" outlineLevel="1" x14ac:dyDescent="0.2">
      <c r="D1664" s="49" t="str">
        <f>SOCMOB_DETAILED_COST_WKSHT!D578</f>
        <v>Other Direct Costs (ODC) Category 1</v>
      </c>
      <c r="E1664" s="115">
        <f>IF(DD_LVL2_ACTV_11_Currency_Selected=2,SOCMOB_DETAILED_COST_WKSHT!$F578*SOCMOB_DETAILED_COST_WKSHT!G578,SOCMOB_DETAILED_COST_WKSHT!$F578*(SOCMOB_DETAILED_COST_WKSHT!G578*LVL2_ACTV_11_Exchange_Rate))</f>
        <v>0</v>
      </c>
      <c r="F1664" s="115">
        <f>IF(DD_LVL2_ACTV_11_Currency_Selected=2,SOCMOB_DETAILED_COST_WKSHT!$F578*SOCMOB_DETAILED_COST_WKSHT!H578,SOCMOB_DETAILED_COST_WKSHT!$F578*(SOCMOB_DETAILED_COST_WKSHT!H578*LVL2_ACTV_11_Exchange_Rate))</f>
        <v>0</v>
      </c>
      <c r="G1664" s="116">
        <f t="shared" ref="G1664:G1673" si="158">E1664/LVL2_ACTV_11_Exchange_Rate</f>
        <v>0</v>
      </c>
      <c r="H1664" s="116">
        <f t="shared" ref="H1664:H1673" si="159">F1664/LVL2_ACTV_11_Exchange_Rate</f>
        <v>0</v>
      </c>
    </row>
    <row r="1665" spans="1:8" s="10" customFormat="1" outlineLevel="1" x14ac:dyDescent="0.2">
      <c r="D1665" s="49" t="str">
        <f>SOCMOB_DETAILED_COST_WKSHT!D579</f>
        <v>Other Direct Costs (ODC) Category 2</v>
      </c>
      <c r="E1665" s="115">
        <f>IF(DD_LVL2_ACTV_11_Currency_Selected=2,SOCMOB_DETAILED_COST_WKSHT!$F579*SOCMOB_DETAILED_COST_WKSHT!G579,SOCMOB_DETAILED_COST_WKSHT!$F579*(SOCMOB_DETAILED_COST_WKSHT!G579*LVL2_ACTV_11_Exchange_Rate))</f>
        <v>0</v>
      </c>
      <c r="F1665" s="115">
        <f>IF(DD_LVL2_ACTV_11_Currency_Selected=2,SOCMOB_DETAILED_COST_WKSHT!$F579*SOCMOB_DETAILED_COST_WKSHT!H579,SOCMOB_DETAILED_COST_WKSHT!$F579*(SOCMOB_DETAILED_COST_WKSHT!H579*LVL2_ACTV_11_Exchange_Rate))</f>
        <v>0</v>
      </c>
      <c r="G1665" s="116">
        <f t="shared" si="158"/>
        <v>0</v>
      </c>
      <c r="H1665" s="116">
        <f t="shared" si="159"/>
        <v>0</v>
      </c>
    </row>
    <row r="1666" spans="1:8" s="10" customFormat="1" outlineLevel="1" x14ac:dyDescent="0.2">
      <c r="D1666" s="49" t="str">
        <f>SOCMOB_DETAILED_COST_WKSHT!D580</f>
        <v>Other Direct Costs (ODC) Category 3</v>
      </c>
      <c r="E1666" s="115">
        <f>IF(DD_LVL2_ACTV_11_Currency_Selected=2,SOCMOB_DETAILED_COST_WKSHT!$F580*SOCMOB_DETAILED_COST_WKSHT!G580,SOCMOB_DETAILED_COST_WKSHT!$F580*(SOCMOB_DETAILED_COST_WKSHT!G580*LVL2_ACTV_11_Exchange_Rate))</f>
        <v>0</v>
      </c>
      <c r="F1666" s="115">
        <f>IF(DD_LVL2_ACTV_11_Currency_Selected=2,SOCMOB_DETAILED_COST_WKSHT!$F580*SOCMOB_DETAILED_COST_WKSHT!H580,SOCMOB_DETAILED_COST_WKSHT!$F580*(SOCMOB_DETAILED_COST_WKSHT!H580*LVL2_ACTV_11_Exchange_Rate))</f>
        <v>0</v>
      </c>
      <c r="G1666" s="116">
        <f t="shared" si="158"/>
        <v>0</v>
      </c>
      <c r="H1666" s="116">
        <f t="shared" si="159"/>
        <v>0</v>
      </c>
    </row>
    <row r="1667" spans="1:8" s="10" customFormat="1" outlineLevel="1" x14ac:dyDescent="0.2">
      <c r="D1667" s="49" t="str">
        <f>SOCMOB_DETAILED_COST_WKSHT!D581</f>
        <v>Other Direct Costs (ODC) Category 4</v>
      </c>
      <c r="E1667" s="115">
        <f>IF(DD_LVL2_ACTV_11_Currency_Selected=2,SOCMOB_DETAILED_COST_WKSHT!$F581*SOCMOB_DETAILED_COST_WKSHT!G581,SOCMOB_DETAILED_COST_WKSHT!$F581*(SOCMOB_DETAILED_COST_WKSHT!G581*LVL2_ACTV_11_Exchange_Rate))</f>
        <v>0</v>
      </c>
      <c r="F1667" s="115">
        <f>IF(DD_LVL2_ACTV_11_Currency_Selected=2,SOCMOB_DETAILED_COST_WKSHT!$F581*SOCMOB_DETAILED_COST_WKSHT!H581,SOCMOB_DETAILED_COST_WKSHT!$F581*(SOCMOB_DETAILED_COST_WKSHT!H581*LVL2_ACTV_11_Exchange_Rate))</f>
        <v>0</v>
      </c>
      <c r="G1667" s="116">
        <f t="shared" si="158"/>
        <v>0</v>
      </c>
      <c r="H1667" s="116">
        <f t="shared" si="159"/>
        <v>0</v>
      </c>
    </row>
    <row r="1668" spans="1:8" s="10" customFormat="1" outlineLevel="1" x14ac:dyDescent="0.2">
      <c r="D1668" s="49" t="str">
        <f>SOCMOB_DETAILED_COST_WKSHT!D582</f>
        <v>Other Direct Costs (ODC) Category 5</v>
      </c>
      <c r="E1668" s="115">
        <f>IF(DD_LVL2_ACTV_11_Currency_Selected=2,SOCMOB_DETAILED_COST_WKSHT!$F582*SOCMOB_DETAILED_COST_WKSHT!G582,SOCMOB_DETAILED_COST_WKSHT!$F582*(SOCMOB_DETAILED_COST_WKSHT!G582*LVL2_ACTV_11_Exchange_Rate))</f>
        <v>0</v>
      </c>
      <c r="F1668" s="115">
        <f>IF(DD_LVL2_ACTV_11_Currency_Selected=2,SOCMOB_DETAILED_COST_WKSHT!$F582*SOCMOB_DETAILED_COST_WKSHT!H582,SOCMOB_DETAILED_COST_WKSHT!$F582*(SOCMOB_DETAILED_COST_WKSHT!H582*LVL2_ACTV_11_Exchange_Rate))</f>
        <v>0</v>
      </c>
      <c r="G1668" s="116">
        <f t="shared" si="158"/>
        <v>0</v>
      </c>
      <c r="H1668" s="116">
        <f t="shared" si="159"/>
        <v>0</v>
      </c>
    </row>
    <row r="1669" spans="1:8" s="10" customFormat="1" outlineLevel="1" x14ac:dyDescent="0.2">
      <c r="D1669" s="49" t="str">
        <f>SOCMOB_DETAILED_COST_WKSHT!D583</f>
        <v>Other Direct Costs (ODC) Category 6</v>
      </c>
      <c r="E1669" s="115">
        <f>IF(DD_LVL2_ACTV_11_Currency_Selected=2,SOCMOB_DETAILED_COST_WKSHT!$F583*SOCMOB_DETAILED_COST_WKSHT!G583,SOCMOB_DETAILED_COST_WKSHT!$F583*(SOCMOB_DETAILED_COST_WKSHT!G583*LVL2_ACTV_11_Exchange_Rate))</f>
        <v>0</v>
      </c>
      <c r="F1669" s="115">
        <f>IF(DD_LVL2_ACTV_11_Currency_Selected=2,SOCMOB_DETAILED_COST_WKSHT!$F583*SOCMOB_DETAILED_COST_WKSHT!H583,SOCMOB_DETAILED_COST_WKSHT!$F583*(SOCMOB_DETAILED_COST_WKSHT!H583*LVL2_ACTV_11_Exchange_Rate))</f>
        <v>0</v>
      </c>
      <c r="G1669" s="116">
        <f t="shared" si="158"/>
        <v>0</v>
      </c>
      <c r="H1669" s="116">
        <f t="shared" si="159"/>
        <v>0</v>
      </c>
    </row>
    <row r="1670" spans="1:8" s="10" customFormat="1" outlineLevel="1" x14ac:dyDescent="0.2">
      <c r="D1670" s="49" t="str">
        <f>SOCMOB_DETAILED_COST_WKSHT!D584</f>
        <v>Other Direct Costs (ODC) Category 7</v>
      </c>
      <c r="E1670" s="115">
        <f>IF(DD_LVL2_ACTV_11_Currency_Selected=2,SOCMOB_DETAILED_COST_WKSHT!$F584*SOCMOB_DETAILED_COST_WKSHT!G584,SOCMOB_DETAILED_COST_WKSHT!$F584*(SOCMOB_DETAILED_COST_WKSHT!G584*LVL2_ACTV_11_Exchange_Rate))</f>
        <v>0</v>
      </c>
      <c r="F1670" s="115">
        <f>IF(DD_LVL2_ACTV_11_Currency_Selected=2,SOCMOB_DETAILED_COST_WKSHT!$F584*SOCMOB_DETAILED_COST_WKSHT!H584,SOCMOB_DETAILED_COST_WKSHT!$F584*(SOCMOB_DETAILED_COST_WKSHT!H584*LVL2_ACTV_11_Exchange_Rate))</f>
        <v>0</v>
      </c>
      <c r="G1670" s="116">
        <f t="shared" si="158"/>
        <v>0</v>
      </c>
      <c r="H1670" s="116">
        <f t="shared" si="159"/>
        <v>0</v>
      </c>
    </row>
    <row r="1671" spans="1:8" s="10" customFormat="1" outlineLevel="1" x14ac:dyDescent="0.2">
      <c r="D1671" s="49" t="str">
        <f>SOCMOB_DETAILED_COST_WKSHT!D585</f>
        <v>Other Direct Costs (ODC) Category 8</v>
      </c>
      <c r="E1671" s="115">
        <f>IF(DD_LVL2_ACTV_11_Currency_Selected=2,SOCMOB_DETAILED_COST_WKSHT!$F585*SOCMOB_DETAILED_COST_WKSHT!G585,SOCMOB_DETAILED_COST_WKSHT!$F585*(SOCMOB_DETAILED_COST_WKSHT!G585*LVL2_ACTV_11_Exchange_Rate))</f>
        <v>0</v>
      </c>
      <c r="F1671" s="115">
        <f>IF(DD_LVL2_ACTV_11_Currency_Selected=2,SOCMOB_DETAILED_COST_WKSHT!$F585*SOCMOB_DETAILED_COST_WKSHT!H585,SOCMOB_DETAILED_COST_WKSHT!$F585*(SOCMOB_DETAILED_COST_WKSHT!H585*LVL2_ACTV_11_Exchange_Rate))</f>
        <v>0</v>
      </c>
      <c r="G1671" s="116">
        <f t="shared" si="158"/>
        <v>0</v>
      </c>
      <c r="H1671" s="116">
        <f t="shared" si="159"/>
        <v>0</v>
      </c>
    </row>
    <row r="1672" spans="1:8" s="10" customFormat="1" outlineLevel="1" x14ac:dyDescent="0.2">
      <c r="D1672" s="49" t="str">
        <f>SOCMOB_DETAILED_COST_WKSHT!D586</f>
        <v>Other Direct Costs (ODC) Category 9</v>
      </c>
      <c r="E1672" s="115">
        <f>IF(DD_LVL2_ACTV_11_Currency_Selected=2,SOCMOB_DETAILED_COST_WKSHT!$F586*SOCMOB_DETAILED_COST_WKSHT!G586,SOCMOB_DETAILED_COST_WKSHT!$F586*(SOCMOB_DETAILED_COST_WKSHT!G586*LVL2_ACTV_11_Exchange_Rate))</f>
        <v>0</v>
      </c>
      <c r="F1672" s="115">
        <f>IF(DD_LVL2_ACTV_11_Currency_Selected=2,SOCMOB_DETAILED_COST_WKSHT!$F586*SOCMOB_DETAILED_COST_WKSHT!H586,SOCMOB_DETAILED_COST_WKSHT!$F586*(SOCMOB_DETAILED_COST_WKSHT!H586*LVL2_ACTV_11_Exchange_Rate))</f>
        <v>0</v>
      </c>
      <c r="G1672" s="116">
        <f t="shared" si="158"/>
        <v>0</v>
      </c>
      <c r="H1672" s="116">
        <f t="shared" si="159"/>
        <v>0</v>
      </c>
    </row>
    <row r="1673" spans="1:8" s="10" customFormat="1" outlineLevel="1" x14ac:dyDescent="0.2">
      <c r="D1673" s="49" t="str">
        <f>SOCMOB_DETAILED_COST_WKSHT!D587</f>
        <v>Other Direct Costs (ODC) Category 10</v>
      </c>
      <c r="E1673" s="115">
        <f>IF(DD_LVL2_ACTV_11_Currency_Selected=2,SOCMOB_DETAILED_COST_WKSHT!$F587*SOCMOB_DETAILED_COST_WKSHT!G587,SOCMOB_DETAILED_COST_WKSHT!$F587*(SOCMOB_DETAILED_COST_WKSHT!G587*LVL2_ACTV_11_Exchange_Rate))</f>
        <v>0</v>
      </c>
      <c r="F1673" s="115">
        <f>IF(DD_LVL2_ACTV_11_Currency_Selected=2,SOCMOB_DETAILED_COST_WKSHT!$F587*SOCMOB_DETAILED_COST_WKSHT!H587,SOCMOB_DETAILED_COST_WKSHT!$F587*(SOCMOB_DETAILED_COST_WKSHT!H587*LVL2_ACTV_11_Exchange_Rate))</f>
        <v>0</v>
      </c>
      <c r="G1673" s="116">
        <f t="shared" si="158"/>
        <v>0</v>
      </c>
      <c r="H1673" s="116">
        <f t="shared" si="159"/>
        <v>0</v>
      </c>
    </row>
    <row r="1674" spans="1:8" s="10" customFormat="1" outlineLevel="1" x14ac:dyDescent="0.2">
      <c r="D1674" s="48" t="str">
        <f>Lang_Other_Direct_Costs</f>
        <v>Other Direct Costs</v>
      </c>
      <c r="E1674" s="120">
        <f>SUM(E1664:E1673)</f>
        <v>0</v>
      </c>
      <c r="F1674" s="120">
        <f>SUM(F1664:F1673)</f>
        <v>0</v>
      </c>
      <c r="G1674" s="121">
        <f>SUM(G1664:G1673)</f>
        <v>0</v>
      </c>
      <c r="H1674" s="121">
        <f>SUM(H1664:H1673)</f>
        <v>0</v>
      </c>
    </row>
    <row r="1675" spans="1:8" s="10" customFormat="1" outlineLevel="1" x14ac:dyDescent="0.2"/>
    <row r="1676" spans="1:8" s="10" customFormat="1" outlineLevel="1" x14ac:dyDescent="0.2">
      <c r="D1676" s="76" t="str">
        <f>Lang_GoTo&amp;" "&amp;HL_LVL2_ACTV_11_Other_Direct_Costs</f>
        <v>Go to IEC Soc Mob  Activity # 6 (Not in Use) - Detailed Other Direct Cost Assumptions</v>
      </c>
    </row>
    <row r="1677" spans="1:8" s="10" customFormat="1" outlineLevel="1" x14ac:dyDescent="0.2">
      <c r="D1677" s="76" t="str">
        <f>Lang_GoTo&amp;" "&amp;HL_LVL2_ACTV_11_Cost_Summary_Output</f>
        <v>Go to IEC Soc Mob  Activity # 6 (Not in Use) Detailed Cost Summary</v>
      </c>
    </row>
    <row r="1678" spans="1:8" s="10" customFormat="1" x14ac:dyDescent="0.2"/>
    <row r="1679" spans="1:8" s="13" customFormat="1" x14ac:dyDescent="0.2">
      <c r="A1679" s="12" t="s">
        <v>127</v>
      </c>
      <c r="B1679" s="13" t="str">
        <f>C1681&amp;" "&amp;Lang_Personnel_Outputs</f>
        <v>IEC Soc Mob  Activity # 7 (Not in Use) Personnel - Outputs</v>
      </c>
    </row>
    <row r="1680" spans="1:8" s="10" customFormat="1" outlineLevel="1" x14ac:dyDescent="0.2"/>
    <row r="1681" spans="3:8" s="10" customFormat="1" outlineLevel="1" x14ac:dyDescent="0.2">
      <c r="C1681" s="114" t="str">
        <f>HL_LVL2_ACTV_8_Name</f>
        <v>IEC Soc Mob  Activity # 7 (Not in Use)</v>
      </c>
    </row>
    <row r="1682" spans="3:8" s="10" customFormat="1" outlineLevel="1" x14ac:dyDescent="0.2">
      <c r="E1682" s="86" t="str">
        <f>SOCMOB_Lu!$D$242&amp;" "&amp;Lang_Cost&amp;" ("&amp;SOCMOB_Lu!$D$223&amp;")"</f>
        <v>Financial Cost (LCU)</v>
      </c>
      <c r="F1682" s="86" t="str">
        <f>SOCMOB_Lu!$D$243&amp;" "&amp;Lang_Cost&amp;" ("&amp;SOCMOB_Lu!$D$223&amp;")"</f>
        <v>Economic Cost (LCU)</v>
      </c>
      <c r="G1682" s="86" t="str">
        <f>SOCMOB_Lu!$D$242&amp;" "&amp;Lang_Cost&amp;" ("&amp;SOCMOB_Lu!$D$222&amp;")"</f>
        <v>Financial Cost (USD)</v>
      </c>
      <c r="H1682" s="86" t="str">
        <f>SOCMOB_Lu!$D$243&amp;" "&amp;Lang_Cost&amp;" ("&amp;SOCMOB_Lu!$D$222&amp;")"</f>
        <v>Economic Cost (USD)</v>
      </c>
    </row>
    <row r="1683" spans="3:8" s="10" customFormat="1" outlineLevel="1" x14ac:dyDescent="0.2">
      <c r="D1683" s="49" t="str">
        <f>SOCMOB_DETAILED_COST_WKSHT!D618</f>
        <v>Personnel Category 1</v>
      </c>
      <c r="E1683" s="115">
        <f>IF(DD_LVL2_ACTV_8_Currency_Selected=2,SOCMOB_DETAILED_COST_WKSHT!$F618*SOCMOB_DETAILED_COST_WKSHT!G618,SOCMOB_DETAILED_COST_WKSHT!$F618*(SOCMOB_DETAILED_COST_WKSHT!G618*LVL2_ACTV_8_Exchange_Rate))</f>
        <v>0</v>
      </c>
      <c r="F1683" s="115">
        <f>IF(DD_LVL2_ACTV_8_Currency_Selected=2,SOCMOB_DETAILED_COST_WKSHT!$F618*SOCMOB_DETAILED_COST_WKSHT!H618,SOCMOB_DETAILED_COST_WKSHT!$F618*(SOCMOB_DETAILED_COST_WKSHT!H618*LVL2_ACTV_8_Exchange_Rate))</f>
        <v>0</v>
      </c>
      <c r="G1683" s="116">
        <f t="shared" ref="G1683:G1697" si="160">IFERROR(E1683/LVL2_ACTV_8_Exchange_Rate,0)</f>
        <v>0</v>
      </c>
      <c r="H1683" s="116">
        <f t="shared" ref="H1683:H1697" si="161">IFERROR(F1683/LVL2_ACTV_8_Exchange_Rate,0)</f>
        <v>0</v>
      </c>
    </row>
    <row r="1684" spans="3:8" s="10" customFormat="1" outlineLevel="1" x14ac:dyDescent="0.2">
      <c r="D1684" s="49" t="str">
        <f>SOCMOB_DETAILED_COST_WKSHT!D619</f>
        <v>Personnel Category 2</v>
      </c>
      <c r="E1684" s="115">
        <f>IF(DD_LVL2_ACTV_8_Currency_Selected=2,SOCMOB_DETAILED_COST_WKSHT!$F619*SOCMOB_DETAILED_COST_WKSHT!G619,SOCMOB_DETAILED_COST_WKSHT!$F619*(SOCMOB_DETAILED_COST_WKSHT!G619*LVL2_ACTV_8_Exchange_Rate))</f>
        <v>0</v>
      </c>
      <c r="F1684" s="115">
        <f>IF(DD_LVL2_ACTV_8_Currency_Selected=2,SOCMOB_DETAILED_COST_WKSHT!$F619*SOCMOB_DETAILED_COST_WKSHT!H619,SOCMOB_DETAILED_COST_WKSHT!$F619*(SOCMOB_DETAILED_COST_WKSHT!H619*LVL2_ACTV_8_Exchange_Rate))</f>
        <v>0</v>
      </c>
      <c r="G1684" s="116">
        <f t="shared" si="160"/>
        <v>0</v>
      </c>
      <c r="H1684" s="116">
        <f t="shared" si="161"/>
        <v>0</v>
      </c>
    </row>
    <row r="1685" spans="3:8" s="10" customFormat="1" outlineLevel="1" x14ac:dyDescent="0.2">
      <c r="D1685" s="49" t="str">
        <f>SOCMOB_DETAILED_COST_WKSHT!D620</f>
        <v>Personnel Category 3</v>
      </c>
      <c r="E1685" s="115">
        <f>IF(DD_LVL2_ACTV_8_Currency_Selected=2,SOCMOB_DETAILED_COST_WKSHT!$F620*SOCMOB_DETAILED_COST_WKSHT!G620,SOCMOB_DETAILED_COST_WKSHT!$F620*(SOCMOB_DETAILED_COST_WKSHT!G620*LVL2_ACTV_8_Exchange_Rate))</f>
        <v>0</v>
      </c>
      <c r="F1685" s="115">
        <f>IF(DD_LVL2_ACTV_8_Currency_Selected=2,SOCMOB_DETAILED_COST_WKSHT!$F620*SOCMOB_DETAILED_COST_WKSHT!H620,SOCMOB_DETAILED_COST_WKSHT!$F620*(SOCMOB_DETAILED_COST_WKSHT!H620*LVL2_ACTV_8_Exchange_Rate))</f>
        <v>0</v>
      </c>
      <c r="G1685" s="116">
        <f t="shared" si="160"/>
        <v>0</v>
      </c>
      <c r="H1685" s="116">
        <f t="shared" si="161"/>
        <v>0</v>
      </c>
    </row>
    <row r="1686" spans="3:8" s="10" customFormat="1" outlineLevel="1" x14ac:dyDescent="0.2">
      <c r="D1686" s="49" t="str">
        <f>SOCMOB_DETAILED_COST_WKSHT!D621</f>
        <v>Personnel Category 4</v>
      </c>
      <c r="E1686" s="115">
        <f>IF(DD_LVL2_ACTV_8_Currency_Selected=2,SOCMOB_DETAILED_COST_WKSHT!$F621*SOCMOB_DETAILED_COST_WKSHT!G621,SOCMOB_DETAILED_COST_WKSHT!$F621*(SOCMOB_DETAILED_COST_WKSHT!G621*LVL2_ACTV_8_Exchange_Rate))</f>
        <v>0</v>
      </c>
      <c r="F1686" s="115">
        <f>IF(DD_LVL2_ACTV_8_Currency_Selected=2,SOCMOB_DETAILED_COST_WKSHT!$F621*SOCMOB_DETAILED_COST_WKSHT!H621,SOCMOB_DETAILED_COST_WKSHT!$F621*(SOCMOB_DETAILED_COST_WKSHT!H621*LVL2_ACTV_8_Exchange_Rate))</f>
        <v>0</v>
      </c>
      <c r="G1686" s="116">
        <f t="shared" si="160"/>
        <v>0</v>
      </c>
      <c r="H1686" s="116">
        <f t="shared" si="161"/>
        <v>0</v>
      </c>
    </row>
    <row r="1687" spans="3:8" s="10" customFormat="1" outlineLevel="1" x14ac:dyDescent="0.2">
      <c r="D1687" s="49" t="str">
        <f>SOCMOB_DETAILED_COST_WKSHT!D622</f>
        <v>Personnel Category 5</v>
      </c>
      <c r="E1687" s="115">
        <f>IF(DD_LVL2_ACTV_8_Currency_Selected=2,SOCMOB_DETAILED_COST_WKSHT!$F622*SOCMOB_DETAILED_COST_WKSHT!G622,SOCMOB_DETAILED_COST_WKSHT!$F622*(SOCMOB_DETAILED_COST_WKSHT!G622*LVL2_ACTV_8_Exchange_Rate))</f>
        <v>0</v>
      </c>
      <c r="F1687" s="115">
        <f>IF(DD_LVL2_ACTV_8_Currency_Selected=2,SOCMOB_DETAILED_COST_WKSHT!$F622*SOCMOB_DETAILED_COST_WKSHT!H622,SOCMOB_DETAILED_COST_WKSHT!$F622*(SOCMOB_DETAILED_COST_WKSHT!H622*LVL2_ACTV_8_Exchange_Rate))</f>
        <v>0</v>
      </c>
      <c r="G1687" s="116">
        <f t="shared" si="160"/>
        <v>0</v>
      </c>
      <c r="H1687" s="116">
        <f t="shared" si="161"/>
        <v>0</v>
      </c>
    </row>
    <row r="1688" spans="3:8" s="10" customFormat="1" outlineLevel="1" x14ac:dyDescent="0.2">
      <c r="D1688" s="49" t="str">
        <f>SOCMOB_DETAILED_COST_WKSHT!D623</f>
        <v>Personnel Category 6</v>
      </c>
      <c r="E1688" s="115">
        <f>IF(DD_LVL2_ACTV_8_Currency_Selected=2,SOCMOB_DETAILED_COST_WKSHT!$F623*SOCMOB_DETAILED_COST_WKSHT!G623,SOCMOB_DETAILED_COST_WKSHT!$F623*(SOCMOB_DETAILED_COST_WKSHT!G623*LVL2_ACTV_8_Exchange_Rate))</f>
        <v>0</v>
      </c>
      <c r="F1688" s="115">
        <f>IF(DD_LVL2_ACTV_8_Currency_Selected=2,SOCMOB_DETAILED_COST_WKSHT!$F623*SOCMOB_DETAILED_COST_WKSHT!H623,SOCMOB_DETAILED_COST_WKSHT!$F623*(SOCMOB_DETAILED_COST_WKSHT!H623*LVL2_ACTV_8_Exchange_Rate))</f>
        <v>0</v>
      </c>
      <c r="G1688" s="116">
        <f t="shared" si="160"/>
        <v>0</v>
      </c>
      <c r="H1688" s="116">
        <f t="shared" si="161"/>
        <v>0</v>
      </c>
    </row>
    <row r="1689" spans="3:8" s="10" customFormat="1" outlineLevel="1" x14ac:dyDescent="0.2">
      <c r="D1689" s="49" t="str">
        <f>SOCMOB_DETAILED_COST_WKSHT!D624</f>
        <v>Personnel Category 7</v>
      </c>
      <c r="E1689" s="115">
        <f>IF(DD_LVL2_ACTV_8_Currency_Selected=2,SOCMOB_DETAILED_COST_WKSHT!$F624*SOCMOB_DETAILED_COST_WKSHT!G624,SOCMOB_DETAILED_COST_WKSHT!$F624*(SOCMOB_DETAILED_COST_WKSHT!G624*LVL2_ACTV_8_Exchange_Rate))</f>
        <v>0</v>
      </c>
      <c r="F1689" s="115">
        <f>IF(DD_LVL2_ACTV_8_Currency_Selected=2,SOCMOB_DETAILED_COST_WKSHT!$F624*SOCMOB_DETAILED_COST_WKSHT!H624,SOCMOB_DETAILED_COST_WKSHT!$F624*(SOCMOB_DETAILED_COST_WKSHT!H624*LVL2_ACTV_8_Exchange_Rate))</f>
        <v>0</v>
      </c>
      <c r="G1689" s="116">
        <f t="shared" si="160"/>
        <v>0</v>
      </c>
      <c r="H1689" s="116">
        <f t="shared" si="161"/>
        <v>0</v>
      </c>
    </row>
    <row r="1690" spans="3:8" s="10" customFormat="1" outlineLevel="1" x14ac:dyDescent="0.2">
      <c r="D1690" s="49" t="str">
        <f>SOCMOB_DETAILED_COST_WKSHT!D625</f>
        <v>Personnel Category 8</v>
      </c>
      <c r="E1690" s="115">
        <f>IF(DD_LVL2_ACTV_8_Currency_Selected=2,SOCMOB_DETAILED_COST_WKSHT!$F625*SOCMOB_DETAILED_COST_WKSHT!G625,SOCMOB_DETAILED_COST_WKSHT!$F625*(SOCMOB_DETAILED_COST_WKSHT!G625*LVL2_ACTV_8_Exchange_Rate))</f>
        <v>0</v>
      </c>
      <c r="F1690" s="115">
        <f>IF(DD_LVL2_ACTV_8_Currency_Selected=2,SOCMOB_DETAILED_COST_WKSHT!$F625*SOCMOB_DETAILED_COST_WKSHT!H625,SOCMOB_DETAILED_COST_WKSHT!$F625*(SOCMOB_DETAILED_COST_WKSHT!H625*LVL2_ACTV_8_Exchange_Rate))</f>
        <v>0</v>
      </c>
      <c r="G1690" s="116">
        <f t="shared" si="160"/>
        <v>0</v>
      </c>
      <c r="H1690" s="116">
        <f t="shared" si="161"/>
        <v>0</v>
      </c>
    </row>
    <row r="1691" spans="3:8" s="10" customFormat="1" outlineLevel="1" x14ac:dyDescent="0.2">
      <c r="D1691" s="49" t="str">
        <f>SOCMOB_DETAILED_COST_WKSHT!D626</f>
        <v>Personnel Category 9</v>
      </c>
      <c r="E1691" s="115">
        <f>IF(DD_LVL2_ACTV_8_Currency_Selected=2,SOCMOB_DETAILED_COST_WKSHT!$F626*SOCMOB_DETAILED_COST_WKSHT!G626,SOCMOB_DETAILED_COST_WKSHT!$F626*(SOCMOB_DETAILED_COST_WKSHT!G626*LVL2_ACTV_8_Exchange_Rate))</f>
        <v>0</v>
      </c>
      <c r="F1691" s="115">
        <f>IF(DD_LVL2_ACTV_8_Currency_Selected=2,SOCMOB_DETAILED_COST_WKSHT!$F626*SOCMOB_DETAILED_COST_WKSHT!H626,SOCMOB_DETAILED_COST_WKSHT!$F626*(SOCMOB_DETAILED_COST_WKSHT!H626*LVL2_ACTV_8_Exchange_Rate))</f>
        <v>0</v>
      </c>
      <c r="G1691" s="116">
        <f t="shared" si="160"/>
        <v>0</v>
      </c>
      <c r="H1691" s="116">
        <f t="shared" si="161"/>
        <v>0</v>
      </c>
    </row>
    <row r="1692" spans="3:8" s="10" customFormat="1" outlineLevel="1" x14ac:dyDescent="0.2">
      <c r="D1692" s="49" t="str">
        <f>SOCMOB_DETAILED_COST_WKSHT!D627</f>
        <v>Personnel Category 10</v>
      </c>
      <c r="E1692" s="115">
        <f>IF(DD_LVL2_ACTV_8_Currency_Selected=2,SOCMOB_DETAILED_COST_WKSHT!$F627*SOCMOB_DETAILED_COST_WKSHT!G627,SOCMOB_DETAILED_COST_WKSHT!$F627*(SOCMOB_DETAILED_COST_WKSHT!G627*LVL2_ACTV_8_Exchange_Rate))</f>
        <v>0</v>
      </c>
      <c r="F1692" s="115">
        <f>IF(DD_LVL2_ACTV_8_Currency_Selected=2,SOCMOB_DETAILED_COST_WKSHT!$F627*SOCMOB_DETAILED_COST_WKSHT!H627,SOCMOB_DETAILED_COST_WKSHT!$F627*(SOCMOB_DETAILED_COST_WKSHT!H627*LVL2_ACTV_8_Exchange_Rate))</f>
        <v>0</v>
      </c>
      <c r="G1692" s="116">
        <f t="shared" si="160"/>
        <v>0</v>
      </c>
      <c r="H1692" s="116">
        <f t="shared" si="161"/>
        <v>0</v>
      </c>
    </row>
    <row r="1693" spans="3:8" s="10" customFormat="1" outlineLevel="1" x14ac:dyDescent="0.2">
      <c r="D1693" s="49" t="str">
        <f>SOCMOB_DETAILED_COST_WKSHT!D628</f>
        <v>Personnel Category 11</v>
      </c>
      <c r="E1693" s="115">
        <f>IF(DD_LVL2_ACTV_8_Currency_Selected=2,SOCMOB_DETAILED_COST_WKSHT!$F628*SOCMOB_DETAILED_COST_WKSHT!G628,SOCMOB_DETAILED_COST_WKSHT!$F628*(SOCMOB_DETAILED_COST_WKSHT!G628*LVL2_ACTV_8_Exchange_Rate))</f>
        <v>0</v>
      </c>
      <c r="F1693" s="115">
        <f>IF(DD_LVL2_ACTV_8_Currency_Selected=2,SOCMOB_DETAILED_COST_WKSHT!$F628*SOCMOB_DETAILED_COST_WKSHT!H628,SOCMOB_DETAILED_COST_WKSHT!$F628*(SOCMOB_DETAILED_COST_WKSHT!H628*LVL2_ACTV_8_Exchange_Rate))</f>
        <v>0</v>
      </c>
      <c r="G1693" s="116">
        <f t="shared" si="160"/>
        <v>0</v>
      </c>
      <c r="H1693" s="116">
        <f t="shared" si="161"/>
        <v>0</v>
      </c>
    </row>
    <row r="1694" spans="3:8" s="10" customFormat="1" outlineLevel="1" x14ac:dyDescent="0.2">
      <c r="D1694" s="49" t="str">
        <f>SOCMOB_DETAILED_COST_WKSHT!D629</f>
        <v>Personnel Category 12</v>
      </c>
      <c r="E1694" s="115">
        <f>IF(DD_LVL2_ACTV_8_Currency_Selected=2,SOCMOB_DETAILED_COST_WKSHT!$F629*SOCMOB_DETAILED_COST_WKSHT!G629,SOCMOB_DETAILED_COST_WKSHT!$F629*(SOCMOB_DETAILED_COST_WKSHT!G629*LVL2_ACTV_8_Exchange_Rate))</f>
        <v>0</v>
      </c>
      <c r="F1694" s="115">
        <f>IF(DD_LVL2_ACTV_8_Currency_Selected=2,SOCMOB_DETAILED_COST_WKSHT!$F629*SOCMOB_DETAILED_COST_WKSHT!H629,SOCMOB_DETAILED_COST_WKSHT!$F629*(SOCMOB_DETAILED_COST_WKSHT!H629*LVL2_ACTV_8_Exchange_Rate))</f>
        <v>0</v>
      </c>
      <c r="G1694" s="116">
        <f t="shared" si="160"/>
        <v>0</v>
      </c>
      <c r="H1694" s="116">
        <f t="shared" si="161"/>
        <v>0</v>
      </c>
    </row>
    <row r="1695" spans="3:8" s="10" customFormat="1" outlineLevel="1" x14ac:dyDescent="0.2">
      <c r="D1695" s="49" t="str">
        <f>SOCMOB_DETAILED_COST_WKSHT!D630</f>
        <v>Personnel Category 13</v>
      </c>
      <c r="E1695" s="115">
        <f>IF(DD_LVL2_ACTV_8_Currency_Selected=2,SOCMOB_DETAILED_COST_WKSHT!$F630*SOCMOB_DETAILED_COST_WKSHT!G630,SOCMOB_DETAILED_COST_WKSHT!$F630*(SOCMOB_DETAILED_COST_WKSHT!G630*LVL2_ACTV_8_Exchange_Rate))</f>
        <v>0</v>
      </c>
      <c r="F1695" s="115">
        <f>IF(DD_LVL2_ACTV_8_Currency_Selected=2,SOCMOB_DETAILED_COST_WKSHT!$F630*SOCMOB_DETAILED_COST_WKSHT!H630,SOCMOB_DETAILED_COST_WKSHT!$F630*(SOCMOB_DETAILED_COST_WKSHT!H630*LVL2_ACTV_8_Exchange_Rate))</f>
        <v>0</v>
      </c>
      <c r="G1695" s="116">
        <f t="shared" si="160"/>
        <v>0</v>
      </c>
      <c r="H1695" s="116">
        <f t="shared" si="161"/>
        <v>0</v>
      </c>
    </row>
    <row r="1696" spans="3:8" s="10" customFormat="1" outlineLevel="1" x14ac:dyDescent="0.2">
      <c r="D1696" s="49" t="str">
        <f>SOCMOB_DETAILED_COST_WKSHT!D631</f>
        <v>Personnel Category 14</v>
      </c>
      <c r="E1696" s="115">
        <f>IF(DD_LVL2_ACTV_8_Currency_Selected=2,SOCMOB_DETAILED_COST_WKSHT!$F631*SOCMOB_DETAILED_COST_WKSHT!G631,SOCMOB_DETAILED_COST_WKSHT!$F631*(SOCMOB_DETAILED_COST_WKSHT!G631*LVL2_ACTV_8_Exchange_Rate))</f>
        <v>0</v>
      </c>
      <c r="F1696" s="115">
        <f>IF(DD_LVL2_ACTV_8_Currency_Selected=2,SOCMOB_DETAILED_COST_WKSHT!$F631*SOCMOB_DETAILED_COST_WKSHT!H631,SOCMOB_DETAILED_COST_WKSHT!$F631*(SOCMOB_DETAILED_COST_WKSHT!H631*LVL2_ACTV_8_Exchange_Rate))</f>
        <v>0</v>
      </c>
      <c r="G1696" s="116">
        <f t="shared" si="160"/>
        <v>0</v>
      </c>
      <c r="H1696" s="116">
        <f t="shared" si="161"/>
        <v>0</v>
      </c>
    </row>
    <row r="1697" spans="1:8" s="10" customFormat="1" outlineLevel="1" x14ac:dyDescent="0.2">
      <c r="D1697" s="49" t="str">
        <f>SOCMOB_DETAILED_COST_WKSHT!D632</f>
        <v>Personnel Category 15</v>
      </c>
      <c r="E1697" s="115">
        <f>IF(DD_LVL2_ACTV_8_Currency_Selected=2,SOCMOB_DETAILED_COST_WKSHT!$F632*SOCMOB_DETAILED_COST_WKSHT!G632,SOCMOB_DETAILED_COST_WKSHT!$F632*(SOCMOB_DETAILED_COST_WKSHT!G632*LVL2_ACTV_8_Exchange_Rate))</f>
        <v>0</v>
      </c>
      <c r="F1697" s="115">
        <f>IF(DD_LVL2_ACTV_8_Currency_Selected=2,SOCMOB_DETAILED_COST_WKSHT!$F632*SOCMOB_DETAILED_COST_WKSHT!H632,SOCMOB_DETAILED_COST_WKSHT!$F632*(SOCMOB_DETAILED_COST_WKSHT!H632*LVL2_ACTV_8_Exchange_Rate))</f>
        <v>0</v>
      </c>
      <c r="G1697" s="116">
        <f t="shared" si="160"/>
        <v>0</v>
      </c>
      <c r="H1697" s="116">
        <f t="shared" si="161"/>
        <v>0</v>
      </c>
    </row>
    <row r="1698" spans="1:8" s="10" customFormat="1" outlineLevel="1" x14ac:dyDescent="0.2">
      <c r="D1698" s="48" t="str">
        <f>Lang_Personnel</f>
        <v>Personnel</v>
      </c>
      <c r="E1698" s="120">
        <f>SUM(E1683:E1697)</f>
        <v>0</v>
      </c>
      <c r="F1698" s="120">
        <f>SUM(F1683:F1697)</f>
        <v>0</v>
      </c>
      <c r="G1698" s="121">
        <f>SUM(G1683:G1697)</f>
        <v>0</v>
      </c>
      <c r="H1698" s="121">
        <f>SUM(H1683:H1697)</f>
        <v>0</v>
      </c>
    </row>
    <row r="1699" spans="1:8" s="10" customFormat="1" outlineLevel="1" x14ac:dyDescent="0.2"/>
    <row r="1700" spans="1:8" s="10" customFormat="1" outlineLevel="1" x14ac:dyDescent="0.2"/>
    <row r="1701" spans="1:8" s="10" customFormat="1" outlineLevel="1" x14ac:dyDescent="0.2">
      <c r="D1701" s="76" t="str">
        <f>Lang_GoTo&amp;" "&amp;HL_LVL2_ACTV_8_Personnel_Assumptions</f>
        <v>Go to IEC Soc Mob  Activity # 7 (Not in Use) - Detailed Personnel Cost Assumptions</v>
      </c>
    </row>
    <row r="1702" spans="1:8" s="10" customFormat="1" outlineLevel="1" x14ac:dyDescent="0.2">
      <c r="D1702" s="76" t="str">
        <f>Lang_GoTo&amp;" "&amp;HL_LVL2_ACTV_8_Cost_Summary_Output</f>
        <v>Go to IEC Soc Mob  Activity # 7 (Not in Use) Detailed Cost Summary</v>
      </c>
    </row>
    <row r="1703" spans="1:8" s="10" customFormat="1" x14ac:dyDescent="0.2"/>
    <row r="1704" spans="1:8" s="13" customFormat="1" x14ac:dyDescent="0.2">
      <c r="A1704" s="12" t="s">
        <v>127</v>
      </c>
      <c r="B1704" s="13" t="str">
        <f>C1706&amp;" "&amp;Lang_Allowances_Outputs</f>
        <v>IEC Soc Mob  Activity # 7 (Not in Use) Allowances - Outputs</v>
      </c>
    </row>
    <row r="1705" spans="1:8" s="10" customFormat="1" outlineLevel="1" x14ac:dyDescent="0.2"/>
    <row r="1706" spans="1:8" s="10" customFormat="1" outlineLevel="1" x14ac:dyDescent="0.2">
      <c r="C1706" s="114" t="str">
        <f>HL_LVL2_ACTV_8_Name</f>
        <v>IEC Soc Mob  Activity # 7 (Not in Use)</v>
      </c>
    </row>
    <row r="1707" spans="1:8" s="10" customFormat="1" outlineLevel="1" x14ac:dyDescent="0.2">
      <c r="E1707" s="86" t="str">
        <f>SOCMOB_Lu!$D$242&amp;" "&amp;Lang_Cost&amp;" ("&amp;SOCMOB_Lu!$D$223&amp;")"</f>
        <v>Financial Cost (LCU)</v>
      </c>
      <c r="F1707" s="86" t="str">
        <f>SOCMOB_Lu!$D$243&amp;" "&amp;Lang_Cost&amp;" ("&amp;SOCMOB_Lu!$D$223&amp;")"</f>
        <v>Economic Cost (LCU)</v>
      </c>
      <c r="G1707" s="86" t="str">
        <f>SOCMOB_Lu!$D$242&amp;" "&amp;Lang_Cost&amp;" ("&amp;SOCMOB_Lu!$D$222&amp;")"</f>
        <v>Financial Cost (USD)</v>
      </c>
      <c r="H1707" s="86" t="str">
        <f>SOCMOB_Lu!$D$243&amp;" "&amp;Lang_Cost&amp;" ("&amp;SOCMOB_Lu!$D$222&amp;")"</f>
        <v>Economic Cost (USD)</v>
      </c>
    </row>
    <row r="1708" spans="1:8" s="10" customFormat="1" outlineLevel="1" x14ac:dyDescent="0.2">
      <c r="D1708" s="49" t="str">
        <f>SOCMOB_DETAILED_COST_WKSHT!D641</f>
        <v>Allowances Category 1</v>
      </c>
      <c r="E1708" s="115">
        <f>IF(DD_LVL2_ACTV_8_Currency_Selected=2,SOCMOB_DETAILED_COST_WKSHT!$F641*SOCMOB_DETAILED_COST_WKSHT!G641,SOCMOB_DETAILED_COST_WKSHT!$F641*(SOCMOB_DETAILED_COST_WKSHT!G641*LVL2_ACTV_8_Exchange_Rate))</f>
        <v>0</v>
      </c>
      <c r="F1708" s="115">
        <f>IF(DD_LVL2_ACTV_8_Currency_Selected=2,SOCMOB_DETAILED_COST_WKSHT!$F641*SOCMOB_DETAILED_COST_WKSHT!H641,SOCMOB_DETAILED_COST_WKSHT!$F641*(SOCMOB_DETAILED_COST_WKSHT!H641*LVL2_ACTV_8_Exchange_Rate))</f>
        <v>0</v>
      </c>
      <c r="G1708" s="116">
        <f t="shared" ref="G1708:G1717" si="162">E1708/LVL2_ACTV_8_Exchange_Rate</f>
        <v>0</v>
      </c>
      <c r="H1708" s="116">
        <f t="shared" ref="H1708:H1717" si="163">F1708/LVL2_ACTV_8_Exchange_Rate</f>
        <v>0</v>
      </c>
    </row>
    <row r="1709" spans="1:8" s="10" customFormat="1" outlineLevel="1" x14ac:dyDescent="0.2">
      <c r="D1709" s="49" t="str">
        <f>SOCMOB_DETAILED_COST_WKSHT!D642</f>
        <v>Allowances Category 2</v>
      </c>
      <c r="E1709" s="115">
        <f>IF(DD_LVL2_ACTV_8_Currency_Selected=2,SOCMOB_DETAILED_COST_WKSHT!$F642*SOCMOB_DETAILED_COST_WKSHT!G642,SOCMOB_DETAILED_COST_WKSHT!$F642*(SOCMOB_DETAILED_COST_WKSHT!G642*LVL2_ACTV_8_Exchange_Rate))</f>
        <v>0</v>
      </c>
      <c r="F1709" s="115">
        <f>IF(DD_LVL2_ACTV_8_Currency_Selected=2,SOCMOB_DETAILED_COST_WKSHT!$F642*SOCMOB_DETAILED_COST_WKSHT!H642,SOCMOB_DETAILED_COST_WKSHT!$F642*(SOCMOB_DETAILED_COST_WKSHT!H642*LVL2_ACTV_8_Exchange_Rate))</f>
        <v>0</v>
      </c>
      <c r="G1709" s="116">
        <f t="shared" si="162"/>
        <v>0</v>
      </c>
      <c r="H1709" s="116">
        <f t="shared" si="163"/>
        <v>0</v>
      </c>
    </row>
    <row r="1710" spans="1:8" s="10" customFormat="1" outlineLevel="1" x14ac:dyDescent="0.2">
      <c r="D1710" s="49" t="str">
        <f>SOCMOB_DETAILED_COST_WKSHT!D643</f>
        <v>Allowances Category 3</v>
      </c>
      <c r="E1710" s="115">
        <f>IF(DD_LVL2_ACTV_8_Currency_Selected=2,SOCMOB_DETAILED_COST_WKSHT!$F643*SOCMOB_DETAILED_COST_WKSHT!G643,SOCMOB_DETAILED_COST_WKSHT!$F643*(SOCMOB_DETAILED_COST_WKSHT!G643*LVL2_ACTV_8_Exchange_Rate))</f>
        <v>0</v>
      </c>
      <c r="F1710" s="115">
        <f>IF(DD_LVL2_ACTV_8_Currency_Selected=2,SOCMOB_DETAILED_COST_WKSHT!$F643*SOCMOB_DETAILED_COST_WKSHT!H643,SOCMOB_DETAILED_COST_WKSHT!$F643*(SOCMOB_DETAILED_COST_WKSHT!H643*LVL2_ACTV_8_Exchange_Rate))</f>
        <v>0</v>
      </c>
      <c r="G1710" s="116">
        <f t="shared" si="162"/>
        <v>0</v>
      </c>
      <c r="H1710" s="116">
        <f t="shared" si="163"/>
        <v>0</v>
      </c>
    </row>
    <row r="1711" spans="1:8" s="10" customFormat="1" outlineLevel="1" x14ac:dyDescent="0.2">
      <c r="D1711" s="49" t="str">
        <f>SOCMOB_DETAILED_COST_WKSHT!D644</f>
        <v>Allowances Category 4</v>
      </c>
      <c r="E1711" s="115">
        <f>IF(DD_LVL2_ACTV_8_Currency_Selected=2,SOCMOB_DETAILED_COST_WKSHT!$F644*SOCMOB_DETAILED_COST_WKSHT!G644,SOCMOB_DETAILED_COST_WKSHT!$F644*(SOCMOB_DETAILED_COST_WKSHT!G644*LVL2_ACTV_8_Exchange_Rate))</f>
        <v>0</v>
      </c>
      <c r="F1711" s="115">
        <f>IF(DD_LVL2_ACTV_8_Currency_Selected=2,SOCMOB_DETAILED_COST_WKSHT!$F644*SOCMOB_DETAILED_COST_WKSHT!H644,SOCMOB_DETAILED_COST_WKSHT!$F644*(SOCMOB_DETAILED_COST_WKSHT!H644*LVL2_ACTV_8_Exchange_Rate))</f>
        <v>0</v>
      </c>
      <c r="G1711" s="116">
        <f t="shared" si="162"/>
        <v>0</v>
      </c>
      <c r="H1711" s="116">
        <f t="shared" si="163"/>
        <v>0</v>
      </c>
    </row>
    <row r="1712" spans="1:8" s="10" customFormat="1" outlineLevel="1" x14ac:dyDescent="0.2">
      <c r="D1712" s="49" t="str">
        <f>SOCMOB_DETAILED_COST_WKSHT!D645</f>
        <v>Allowances Category 5</v>
      </c>
      <c r="E1712" s="115">
        <f>IF(DD_LVL2_ACTV_8_Currency_Selected=2,SOCMOB_DETAILED_COST_WKSHT!$F645*SOCMOB_DETAILED_COST_WKSHT!G645,SOCMOB_DETAILED_COST_WKSHT!$F645*(SOCMOB_DETAILED_COST_WKSHT!G645*LVL2_ACTV_8_Exchange_Rate))</f>
        <v>0</v>
      </c>
      <c r="F1712" s="115">
        <f>IF(DD_LVL2_ACTV_8_Currency_Selected=2,SOCMOB_DETAILED_COST_WKSHT!$F645*SOCMOB_DETAILED_COST_WKSHT!H645,SOCMOB_DETAILED_COST_WKSHT!$F645*(SOCMOB_DETAILED_COST_WKSHT!H645*LVL2_ACTV_8_Exchange_Rate))</f>
        <v>0</v>
      </c>
      <c r="G1712" s="116">
        <f t="shared" si="162"/>
        <v>0</v>
      </c>
      <c r="H1712" s="116">
        <f t="shared" si="163"/>
        <v>0</v>
      </c>
    </row>
    <row r="1713" spans="1:8" s="10" customFormat="1" outlineLevel="1" x14ac:dyDescent="0.2">
      <c r="D1713" s="49" t="str">
        <f>SOCMOB_DETAILED_COST_WKSHT!D646</f>
        <v>Allowances Category 6</v>
      </c>
      <c r="E1713" s="115">
        <f>IF(DD_LVL2_ACTV_8_Currency_Selected=2,SOCMOB_DETAILED_COST_WKSHT!$F646*SOCMOB_DETAILED_COST_WKSHT!G646,SOCMOB_DETAILED_COST_WKSHT!$F646*(SOCMOB_DETAILED_COST_WKSHT!G646*LVL2_ACTV_8_Exchange_Rate))</f>
        <v>0</v>
      </c>
      <c r="F1713" s="115">
        <f>IF(DD_LVL2_ACTV_8_Currency_Selected=2,SOCMOB_DETAILED_COST_WKSHT!$F646*SOCMOB_DETAILED_COST_WKSHT!H646,SOCMOB_DETAILED_COST_WKSHT!$F646*(SOCMOB_DETAILED_COST_WKSHT!H646*LVL2_ACTV_8_Exchange_Rate))</f>
        <v>0</v>
      </c>
      <c r="G1713" s="116">
        <f t="shared" si="162"/>
        <v>0</v>
      </c>
      <c r="H1713" s="116">
        <f t="shared" si="163"/>
        <v>0</v>
      </c>
    </row>
    <row r="1714" spans="1:8" s="10" customFormat="1" outlineLevel="1" x14ac:dyDescent="0.2">
      <c r="D1714" s="49" t="str">
        <f>SOCMOB_DETAILED_COST_WKSHT!D647</f>
        <v>Allowances Category 7</v>
      </c>
      <c r="E1714" s="115">
        <f>IF(DD_LVL2_ACTV_8_Currency_Selected=2,SOCMOB_DETAILED_COST_WKSHT!$F647*SOCMOB_DETAILED_COST_WKSHT!G647,SOCMOB_DETAILED_COST_WKSHT!$F647*(SOCMOB_DETAILED_COST_WKSHT!G647*LVL2_ACTV_8_Exchange_Rate))</f>
        <v>0</v>
      </c>
      <c r="F1714" s="115">
        <f>IF(DD_LVL2_ACTV_8_Currency_Selected=2,SOCMOB_DETAILED_COST_WKSHT!$F647*SOCMOB_DETAILED_COST_WKSHT!H647,SOCMOB_DETAILED_COST_WKSHT!$F647*(SOCMOB_DETAILED_COST_WKSHT!H647*LVL2_ACTV_8_Exchange_Rate))</f>
        <v>0</v>
      </c>
      <c r="G1714" s="116">
        <f t="shared" si="162"/>
        <v>0</v>
      </c>
      <c r="H1714" s="116">
        <f t="shared" si="163"/>
        <v>0</v>
      </c>
    </row>
    <row r="1715" spans="1:8" s="10" customFormat="1" outlineLevel="1" x14ac:dyDescent="0.2">
      <c r="D1715" s="49" t="str">
        <f>SOCMOB_DETAILED_COST_WKSHT!D648</f>
        <v>Allowances Category 8</v>
      </c>
      <c r="E1715" s="115">
        <f>IF(DD_LVL2_ACTV_8_Currency_Selected=2,SOCMOB_DETAILED_COST_WKSHT!$F648*SOCMOB_DETAILED_COST_WKSHT!G648,SOCMOB_DETAILED_COST_WKSHT!$F648*(SOCMOB_DETAILED_COST_WKSHT!G648*LVL2_ACTV_8_Exchange_Rate))</f>
        <v>0</v>
      </c>
      <c r="F1715" s="115">
        <f>IF(DD_LVL2_ACTV_8_Currency_Selected=2,SOCMOB_DETAILED_COST_WKSHT!$F648*SOCMOB_DETAILED_COST_WKSHT!H648,SOCMOB_DETAILED_COST_WKSHT!$F648*(SOCMOB_DETAILED_COST_WKSHT!H648*LVL2_ACTV_8_Exchange_Rate))</f>
        <v>0</v>
      </c>
      <c r="G1715" s="116">
        <f t="shared" si="162"/>
        <v>0</v>
      </c>
      <c r="H1715" s="116">
        <f t="shared" si="163"/>
        <v>0</v>
      </c>
    </row>
    <row r="1716" spans="1:8" s="10" customFormat="1" outlineLevel="1" x14ac:dyDescent="0.2">
      <c r="D1716" s="49" t="str">
        <f>SOCMOB_DETAILED_COST_WKSHT!D649</f>
        <v>Allowances Category 9</v>
      </c>
      <c r="E1716" s="115">
        <f>IF(DD_LVL2_ACTV_8_Currency_Selected=2,SOCMOB_DETAILED_COST_WKSHT!$F649*SOCMOB_DETAILED_COST_WKSHT!G649,SOCMOB_DETAILED_COST_WKSHT!$F649*(SOCMOB_DETAILED_COST_WKSHT!G649*LVL2_ACTV_8_Exchange_Rate))</f>
        <v>0</v>
      </c>
      <c r="F1716" s="115">
        <f>IF(DD_LVL2_ACTV_8_Currency_Selected=2,SOCMOB_DETAILED_COST_WKSHT!$F649*SOCMOB_DETAILED_COST_WKSHT!H649,SOCMOB_DETAILED_COST_WKSHT!$F649*(SOCMOB_DETAILED_COST_WKSHT!H649*LVL2_ACTV_8_Exchange_Rate))</f>
        <v>0</v>
      </c>
      <c r="G1716" s="116">
        <f t="shared" si="162"/>
        <v>0</v>
      </c>
      <c r="H1716" s="116">
        <f t="shared" si="163"/>
        <v>0</v>
      </c>
    </row>
    <row r="1717" spans="1:8" s="10" customFormat="1" outlineLevel="1" x14ac:dyDescent="0.2">
      <c r="D1717" s="49" t="str">
        <f>SOCMOB_DETAILED_COST_WKSHT!D650</f>
        <v>Allowances Category 10</v>
      </c>
      <c r="E1717" s="115">
        <f>IF(DD_LVL2_ACTV_8_Currency_Selected=2,SOCMOB_DETAILED_COST_WKSHT!$F650*SOCMOB_DETAILED_COST_WKSHT!G650,SOCMOB_DETAILED_COST_WKSHT!$F650*(SOCMOB_DETAILED_COST_WKSHT!G650*LVL2_ACTV_8_Exchange_Rate))</f>
        <v>0</v>
      </c>
      <c r="F1717" s="115">
        <f>IF(DD_LVL2_ACTV_8_Currency_Selected=2,SOCMOB_DETAILED_COST_WKSHT!$F650*SOCMOB_DETAILED_COST_WKSHT!H650,SOCMOB_DETAILED_COST_WKSHT!$F650*(SOCMOB_DETAILED_COST_WKSHT!H650*LVL2_ACTV_8_Exchange_Rate))</f>
        <v>0</v>
      </c>
      <c r="G1717" s="116">
        <f t="shared" si="162"/>
        <v>0</v>
      </c>
      <c r="H1717" s="116">
        <f t="shared" si="163"/>
        <v>0</v>
      </c>
    </row>
    <row r="1718" spans="1:8" s="10" customFormat="1" outlineLevel="1" x14ac:dyDescent="0.2">
      <c r="D1718" s="48" t="str">
        <f>Lang_Allowances</f>
        <v>Allowances</v>
      </c>
      <c r="E1718" s="120">
        <f>SUM(E1708:E1717)</f>
        <v>0</v>
      </c>
      <c r="F1718" s="120">
        <f>SUM(F1708:F1717)</f>
        <v>0</v>
      </c>
      <c r="G1718" s="121">
        <f>SUM(G1708:G1717)</f>
        <v>0</v>
      </c>
      <c r="H1718" s="121">
        <f>SUM(H1708:H1717)</f>
        <v>0</v>
      </c>
    </row>
    <row r="1719" spans="1:8" s="10" customFormat="1" outlineLevel="1" x14ac:dyDescent="0.2"/>
    <row r="1720" spans="1:8" s="10" customFormat="1" outlineLevel="1" x14ac:dyDescent="0.2"/>
    <row r="1721" spans="1:8" s="10" customFormat="1" outlineLevel="1" x14ac:dyDescent="0.2">
      <c r="D1721" s="76" t="str">
        <f>Lang_GoTo&amp;" "&amp;HL_LVL2_ACTV_8_Ass_A</f>
        <v>Go to IEC Soc Mob  Activity # 7 (Not in Use) - Detailed Allowance Cost Assumptions</v>
      </c>
    </row>
    <row r="1722" spans="1:8" s="10" customFormat="1" outlineLevel="1" x14ac:dyDescent="0.2">
      <c r="D1722" s="76" t="str">
        <f>Lang_GoTo&amp;" "&amp;HL_LVL2_ACTV_8_Cost_Summary_Output</f>
        <v>Go to IEC Soc Mob  Activity # 7 (Not in Use) Detailed Cost Summary</v>
      </c>
    </row>
    <row r="1723" spans="1:8" s="10" customFormat="1" x14ac:dyDescent="0.2"/>
    <row r="1724" spans="1:8" s="13" customFormat="1" x14ac:dyDescent="0.2">
      <c r="A1724" s="12" t="s">
        <v>127</v>
      </c>
      <c r="B1724" s="13" t="str">
        <f>C1726&amp;" "&amp;Lang_Supplies_And_Materials_Outputs</f>
        <v>IEC Soc Mob  Activity # 7 (Not in Use) Supplies and Materials - Outputs</v>
      </c>
    </row>
    <row r="1725" spans="1:8" s="10" customFormat="1" outlineLevel="1" x14ac:dyDescent="0.2"/>
    <row r="1726" spans="1:8" s="10" customFormat="1" outlineLevel="1" x14ac:dyDescent="0.2">
      <c r="C1726" s="114" t="str">
        <f>HL_LVL2_ACTV_8_Name</f>
        <v>IEC Soc Mob  Activity # 7 (Not in Use)</v>
      </c>
    </row>
    <row r="1727" spans="1:8" s="10" customFormat="1" outlineLevel="1" x14ac:dyDescent="0.2">
      <c r="E1727" s="86" t="str">
        <f>SOCMOB_Lu!$D$242&amp;" "&amp;Lang_Cost&amp;" ("&amp;SOCMOB_Lu!$D$223&amp;")"</f>
        <v>Financial Cost (LCU)</v>
      </c>
      <c r="F1727" s="86" t="str">
        <f>SOCMOB_Lu!$D$243&amp;" "&amp;Lang_Cost&amp;" ("&amp;SOCMOB_Lu!$D$223&amp;")"</f>
        <v>Economic Cost (LCU)</v>
      </c>
      <c r="G1727" s="86" t="str">
        <f>SOCMOB_Lu!$D$242&amp;" "&amp;Lang_Cost&amp;" ("&amp;SOCMOB_Lu!$D$222&amp;")"</f>
        <v>Financial Cost (USD)</v>
      </c>
      <c r="H1727" s="86" t="str">
        <f>SOCMOB_Lu!$D$243&amp;" "&amp;Lang_Cost&amp;" ("&amp;SOCMOB_Lu!$D$222&amp;")"</f>
        <v>Economic Cost (USD)</v>
      </c>
    </row>
    <row r="1728" spans="1:8" s="10" customFormat="1" outlineLevel="1" x14ac:dyDescent="0.2">
      <c r="D1728" s="49" t="str">
        <f>SOCMOB_DETAILED_COST_WKSHT!D659</f>
        <v>Supplies and Materials Category 1</v>
      </c>
      <c r="E1728" s="115">
        <f>IF(DD_LVL2_ACTV_8_Currency_Selected=2,SOCMOB_DETAILED_COST_WKSHT!$F659*SOCMOB_DETAILED_COST_WKSHT!G659,SOCMOB_DETAILED_COST_WKSHT!$F659*(SOCMOB_DETAILED_COST_WKSHT!G659*LVL2_ACTV_8_Exchange_Rate))</f>
        <v>0</v>
      </c>
      <c r="F1728" s="115">
        <f>IF(DD_LVL2_ACTV_8_Currency_Selected=2,SOCMOB_DETAILED_COST_WKSHT!$F659*SOCMOB_DETAILED_COST_WKSHT!H659,SOCMOB_DETAILED_COST_WKSHT!$F659*(SOCMOB_DETAILED_COST_WKSHT!H659*LVL2_ACTV_8_Exchange_Rate))</f>
        <v>0</v>
      </c>
      <c r="G1728" s="116">
        <f t="shared" ref="G1728:G1737" si="164">E1728/LVL2_ACTV_8_Exchange_Rate</f>
        <v>0</v>
      </c>
      <c r="H1728" s="116">
        <f t="shared" ref="H1728:H1737" si="165">F1728/LVL2_ACTV_8_Exchange_Rate</f>
        <v>0</v>
      </c>
    </row>
    <row r="1729" spans="1:8" s="10" customFormat="1" outlineLevel="1" x14ac:dyDescent="0.2">
      <c r="D1729" s="49" t="str">
        <f>SOCMOB_DETAILED_COST_WKSHT!D660</f>
        <v>Supplies and Materials Category 2</v>
      </c>
      <c r="E1729" s="115">
        <f>IF(DD_LVL2_ACTV_8_Currency_Selected=2,SOCMOB_DETAILED_COST_WKSHT!$F660*SOCMOB_DETAILED_COST_WKSHT!G660,SOCMOB_DETAILED_COST_WKSHT!$F660*(SOCMOB_DETAILED_COST_WKSHT!G660*LVL2_ACTV_8_Exchange_Rate))</f>
        <v>0</v>
      </c>
      <c r="F1729" s="115">
        <f>IF(DD_LVL2_ACTV_8_Currency_Selected=2,SOCMOB_DETAILED_COST_WKSHT!$F660*SOCMOB_DETAILED_COST_WKSHT!H660,SOCMOB_DETAILED_COST_WKSHT!$F660*(SOCMOB_DETAILED_COST_WKSHT!H660*LVL2_ACTV_8_Exchange_Rate))</f>
        <v>0</v>
      </c>
      <c r="G1729" s="116">
        <f t="shared" si="164"/>
        <v>0</v>
      </c>
      <c r="H1729" s="116">
        <f t="shared" si="165"/>
        <v>0</v>
      </c>
    </row>
    <row r="1730" spans="1:8" s="10" customFormat="1" outlineLevel="1" x14ac:dyDescent="0.2">
      <c r="D1730" s="49" t="str">
        <f>SOCMOB_DETAILED_COST_WKSHT!D661</f>
        <v>Supplies and Materials Category 3</v>
      </c>
      <c r="E1730" s="115">
        <f>IF(DD_LVL2_ACTV_8_Currency_Selected=2,SOCMOB_DETAILED_COST_WKSHT!$F661*SOCMOB_DETAILED_COST_WKSHT!G661,SOCMOB_DETAILED_COST_WKSHT!$F661*(SOCMOB_DETAILED_COST_WKSHT!G661*LVL2_ACTV_8_Exchange_Rate))</f>
        <v>0</v>
      </c>
      <c r="F1730" s="115">
        <f>IF(DD_LVL2_ACTV_8_Currency_Selected=2,SOCMOB_DETAILED_COST_WKSHT!$F661*SOCMOB_DETAILED_COST_WKSHT!H661,SOCMOB_DETAILED_COST_WKSHT!$F661*(SOCMOB_DETAILED_COST_WKSHT!H661*LVL2_ACTV_8_Exchange_Rate))</f>
        <v>0</v>
      </c>
      <c r="G1730" s="116">
        <f t="shared" si="164"/>
        <v>0</v>
      </c>
      <c r="H1730" s="116">
        <f t="shared" si="165"/>
        <v>0</v>
      </c>
    </row>
    <row r="1731" spans="1:8" s="10" customFormat="1" outlineLevel="1" x14ac:dyDescent="0.2">
      <c r="D1731" s="49" t="str">
        <f>SOCMOB_DETAILED_COST_WKSHT!D662</f>
        <v>Supplies and Materials Category 4</v>
      </c>
      <c r="E1731" s="115">
        <f>IF(DD_LVL2_ACTV_8_Currency_Selected=2,SOCMOB_DETAILED_COST_WKSHT!$F662*SOCMOB_DETAILED_COST_WKSHT!G662,SOCMOB_DETAILED_COST_WKSHT!$F662*(SOCMOB_DETAILED_COST_WKSHT!G662*LVL2_ACTV_8_Exchange_Rate))</f>
        <v>0</v>
      </c>
      <c r="F1731" s="115">
        <f>IF(DD_LVL2_ACTV_8_Currency_Selected=2,SOCMOB_DETAILED_COST_WKSHT!$F662*SOCMOB_DETAILED_COST_WKSHT!H662,SOCMOB_DETAILED_COST_WKSHT!$F662*(SOCMOB_DETAILED_COST_WKSHT!H662*LVL2_ACTV_8_Exchange_Rate))</f>
        <v>0</v>
      </c>
      <c r="G1731" s="116">
        <f t="shared" si="164"/>
        <v>0</v>
      </c>
      <c r="H1731" s="116">
        <f t="shared" si="165"/>
        <v>0</v>
      </c>
    </row>
    <row r="1732" spans="1:8" s="10" customFormat="1" outlineLevel="1" x14ac:dyDescent="0.2">
      <c r="D1732" s="49" t="str">
        <f>SOCMOB_DETAILED_COST_WKSHT!D663</f>
        <v>Supplies and Materials Category 5</v>
      </c>
      <c r="E1732" s="115">
        <f>IF(DD_LVL2_ACTV_8_Currency_Selected=2,SOCMOB_DETAILED_COST_WKSHT!$F663*SOCMOB_DETAILED_COST_WKSHT!G663,SOCMOB_DETAILED_COST_WKSHT!$F663*(SOCMOB_DETAILED_COST_WKSHT!G663*LVL2_ACTV_8_Exchange_Rate))</f>
        <v>0</v>
      </c>
      <c r="F1732" s="115">
        <f>IF(DD_LVL2_ACTV_8_Currency_Selected=2,SOCMOB_DETAILED_COST_WKSHT!$F663*SOCMOB_DETAILED_COST_WKSHT!H663,SOCMOB_DETAILED_COST_WKSHT!$F663*(SOCMOB_DETAILED_COST_WKSHT!H663*LVL2_ACTV_8_Exchange_Rate))</f>
        <v>0</v>
      </c>
      <c r="G1732" s="116">
        <f t="shared" si="164"/>
        <v>0</v>
      </c>
      <c r="H1732" s="116">
        <f t="shared" si="165"/>
        <v>0</v>
      </c>
    </row>
    <row r="1733" spans="1:8" s="10" customFormat="1" outlineLevel="1" x14ac:dyDescent="0.2">
      <c r="D1733" s="49" t="str">
        <f>SOCMOB_DETAILED_COST_WKSHT!D664</f>
        <v>Supplies and Materials Category 6</v>
      </c>
      <c r="E1733" s="115">
        <f>IF(DD_LVL2_ACTV_8_Currency_Selected=2,SOCMOB_DETAILED_COST_WKSHT!$F664*SOCMOB_DETAILED_COST_WKSHT!G664,SOCMOB_DETAILED_COST_WKSHT!$F664*(SOCMOB_DETAILED_COST_WKSHT!G664*LVL2_ACTV_8_Exchange_Rate))</f>
        <v>0</v>
      </c>
      <c r="F1733" s="115">
        <f>IF(DD_LVL2_ACTV_8_Currency_Selected=2,SOCMOB_DETAILED_COST_WKSHT!$F664*SOCMOB_DETAILED_COST_WKSHT!H664,SOCMOB_DETAILED_COST_WKSHT!$F664*(SOCMOB_DETAILED_COST_WKSHT!H664*LVL2_ACTV_8_Exchange_Rate))</f>
        <v>0</v>
      </c>
      <c r="G1733" s="116">
        <f t="shared" si="164"/>
        <v>0</v>
      </c>
      <c r="H1733" s="116">
        <f t="shared" si="165"/>
        <v>0</v>
      </c>
    </row>
    <row r="1734" spans="1:8" s="10" customFormat="1" outlineLevel="1" x14ac:dyDescent="0.2">
      <c r="D1734" s="49" t="str">
        <f>SOCMOB_DETAILED_COST_WKSHT!D665</f>
        <v>Supplies and Materials Category 7</v>
      </c>
      <c r="E1734" s="115">
        <f>IF(DD_LVL2_ACTV_8_Currency_Selected=2,SOCMOB_DETAILED_COST_WKSHT!$F665*SOCMOB_DETAILED_COST_WKSHT!G665,SOCMOB_DETAILED_COST_WKSHT!$F665*(SOCMOB_DETAILED_COST_WKSHT!G665*LVL2_ACTV_8_Exchange_Rate))</f>
        <v>0</v>
      </c>
      <c r="F1734" s="115">
        <f>IF(DD_LVL2_ACTV_8_Currency_Selected=2,SOCMOB_DETAILED_COST_WKSHT!$F665*SOCMOB_DETAILED_COST_WKSHT!H665,SOCMOB_DETAILED_COST_WKSHT!$F665*(SOCMOB_DETAILED_COST_WKSHT!H665*LVL2_ACTV_8_Exchange_Rate))</f>
        <v>0</v>
      </c>
      <c r="G1734" s="116">
        <f t="shared" si="164"/>
        <v>0</v>
      </c>
      <c r="H1734" s="116">
        <f t="shared" si="165"/>
        <v>0</v>
      </c>
    </row>
    <row r="1735" spans="1:8" s="10" customFormat="1" outlineLevel="1" x14ac:dyDescent="0.2">
      <c r="D1735" s="49" t="str">
        <f>SOCMOB_DETAILED_COST_WKSHT!D666</f>
        <v>Supplies and Materials Category 8</v>
      </c>
      <c r="E1735" s="115">
        <f>IF(DD_LVL2_ACTV_8_Currency_Selected=2,SOCMOB_DETAILED_COST_WKSHT!$F666*SOCMOB_DETAILED_COST_WKSHT!G666,SOCMOB_DETAILED_COST_WKSHT!$F666*(SOCMOB_DETAILED_COST_WKSHT!G666*LVL2_ACTV_8_Exchange_Rate))</f>
        <v>0</v>
      </c>
      <c r="F1735" s="115">
        <f>IF(DD_LVL2_ACTV_8_Currency_Selected=2,SOCMOB_DETAILED_COST_WKSHT!$F666*SOCMOB_DETAILED_COST_WKSHT!H666,SOCMOB_DETAILED_COST_WKSHT!$F666*(SOCMOB_DETAILED_COST_WKSHT!H666*LVL2_ACTV_8_Exchange_Rate))</f>
        <v>0</v>
      </c>
      <c r="G1735" s="116">
        <f t="shared" si="164"/>
        <v>0</v>
      </c>
      <c r="H1735" s="116">
        <f t="shared" si="165"/>
        <v>0</v>
      </c>
    </row>
    <row r="1736" spans="1:8" s="10" customFormat="1" outlineLevel="1" x14ac:dyDescent="0.2">
      <c r="D1736" s="49" t="str">
        <f>SOCMOB_DETAILED_COST_WKSHT!D667</f>
        <v>Supplies and Materials Category 9</v>
      </c>
      <c r="E1736" s="115">
        <f>IF(DD_LVL2_ACTV_8_Currency_Selected=2,SOCMOB_DETAILED_COST_WKSHT!$F667*SOCMOB_DETAILED_COST_WKSHT!G667,SOCMOB_DETAILED_COST_WKSHT!$F667*(SOCMOB_DETAILED_COST_WKSHT!G667*LVL2_ACTV_8_Exchange_Rate))</f>
        <v>0</v>
      </c>
      <c r="F1736" s="115">
        <f>IF(DD_LVL2_ACTV_8_Currency_Selected=2,SOCMOB_DETAILED_COST_WKSHT!$F667*SOCMOB_DETAILED_COST_WKSHT!H667,SOCMOB_DETAILED_COST_WKSHT!$F667*(SOCMOB_DETAILED_COST_WKSHT!H667*LVL2_ACTV_8_Exchange_Rate))</f>
        <v>0</v>
      </c>
      <c r="G1736" s="116">
        <f t="shared" si="164"/>
        <v>0</v>
      </c>
      <c r="H1736" s="116">
        <f t="shared" si="165"/>
        <v>0</v>
      </c>
    </row>
    <row r="1737" spans="1:8" s="10" customFormat="1" outlineLevel="1" x14ac:dyDescent="0.2">
      <c r="D1737" s="49" t="str">
        <f>SOCMOB_DETAILED_COST_WKSHT!D668</f>
        <v>Supplies and Materials Category 10</v>
      </c>
      <c r="E1737" s="115">
        <f>IF(DD_LVL2_ACTV_8_Currency_Selected=2,SOCMOB_DETAILED_COST_WKSHT!$F668*SOCMOB_DETAILED_COST_WKSHT!G668,SOCMOB_DETAILED_COST_WKSHT!$F668*(SOCMOB_DETAILED_COST_WKSHT!G668*LVL2_ACTV_8_Exchange_Rate))</f>
        <v>0</v>
      </c>
      <c r="F1737" s="115">
        <f>IF(DD_LVL2_ACTV_8_Currency_Selected=2,SOCMOB_DETAILED_COST_WKSHT!$F668*SOCMOB_DETAILED_COST_WKSHT!H668,SOCMOB_DETAILED_COST_WKSHT!$F668*(SOCMOB_DETAILED_COST_WKSHT!H668*LVL2_ACTV_8_Exchange_Rate))</f>
        <v>0</v>
      </c>
      <c r="G1737" s="116">
        <f t="shared" si="164"/>
        <v>0</v>
      </c>
      <c r="H1737" s="116">
        <f t="shared" si="165"/>
        <v>0</v>
      </c>
    </row>
    <row r="1738" spans="1:8" s="10" customFormat="1" outlineLevel="1" x14ac:dyDescent="0.2">
      <c r="D1738" s="48" t="str">
        <f>Lang_Supplies_And_Materials</f>
        <v>Supplies and Materials</v>
      </c>
      <c r="E1738" s="120">
        <f>SUM(E1728:E1737)</f>
        <v>0</v>
      </c>
      <c r="F1738" s="120">
        <f>SUM(F1728:F1737)</f>
        <v>0</v>
      </c>
      <c r="G1738" s="121">
        <f>SUM(G1728:G1737)</f>
        <v>0</v>
      </c>
      <c r="H1738" s="121">
        <f>SUM(H1728:H1737)</f>
        <v>0</v>
      </c>
    </row>
    <row r="1739" spans="1:8" s="10" customFormat="1" outlineLevel="1" x14ac:dyDescent="0.2"/>
    <row r="1740" spans="1:8" s="10" customFormat="1" outlineLevel="1" x14ac:dyDescent="0.2"/>
    <row r="1741" spans="1:8" s="10" customFormat="1" outlineLevel="1" x14ac:dyDescent="0.2">
      <c r="D1741" s="76" t="str">
        <f>Lang_GoTo&amp;" "&amp;HL_LVL2_ACTV_8_Supplies_and_Materials</f>
        <v>Go to IEC Soc Mob  Activity # 7 (Not in Use) - Detailed Supply and Material Cost Assumptions</v>
      </c>
    </row>
    <row r="1742" spans="1:8" s="10" customFormat="1" outlineLevel="1" x14ac:dyDescent="0.2">
      <c r="D1742" s="76" t="str">
        <f>Lang_GoTo&amp;" "&amp;HL_LVL2_ACTV_8_Cost_Summary_Output</f>
        <v>Go to IEC Soc Mob  Activity # 7 (Not in Use) Detailed Cost Summary</v>
      </c>
    </row>
    <row r="1743" spans="1:8" s="10" customFormat="1" x14ac:dyDescent="0.2"/>
    <row r="1744" spans="1:8" s="13" customFormat="1" x14ac:dyDescent="0.2">
      <c r="A1744" s="12" t="s">
        <v>127</v>
      </c>
      <c r="B1744" s="13" t="str">
        <f>C1746&amp;" "&amp;Lang_Other_Direct_Costs_Outputs</f>
        <v>IEC Soc Mob  Activity # 7 (Not in Use) Other Direct Costs - Outputs</v>
      </c>
    </row>
    <row r="1745" spans="3:8" s="10" customFormat="1" outlineLevel="1" x14ac:dyDescent="0.2"/>
    <row r="1746" spans="3:8" s="10" customFormat="1" outlineLevel="1" x14ac:dyDescent="0.2">
      <c r="C1746" s="114" t="str">
        <f>HL_LVL2_ACTV_8_Name</f>
        <v>IEC Soc Mob  Activity # 7 (Not in Use)</v>
      </c>
    </row>
    <row r="1747" spans="3:8" s="10" customFormat="1" outlineLevel="1" x14ac:dyDescent="0.2">
      <c r="E1747" s="86" t="str">
        <f>SOCMOB_Lu!$D$242&amp;" "&amp;Lang_Cost&amp;" ("&amp;SOCMOB_Lu!$D$223&amp;")"</f>
        <v>Financial Cost (LCU)</v>
      </c>
      <c r="F1747" s="86" t="str">
        <f>SOCMOB_Lu!$D$243&amp;" "&amp;Lang_Cost&amp;" ("&amp;SOCMOB_Lu!$D$223&amp;")"</f>
        <v>Economic Cost (LCU)</v>
      </c>
      <c r="G1747" s="86" t="str">
        <f>SOCMOB_Lu!$D$242&amp;" "&amp;Lang_Cost&amp;" ("&amp;SOCMOB_Lu!$D$222&amp;")"</f>
        <v>Financial Cost (USD)</v>
      </c>
      <c r="H1747" s="86" t="str">
        <f>SOCMOB_Lu!$D$243&amp;" "&amp;Lang_Cost&amp;" ("&amp;SOCMOB_Lu!$D$222&amp;")"</f>
        <v>Economic Cost (USD)</v>
      </c>
    </row>
    <row r="1748" spans="3:8" s="10" customFormat="1" outlineLevel="1" x14ac:dyDescent="0.2">
      <c r="D1748" s="49" t="str">
        <f>SOCMOB_DETAILED_COST_WKSHT!D677</f>
        <v>Other Direct Costs (ODC) Category 1</v>
      </c>
      <c r="E1748" s="115">
        <f>IF(DD_LVL2_ACTV_8_Currency_Selected=2,SOCMOB_DETAILED_COST_WKSHT!$F677*SOCMOB_DETAILED_COST_WKSHT!G677,SOCMOB_DETAILED_COST_WKSHT!$F677*(SOCMOB_DETAILED_COST_WKSHT!G677*LVL2_ACTV_8_Exchange_Rate))</f>
        <v>0</v>
      </c>
      <c r="F1748" s="115">
        <f>IF(DD_LVL2_ACTV_8_Currency_Selected=2,SOCMOB_DETAILED_COST_WKSHT!$F677*SOCMOB_DETAILED_COST_WKSHT!H677,SOCMOB_DETAILED_COST_WKSHT!$F677*(SOCMOB_DETAILED_COST_WKSHT!H677*LVL2_ACTV_8_Exchange_Rate))</f>
        <v>0</v>
      </c>
      <c r="G1748" s="116">
        <f t="shared" ref="G1748:G1757" si="166">E1748/LVL2_ACTV_8_Exchange_Rate</f>
        <v>0</v>
      </c>
      <c r="H1748" s="116">
        <f t="shared" ref="H1748:H1757" si="167">F1748/LVL2_ACTV_8_Exchange_Rate</f>
        <v>0</v>
      </c>
    </row>
    <row r="1749" spans="3:8" s="10" customFormat="1" outlineLevel="1" x14ac:dyDescent="0.2">
      <c r="D1749" s="49" t="str">
        <f>SOCMOB_DETAILED_COST_WKSHT!D678</f>
        <v>Other Direct Costs (ODC) Category 2</v>
      </c>
      <c r="E1749" s="115">
        <f>IF(DD_LVL2_ACTV_8_Currency_Selected=2,SOCMOB_DETAILED_COST_WKSHT!$F678*SOCMOB_DETAILED_COST_WKSHT!G678,SOCMOB_DETAILED_COST_WKSHT!$F678*(SOCMOB_DETAILED_COST_WKSHT!G678*LVL2_ACTV_8_Exchange_Rate))</f>
        <v>0</v>
      </c>
      <c r="F1749" s="115">
        <f>IF(DD_LVL2_ACTV_8_Currency_Selected=2,SOCMOB_DETAILED_COST_WKSHT!$F678*SOCMOB_DETAILED_COST_WKSHT!H678,SOCMOB_DETAILED_COST_WKSHT!$F678*(SOCMOB_DETAILED_COST_WKSHT!H678*LVL2_ACTV_8_Exchange_Rate))</f>
        <v>0</v>
      </c>
      <c r="G1749" s="116">
        <f t="shared" si="166"/>
        <v>0</v>
      </c>
      <c r="H1749" s="116">
        <f t="shared" si="167"/>
        <v>0</v>
      </c>
    </row>
    <row r="1750" spans="3:8" s="10" customFormat="1" outlineLevel="1" x14ac:dyDescent="0.2">
      <c r="D1750" s="49" t="str">
        <f>SOCMOB_DETAILED_COST_WKSHT!D679</f>
        <v>Other Direct Costs (ODC) Category 3</v>
      </c>
      <c r="E1750" s="115">
        <f>IF(DD_LVL2_ACTV_8_Currency_Selected=2,SOCMOB_DETAILED_COST_WKSHT!$F679*SOCMOB_DETAILED_COST_WKSHT!G679,SOCMOB_DETAILED_COST_WKSHT!$F679*(SOCMOB_DETAILED_COST_WKSHT!G679*LVL2_ACTV_8_Exchange_Rate))</f>
        <v>0</v>
      </c>
      <c r="F1750" s="115">
        <f>IF(DD_LVL2_ACTV_8_Currency_Selected=2,SOCMOB_DETAILED_COST_WKSHT!$F679*SOCMOB_DETAILED_COST_WKSHT!H679,SOCMOB_DETAILED_COST_WKSHT!$F679*(SOCMOB_DETAILED_COST_WKSHT!H679*LVL2_ACTV_8_Exchange_Rate))</f>
        <v>0</v>
      </c>
      <c r="G1750" s="116">
        <f t="shared" si="166"/>
        <v>0</v>
      </c>
      <c r="H1750" s="116">
        <f t="shared" si="167"/>
        <v>0</v>
      </c>
    </row>
    <row r="1751" spans="3:8" s="10" customFormat="1" outlineLevel="1" x14ac:dyDescent="0.2">
      <c r="D1751" s="49" t="str">
        <f>SOCMOB_DETAILED_COST_WKSHT!D680</f>
        <v>Other Direct Costs (ODC) Category 4</v>
      </c>
      <c r="E1751" s="115">
        <f>IF(DD_LVL2_ACTV_8_Currency_Selected=2,SOCMOB_DETAILED_COST_WKSHT!$F680*SOCMOB_DETAILED_COST_WKSHT!G680,SOCMOB_DETAILED_COST_WKSHT!$F680*(SOCMOB_DETAILED_COST_WKSHT!G680*LVL2_ACTV_8_Exchange_Rate))</f>
        <v>0</v>
      </c>
      <c r="F1751" s="115">
        <f>IF(DD_LVL2_ACTV_8_Currency_Selected=2,SOCMOB_DETAILED_COST_WKSHT!$F680*SOCMOB_DETAILED_COST_WKSHT!H680,SOCMOB_DETAILED_COST_WKSHT!$F680*(SOCMOB_DETAILED_COST_WKSHT!H680*LVL2_ACTV_8_Exchange_Rate))</f>
        <v>0</v>
      </c>
      <c r="G1751" s="116">
        <f t="shared" si="166"/>
        <v>0</v>
      </c>
      <c r="H1751" s="116">
        <f t="shared" si="167"/>
        <v>0</v>
      </c>
    </row>
    <row r="1752" spans="3:8" s="10" customFormat="1" outlineLevel="1" x14ac:dyDescent="0.2">
      <c r="D1752" s="49" t="str">
        <f>SOCMOB_DETAILED_COST_WKSHT!D681</f>
        <v>Other Direct Costs (ODC) Category 5</v>
      </c>
      <c r="E1752" s="115">
        <f>IF(DD_LVL2_ACTV_8_Currency_Selected=2,SOCMOB_DETAILED_COST_WKSHT!$F681*SOCMOB_DETAILED_COST_WKSHT!G681,SOCMOB_DETAILED_COST_WKSHT!$F681*(SOCMOB_DETAILED_COST_WKSHT!G681*LVL2_ACTV_8_Exchange_Rate))</f>
        <v>0</v>
      </c>
      <c r="F1752" s="115">
        <f>IF(DD_LVL2_ACTV_8_Currency_Selected=2,SOCMOB_DETAILED_COST_WKSHT!$F681*SOCMOB_DETAILED_COST_WKSHT!H681,SOCMOB_DETAILED_COST_WKSHT!$F681*(SOCMOB_DETAILED_COST_WKSHT!H681*LVL2_ACTV_8_Exchange_Rate))</f>
        <v>0</v>
      </c>
      <c r="G1752" s="116">
        <f t="shared" si="166"/>
        <v>0</v>
      </c>
      <c r="H1752" s="116">
        <f t="shared" si="167"/>
        <v>0</v>
      </c>
    </row>
    <row r="1753" spans="3:8" s="10" customFormat="1" outlineLevel="1" x14ac:dyDescent="0.2">
      <c r="D1753" s="49" t="str">
        <f>SOCMOB_DETAILED_COST_WKSHT!D682</f>
        <v>Other Direct Costs (ODC) Category 6</v>
      </c>
      <c r="E1753" s="115">
        <f>IF(DD_LVL2_ACTV_8_Currency_Selected=2,SOCMOB_DETAILED_COST_WKSHT!$F682*SOCMOB_DETAILED_COST_WKSHT!G682,SOCMOB_DETAILED_COST_WKSHT!$F682*(SOCMOB_DETAILED_COST_WKSHT!G682*LVL2_ACTV_8_Exchange_Rate))</f>
        <v>0</v>
      </c>
      <c r="F1753" s="115">
        <f>IF(DD_LVL2_ACTV_8_Currency_Selected=2,SOCMOB_DETAILED_COST_WKSHT!$F682*SOCMOB_DETAILED_COST_WKSHT!H682,SOCMOB_DETAILED_COST_WKSHT!$F682*(SOCMOB_DETAILED_COST_WKSHT!H682*LVL2_ACTV_8_Exchange_Rate))</f>
        <v>0</v>
      </c>
      <c r="G1753" s="116">
        <f t="shared" si="166"/>
        <v>0</v>
      </c>
      <c r="H1753" s="116">
        <f t="shared" si="167"/>
        <v>0</v>
      </c>
    </row>
    <row r="1754" spans="3:8" s="10" customFormat="1" outlineLevel="1" x14ac:dyDescent="0.2">
      <c r="D1754" s="49" t="str">
        <f>SOCMOB_DETAILED_COST_WKSHT!D683</f>
        <v>Other Direct Costs (ODC) Category 7</v>
      </c>
      <c r="E1754" s="115">
        <f>IF(DD_LVL2_ACTV_8_Currency_Selected=2,SOCMOB_DETAILED_COST_WKSHT!$F683*SOCMOB_DETAILED_COST_WKSHT!G683,SOCMOB_DETAILED_COST_WKSHT!$F683*(SOCMOB_DETAILED_COST_WKSHT!G683*LVL2_ACTV_8_Exchange_Rate))</f>
        <v>0</v>
      </c>
      <c r="F1754" s="115">
        <f>IF(DD_LVL2_ACTV_8_Currency_Selected=2,SOCMOB_DETAILED_COST_WKSHT!$F683*SOCMOB_DETAILED_COST_WKSHT!H683,SOCMOB_DETAILED_COST_WKSHT!$F683*(SOCMOB_DETAILED_COST_WKSHT!H683*LVL2_ACTV_8_Exchange_Rate))</f>
        <v>0</v>
      </c>
      <c r="G1754" s="116">
        <f t="shared" si="166"/>
        <v>0</v>
      </c>
      <c r="H1754" s="116">
        <f t="shared" si="167"/>
        <v>0</v>
      </c>
    </row>
    <row r="1755" spans="3:8" s="10" customFormat="1" outlineLevel="1" x14ac:dyDescent="0.2">
      <c r="D1755" s="49" t="str">
        <f>SOCMOB_DETAILED_COST_WKSHT!D684</f>
        <v>Other Direct Costs (ODC) Category 8</v>
      </c>
      <c r="E1755" s="115">
        <f>IF(DD_LVL2_ACTV_8_Currency_Selected=2,SOCMOB_DETAILED_COST_WKSHT!$F684*SOCMOB_DETAILED_COST_WKSHT!G684,SOCMOB_DETAILED_COST_WKSHT!$F684*(SOCMOB_DETAILED_COST_WKSHT!G684*LVL2_ACTV_8_Exchange_Rate))</f>
        <v>0</v>
      </c>
      <c r="F1755" s="115">
        <f>IF(DD_LVL2_ACTV_8_Currency_Selected=2,SOCMOB_DETAILED_COST_WKSHT!$F684*SOCMOB_DETAILED_COST_WKSHT!H684,SOCMOB_DETAILED_COST_WKSHT!$F684*(SOCMOB_DETAILED_COST_WKSHT!H684*LVL2_ACTV_8_Exchange_Rate))</f>
        <v>0</v>
      </c>
      <c r="G1755" s="116">
        <f t="shared" si="166"/>
        <v>0</v>
      </c>
      <c r="H1755" s="116">
        <f t="shared" si="167"/>
        <v>0</v>
      </c>
    </row>
    <row r="1756" spans="3:8" s="10" customFormat="1" outlineLevel="1" x14ac:dyDescent="0.2">
      <c r="D1756" s="49" t="str">
        <f>SOCMOB_DETAILED_COST_WKSHT!D685</f>
        <v>Other Direct Costs (ODC) Category 9</v>
      </c>
      <c r="E1756" s="115">
        <f>IF(DD_LVL2_ACTV_8_Currency_Selected=2,SOCMOB_DETAILED_COST_WKSHT!$F685*SOCMOB_DETAILED_COST_WKSHT!G685,SOCMOB_DETAILED_COST_WKSHT!$F685*(SOCMOB_DETAILED_COST_WKSHT!G685*LVL2_ACTV_8_Exchange_Rate))</f>
        <v>0</v>
      </c>
      <c r="F1756" s="115">
        <f>IF(DD_LVL2_ACTV_8_Currency_Selected=2,SOCMOB_DETAILED_COST_WKSHT!$F685*SOCMOB_DETAILED_COST_WKSHT!H685,SOCMOB_DETAILED_COST_WKSHT!$F685*(SOCMOB_DETAILED_COST_WKSHT!H685*LVL2_ACTV_8_Exchange_Rate))</f>
        <v>0</v>
      </c>
      <c r="G1756" s="116">
        <f t="shared" si="166"/>
        <v>0</v>
      </c>
      <c r="H1756" s="116">
        <f t="shared" si="167"/>
        <v>0</v>
      </c>
    </row>
    <row r="1757" spans="3:8" s="10" customFormat="1" outlineLevel="1" x14ac:dyDescent="0.2">
      <c r="D1757" s="49" t="str">
        <f>SOCMOB_DETAILED_COST_WKSHT!D686</f>
        <v>Other Direct Costs (ODC) Category 10</v>
      </c>
      <c r="E1757" s="115">
        <f>IF(DD_LVL2_ACTV_8_Currency_Selected=2,SOCMOB_DETAILED_COST_WKSHT!$F686*SOCMOB_DETAILED_COST_WKSHT!G686,SOCMOB_DETAILED_COST_WKSHT!$F686*(SOCMOB_DETAILED_COST_WKSHT!G686*LVL2_ACTV_8_Exchange_Rate))</f>
        <v>0</v>
      </c>
      <c r="F1757" s="115">
        <f>IF(DD_LVL2_ACTV_8_Currency_Selected=2,SOCMOB_DETAILED_COST_WKSHT!$F686*SOCMOB_DETAILED_COST_WKSHT!H686,SOCMOB_DETAILED_COST_WKSHT!$F686*(SOCMOB_DETAILED_COST_WKSHT!H686*LVL2_ACTV_8_Exchange_Rate))</f>
        <v>0</v>
      </c>
      <c r="G1757" s="116">
        <f t="shared" si="166"/>
        <v>0</v>
      </c>
      <c r="H1757" s="116">
        <f t="shared" si="167"/>
        <v>0</v>
      </c>
    </row>
    <row r="1758" spans="3:8" s="10" customFormat="1" outlineLevel="1" x14ac:dyDescent="0.2">
      <c r="D1758" s="48" t="str">
        <f>Lang_Other_Direct_Costs</f>
        <v>Other Direct Costs</v>
      </c>
      <c r="E1758" s="120">
        <f>SUM(E1748:E1757)</f>
        <v>0</v>
      </c>
      <c r="F1758" s="120">
        <f>SUM(F1748:F1757)</f>
        <v>0</v>
      </c>
      <c r="G1758" s="121">
        <f>SUM(G1748:G1757)</f>
        <v>0</v>
      </c>
      <c r="H1758" s="121">
        <f>SUM(H1748:H1757)</f>
        <v>0</v>
      </c>
    </row>
    <row r="1759" spans="3:8" s="10" customFormat="1" outlineLevel="1" x14ac:dyDescent="0.2"/>
    <row r="1760" spans="3:8" s="10" customFormat="1" outlineLevel="1" x14ac:dyDescent="0.2">
      <c r="D1760" s="76" t="str">
        <f>Lang_GoTo&amp;" "&amp;HL_LVL2_ACTV_8_Other_Direct_Costs</f>
        <v>Go to IEC Soc Mob  Activity # 7 (Not in Use) - Detailed Other Direct Cost Assumptions</v>
      </c>
    </row>
    <row r="1761" spans="1:8" s="10" customFormat="1" outlineLevel="1" x14ac:dyDescent="0.2">
      <c r="D1761" s="76" t="str">
        <f>Lang_GoTo&amp;" "&amp;HL_LVL2_ACTV_8_Cost_Summary_Output</f>
        <v>Go to IEC Soc Mob  Activity # 7 (Not in Use) Detailed Cost Summary</v>
      </c>
    </row>
    <row r="1762" spans="1:8" s="10" customFormat="1" x14ac:dyDescent="0.2"/>
    <row r="1763" spans="1:8" s="13" customFormat="1" x14ac:dyDescent="0.2">
      <c r="A1763" s="12" t="s">
        <v>127</v>
      </c>
      <c r="B1763" s="13" t="str">
        <f>C1765&amp;" "&amp;Lang_Personnel_Outputs</f>
        <v>IEC Soc Mob  Activity # 8 (Not in Use) Personnel - Outputs</v>
      </c>
    </row>
    <row r="1764" spans="1:8" s="10" customFormat="1" outlineLevel="1" x14ac:dyDescent="0.2"/>
    <row r="1765" spans="1:8" s="10" customFormat="1" outlineLevel="1" x14ac:dyDescent="0.2">
      <c r="C1765" s="114" t="str">
        <f>HL_LVL2_ACTV_21_Name</f>
        <v>IEC Soc Mob  Activity # 8 (Not in Use)</v>
      </c>
    </row>
    <row r="1766" spans="1:8" s="10" customFormat="1" outlineLevel="1" x14ac:dyDescent="0.2">
      <c r="E1766" s="86" t="str">
        <f>SOCMOB_Lu!$D$277&amp;" "&amp;Lang_Cost&amp;" ("&amp;SOCMOB_Lu!$D$258&amp;")"</f>
        <v>Financial Cost (LCU)</v>
      </c>
      <c r="F1766" s="86" t="str">
        <f>SOCMOB_Lu!$D$278&amp;" "&amp;Lang_Cost&amp;" ("&amp;SOCMOB_Lu!$D$258&amp;")"</f>
        <v>Economic Cost (LCU)</v>
      </c>
      <c r="G1766" s="86" t="str">
        <f>SOCMOB_Lu!$D$277&amp;" "&amp;Lang_Cost&amp;" ("&amp;SOCMOB_Lu!$D$257&amp;")"</f>
        <v>Financial Cost (USD)</v>
      </c>
      <c r="H1766" s="86" t="str">
        <f>SOCMOB_Lu!$D$278&amp;" "&amp;Lang_Cost&amp;" ("&amp;SOCMOB_Lu!$D$257&amp;")"</f>
        <v>Economic Cost (USD)</v>
      </c>
    </row>
    <row r="1767" spans="1:8" s="10" customFormat="1" outlineLevel="1" x14ac:dyDescent="0.2">
      <c r="D1767" s="49" t="str">
        <f>SOCMOB_DETAILED_COST_WKSHT!D717</f>
        <v>Personnel Category 1</v>
      </c>
      <c r="E1767" s="115">
        <f>IF(DD_LVL2_ACTV_21_Currency_Selected=2,SOCMOB_DETAILED_COST_WKSHT!$F717*SOCMOB_DETAILED_COST_WKSHT!G717,SOCMOB_DETAILED_COST_WKSHT!$F717*(SOCMOB_DETAILED_COST_WKSHT!G717*LVL2_ACTV_21_Exchange_Rate))</f>
        <v>0</v>
      </c>
      <c r="F1767" s="115">
        <f>IF(DD_LVL2_ACTV_21_Currency_Selected=2,SOCMOB_DETAILED_COST_WKSHT!$F717*SOCMOB_DETAILED_COST_WKSHT!H717,SOCMOB_DETAILED_COST_WKSHT!$F717*(SOCMOB_DETAILED_COST_WKSHT!H717*LVL2_ACTV_21_Exchange_Rate))</f>
        <v>0</v>
      </c>
      <c r="G1767" s="116">
        <f t="shared" ref="G1767:G1781" si="168">IFERROR(E1767/LVL2_ACTV_21_Exchange_Rate,0)</f>
        <v>0</v>
      </c>
      <c r="H1767" s="116">
        <f t="shared" ref="H1767:H1781" si="169">IFERROR(F1767/LVL2_ACTV_21_Exchange_Rate,0)</f>
        <v>0</v>
      </c>
    </row>
    <row r="1768" spans="1:8" s="10" customFormat="1" outlineLevel="1" x14ac:dyDescent="0.2">
      <c r="D1768" s="49" t="str">
        <f>SOCMOB_DETAILED_COST_WKSHT!D718</f>
        <v>Personnel Category 2</v>
      </c>
      <c r="E1768" s="115">
        <f>IF(DD_LVL2_ACTV_21_Currency_Selected=2,SOCMOB_DETAILED_COST_WKSHT!$F718*SOCMOB_DETAILED_COST_WKSHT!G718,SOCMOB_DETAILED_COST_WKSHT!$F718*(SOCMOB_DETAILED_COST_WKSHT!G718*LVL2_ACTV_21_Exchange_Rate))</f>
        <v>0</v>
      </c>
      <c r="F1768" s="115">
        <f>IF(DD_LVL2_ACTV_21_Currency_Selected=2,SOCMOB_DETAILED_COST_WKSHT!$F718*SOCMOB_DETAILED_COST_WKSHT!H718,SOCMOB_DETAILED_COST_WKSHT!$F718*(SOCMOB_DETAILED_COST_WKSHT!H718*LVL2_ACTV_21_Exchange_Rate))</f>
        <v>0</v>
      </c>
      <c r="G1768" s="116">
        <f t="shared" si="168"/>
        <v>0</v>
      </c>
      <c r="H1768" s="116">
        <f t="shared" si="169"/>
        <v>0</v>
      </c>
    </row>
    <row r="1769" spans="1:8" s="10" customFormat="1" outlineLevel="1" x14ac:dyDescent="0.2">
      <c r="D1769" s="49" t="str">
        <f>SOCMOB_DETAILED_COST_WKSHT!D719</f>
        <v>Personnel Category 3</v>
      </c>
      <c r="E1769" s="115">
        <f>IF(DD_LVL2_ACTV_21_Currency_Selected=2,SOCMOB_DETAILED_COST_WKSHT!$F719*SOCMOB_DETAILED_COST_WKSHT!G719,SOCMOB_DETAILED_COST_WKSHT!$F719*(SOCMOB_DETAILED_COST_WKSHT!G719*LVL2_ACTV_21_Exchange_Rate))</f>
        <v>0</v>
      </c>
      <c r="F1769" s="115">
        <f>IF(DD_LVL2_ACTV_21_Currency_Selected=2,SOCMOB_DETAILED_COST_WKSHT!$F719*SOCMOB_DETAILED_COST_WKSHT!H719,SOCMOB_DETAILED_COST_WKSHT!$F719*(SOCMOB_DETAILED_COST_WKSHT!H719*LVL2_ACTV_21_Exchange_Rate))</f>
        <v>0</v>
      </c>
      <c r="G1769" s="116">
        <f t="shared" si="168"/>
        <v>0</v>
      </c>
      <c r="H1769" s="116">
        <f t="shared" si="169"/>
        <v>0</v>
      </c>
    </row>
    <row r="1770" spans="1:8" s="10" customFormat="1" outlineLevel="1" x14ac:dyDescent="0.2">
      <c r="D1770" s="49" t="str">
        <f>SOCMOB_DETAILED_COST_WKSHT!D720</f>
        <v>Personnel Category 4</v>
      </c>
      <c r="E1770" s="115">
        <f>IF(DD_LVL2_ACTV_21_Currency_Selected=2,SOCMOB_DETAILED_COST_WKSHT!$F720*SOCMOB_DETAILED_COST_WKSHT!G720,SOCMOB_DETAILED_COST_WKSHT!$F720*(SOCMOB_DETAILED_COST_WKSHT!G720*LVL2_ACTV_21_Exchange_Rate))</f>
        <v>0</v>
      </c>
      <c r="F1770" s="115">
        <f>IF(DD_LVL2_ACTV_21_Currency_Selected=2,SOCMOB_DETAILED_COST_WKSHT!$F720*SOCMOB_DETAILED_COST_WKSHT!H720,SOCMOB_DETAILED_COST_WKSHT!$F720*(SOCMOB_DETAILED_COST_WKSHT!H720*LVL2_ACTV_21_Exchange_Rate))</f>
        <v>0</v>
      </c>
      <c r="G1770" s="116">
        <f t="shared" si="168"/>
        <v>0</v>
      </c>
      <c r="H1770" s="116">
        <f t="shared" si="169"/>
        <v>0</v>
      </c>
    </row>
    <row r="1771" spans="1:8" s="10" customFormat="1" outlineLevel="1" x14ac:dyDescent="0.2">
      <c r="D1771" s="49" t="str">
        <f>SOCMOB_DETAILED_COST_WKSHT!D721</f>
        <v>Personnel Category 5</v>
      </c>
      <c r="E1771" s="115">
        <f>IF(DD_LVL2_ACTV_21_Currency_Selected=2,SOCMOB_DETAILED_COST_WKSHT!$F721*SOCMOB_DETAILED_COST_WKSHT!G721,SOCMOB_DETAILED_COST_WKSHT!$F721*(SOCMOB_DETAILED_COST_WKSHT!G721*LVL2_ACTV_21_Exchange_Rate))</f>
        <v>0</v>
      </c>
      <c r="F1771" s="115">
        <f>IF(DD_LVL2_ACTV_21_Currency_Selected=2,SOCMOB_DETAILED_COST_WKSHT!$F721*SOCMOB_DETAILED_COST_WKSHT!H721,SOCMOB_DETAILED_COST_WKSHT!$F721*(SOCMOB_DETAILED_COST_WKSHT!H721*LVL2_ACTV_21_Exchange_Rate))</f>
        <v>0</v>
      </c>
      <c r="G1771" s="116">
        <f t="shared" si="168"/>
        <v>0</v>
      </c>
      <c r="H1771" s="116">
        <f t="shared" si="169"/>
        <v>0</v>
      </c>
    </row>
    <row r="1772" spans="1:8" s="10" customFormat="1" outlineLevel="1" x14ac:dyDescent="0.2">
      <c r="D1772" s="49" t="str">
        <f>SOCMOB_DETAILED_COST_WKSHT!D722</f>
        <v>Personnel Category 6</v>
      </c>
      <c r="E1772" s="115">
        <f>IF(DD_LVL2_ACTV_21_Currency_Selected=2,SOCMOB_DETAILED_COST_WKSHT!$F722*SOCMOB_DETAILED_COST_WKSHT!G722,SOCMOB_DETAILED_COST_WKSHT!$F722*(SOCMOB_DETAILED_COST_WKSHT!G722*LVL2_ACTV_21_Exchange_Rate))</f>
        <v>0</v>
      </c>
      <c r="F1772" s="115">
        <f>IF(DD_LVL2_ACTV_21_Currency_Selected=2,SOCMOB_DETAILED_COST_WKSHT!$F722*SOCMOB_DETAILED_COST_WKSHT!H722,SOCMOB_DETAILED_COST_WKSHT!$F722*(SOCMOB_DETAILED_COST_WKSHT!H722*LVL2_ACTV_21_Exchange_Rate))</f>
        <v>0</v>
      </c>
      <c r="G1772" s="116">
        <f t="shared" si="168"/>
        <v>0</v>
      </c>
      <c r="H1772" s="116">
        <f t="shared" si="169"/>
        <v>0</v>
      </c>
    </row>
    <row r="1773" spans="1:8" s="10" customFormat="1" outlineLevel="1" x14ac:dyDescent="0.2">
      <c r="D1773" s="49" t="str">
        <f>SOCMOB_DETAILED_COST_WKSHT!D723</f>
        <v>Personnel Category 7</v>
      </c>
      <c r="E1773" s="115">
        <f>IF(DD_LVL2_ACTV_21_Currency_Selected=2,SOCMOB_DETAILED_COST_WKSHT!$F723*SOCMOB_DETAILED_COST_WKSHT!G723,SOCMOB_DETAILED_COST_WKSHT!$F723*(SOCMOB_DETAILED_COST_WKSHT!G723*LVL2_ACTV_21_Exchange_Rate))</f>
        <v>0</v>
      </c>
      <c r="F1773" s="115">
        <f>IF(DD_LVL2_ACTV_21_Currency_Selected=2,SOCMOB_DETAILED_COST_WKSHT!$F723*SOCMOB_DETAILED_COST_WKSHT!H723,SOCMOB_DETAILED_COST_WKSHT!$F723*(SOCMOB_DETAILED_COST_WKSHT!H723*LVL2_ACTV_21_Exchange_Rate))</f>
        <v>0</v>
      </c>
      <c r="G1773" s="116">
        <f t="shared" si="168"/>
        <v>0</v>
      </c>
      <c r="H1773" s="116">
        <f t="shared" si="169"/>
        <v>0</v>
      </c>
    </row>
    <row r="1774" spans="1:8" s="10" customFormat="1" outlineLevel="1" x14ac:dyDescent="0.2">
      <c r="D1774" s="49" t="str">
        <f>SOCMOB_DETAILED_COST_WKSHT!D724</f>
        <v>Personnel Category 8</v>
      </c>
      <c r="E1774" s="115">
        <f>IF(DD_LVL2_ACTV_21_Currency_Selected=2,SOCMOB_DETAILED_COST_WKSHT!$F724*SOCMOB_DETAILED_COST_WKSHT!G724,SOCMOB_DETAILED_COST_WKSHT!$F724*(SOCMOB_DETAILED_COST_WKSHT!G724*LVL2_ACTV_21_Exchange_Rate))</f>
        <v>0</v>
      </c>
      <c r="F1774" s="115">
        <f>IF(DD_LVL2_ACTV_21_Currency_Selected=2,SOCMOB_DETAILED_COST_WKSHT!$F724*SOCMOB_DETAILED_COST_WKSHT!H724,SOCMOB_DETAILED_COST_WKSHT!$F724*(SOCMOB_DETAILED_COST_WKSHT!H724*LVL2_ACTV_21_Exchange_Rate))</f>
        <v>0</v>
      </c>
      <c r="G1774" s="116">
        <f t="shared" si="168"/>
        <v>0</v>
      </c>
      <c r="H1774" s="116">
        <f t="shared" si="169"/>
        <v>0</v>
      </c>
    </row>
    <row r="1775" spans="1:8" s="10" customFormat="1" outlineLevel="1" x14ac:dyDescent="0.2">
      <c r="D1775" s="49" t="str">
        <f>SOCMOB_DETAILED_COST_WKSHT!D725</f>
        <v>Personnel Category 9</v>
      </c>
      <c r="E1775" s="115">
        <f>IF(DD_LVL2_ACTV_21_Currency_Selected=2,SOCMOB_DETAILED_COST_WKSHT!$F725*SOCMOB_DETAILED_COST_WKSHT!G725,SOCMOB_DETAILED_COST_WKSHT!$F725*(SOCMOB_DETAILED_COST_WKSHT!G725*LVL2_ACTV_21_Exchange_Rate))</f>
        <v>0</v>
      </c>
      <c r="F1775" s="115">
        <f>IF(DD_LVL2_ACTV_21_Currency_Selected=2,SOCMOB_DETAILED_COST_WKSHT!$F725*SOCMOB_DETAILED_COST_WKSHT!H725,SOCMOB_DETAILED_COST_WKSHT!$F725*(SOCMOB_DETAILED_COST_WKSHT!H725*LVL2_ACTV_21_Exchange_Rate))</f>
        <v>0</v>
      </c>
      <c r="G1775" s="116">
        <f t="shared" si="168"/>
        <v>0</v>
      </c>
      <c r="H1775" s="116">
        <f t="shared" si="169"/>
        <v>0</v>
      </c>
    </row>
    <row r="1776" spans="1:8" s="10" customFormat="1" outlineLevel="1" x14ac:dyDescent="0.2">
      <c r="D1776" s="49" t="str">
        <f>SOCMOB_DETAILED_COST_WKSHT!D726</f>
        <v>Personnel Category 10</v>
      </c>
      <c r="E1776" s="115">
        <f>IF(DD_LVL2_ACTV_21_Currency_Selected=2,SOCMOB_DETAILED_COST_WKSHT!$F726*SOCMOB_DETAILED_COST_WKSHT!G726,SOCMOB_DETAILED_COST_WKSHT!$F726*(SOCMOB_DETAILED_COST_WKSHT!G726*LVL2_ACTV_21_Exchange_Rate))</f>
        <v>0</v>
      </c>
      <c r="F1776" s="115">
        <f>IF(DD_LVL2_ACTV_21_Currency_Selected=2,SOCMOB_DETAILED_COST_WKSHT!$F726*SOCMOB_DETAILED_COST_WKSHT!H726,SOCMOB_DETAILED_COST_WKSHT!$F726*(SOCMOB_DETAILED_COST_WKSHT!H726*LVL2_ACTV_21_Exchange_Rate))</f>
        <v>0</v>
      </c>
      <c r="G1776" s="116">
        <f t="shared" si="168"/>
        <v>0</v>
      </c>
      <c r="H1776" s="116">
        <f t="shared" si="169"/>
        <v>0</v>
      </c>
    </row>
    <row r="1777" spans="1:8" s="10" customFormat="1" outlineLevel="1" x14ac:dyDescent="0.2">
      <c r="D1777" s="49" t="str">
        <f>SOCMOB_DETAILED_COST_WKSHT!D727</f>
        <v>Personnel Category 11</v>
      </c>
      <c r="E1777" s="115">
        <f>IF(DD_LVL2_ACTV_21_Currency_Selected=2,SOCMOB_DETAILED_COST_WKSHT!$F727*SOCMOB_DETAILED_COST_WKSHT!G727,SOCMOB_DETAILED_COST_WKSHT!$F727*(SOCMOB_DETAILED_COST_WKSHT!G727*LVL2_ACTV_21_Exchange_Rate))</f>
        <v>0</v>
      </c>
      <c r="F1777" s="115">
        <f>IF(DD_LVL2_ACTV_21_Currency_Selected=2,SOCMOB_DETAILED_COST_WKSHT!$F727*SOCMOB_DETAILED_COST_WKSHT!H727,SOCMOB_DETAILED_COST_WKSHT!$F727*(SOCMOB_DETAILED_COST_WKSHT!H727*LVL2_ACTV_21_Exchange_Rate))</f>
        <v>0</v>
      </c>
      <c r="G1777" s="116">
        <f t="shared" si="168"/>
        <v>0</v>
      </c>
      <c r="H1777" s="116">
        <f t="shared" si="169"/>
        <v>0</v>
      </c>
    </row>
    <row r="1778" spans="1:8" s="10" customFormat="1" outlineLevel="1" x14ac:dyDescent="0.2">
      <c r="D1778" s="49" t="str">
        <f>SOCMOB_DETAILED_COST_WKSHT!D728</f>
        <v>Personnel Category 12</v>
      </c>
      <c r="E1778" s="115">
        <f>IF(DD_LVL2_ACTV_21_Currency_Selected=2,SOCMOB_DETAILED_COST_WKSHT!$F728*SOCMOB_DETAILED_COST_WKSHT!G728,SOCMOB_DETAILED_COST_WKSHT!$F728*(SOCMOB_DETAILED_COST_WKSHT!G728*LVL2_ACTV_21_Exchange_Rate))</f>
        <v>0</v>
      </c>
      <c r="F1778" s="115">
        <f>IF(DD_LVL2_ACTV_21_Currency_Selected=2,SOCMOB_DETAILED_COST_WKSHT!$F728*SOCMOB_DETAILED_COST_WKSHT!H728,SOCMOB_DETAILED_COST_WKSHT!$F728*(SOCMOB_DETAILED_COST_WKSHT!H728*LVL2_ACTV_21_Exchange_Rate))</f>
        <v>0</v>
      </c>
      <c r="G1778" s="116">
        <f t="shared" si="168"/>
        <v>0</v>
      </c>
      <c r="H1778" s="116">
        <f t="shared" si="169"/>
        <v>0</v>
      </c>
    </row>
    <row r="1779" spans="1:8" s="10" customFormat="1" outlineLevel="1" x14ac:dyDescent="0.2">
      <c r="D1779" s="49" t="str">
        <f>SOCMOB_DETAILED_COST_WKSHT!D729</f>
        <v>Personnel Category 13</v>
      </c>
      <c r="E1779" s="115">
        <f>IF(DD_LVL2_ACTV_21_Currency_Selected=2,SOCMOB_DETAILED_COST_WKSHT!$F729*SOCMOB_DETAILED_COST_WKSHT!G729,SOCMOB_DETAILED_COST_WKSHT!$F729*(SOCMOB_DETAILED_COST_WKSHT!G729*LVL2_ACTV_21_Exchange_Rate))</f>
        <v>0</v>
      </c>
      <c r="F1779" s="115">
        <f>IF(DD_LVL2_ACTV_21_Currency_Selected=2,SOCMOB_DETAILED_COST_WKSHT!$F729*SOCMOB_DETAILED_COST_WKSHT!H729,SOCMOB_DETAILED_COST_WKSHT!$F729*(SOCMOB_DETAILED_COST_WKSHT!H729*LVL2_ACTV_21_Exchange_Rate))</f>
        <v>0</v>
      </c>
      <c r="G1779" s="116">
        <f t="shared" si="168"/>
        <v>0</v>
      </c>
      <c r="H1779" s="116">
        <f t="shared" si="169"/>
        <v>0</v>
      </c>
    </row>
    <row r="1780" spans="1:8" s="10" customFormat="1" outlineLevel="1" x14ac:dyDescent="0.2">
      <c r="D1780" s="49" t="str">
        <f>SOCMOB_DETAILED_COST_WKSHT!D730</f>
        <v>Personnel Category 14</v>
      </c>
      <c r="E1780" s="115">
        <f>IF(DD_LVL2_ACTV_21_Currency_Selected=2,SOCMOB_DETAILED_COST_WKSHT!$F730*SOCMOB_DETAILED_COST_WKSHT!G730,SOCMOB_DETAILED_COST_WKSHT!$F730*(SOCMOB_DETAILED_COST_WKSHT!G730*LVL2_ACTV_21_Exchange_Rate))</f>
        <v>0</v>
      </c>
      <c r="F1780" s="115">
        <f>IF(DD_LVL2_ACTV_21_Currency_Selected=2,SOCMOB_DETAILED_COST_WKSHT!$F730*SOCMOB_DETAILED_COST_WKSHT!H730,SOCMOB_DETAILED_COST_WKSHT!$F730*(SOCMOB_DETAILED_COST_WKSHT!H730*LVL2_ACTV_21_Exchange_Rate))</f>
        <v>0</v>
      </c>
      <c r="G1780" s="116">
        <f t="shared" si="168"/>
        <v>0</v>
      </c>
      <c r="H1780" s="116">
        <f t="shared" si="169"/>
        <v>0</v>
      </c>
    </row>
    <row r="1781" spans="1:8" s="10" customFormat="1" outlineLevel="1" x14ac:dyDescent="0.2">
      <c r="D1781" s="49" t="str">
        <f>SOCMOB_DETAILED_COST_WKSHT!D731</f>
        <v>Personnel Category 15</v>
      </c>
      <c r="E1781" s="115">
        <f>IF(DD_LVL2_ACTV_21_Currency_Selected=2,SOCMOB_DETAILED_COST_WKSHT!$F731*SOCMOB_DETAILED_COST_WKSHT!G731,SOCMOB_DETAILED_COST_WKSHT!$F731*(SOCMOB_DETAILED_COST_WKSHT!G731*LVL2_ACTV_21_Exchange_Rate))</f>
        <v>0</v>
      </c>
      <c r="F1781" s="115">
        <f>IF(DD_LVL2_ACTV_21_Currency_Selected=2,SOCMOB_DETAILED_COST_WKSHT!$F731*SOCMOB_DETAILED_COST_WKSHT!H731,SOCMOB_DETAILED_COST_WKSHT!$F731*(SOCMOB_DETAILED_COST_WKSHT!H731*LVL2_ACTV_21_Exchange_Rate))</f>
        <v>0</v>
      </c>
      <c r="G1781" s="116">
        <f t="shared" si="168"/>
        <v>0</v>
      </c>
      <c r="H1781" s="116">
        <f t="shared" si="169"/>
        <v>0</v>
      </c>
    </row>
    <row r="1782" spans="1:8" s="10" customFormat="1" outlineLevel="1" x14ac:dyDescent="0.2">
      <c r="D1782" s="48" t="str">
        <f>Lang_Personnel</f>
        <v>Personnel</v>
      </c>
      <c r="E1782" s="120">
        <f>SUM(E1767:E1781)</f>
        <v>0</v>
      </c>
      <c r="F1782" s="120">
        <f>SUM(F1767:F1781)</f>
        <v>0</v>
      </c>
      <c r="G1782" s="121">
        <f>SUM(G1767:G1781)</f>
        <v>0</v>
      </c>
      <c r="H1782" s="121">
        <f>SUM(H1767:H1781)</f>
        <v>0</v>
      </c>
    </row>
    <row r="1783" spans="1:8" s="10" customFormat="1" outlineLevel="1" x14ac:dyDescent="0.2"/>
    <row r="1784" spans="1:8" s="10" customFormat="1" outlineLevel="1" x14ac:dyDescent="0.2"/>
    <row r="1785" spans="1:8" s="10" customFormat="1" outlineLevel="1" x14ac:dyDescent="0.2">
      <c r="D1785" s="76" t="str">
        <f>Lang_GoTo&amp;" "&amp;HL_LVL2_ACTV_21_Personnel_Assumptions</f>
        <v>Go to IEC Soc Mob  Activity # 8 (Not in Use) - Detailed Personnel Cost Assumptions</v>
      </c>
    </row>
    <row r="1786" spans="1:8" s="10" customFormat="1" outlineLevel="1" x14ac:dyDescent="0.2">
      <c r="D1786" s="76" t="str">
        <f>Lang_GoTo&amp;" "&amp;HL_LVL2_ACTV_21_Cost_Summary_Output</f>
        <v>Go to IEC Soc Mob  Activity # 8 (Not in Use) Detailed Cost Summary</v>
      </c>
    </row>
    <row r="1787" spans="1:8" s="10" customFormat="1" x14ac:dyDescent="0.2"/>
    <row r="1788" spans="1:8" s="13" customFormat="1" x14ac:dyDescent="0.2">
      <c r="A1788" s="12" t="s">
        <v>127</v>
      </c>
      <c r="B1788" s="13" t="str">
        <f>C1790&amp;" "&amp;Lang_Allowances_Outputs</f>
        <v>IEC Soc Mob  Activity # 8 (Not in Use) Allowances - Outputs</v>
      </c>
    </row>
    <row r="1789" spans="1:8" s="10" customFormat="1" outlineLevel="1" x14ac:dyDescent="0.2"/>
    <row r="1790" spans="1:8" s="10" customFormat="1" outlineLevel="1" x14ac:dyDescent="0.2">
      <c r="C1790" s="114" t="str">
        <f>HL_LVL2_ACTV_21_Name</f>
        <v>IEC Soc Mob  Activity # 8 (Not in Use)</v>
      </c>
    </row>
    <row r="1791" spans="1:8" s="10" customFormat="1" outlineLevel="1" x14ac:dyDescent="0.2">
      <c r="E1791" s="86" t="str">
        <f>SOCMOB_Lu!$D$277&amp;" "&amp;Lang_Cost&amp;" ("&amp;SOCMOB_Lu!$D$258&amp;")"</f>
        <v>Financial Cost (LCU)</v>
      </c>
      <c r="F1791" s="86" t="str">
        <f>SOCMOB_Lu!$D$278&amp;" "&amp;Lang_Cost&amp;" ("&amp;SOCMOB_Lu!$D$258&amp;")"</f>
        <v>Economic Cost (LCU)</v>
      </c>
      <c r="G1791" s="86" t="str">
        <f>SOCMOB_Lu!$D$277&amp;" "&amp;Lang_Cost&amp;" ("&amp;SOCMOB_Lu!$D$257&amp;")"</f>
        <v>Financial Cost (USD)</v>
      </c>
      <c r="H1791" s="86" t="str">
        <f>SOCMOB_Lu!$D$278&amp;" "&amp;Lang_Cost&amp;" ("&amp;SOCMOB_Lu!$D$257&amp;")"</f>
        <v>Economic Cost (USD)</v>
      </c>
    </row>
    <row r="1792" spans="1:8" s="10" customFormat="1" outlineLevel="1" x14ac:dyDescent="0.2">
      <c r="D1792" s="49" t="str">
        <f>SOCMOB_DETAILED_COST_WKSHT!D740</f>
        <v>Allowances Category 1</v>
      </c>
      <c r="E1792" s="115">
        <f>IF(DD_LVL2_ACTV_21_Currency_Selected=2,SOCMOB_DETAILED_COST_WKSHT!$F740*SOCMOB_DETAILED_COST_WKSHT!G740,SOCMOB_DETAILED_COST_WKSHT!$F740*(SOCMOB_DETAILED_COST_WKSHT!G740*LVL2_ACTV_21_Exchange_Rate))</f>
        <v>0</v>
      </c>
      <c r="F1792" s="115">
        <f>IF(DD_LVL2_ACTV_21_Currency_Selected=2,SOCMOB_DETAILED_COST_WKSHT!$F740*SOCMOB_DETAILED_COST_WKSHT!H740,SOCMOB_DETAILED_COST_WKSHT!$F740*(SOCMOB_DETAILED_COST_WKSHT!H740*LVL2_ACTV_21_Exchange_Rate))</f>
        <v>0</v>
      </c>
      <c r="G1792" s="116">
        <f t="shared" ref="G1792:G1801" si="170">E1792/LVL2_ACTV_21_Exchange_Rate</f>
        <v>0</v>
      </c>
      <c r="H1792" s="116">
        <f t="shared" ref="H1792:H1801" si="171">F1792/LVL2_ACTV_21_Exchange_Rate</f>
        <v>0</v>
      </c>
    </row>
    <row r="1793" spans="1:8" s="10" customFormat="1" outlineLevel="1" x14ac:dyDescent="0.2">
      <c r="D1793" s="49" t="str">
        <f>SOCMOB_DETAILED_COST_WKSHT!D741</f>
        <v>Allowances Category 2</v>
      </c>
      <c r="E1793" s="115">
        <f>IF(DD_LVL2_ACTV_21_Currency_Selected=2,SOCMOB_DETAILED_COST_WKSHT!$F741*SOCMOB_DETAILED_COST_WKSHT!G741,SOCMOB_DETAILED_COST_WKSHT!$F741*(SOCMOB_DETAILED_COST_WKSHT!G741*LVL2_ACTV_21_Exchange_Rate))</f>
        <v>0</v>
      </c>
      <c r="F1793" s="115">
        <f>IF(DD_LVL2_ACTV_21_Currency_Selected=2,SOCMOB_DETAILED_COST_WKSHT!$F741*SOCMOB_DETAILED_COST_WKSHT!H741,SOCMOB_DETAILED_COST_WKSHT!$F741*(SOCMOB_DETAILED_COST_WKSHT!H741*LVL2_ACTV_21_Exchange_Rate))</f>
        <v>0</v>
      </c>
      <c r="G1793" s="116">
        <f t="shared" si="170"/>
        <v>0</v>
      </c>
      <c r="H1793" s="116">
        <f t="shared" si="171"/>
        <v>0</v>
      </c>
    </row>
    <row r="1794" spans="1:8" s="10" customFormat="1" outlineLevel="1" x14ac:dyDescent="0.2">
      <c r="D1794" s="49" t="str">
        <f>SOCMOB_DETAILED_COST_WKSHT!D742</f>
        <v>Allowances Category 3</v>
      </c>
      <c r="E1794" s="115">
        <f>IF(DD_LVL2_ACTV_21_Currency_Selected=2,SOCMOB_DETAILED_COST_WKSHT!$F742*SOCMOB_DETAILED_COST_WKSHT!G742,SOCMOB_DETAILED_COST_WKSHT!$F742*(SOCMOB_DETAILED_COST_WKSHT!G742*LVL2_ACTV_21_Exchange_Rate))</f>
        <v>0</v>
      </c>
      <c r="F1794" s="115">
        <f>IF(DD_LVL2_ACTV_21_Currency_Selected=2,SOCMOB_DETAILED_COST_WKSHT!$F742*SOCMOB_DETAILED_COST_WKSHT!H742,SOCMOB_DETAILED_COST_WKSHT!$F742*(SOCMOB_DETAILED_COST_WKSHT!H742*LVL2_ACTV_21_Exchange_Rate))</f>
        <v>0</v>
      </c>
      <c r="G1794" s="116">
        <f t="shared" si="170"/>
        <v>0</v>
      </c>
      <c r="H1794" s="116">
        <f t="shared" si="171"/>
        <v>0</v>
      </c>
    </row>
    <row r="1795" spans="1:8" s="10" customFormat="1" outlineLevel="1" x14ac:dyDescent="0.2">
      <c r="D1795" s="49" t="str">
        <f>SOCMOB_DETAILED_COST_WKSHT!D743</f>
        <v>Allowances Category 4</v>
      </c>
      <c r="E1795" s="115">
        <f>IF(DD_LVL2_ACTV_21_Currency_Selected=2,SOCMOB_DETAILED_COST_WKSHT!$F743*SOCMOB_DETAILED_COST_WKSHT!G743,SOCMOB_DETAILED_COST_WKSHT!$F743*(SOCMOB_DETAILED_COST_WKSHT!G743*LVL2_ACTV_21_Exchange_Rate))</f>
        <v>0</v>
      </c>
      <c r="F1795" s="115">
        <f>IF(DD_LVL2_ACTV_21_Currency_Selected=2,SOCMOB_DETAILED_COST_WKSHT!$F743*SOCMOB_DETAILED_COST_WKSHT!H743,SOCMOB_DETAILED_COST_WKSHT!$F743*(SOCMOB_DETAILED_COST_WKSHT!H743*LVL2_ACTV_21_Exchange_Rate))</f>
        <v>0</v>
      </c>
      <c r="G1795" s="116">
        <f t="shared" si="170"/>
        <v>0</v>
      </c>
      <c r="H1795" s="116">
        <f t="shared" si="171"/>
        <v>0</v>
      </c>
    </row>
    <row r="1796" spans="1:8" s="10" customFormat="1" outlineLevel="1" x14ac:dyDescent="0.2">
      <c r="D1796" s="49" t="str">
        <f>SOCMOB_DETAILED_COST_WKSHT!D744</f>
        <v>Allowances Category 5</v>
      </c>
      <c r="E1796" s="115">
        <f>IF(DD_LVL2_ACTV_21_Currency_Selected=2,SOCMOB_DETAILED_COST_WKSHT!$F744*SOCMOB_DETAILED_COST_WKSHT!G744,SOCMOB_DETAILED_COST_WKSHT!$F744*(SOCMOB_DETAILED_COST_WKSHT!G744*LVL2_ACTV_21_Exchange_Rate))</f>
        <v>0</v>
      </c>
      <c r="F1796" s="115">
        <f>IF(DD_LVL2_ACTV_21_Currency_Selected=2,SOCMOB_DETAILED_COST_WKSHT!$F744*SOCMOB_DETAILED_COST_WKSHT!H744,SOCMOB_DETAILED_COST_WKSHT!$F744*(SOCMOB_DETAILED_COST_WKSHT!H744*LVL2_ACTV_21_Exchange_Rate))</f>
        <v>0</v>
      </c>
      <c r="G1796" s="116">
        <f t="shared" si="170"/>
        <v>0</v>
      </c>
      <c r="H1796" s="116">
        <f t="shared" si="171"/>
        <v>0</v>
      </c>
    </row>
    <row r="1797" spans="1:8" s="10" customFormat="1" outlineLevel="1" x14ac:dyDescent="0.2">
      <c r="D1797" s="49" t="str">
        <f>SOCMOB_DETAILED_COST_WKSHT!D745</f>
        <v>Allowances Category 6</v>
      </c>
      <c r="E1797" s="115">
        <f>IF(DD_LVL2_ACTV_21_Currency_Selected=2,SOCMOB_DETAILED_COST_WKSHT!$F745*SOCMOB_DETAILED_COST_WKSHT!G745,SOCMOB_DETAILED_COST_WKSHT!$F745*(SOCMOB_DETAILED_COST_WKSHT!G745*LVL2_ACTV_21_Exchange_Rate))</f>
        <v>0</v>
      </c>
      <c r="F1797" s="115">
        <f>IF(DD_LVL2_ACTV_21_Currency_Selected=2,SOCMOB_DETAILED_COST_WKSHT!$F745*SOCMOB_DETAILED_COST_WKSHT!H745,SOCMOB_DETAILED_COST_WKSHT!$F745*(SOCMOB_DETAILED_COST_WKSHT!H745*LVL2_ACTV_21_Exchange_Rate))</f>
        <v>0</v>
      </c>
      <c r="G1797" s="116">
        <f t="shared" si="170"/>
        <v>0</v>
      </c>
      <c r="H1797" s="116">
        <f t="shared" si="171"/>
        <v>0</v>
      </c>
    </row>
    <row r="1798" spans="1:8" s="10" customFormat="1" outlineLevel="1" x14ac:dyDescent="0.2">
      <c r="D1798" s="49" t="str">
        <f>SOCMOB_DETAILED_COST_WKSHT!D746</f>
        <v>Allowances Category 7</v>
      </c>
      <c r="E1798" s="115">
        <f>IF(DD_LVL2_ACTV_21_Currency_Selected=2,SOCMOB_DETAILED_COST_WKSHT!$F746*SOCMOB_DETAILED_COST_WKSHT!G746,SOCMOB_DETAILED_COST_WKSHT!$F746*(SOCMOB_DETAILED_COST_WKSHT!G746*LVL2_ACTV_21_Exchange_Rate))</f>
        <v>0</v>
      </c>
      <c r="F1798" s="115">
        <f>IF(DD_LVL2_ACTV_21_Currency_Selected=2,SOCMOB_DETAILED_COST_WKSHT!$F746*SOCMOB_DETAILED_COST_WKSHT!H746,SOCMOB_DETAILED_COST_WKSHT!$F746*(SOCMOB_DETAILED_COST_WKSHT!H746*LVL2_ACTV_21_Exchange_Rate))</f>
        <v>0</v>
      </c>
      <c r="G1798" s="116">
        <f t="shared" si="170"/>
        <v>0</v>
      </c>
      <c r="H1798" s="116">
        <f t="shared" si="171"/>
        <v>0</v>
      </c>
    </row>
    <row r="1799" spans="1:8" s="10" customFormat="1" outlineLevel="1" x14ac:dyDescent="0.2">
      <c r="D1799" s="49" t="str">
        <f>SOCMOB_DETAILED_COST_WKSHT!D747</f>
        <v>Allowances Category 8</v>
      </c>
      <c r="E1799" s="115">
        <f>IF(DD_LVL2_ACTV_21_Currency_Selected=2,SOCMOB_DETAILED_COST_WKSHT!$F747*SOCMOB_DETAILED_COST_WKSHT!G747,SOCMOB_DETAILED_COST_WKSHT!$F747*(SOCMOB_DETAILED_COST_WKSHT!G747*LVL2_ACTV_21_Exchange_Rate))</f>
        <v>0</v>
      </c>
      <c r="F1799" s="115">
        <f>IF(DD_LVL2_ACTV_21_Currency_Selected=2,SOCMOB_DETAILED_COST_WKSHT!$F747*SOCMOB_DETAILED_COST_WKSHT!H747,SOCMOB_DETAILED_COST_WKSHT!$F747*(SOCMOB_DETAILED_COST_WKSHT!H747*LVL2_ACTV_21_Exchange_Rate))</f>
        <v>0</v>
      </c>
      <c r="G1799" s="116">
        <f t="shared" si="170"/>
        <v>0</v>
      </c>
      <c r="H1799" s="116">
        <f t="shared" si="171"/>
        <v>0</v>
      </c>
    </row>
    <row r="1800" spans="1:8" s="10" customFormat="1" outlineLevel="1" x14ac:dyDescent="0.2">
      <c r="D1800" s="49" t="str">
        <f>SOCMOB_DETAILED_COST_WKSHT!D748</f>
        <v>Allowances Category 9</v>
      </c>
      <c r="E1800" s="115">
        <f>IF(DD_LVL2_ACTV_21_Currency_Selected=2,SOCMOB_DETAILED_COST_WKSHT!$F748*SOCMOB_DETAILED_COST_WKSHT!G748,SOCMOB_DETAILED_COST_WKSHT!$F748*(SOCMOB_DETAILED_COST_WKSHT!G748*LVL2_ACTV_21_Exchange_Rate))</f>
        <v>0</v>
      </c>
      <c r="F1800" s="115">
        <f>IF(DD_LVL2_ACTV_21_Currency_Selected=2,SOCMOB_DETAILED_COST_WKSHT!$F748*SOCMOB_DETAILED_COST_WKSHT!H748,SOCMOB_DETAILED_COST_WKSHT!$F748*(SOCMOB_DETAILED_COST_WKSHT!H748*LVL2_ACTV_21_Exchange_Rate))</f>
        <v>0</v>
      </c>
      <c r="G1800" s="116">
        <f t="shared" si="170"/>
        <v>0</v>
      </c>
      <c r="H1800" s="116">
        <f t="shared" si="171"/>
        <v>0</v>
      </c>
    </row>
    <row r="1801" spans="1:8" s="10" customFormat="1" outlineLevel="1" x14ac:dyDescent="0.2">
      <c r="D1801" s="49" t="str">
        <f>SOCMOB_DETAILED_COST_WKSHT!D749</f>
        <v>Allowances Category 10</v>
      </c>
      <c r="E1801" s="115">
        <f>IF(DD_LVL2_ACTV_21_Currency_Selected=2,SOCMOB_DETAILED_COST_WKSHT!$F749*SOCMOB_DETAILED_COST_WKSHT!G749,SOCMOB_DETAILED_COST_WKSHT!$F749*(SOCMOB_DETAILED_COST_WKSHT!G749*LVL2_ACTV_21_Exchange_Rate))</f>
        <v>0</v>
      </c>
      <c r="F1801" s="115">
        <f>IF(DD_LVL2_ACTV_21_Currency_Selected=2,SOCMOB_DETAILED_COST_WKSHT!$F749*SOCMOB_DETAILED_COST_WKSHT!H749,SOCMOB_DETAILED_COST_WKSHT!$F749*(SOCMOB_DETAILED_COST_WKSHT!H749*LVL2_ACTV_21_Exchange_Rate))</f>
        <v>0</v>
      </c>
      <c r="G1801" s="116">
        <f t="shared" si="170"/>
        <v>0</v>
      </c>
      <c r="H1801" s="116">
        <f t="shared" si="171"/>
        <v>0</v>
      </c>
    </row>
    <row r="1802" spans="1:8" s="10" customFormat="1" outlineLevel="1" x14ac:dyDescent="0.2">
      <c r="D1802" s="48" t="str">
        <f>Lang_Allowances</f>
        <v>Allowances</v>
      </c>
      <c r="E1802" s="120">
        <f>SUM(E1792:E1801)</f>
        <v>0</v>
      </c>
      <c r="F1802" s="120">
        <f>SUM(F1792:F1801)</f>
        <v>0</v>
      </c>
      <c r="G1802" s="121">
        <f>SUM(G1792:G1801)</f>
        <v>0</v>
      </c>
      <c r="H1802" s="121">
        <f>SUM(H1792:H1801)</f>
        <v>0</v>
      </c>
    </row>
    <row r="1803" spans="1:8" s="10" customFormat="1" outlineLevel="1" x14ac:dyDescent="0.2"/>
    <row r="1804" spans="1:8" s="10" customFormat="1" outlineLevel="1" x14ac:dyDescent="0.2"/>
    <row r="1805" spans="1:8" s="10" customFormat="1" outlineLevel="1" x14ac:dyDescent="0.2">
      <c r="D1805" s="76" t="str">
        <f>Lang_GoTo&amp;" "&amp;HL_LVL2_ACTV_21_Ass_A</f>
        <v>Go to IEC Soc Mob  Activity # 8 (Not in Use) - Detailed Allowance Cost Assumptions</v>
      </c>
    </row>
    <row r="1806" spans="1:8" s="10" customFormat="1" outlineLevel="1" x14ac:dyDescent="0.2">
      <c r="D1806" s="76" t="str">
        <f>Lang_GoTo&amp;" "&amp;HL_LVL2_ACTV_21_Cost_Summary_Output</f>
        <v>Go to IEC Soc Mob  Activity # 8 (Not in Use) Detailed Cost Summary</v>
      </c>
    </row>
    <row r="1807" spans="1:8" s="10" customFormat="1" x14ac:dyDescent="0.2"/>
    <row r="1808" spans="1:8" s="13" customFormat="1" x14ac:dyDescent="0.2">
      <c r="A1808" s="12" t="s">
        <v>127</v>
      </c>
      <c r="B1808" s="13" t="str">
        <f>C1810&amp;" "&amp;Lang_Supplies_And_Materials_Outputs</f>
        <v>IEC Soc Mob  Activity # 8 (Not in Use) Supplies and Materials - Outputs</v>
      </c>
    </row>
    <row r="1809" spans="3:8" s="10" customFormat="1" outlineLevel="1" x14ac:dyDescent="0.2"/>
    <row r="1810" spans="3:8" s="10" customFormat="1" outlineLevel="1" x14ac:dyDescent="0.2">
      <c r="C1810" s="114" t="str">
        <f>HL_LVL2_ACTV_21_Name</f>
        <v>IEC Soc Mob  Activity # 8 (Not in Use)</v>
      </c>
    </row>
    <row r="1811" spans="3:8" s="10" customFormat="1" outlineLevel="1" x14ac:dyDescent="0.2">
      <c r="E1811" s="86" t="str">
        <f>SOCMOB_Lu!$D$277&amp;" "&amp;Lang_Cost&amp;" ("&amp;SOCMOB_Lu!$D$258&amp;")"</f>
        <v>Financial Cost (LCU)</v>
      </c>
      <c r="F1811" s="86" t="str">
        <f>SOCMOB_Lu!$D$278&amp;" "&amp;Lang_Cost&amp;" ("&amp;SOCMOB_Lu!$D$258&amp;")"</f>
        <v>Economic Cost (LCU)</v>
      </c>
      <c r="G1811" s="86" t="str">
        <f>SOCMOB_Lu!$D$277&amp;" "&amp;Lang_Cost&amp;" ("&amp;SOCMOB_Lu!$D$257&amp;")"</f>
        <v>Financial Cost (USD)</v>
      </c>
      <c r="H1811" s="86" t="str">
        <f>SOCMOB_Lu!$D$278&amp;" "&amp;Lang_Cost&amp;" ("&amp;SOCMOB_Lu!$D$257&amp;")"</f>
        <v>Economic Cost (USD)</v>
      </c>
    </row>
    <row r="1812" spans="3:8" s="10" customFormat="1" outlineLevel="1" x14ac:dyDescent="0.2">
      <c r="D1812" s="49" t="str">
        <f>SOCMOB_DETAILED_COST_WKSHT!D758</f>
        <v>Supplies and Materials Category 1</v>
      </c>
      <c r="E1812" s="115">
        <f>IF(DD_LVL2_ACTV_21_Currency_Selected=2,SOCMOB_DETAILED_COST_WKSHT!$F758*SOCMOB_DETAILED_COST_WKSHT!G758,SOCMOB_DETAILED_COST_WKSHT!$F758*(SOCMOB_DETAILED_COST_WKSHT!G758*LVL2_ACTV_21_Exchange_Rate))</f>
        <v>0</v>
      </c>
      <c r="F1812" s="115">
        <f>IF(DD_LVL2_ACTV_21_Currency_Selected=2,SOCMOB_DETAILED_COST_WKSHT!$F758*SOCMOB_DETAILED_COST_WKSHT!H758,SOCMOB_DETAILED_COST_WKSHT!$F758*(SOCMOB_DETAILED_COST_WKSHT!H758*LVL2_ACTV_21_Exchange_Rate))</f>
        <v>0</v>
      </c>
      <c r="G1812" s="116">
        <f t="shared" ref="G1812:G1821" si="172">E1812/LVL2_ACTV_21_Exchange_Rate</f>
        <v>0</v>
      </c>
      <c r="H1812" s="116">
        <f t="shared" ref="H1812:H1821" si="173">F1812/LVL2_ACTV_21_Exchange_Rate</f>
        <v>0</v>
      </c>
    </row>
    <row r="1813" spans="3:8" s="10" customFormat="1" outlineLevel="1" x14ac:dyDescent="0.2">
      <c r="D1813" s="49" t="str">
        <f>SOCMOB_DETAILED_COST_WKSHT!D759</f>
        <v>Supplies and Materials Category 2</v>
      </c>
      <c r="E1813" s="115">
        <f>IF(DD_LVL2_ACTV_21_Currency_Selected=2,SOCMOB_DETAILED_COST_WKSHT!$F759*SOCMOB_DETAILED_COST_WKSHT!G759,SOCMOB_DETAILED_COST_WKSHT!$F759*(SOCMOB_DETAILED_COST_WKSHT!G759*LVL2_ACTV_21_Exchange_Rate))</f>
        <v>0</v>
      </c>
      <c r="F1813" s="115">
        <f>IF(DD_LVL2_ACTV_21_Currency_Selected=2,SOCMOB_DETAILED_COST_WKSHT!$F759*SOCMOB_DETAILED_COST_WKSHT!H759,SOCMOB_DETAILED_COST_WKSHT!$F759*(SOCMOB_DETAILED_COST_WKSHT!H759*LVL2_ACTV_21_Exchange_Rate))</f>
        <v>0</v>
      </c>
      <c r="G1813" s="116">
        <f t="shared" si="172"/>
        <v>0</v>
      </c>
      <c r="H1813" s="116">
        <f t="shared" si="173"/>
        <v>0</v>
      </c>
    </row>
    <row r="1814" spans="3:8" s="10" customFormat="1" outlineLevel="1" x14ac:dyDescent="0.2">
      <c r="D1814" s="49" t="str">
        <f>SOCMOB_DETAILED_COST_WKSHT!D760</f>
        <v>Supplies and Materials Category 3</v>
      </c>
      <c r="E1814" s="115">
        <f>IF(DD_LVL2_ACTV_21_Currency_Selected=2,SOCMOB_DETAILED_COST_WKSHT!$F760*SOCMOB_DETAILED_COST_WKSHT!G760,SOCMOB_DETAILED_COST_WKSHT!$F760*(SOCMOB_DETAILED_COST_WKSHT!G760*LVL2_ACTV_21_Exchange_Rate))</f>
        <v>0</v>
      </c>
      <c r="F1814" s="115">
        <f>IF(DD_LVL2_ACTV_21_Currency_Selected=2,SOCMOB_DETAILED_COST_WKSHT!$F760*SOCMOB_DETAILED_COST_WKSHT!H760,SOCMOB_DETAILED_COST_WKSHT!$F760*(SOCMOB_DETAILED_COST_WKSHT!H760*LVL2_ACTV_21_Exchange_Rate))</f>
        <v>0</v>
      </c>
      <c r="G1814" s="116">
        <f t="shared" si="172"/>
        <v>0</v>
      </c>
      <c r="H1814" s="116">
        <f t="shared" si="173"/>
        <v>0</v>
      </c>
    </row>
    <row r="1815" spans="3:8" s="10" customFormat="1" outlineLevel="1" x14ac:dyDescent="0.2">
      <c r="D1815" s="49" t="str">
        <f>SOCMOB_DETAILED_COST_WKSHT!D761</f>
        <v>Supplies and Materials Category 4</v>
      </c>
      <c r="E1815" s="115">
        <f>IF(DD_LVL2_ACTV_21_Currency_Selected=2,SOCMOB_DETAILED_COST_WKSHT!$F761*SOCMOB_DETAILED_COST_WKSHT!G761,SOCMOB_DETAILED_COST_WKSHT!$F761*(SOCMOB_DETAILED_COST_WKSHT!G761*LVL2_ACTV_21_Exchange_Rate))</f>
        <v>0</v>
      </c>
      <c r="F1815" s="115">
        <f>IF(DD_LVL2_ACTV_21_Currency_Selected=2,SOCMOB_DETAILED_COST_WKSHT!$F761*SOCMOB_DETAILED_COST_WKSHT!H761,SOCMOB_DETAILED_COST_WKSHT!$F761*(SOCMOB_DETAILED_COST_WKSHT!H761*LVL2_ACTV_21_Exchange_Rate))</f>
        <v>0</v>
      </c>
      <c r="G1815" s="116">
        <f t="shared" si="172"/>
        <v>0</v>
      </c>
      <c r="H1815" s="116">
        <f t="shared" si="173"/>
        <v>0</v>
      </c>
    </row>
    <row r="1816" spans="3:8" s="10" customFormat="1" outlineLevel="1" x14ac:dyDescent="0.2">
      <c r="D1816" s="49" t="str">
        <f>SOCMOB_DETAILED_COST_WKSHT!D762</f>
        <v>Supplies and Materials Category 5</v>
      </c>
      <c r="E1816" s="115">
        <f>IF(DD_LVL2_ACTV_21_Currency_Selected=2,SOCMOB_DETAILED_COST_WKSHT!$F762*SOCMOB_DETAILED_COST_WKSHT!G762,SOCMOB_DETAILED_COST_WKSHT!$F762*(SOCMOB_DETAILED_COST_WKSHT!G762*LVL2_ACTV_21_Exchange_Rate))</f>
        <v>0</v>
      </c>
      <c r="F1816" s="115">
        <f>IF(DD_LVL2_ACTV_21_Currency_Selected=2,SOCMOB_DETAILED_COST_WKSHT!$F762*SOCMOB_DETAILED_COST_WKSHT!H762,SOCMOB_DETAILED_COST_WKSHT!$F762*(SOCMOB_DETAILED_COST_WKSHT!H762*LVL2_ACTV_21_Exchange_Rate))</f>
        <v>0</v>
      </c>
      <c r="G1816" s="116">
        <f t="shared" si="172"/>
        <v>0</v>
      </c>
      <c r="H1816" s="116">
        <f t="shared" si="173"/>
        <v>0</v>
      </c>
    </row>
    <row r="1817" spans="3:8" s="10" customFormat="1" outlineLevel="1" x14ac:dyDescent="0.2">
      <c r="D1817" s="49" t="str">
        <f>SOCMOB_DETAILED_COST_WKSHT!D763</f>
        <v>Supplies and Materials Category 6</v>
      </c>
      <c r="E1817" s="115">
        <f>IF(DD_LVL2_ACTV_21_Currency_Selected=2,SOCMOB_DETAILED_COST_WKSHT!$F763*SOCMOB_DETAILED_COST_WKSHT!G763,SOCMOB_DETAILED_COST_WKSHT!$F763*(SOCMOB_DETAILED_COST_WKSHT!G763*LVL2_ACTV_21_Exchange_Rate))</f>
        <v>0</v>
      </c>
      <c r="F1817" s="115">
        <f>IF(DD_LVL2_ACTV_21_Currency_Selected=2,SOCMOB_DETAILED_COST_WKSHT!$F763*SOCMOB_DETAILED_COST_WKSHT!H763,SOCMOB_DETAILED_COST_WKSHT!$F763*(SOCMOB_DETAILED_COST_WKSHT!H763*LVL2_ACTV_21_Exchange_Rate))</f>
        <v>0</v>
      </c>
      <c r="G1817" s="116">
        <f t="shared" si="172"/>
        <v>0</v>
      </c>
      <c r="H1817" s="116">
        <f t="shared" si="173"/>
        <v>0</v>
      </c>
    </row>
    <row r="1818" spans="3:8" s="10" customFormat="1" outlineLevel="1" x14ac:dyDescent="0.2">
      <c r="D1818" s="49" t="str">
        <f>SOCMOB_DETAILED_COST_WKSHT!D764</f>
        <v>Supplies and Materials Category 7</v>
      </c>
      <c r="E1818" s="115">
        <f>IF(DD_LVL2_ACTV_21_Currency_Selected=2,SOCMOB_DETAILED_COST_WKSHT!$F764*SOCMOB_DETAILED_COST_WKSHT!G764,SOCMOB_DETAILED_COST_WKSHT!$F764*(SOCMOB_DETAILED_COST_WKSHT!G764*LVL2_ACTV_21_Exchange_Rate))</f>
        <v>0</v>
      </c>
      <c r="F1818" s="115">
        <f>IF(DD_LVL2_ACTV_21_Currency_Selected=2,SOCMOB_DETAILED_COST_WKSHT!$F764*SOCMOB_DETAILED_COST_WKSHT!H764,SOCMOB_DETAILED_COST_WKSHT!$F764*(SOCMOB_DETAILED_COST_WKSHT!H764*LVL2_ACTV_21_Exchange_Rate))</f>
        <v>0</v>
      </c>
      <c r="G1818" s="116">
        <f t="shared" si="172"/>
        <v>0</v>
      </c>
      <c r="H1818" s="116">
        <f t="shared" si="173"/>
        <v>0</v>
      </c>
    </row>
    <row r="1819" spans="3:8" s="10" customFormat="1" outlineLevel="1" x14ac:dyDescent="0.2">
      <c r="D1819" s="49" t="str">
        <f>SOCMOB_DETAILED_COST_WKSHT!D765</f>
        <v>Supplies and Materials Category 8</v>
      </c>
      <c r="E1819" s="115">
        <f>IF(DD_LVL2_ACTV_21_Currency_Selected=2,SOCMOB_DETAILED_COST_WKSHT!$F765*SOCMOB_DETAILED_COST_WKSHT!G765,SOCMOB_DETAILED_COST_WKSHT!$F765*(SOCMOB_DETAILED_COST_WKSHT!G765*LVL2_ACTV_21_Exchange_Rate))</f>
        <v>0</v>
      </c>
      <c r="F1819" s="115">
        <f>IF(DD_LVL2_ACTV_21_Currency_Selected=2,SOCMOB_DETAILED_COST_WKSHT!$F765*SOCMOB_DETAILED_COST_WKSHT!H765,SOCMOB_DETAILED_COST_WKSHT!$F765*(SOCMOB_DETAILED_COST_WKSHT!H765*LVL2_ACTV_21_Exchange_Rate))</f>
        <v>0</v>
      </c>
      <c r="G1819" s="116">
        <f t="shared" si="172"/>
        <v>0</v>
      </c>
      <c r="H1819" s="116">
        <f t="shared" si="173"/>
        <v>0</v>
      </c>
    </row>
    <row r="1820" spans="3:8" s="10" customFormat="1" outlineLevel="1" x14ac:dyDescent="0.2">
      <c r="D1820" s="49" t="str">
        <f>SOCMOB_DETAILED_COST_WKSHT!D766</f>
        <v>Supplies and Materials Category 9</v>
      </c>
      <c r="E1820" s="115">
        <f>IF(DD_LVL2_ACTV_21_Currency_Selected=2,SOCMOB_DETAILED_COST_WKSHT!$F766*SOCMOB_DETAILED_COST_WKSHT!G766,SOCMOB_DETAILED_COST_WKSHT!$F766*(SOCMOB_DETAILED_COST_WKSHT!G766*LVL2_ACTV_21_Exchange_Rate))</f>
        <v>0</v>
      </c>
      <c r="F1820" s="115">
        <f>IF(DD_LVL2_ACTV_21_Currency_Selected=2,SOCMOB_DETAILED_COST_WKSHT!$F766*SOCMOB_DETAILED_COST_WKSHT!H766,SOCMOB_DETAILED_COST_WKSHT!$F766*(SOCMOB_DETAILED_COST_WKSHT!H766*LVL2_ACTV_21_Exchange_Rate))</f>
        <v>0</v>
      </c>
      <c r="G1820" s="116">
        <f t="shared" si="172"/>
        <v>0</v>
      </c>
      <c r="H1820" s="116">
        <f t="shared" si="173"/>
        <v>0</v>
      </c>
    </row>
    <row r="1821" spans="3:8" s="10" customFormat="1" outlineLevel="1" x14ac:dyDescent="0.2">
      <c r="D1821" s="49" t="str">
        <f>SOCMOB_DETAILED_COST_WKSHT!D767</f>
        <v>Supplies and Materials Category 10</v>
      </c>
      <c r="E1821" s="115">
        <f>IF(DD_LVL2_ACTV_21_Currency_Selected=2,SOCMOB_DETAILED_COST_WKSHT!$F767*SOCMOB_DETAILED_COST_WKSHT!G767,SOCMOB_DETAILED_COST_WKSHT!$F767*(SOCMOB_DETAILED_COST_WKSHT!G767*LVL2_ACTV_21_Exchange_Rate))</f>
        <v>0</v>
      </c>
      <c r="F1821" s="115">
        <f>IF(DD_LVL2_ACTV_21_Currency_Selected=2,SOCMOB_DETAILED_COST_WKSHT!$F767*SOCMOB_DETAILED_COST_WKSHT!H767,SOCMOB_DETAILED_COST_WKSHT!$F767*(SOCMOB_DETAILED_COST_WKSHT!H767*LVL2_ACTV_21_Exchange_Rate))</f>
        <v>0</v>
      </c>
      <c r="G1821" s="116">
        <f t="shared" si="172"/>
        <v>0</v>
      </c>
      <c r="H1821" s="116">
        <f t="shared" si="173"/>
        <v>0</v>
      </c>
    </row>
    <row r="1822" spans="3:8" s="10" customFormat="1" outlineLevel="1" x14ac:dyDescent="0.2">
      <c r="D1822" s="48" t="str">
        <f>Lang_Supplies_And_Materials</f>
        <v>Supplies and Materials</v>
      </c>
      <c r="E1822" s="120">
        <f>SUM(E1812:E1821)</f>
        <v>0</v>
      </c>
      <c r="F1822" s="120">
        <f>SUM(F1812:F1821)</f>
        <v>0</v>
      </c>
      <c r="G1822" s="121">
        <f>SUM(G1812:G1821)</f>
        <v>0</v>
      </c>
      <c r="H1822" s="121">
        <f>SUM(H1812:H1821)</f>
        <v>0</v>
      </c>
    </row>
    <row r="1823" spans="3:8" s="10" customFormat="1" outlineLevel="1" x14ac:dyDescent="0.2"/>
    <row r="1824" spans="3:8" s="10" customFormat="1" outlineLevel="1" x14ac:dyDescent="0.2"/>
    <row r="1825" spans="1:8" s="10" customFormat="1" outlineLevel="1" x14ac:dyDescent="0.2">
      <c r="D1825" s="76" t="str">
        <f>Lang_GoTo&amp;" "&amp;HL_LVL2_ACTV_21_Supplies_and_Materials</f>
        <v>Go to IEC Soc Mob  Activity # 8 (Not in Use) - Detailed Supply and Material Cost Assumptions</v>
      </c>
    </row>
    <row r="1826" spans="1:8" s="10" customFormat="1" outlineLevel="1" x14ac:dyDescent="0.2">
      <c r="D1826" s="76" t="str">
        <f>Lang_GoTo&amp;" "&amp;HL_LVL2_ACTV_21_Cost_Summary_Output</f>
        <v>Go to IEC Soc Mob  Activity # 8 (Not in Use) Detailed Cost Summary</v>
      </c>
    </row>
    <row r="1827" spans="1:8" s="10" customFormat="1" x14ac:dyDescent="0.2"/>
    <row r="1828" spans="1:8" s="13" customFormat="1" x14ac:dyDescent="0.2">
      <c r="A1828" s="12" t="s">
        <v>127</v>
      </c>
      <c r="B1828" s="13" t="str">
        <f>C1830&amp;" "&amp;Lang_Other_Direct_Costs_Outputs</f>
        <v>IEC Soc Mob  Activity # 8 (Not in Use) Other Direct Costs - Outputs</v>
      </c>
    </row>
    <row r="1829" spans="1:8" s="10" customFormat="1" outlineLevel="1" x14ac:dyDescent="0.2"/>
    <row r="1830" spans="1:8" s="10" customFormat="1" outlineLevel="1" x14ac:dyDescent="0.2">
      <c r="C1830" s="114" t="str">
        <f>HL_LVL2_ACTV_21_Name</f>
        <v>IEC Soc Mob  Activity # 8 (Not in Use)</v>
      </c>
    </row>
    <row r="1831" spans="1:8" s="10" customFormat="1" outlineLevel="1" x14ac:dyDescent="0.2">
      <c r="E1831" s="86" t="str">
        <f>SOCMOB_Lu!$D$277&amp;" "&amp;Lang_Cost&amp;" ("&amp;SOCMOB_Lu!$D$258&amp;")"</f>
        <v>Financial Cost (LCU)</v>
      </c>
      <c r="F1831" s="86" t="str">
        <f>SOCMOB_Lu!$D$278&amp;" "&amp;Lang_Cost&amp;" ("&amp;SOCMOB_Lu!$D$258&amp;")"</f>
        <v>Economic Cost (LCU)</v>
      </c>
      <c r="G1831" s="86" t="str">
        <f>SOCMOB_Lu!$D$277&amp;" "&amp;Lang_Cost&amp;" ("&amp;SOCMOB_Lu!$D$257&amp;")"</f>
        <v>Financial Cost (USD)</v>
      </c>
      <c r="H1831" s="86" t="str">
        <f>SOCMOB_Lu!$D$278&amp;" "&amp;Lang_Cost&amp;" ("&amp;SOCMOB_Lu!$D$257&amp;")"</f>
        <v>Economic Cost (USD)</v>
      </c>
    </row>
    <row r="1832" spans="1:8" s="10" customFormat="1" outlineLevel="1" x14ac:dyDescent="0.2">
      <c r="D1832" s="49" t="str">
        <f>SOCMOB_DETAILED_COST_WKSHT!D776</f>
        <v>Other Direct Costs (ODC) Category 1</v>
      </c>
      <c r="E1832" s="115">
        <f>IF(DD_LVL2_ACTV_21_Currency_Selected=2,SOCMOB_DETAILED_COST_WKSHT!$F776*SOCMOB_DETAILED_COST_WKSHT!G776,SOCMOB_DETAILED_COST_WKSHT!$F776*(SOCMOB_DETAILED_COST_WKSHT!G776*LVL2_ACTV_21_Exchange_Rate))</f>
        <v>0</v>
      </c>
      <c r="F1832" s="115">
        <f>IF(DD_LVL2_ACTV_21_Currency_Selected=2,SOCMOB_DETAILED_COST_WKSHT!$F776*SOCMOB_DETAILED_COST_WKSHT!H776,SOCMOB_DETAILED_COST_WKSHT!$F776*(SOCMOB_DETAILED_COST_WKSHT!H776*LVL2_ACTV_21_Exchange_Rate))</f>
        <v>0</v>
      </c>
      <c r="G1832" s="116">
        <f t="shared" ref="G1832:G1841" si="174">E1832/LVL2_ACTV_21_Exchange_Rate</f>
        <v>0</v>
      </c>
      <c r="H1832" s="116">
        <f t="shared" ref="H1832:H1841" si="175">F1832/LVL2_ACTV_21_Exchange_Rate</f>
        <v>0</v>
      </c>
    </row>
    <row r="1833" spans="1:8" s="10" customFormat="1" outlineLevel="1" x14ac:dyDescent="0.2">
      <c r="D1833" s="49" t="str">
        <f>SOCMOB_DETAILED_COST_WKSHT!D777</f>
        <v>Other Direct Costs (ODC) Category 2</v>
      </c>
      <c r="E1833" s="115">
        <f>IF(DD_LVL2_ACTV_21_Currency_Selected=2,SOCMOB_DETAILED_COST_WKSHT!$F777*SOCMOB_DETAILED_COST_WKSHT!G777,SOCMOB_DETAILED_COST_WKSHT!$F777*(SOCMOB_DETAILED_COST_WKSHT!G777*LVL2_ACTV_21_Exchange_Rate))</f>
        <v>0</v>
      </c>
      <c r="F1833" s="115">
        <f>IF(DD_LVL2_ACTV_21_Currency_Selected=2,SOCMOB_DETAILED_COST_WKSHT!$F777*SOCMOB_DETAILED_COST_WKSHT!H777,SOCMOB_DETAILED_COST_WKSHT!$F777*(SOCMOB_DETAILED_COST_WKSHT!H777*LVL2_ACTV_21_Exchange_Rate))</f>
        <v>0</v>
      </c>
      <c r="G1833" s="116">
        <f t="shared" si="174"/>
        <v>0</v>
      </c>
      <c r="H1833" s="116">
        <f t="shared" si="175"/>
        <v>0</v>
      </c>
    </row>
    <row r="1834" spans="1:8" s="10" customFormat="1" outlineLevel="1" x14ac:dyDescent="0.2">
      <c r="D1834" s="49" t="str">
        <f>SOCMOB_DETAILED_COST_WKSHT!D778</f>
        <v>Other Direct Costs (ODC) Category 3</v>
      </c>
      <c r="E1834" s="115">
        <f>IF(DD_LVL2_ACTV_21_Currency_Selected=2,SOCMOB_DETAILED_COST_WKSHT!$F778*SOCMOB_DETAILED_COST_WKSHT!G778,SOCMOB_DETAILED_COST_WKSHT!$F778*(SOCMOB_DETAILED_COST_WKSHT!G778*LVL2_ACTV_21_Exchange_Rate))</f>
        <v>0</v>
      </c>
      <c r="F1834" s="115">
        <f>IF(DD_LVL2_ACTV_21_Currency_Selected=2,SOCMOB_DETAILED_COST_WKSHT!$F778*SOCMOB_DETAILED_COST_WKSHT!H778,SOCMOB_DETAILED_COST_WKSHT!$F778*(SOCMOB_DETAILED_COST_WKSHT!H778*LVL2_ACTV_21_Exchange_Rate))</f>
        <v>0</v>
      </c>
      <c r="G1834" s="116">
        <f t="shared" si="174"/>
        <v>0</v>
      </c>
      <c r="H1834" s="116">
        <f t="shared" si="175"/>
        <v>0</v>
      </c>
    </row>
    <row r="1835" spans="1:8" s="10" customFormat="1" outlineLevel="1" x14ac:dyDescent="0.2">
      <c r="D1835" s="49" t="str">
        <f>SOCMOB_DETAILED_COST_WKSHT!D779</f>
        <v>Other Direct Costs (ODC) Category 4</v>
      </c>
      <c r="E1835" s="115">
        <f>IF(DD_LVL2_ACTV_21_Currency_Selected=2,SOCMOB_DETAILED_COST_WKSHT!$F779*SOCMOB_DETAILED_COST_WKSHT!G779,SOCMOB_DETAILED_COST_WKSHT!$F779*(SOCMOB_DETAILED_COST_WKSHT!G779*LVL2_ACTV_21_Exchange_Rate))</f>
        <v>0</v>
      </c>
      <c r="F1835" s="115">
        <f>IF(DD_LVL2_ACTV_21_Currency_Selected=2,SOCMOB_DETAILED_COST_WKSHT!$F779*SOCMOB_DETAILED_COST_WKSHT!H779,SOCMOB_DETAILED_COST_WKSHT!$F779*(SOCMOB_DETAILED_COST_WKSHT!H779*LVL2_ACTV_21_Exchange_Rate))</f>
        <v>0</v>
      </c>
      <c r="G1835" s="116">
        <f t="shared" si="174"/>
        <v>0</v>
      </c>
      <c r="H1835" s="116">
        <f t="shared" si="175"/>
        <v>0</v>
      </c>
    </row>
    <row r="1836" spans="1:8" s="10" customFormat="1" outlineLevel="1" x14ac:dyDescent="0.2">
      <c r="D1836" s="49" t="str">
        <f>SOCMOB_DETAILED_COST_WKSHT!D780</f>
        <v>Other Direct Costs (ODC) Category 5</v>
      </c>
      <c r="E1836" s="115">
        <f>IF(DD_LVL2_ACTV_21_Currency_Selected=2,SOCMOB_DETAILED_COST_WKSHT!$F780*SOCMOB_DETAILED_COST_WKSHT!G780,SOCMOB_DETAILED_COST_WKSHT!$F780*(SOCMOB_DETAILED_COST_WKSHT!G780*LVL2_ACTV_21_Exchange_Rate))</f>
        <v>0</v>
      </c>
      <c r="F1836" s="115">
        <f>IF(DD_LVL2_ACTV_21_Currency_Selected=2,SOCMOB_DETAILED_COST_WKSHT!$F780*SOCMOB_DETAILED_COST_WKSHT!H780,SOCMOB_DETAILED_COST_WKSHT!$F780*(SOCMOB_DETAILED_COST_WKSHT!H780*LVL2_ACTV_21_Exchange_Rate))</f>
        <v>0</v>
      </c>
      <c r="G1836" s="116">
        <f t="shared" si="174"/>
        <v>0</v>
      </c>
      <c r="H1836" s="116">
        <f t="shared" si="175"/>
        <v>0</v>
      </c>
    </row>
    <row r="1837" spans="1:8" s="10" customFormat="1" outlineLevel="1" x14ac:dyDescent="0.2">
      <c r="D1837" s="49" t="str">
        <f>SOCMOB_DETAILED_COST_WKSHT!D781</f>
        <v>Other Direct Costs (ODC) Category 6</v>
      </c>
      <c r="E1837" s="115">
        <f>IF(DD_LVL2_ACTV_21_Currency_Selected=2,SOCMOB_DETAILED_COST_WKSHT!$F781*SOCMOB_DETAILED_COST_WKSHT!G781,SOCMOB_DETAILED_COST_WKSHT!$F781*(SOCMOB_DETAILED_COST_WKSHT!G781*LVL2_ACTV_21_Exchange_Rate))</f>
        <v>0</v>
      </c>
      <c r="F1837" s="115">
        <f>IF(DD_LVL2_ACTV_21_Currency_Selected=2,SOCMOB_DETAILED_COST_WKSHT!$F781*SOCMOB_DETAILED_COST_WKSHT!H781,SOCMOB_DETAILED_COST_WKSHT!$F781*(SOCMOB_DETAILED_COST_WKSHT!H781*LVL2_ACTV_21_Exchange_Rate))</f>
        <v>0</v>
      </c>
      <c r="G1837" s="116">
        <f t="shared" si="174"/>
        <v>0</v>
      </c>
      <c r="H1837" s="116">
        <f t="shared" si="175"/>
        <v>0</v>
      </c>
    </row>
    <row r="1838" spans="1:8" s="10" customFormat="1" outlineLevel="1" x14ac:dyDescent="0.2">
      <c r="D1838" s="49" t="str">
        <f>SOCMOB_DETAILED_COST_WKSHT!D782</f>
        <v>Other Direct Costs (ODC) Category 7</v>
      </c>
      <c r="E1838" s="115">
        <f>IF(DD_LVL2_ACTV_21_Currency_Selected=2,SOCMOB_DETAILED_COST_WKSHT!$F782*SOCMOB_DETAILED_COST_WKSHT!G782,SOCMOB_DETAILED_COST_WKSHT!$F782*(SOCMOB_DETAILED_COST_WKSHT!G782*LVL2_ACTV_21_Exchange_Rate))</f>
        <v>0</v>
      </c>
      <c r="F1838" s="115">
        <f>IF(DD_LVL2_ACTV_21_Currency_Selected=2,SOCMOB_DETAILED_COST_WKSHT!$F782*SOCMOB_DETAILED_COST_WKSHT!H782,SOCMOB_DETAILED_COST_WKSHT!$F782*(SOCMOB_DETAILED_COST_WKSHT!H782*LVL2_ACTV_21_Exchange_Rate))</f>
        <v>0</v>
      </c>
      <c r="G1838" s="116">
        <f t="shared" si="174"/>
        <v>0</v>
      </c>
      <c r="H1838" s="116">
        <f t="shared" si="175"/>
        <v>0</v>
      </c>
    </row>
    <row r="1839" spans="1:8" s="10" customFormat="1" outlineLevel="1" x14ac:dyDescent="0.2">
      <c r="D1839" s="49" t="str">
        <f>SOCMOB_DETAILED_COST_WKSHT!D783</f>
        <v>Other Direct Costs (ODC) Category 8</v>
      </c>
      <c r="E1839" s="115">
        <f>IF(DD_LVL2_ACTV_21_Currency_Selected=2,SOCMOB_DETAILED_COST_WKSHT!$F783*SOCMOB_DETAILED_COST_WKSHT!G783,SOCMOB_DETAILED_COST_WKSHT!$F783*(SOCMOB_DETAILED_COST_WKSHT!G783*LVL2_ACTV_21_Exchange_Rate))</f>
        <v>0</v>
      </c>
      <c r="F1839" s="115">
        <f>IF(DD_LVL2_ACTV_21_Currency_Selected=2,SOCMOB_DETAILED_COST_WKSHT!$F783*SOCMOB_DETAILED_COST_WKSHT!H783,SOCMOB_DETAILED_COST_WKSHT!$F783*(SOCMOB_DETAILED_COST_WKSHT!H783*LVL2_ACTV_21_Exchange_Rate))</f>
        <v>0</v>
      </c>
      <c r="G1839" s="116">
        <f t="shared" si="174"/>
        <v>0</v>
      </c>
      <c r="H1839" s="116">
        <f t="shared" si="175"/>
        <v>0</v>
      </c>
    </row>
    <row r="1840" spans="1:8" s="10" customFormat="1" outlineLevel="1" x14ac:dyDescent="0.2">
      <c r="D1840" s="49" t="str">
        <f>SOCMOB_DETAILED_COST_WKSHT!D784</f>
        <v>Other Direct Costs (ODC) Category 9</v>
      </c>
      <c r="E1840" s="115">
        <f>IF(DD_LVL2_ACTV_21_Currency_Selected=2,SOCMOB_DETAILED_COST_WKSHT!$F784*SOCMOB_DETAILED_COST_WKSHT!G784,SOCMOB_DETAILED_COST_WKSHT!$F784*(SOCMOB_DETAILED_COST_WKSHT!G784*LVL2_ACTV_21_Exchange_Rate))</f>
        <v>0</v>
      </c>
      <c r="F1840" s="115">
        <f>IF(DD_LVL2_ACTV_21_Currency_Selected=2,SOCMOB_DETAILED_COST_WKSHT!$F784*SOCMOB_DETAILED_COST_WKSHT!H784,SOCMOB_DETAILED_COST_WKSHT!$F784*(SOCMOB_DETAILED_COST_WKSHT!H784*LVL2_ACTV_21_Exchange_Rate))</f>
        <v>0</v>
      </c>
      <c r="G1840" s="116">
        <f t="shared" si="174"/>
        <v>0</v>
      </c>
      <c r="H1840" s="116">
        <f t="shared" si="175"/>
        <v>0</v>
      </c>
    </row>
    <row r="1841" spans="1:8" s="10" customFormat="1" outlineLevel="1" x14ac:dyDescent="0.2">
      <c r="D1841" s="49" t="str">
        <f>SOCMOB_DETAILED_COST_WKSHT!D785</f>
        <v>Other Direct Costs (ODC) Category 10</v>
      </c>
      <c r="E1841" s="115">
        <f>IF(DD_LVL2_ACTV_21_Currency_Selected=2,SOCMOB_DETAILED_COST_WKSHT!$F785*SOCMOB_DETAILED_COST_WKSHT!G785,SOCMOB_DETAILED_COST_WKSHT!$F785*(SOCMOB_DETAILED_COST_WKSHT!G785*LVL2_ACTV_21_Exchange_Rate))</f>
        <v>0</v>
      </c>
      <c r="F1841" s="115">
        <f>IF(DD_LVL2_ACTV_21_Currency_Selected=2,SOCMOB_DETAILED_COST_WKSHT!$F785*SOCMOB_DETAILED_COST_WKSHT!H785,SOCMOB_DETAILED_COST_WKSHT!$F785*(SOCMOB_DETAILED_COST_WKSHT!H785*LVL2_ACTV_21_Exchange_Rate))</f>
        <v>0</v>
      </c>
      <c r="G1841" s="116">
        <f t="shared" si="174"/>
        <v>0</v>
      </c>
      <c r="H1841" s="116">
        <f t="shared" si="175"/>
        <v>0</v>
      </c>
    </row>
    <row r="1842" spans="1:8" s="10" customFormat="1" outlineLevel="1" x14ac:dyDescent="0.2">
      <c r="D1842" s="48" t="str">
        <f>Lang_Other_Direct_Costs</f>
        <v>Other Direct Costs</v>
      </c>
      <c r="E1842" s="120">
        <f>SUM(E1832:E1841)</f>
        <v>0</v>
      </c>
      <c r="F1842" s="120">
        <f>SUM(F1832:F1841)</f>
        <v>0</v>
      </c>
      <c r="G1842" s="121">
        <f>SUM(G1832:G1841)</f>
        <v>0</v>
      </c>
      <c r="H1842" s="121">
        <f>SUM(H1832:H1841)</f>
        <v>0</v>
      </c>
    </row>
    <row r="1843" spans="1:8" s="10" customFormat="1" outlineLevel="1" x14ac:dyDescent="0.2"/>
    <row r="1844" spans="1:8" s="10" customFormat="1" outlineLevel="1" x14ac:dyDescent="0.2">
      <c r="D1844" s="76" t="str">
        <f>Lang_GoTo&amp;" "&amp;HL_LVL2_ACTV_21_Other_Direct_Costs</f>
        <v>Go to IEC Soc Mob  Activity # 8 (Not in Use) - Detailed Other Direct Cost Assumptions</v>
      </c>
    </row>
    <row r="1845" spans="1:8" s="10" customFormat="1" outlineLevel="1" x14ac:dyDescent="0.2">
      <c r="D1845" s="76" t="str">
        <f>Lang_GoTo&amp;" "&amp;HL_LVL2_ACTV_21_Cost_Summary_Output</f>
        <v>Go to IEC Soc Mob  Activity # 8 (Not in Use) Detailed Cost Summary</v>
      </c>
    </row>
    <row r="1846" spans="1:8" s="10" customFormat="1" x14ac:dyDescent="0.2"/>
    <row r="1847" spans="1:8" s="13" customFormat="1" x14ac:dyDescent="0.2">
      <c r="A1847" s="12" t="s">
        <v>127</v>
      </c>
      <c r="B1847" s="13" t="str">
        <f>HL_TOP_ACTV_5_Name&amp;" "&amp;Lang_Personnel_Outputs</f>
        <v>SME Activity #1 (Not in Use) Personnel - Outputs</v>
      </c>
    </row>
    <row r="1848" spans="1:8" s="10" customFormat="1" outlineLevel="1" x14ac:dyDescent="0.2"/>
    <row r="1849" spans="1:8" s="10" customFormat="1" outlineLevel="1" x14ac:dyDescent="0.2">
      <c r="C1849" s="114" t="str">
        <f>HL_TOP_ACTV_5_Name</f>
        <v>SME Activity #1 (Not in Use)</v>
      </c>
    </row>
    <row r="1850" spans="1:8" s="10" customFormat="1" outlineLevel="1" x14ac:dyDescent="0.2">
      <c r="E1850" s="86" t="str">
        <f>SUPV_Lu!$D$32&amp;" "&amp;Lang_Cost&amp;" ("&amp;SUPV_Lu!$D$13&amp;")"</f>
        <v>Financial Cost (LCU)</v>
      </c>
      <c r="F1850" s="86" t="str">
        <f>SUPV_Lu!$D$33&amp;" "&amp;Lang_Cost&amp;" ("&amp;SUPV_Lu!$D$13&amp;")"</f>
        <v>Economic Cost (LCU)</v>
      </c>
      <c r="G1850" s="86" t="str">
        <f>SUPV_Lu!$D$32&amp;" "&amp;Lang_Cost&amp;" ("&amp;SUPV_Lu!$D$12&amp;")"</f>
        <v>Financial Cost (USD)</v>
      </c>
      <c r="H1850" s="86" t="str">
        <f>SUPV_Lu!$D$33&amp;" "&amp;Lang_Cost&amp;" ("&amp;SUPV_Lu!$D$12&amp;")"</f>
        <v>Economic Cost (USD)</v>
      </c>
    </row>
    <row r="1851" spans="1:8" s="10" customFormat="1" outlineLevel="1" x14ac:dyDescent="0.2">
      <c r="D1851" s="49" t="str">
        <f>SUPV_DETAILED_COST_WKSHT!D28</f>
        <v>Personnel Category 1</v>
      </c>
      <c r="E1851" s="115">
        <f>IF(DD_TOP_ACTV_5_Detailed_Currency_Used=2,SUPV_DETAILED_COST_WKSHT!$F28*SUPV_DETAILED_COST_WKSHT!G28,SUPV_DETAILED_COST_WKSHT!$F28*(SUPV_DETAILED_COST_WKSHT!G28*TOP_ACTV_5_Exchange_Rate))</f>
        <v>0</v>
      </c>
      <c r="F1851" s="115">
        <f>IF(DD_TOP_ACTV_5_Detailed_Currency_Used=2,SUPV_DETAILED_COST_WKSHT!$F28*SUPV_DETAILED_COST_WKSHT!H28,SUPV_DETAILED_COST_WKSHT!$F28*(SUPV_DETAILED_COST_WKSHT!H28*TOP_ACTV_5_Exchange_Rate))</f>
        <v>0</v>
      </c>
      <c r="G1851" s="116">
        <f t="shared" ref="G1851:G1865" si="176">IFERROR(E1851/TOP_ACTV_5_Exchange_Rate,0)</f>
        <v>0</v>
      </c>
      <c r="H1851" s="116">
        <f t="shared" ref="H1851:H1865" si="177">IFERROR(F1851/TOP_ACTV_5_Exchange_Rate,0)</f>
        <v>0</v>
      </c>
    </row>
    <row r="1852" spans="1:8" s="10" customFormat="1" outlineLevel="1" x14ac:dyDescent="0.2">
      <c r="D1852" s="49" t="str">
        <f>SUPV_DETAILED_COST_WKSHT!D29</f>
        <v>Personnel Category 2</v>
      </c>
      <c r="E1852" s="115">
        <f>IF(DD_TOP_ACTV_5_Detailed_Currency_Used=2,SUPV_DETAILED_COST_WKSHT!$F29*SUPV_DETAILED_COST_WKSHT!G29,SUPV_DETAILED_COST_WKSHT!$F29*(SUPV_DETAILED_COST_WKSHT!G29*TOP_ACTV_5_Exchange_Rate))</f>
        <v>0</v>
      </c>
      <c r="F1852" s="115">
        <f>IF(DD_TOP_ACTV_5_Detailed_Currency_Used=2,SUPV_DETAILED_COST_WKSHT!$F29*SUPV_DETAILED_COST_WKSHT!H29,SUPV_DETAILED_COST_WKSHT!$F29*(SUPV_DETAILED_COST_WKSHT!H29*TOP_ACTV_5_Exchange_Rate))</f>
        <v>0</v>
      </c>
      <c r="G1852" s="116">
        <f t="shared" si="176"/>
        <v>0</v>
      </c>
      <c r="H1852" s="116">
        <f t="shared" si="177"/>
        <v>0</v>
      </c>
    </row>
    <row r="1853" spans="1:8" s="10" customFormat="1" outlineLevel="1" x14ac:dyDescent="0.2">
      <c r="D1853" s="49" t="str">
        <f>SUPV_DETAILED_COST_WKSHT!D30</f>
        <v>Personnel Category 3</v>
      </c>
      <c r="E1853" s="115">
        <f>IF(DD_TOP_ACTV_5_Detailed_Currency_Used=2,SUPV_DETAILED_COST_WKSHT!$F30*SUPV_DETAILED_COST_WKSHT!G30,SUPV_DETAILED_COST_WKSHT!$F30*(SUPV_DETAILED_COST_WKSHT!G30*TOP_ACTV_5_Exchange_Rate))</f>
        <v>0</v>
      </c>
      <c r="F1853" s="115">
        <f>IF(DD_TOP_ACTV_5_Detailed_Currency_Used=2,SUPV_DETAILED_COST_WKSHT!$F30*SUPV_DETAILED_COST_WKSHT!H30,SUPV_DETAILED_COST_WKSHT!$F30*(SUPV_DETAILED_COST_WKSHT!H30*TOP_ACTV_5_Exchange_Rate))</f>
        <v>0</v>
      </c>
      <c r="G1853" s="116">
        <f t="shared" si="176"/>
        <v>0</v>
      </c>
      <c r="H1853" s="116">
        <f t="shared" si="177"/>
        <v>0</v>
      </c>
    </row>
    <row r="1854" spans="1:8" s="10" customFormat="1" outlineLevel="1" x14ac:dyDescent="0.2">
      <c r="D1854" s="49" t="str">
        <f>SUPV_DETAILED_COST_WKSHT!D31</f>
        <v>Personnel Category 4</v>
      </c>
      <c r="E1854" s="115">
        <f>IF(DD_TOP_ACTV_5_Detailed_Currency_Used=2,SUPV_DETAILED_COST_WKSHT!$F31*SUPV_DETAILED_COST_WKSHT!G31,SUPV_DETAILED_COST_WKSHT!$F31*(SUPV_DETAILED_COST_WKSHT!G31*TOP_ACTV_5_Exchange_Rate))</f>
        <v>0</v>
      </c>
      <c r="F1854" s="115">
        <f>IF(DD_TOP_ACTV_5_Detailed_Currency_Used=2,SUPV_DETAILED_COST_WKSHT!$F31*SUPV_DETAILED_COST_WKSHT!H31,SUPV_DETAILED_COST_WKSHT!$F31*(SUPV_DETAILED_COST_WKSHT!H31*TOP_ACTV_5_Exchange_Rate))</f>
        <v>0</v>
      </c>
      <c r="G1854" s="116">
        <f t="shared" si="176"/>
        <v>0</v>
      </c>
      <c r="H1854" s="116">
        <f t="shared" si="177"/>
        <v>0</v>
      </c>
    </row>
    <row r="1855" spans="1:8" s="10" customFormat="1" outlineLevel="1" x14ac:dyDescent="0.2">
      <c r="D1855" s="49" t="str">
        <f>SUPV_DETAILED_COST_WKSHT!D32</f>
        <v>Personnel Category 5</v>
      </c>
      <c r="E1855" s="115">
        <f>IF(DD_TOP_ACTV_5_Detailed_Currency_Used=2,SUPV_DETAILED_COST_WKSHT!$F32*SUPV_DETAILED_COST_WKSHT!G32,SUPV_DETAILED_COST_WKSHT!$F32*(SUPV_DETAILED_COST_WKSHT!G32*TOP_ACTV_5_Exchange_Rate))</f>
        <v>0</v>
      </c>
      <c r="F1855" s="115">
        <f>IF(DD_TOP_ACTV_5_Detailed_Currency_Used=2,SUPV_DETAILED_COST_WKSHT!$F32*SUPV_DETAILED_COST_WKSHT!H32,SUPV_DETAILED_COST_WKSHT!$F32*(SUPV_DETAILED_COST_WKSHT!H32*TOP_ACTV_5_Exchange_Rate))</f>
        <v>0</v>
      </c>
      <c r="G1855" s="116">
        <f t="shared" si="176"/>
        <v>0</v>
      </c>
      <c r="H1855" s="116">
        <f t="shared" si="177"/>
        <v>0</v>
      </c>
    </row>
    <row r="1856" spans="1:8" s="10" customFormat="1" outlineLevel="1" x14ac:dyDescent="0.2">
      <c r="D1856" s="49" t="str">
        <f>SUPV_DETAILED_COST_WKSHT!D33</f>
        <v>Personnel Category 6</v>
      </c>
      <c r="E1856" s="115">
        <f>IF(DD_TOP_ACTV_5_Detailed_Currency_Used=2,SUPV_DETAILED_COST_WKSHT!$F33*SUPV_DETAILED_COST_WKSHT!G33,SUPV_DETAILED_COST_WKSHT!$F33*(SUPV_DETAILED_COST_WKSHT!G33*TOP_ACTV_5_Exchange_Rate))</f>
        <v>0</v>
      </c>
      <c r="F1856" s="115">
        <f>IF(DD_TOP_ACTV_5_Detailed_Currency_Used=2,SUPV_DETAILED_COST_WKSHT!$F33*SUPV_DETAILED_COST_WKSHT!H33,SUPV_DETAILED_COST_WKSHT!$F33*(SUPV_DETAILED_COST_WKSHT!H33*TOP_ACTV_5_Exchange_Rate))</f>
        <v>0</v>
      </c>
      <c r="G1856" s="116">
        <f t="shared" si="176"/>
        <v>0</v>
      </c>
      <c r="H1856" s="116">
        <f t="shared" si="177"/>
        <v>0</v>
      </c>
    </row>
    <row r="1857" spans="1:8" s="10" customFormat="1" outlineLevel="1" x14ac:dyDescent="0.2">
      <c r="D1857" s="49" t="str">
        <f>SUPV_DETAILED_COST_WKSHT!D34</f>
        <v>Personnel Category 7</v>
      </c>
      <c r="E1857" s="115">
        <f>IF(DD_TOP_ACTV_5_Detailed_Currency_Used=2,SUPV_DETAILED_COST_WKSHT!$F34*SUPV_DETAILED_COST_WKSHT!G34,SUPV_DETAILED_COST_WKSHT!$F34*(SUPV_DETAILED_COST_WKSHT!G34*TOP_ACTV_5_Exchange_Rate))</f>
        <v>0</v>
      </c>
      <c r="F1857" s="115">
        <f>IF(DD_TOP_ACTV_5_Detailed_Currency_Used=2,SUPV_DETAILED_COST_WKSHT!$F34*SUPV_DETAILED_COST_WKSHT!H34,SUPV_DETAILED_COST_WKSHT!$F34*(SUPV_DETAILED_COST_WKSHT!H34*TOP_ACTV_5_Exchange_Rate))</f>
        <v>0</v>
      </c>
      <c r="G1857" s="116">
        <f t="shared" si="176"/>
        <v>0</v>
      </c>
      <c r="H1857" s="116">
        <f t="shared" si="177"/>
        <v>0</v>
      </c>
    </row>
    <row r="1858" spans="1:8" s="10" customFormat="1" outlineLevel="1" x14ac:dyDescent="0.2">
      <c r="D1858" s="49" t="str">
        <f>SUPV_DETAILED_COST_WKSHT!D35</f>
        <v>Personnel Category 8</v>
      </c>
      <c r="E1858" s="115">
        <f>IF(DD_TOP_ACTV_5_Detailed_Currency_Used=2,SUPV_DETAILED_COST_WKSHT!$F35*SUPV_DETAILED_COST_WKSHT!G35,SUPV_DETAILED_COST_WKSHT!$F35*(SUPV_DETAILED_COST_WKSHT!G35*TOP_ACTV_5_Exchange_Rate))</f>
        <v>0</v>
      </c>
      <c r="F1858" s="115">
        <f>IF(DD_TOP_ACTV_5_Detailed_Currency_Used=2,SUPV_DETAILED_COST_WKSHT!$F35*SUPV_DETAILED_COST_WKSHT!H35,SUPV_DETAILED_COST_WKSHT!$F35*(SUPV_DETAILED_COST_WKSHT!H35*TOP_ACTV_5_Exchange_Rate))</f>
        <v>0</v>
      </c>
      <c r="G1858" s="116">
        <f t="shared" si="176"/>
        <v>0</v>
      </c>
      <c r="H1858" s="116">
        <f t="shared" si="177"/>
        <v>0</v>
      </c>
    </row>
    <row r="1859" spans="1:8" s="10" customFormat="1" outlineLevel="1" x14ac:dyDescent="0.2">
      <c r="D1859" s="49" t="str">
        <f>SUPV_DETAILED_COST_WKSHT!D36</f>
        <v>Personnel Category 9</v>
      </c>
      <c r="E1859" s="115">
        <f>IF(DD_TOP_ACTV_5_Detailed_Currency_Used=2,SUPV_DETAILED_COST_WKSHT!$F36*SUPV_DETAILED_COST_WKSHT!G36,SUPV_DETAILED_COST_WKSHT!$F36*(SUPV_DETAILED_COST_WKSHT!G36*TOP_ACTV_5_Exchange_Rate))</f>
        <v>0</v>
      </c>
      <c r="F1859" s="115">
        <f>IF(DD_TOP_ACTV_5_Detailed_Currency_Used=2,SUPV_DETAILED_COST_WKSHT!$F36*SUPV_DETAILED_COST_WKSHT!H36,SUPV_DETAILED_COST_WKSHT!$F36*(SUPV_DETAILED_COST_WKSHT!H36*TOP_ACTV_5_Exchange_Rate))</f>
        <v>0</v>
      </c>
      <c r="G1859" s="116">
        <f t="shared" si="176"/>
        <v>0</v>
      </c>
      <c r="H1859" s="116">
        <f t="shared" si="177"/>
        <v>0</v>
      </c>
    </row>
    <row r="1860" spans="1:8" s="10" customFormat="1" outlineLevel="1" x14ac:dyDescent="0.2">
      <c r="D1860" s="49" t="str">
        <f>SUPV_DETAILED_COST_WKSHT!D37</f>
        <v>Personnel Category 10</v>
      </c>
      <c r="E1860" s="115">
        <f>IF(DD_TOP_ACTV_5_Detailed_Currency_Used=2,SUPV_DETAILED_COST_WKSHT!$F37*SUPV_DETAILED_COST_WKSHT!G37,SUPV_DETAILED_COST_WKSHT!$F37*(SUPV_DETAILED_COST_WKSHT!G37*TOP_ACTV_5_Exchange_Rate))</f>
        <v>0</v>
      </c>
      <c r="F1860" s="115">
        <f>IF(DD_TOP_ACTV_5_Detailed_Currency_Used=2,SUPV_DETAILED_COST_WKSHT!$F37*SUPV_DETAILED_COST_WKSHT!H37,SUPV_DETAILED_COST_WKSHT!$F37*(SUPV_DETAILED_COST_WKSHT!H37*TOP_ACTV_5_Exchange_Rate))</f>
        <v>0</v>
      </c>
      <c r="G1860" s="116">
        <f t="shared" si="176"/>
        <v>0</v>
      </c>
      <c r="H1860" s="116">
        <f t="shared" si="177"/>
        <v>0</v>
      </c>
    </row>
    <row r="1861" spans="1:8" s="10" customFormat="1" outlineLevel="1" x14ac:dyDescent="0.2">
      <c r="D1861" s="49" t="str">
        <f>SUPV_DETAILED_COST_WKSHT!D38</f>
        <v>Personnel Category 11</v>
      </c>
      <c r="E1861" s="115">
        <f>IF(DD_TOP_ACTV_5_Detailed_Currency_Used=2,SUPV_DETAILED_COST_WKSHT!$F38*SUPV_DETAILED_COST_WKSHT!G38,SUPV_DETAILED_COST_WKSHT!$F38*(SUPV_DETAILED_COST_WKSHT!G38*TOP_ACTV_5_Exchange_Rate))</f>
        <v>0</v>
      </c>
      <c r="F1861" s="115">
        <f>IF(DD_TOP_ACTV_5_Detailed_Currency_Used=2,SUPV_DETAILED_COST_WKSHT!$F38*SUPV_DETAILED_COST_WKSHT!H38,SUPV_DETAILED_COST_WKSHT!$F38*(SUPV_DETAILED_COST_WKSHT!H38*TOP_ACTV_5_Exchange_Rate))</f>
        <v>0</v>
      </c>
      <c r="G1861" s="116">
        <f t="shared" si="176"/>
        <v>0</v>
      </c>
      <c r="H1861" s="116">
        <f t="shared" si="177"/>
        <v>0</v>
      </c>
    </row>
    <row r="1862" spans="1:8" s="10" customFormat="1" outlineLevel="1" x14ac:dyDescent="0.2">
      <c r="D1862" s="49" t="str">
        <f>SUPV_DETAILED_COST_WKSHT!D39</f>
        <v>Personnel Category 12</v>
      </c>
      <c r="E1862" s="115">
        <f>IF(DD_TOP_ACTV_5_Detailed_Currency_Used=2,SUPV_DETAILED_COST_WKSHT!$F39*SUPV_DETAILED_COST_WKSHT!G39,SUPV_DETAILED_COST_WKSHT!$F39*(SUPV_DETAILED_COST_WKSHT!G39*TOP_ACTV_5_Exchange_Rate))</f>
        <v>0</v>
      </c>
      <c r="F1862" s="115">
        <f>IF(DD_TOP_ACTV_5_Detailed_Currency_Used=2,SUPV_DETAILED_COST_WKSHT!$F39*SUPV_DETAILED_COST_WKSHT!H39,SUPV_DETAILED_COST_WKSHT!$F39*(SUPV_DETAILED_COST_WKSHT!H39*TOP_ACTV_5_Exchange_Rate))</f>
        <v>0</v>
      </c>
      <c r="G1862" s="116">
        <f t="shared" si="176"/>
        <v>0</v>
      </c>
      <c r="H1862" s="116">
        <f t="shared" si="177"/>
        <v>0</v>
      </c>
    </row>
    <row r="1863" spans="1:8" s="10" customFormat="1" outlineLevel="1" x14ac:dyDescent="0.2">
      <c r="D1863" s="49" t="str">
        <f>SUPV_DETAILED_COST_WKSHT!D40</f>
        <v>Personnel Category 13</v>
      </c>
      <c r="E1863" s="115">
        <f>IF(DD_TOP_ACTV_5_Detailed_Currency_Used=2,SUPV_DETAILED_COST_WKSHT!$F40*SUPV_DETAILED_COST_WKSHT!G40,SUPV_DETAILED_COST_WKSHT!$F40*(SUPV_DETAILED_COST_WKSHT!G40*TOP_ACTV_5_Exchange_Rate))</f>
        <v>0</v>
      </c>
      <c r="F1863" s="115">
        <f>IF(DD_TOP_ACTV_5_Detailed_Currency_Used=2,SUPV_DETAILED_COST_WKSHT!$F40*SUPV_DETAILED_COST_WKSHT!H40,SUPV_DETAILED_COST_WKSHT!$F40*(SUPV_DETAILED_COST_WKSHT!H40*TOP_ACTV_5_Exchange_Rate))</f>
        <v>0</v>
      </c>
      <c r="G1863" s="116">
        <f t="shared" si="176"/>
        <v>0</v>
      </c>
      <c r="H1863" s="116">
        <f t="shared" si="177"/>
        <v>0</v>
      </c>
    </row>
    <row r="1864" spans="1:8" s="10" customFormat="1" outlineLevel="1" x14ac:dyDescent="0.2">
      <c r="D1864" s="49" t="str">
        <f>SUPV_DETAILED_COST_WKSHT!D41</f>
        <v>Personnel Category 14</v>
      </c>
      <c r="E1864" s="115">
        <f>IF(DD_TOP_ACTV_5_Detailed_Currency_Used=2,SUPV_DETAILED_COST_WKSHT!$F41*SUPV_DETAILED_COST_WKSHT!G41,SUPV_DETAILED_COST_WKSHT!$F41*(SUPV_DETAILED_COST_WKSHT!G41*TOP_ACTV_5_Exchange_Rate))</f>
        <v>0</v>
      </c>
      <c r="F1864" s="115">
        <f>IF(DD_TOP_ACTV_5_Detailed_Currency_Used=2,SUPV_DETAILED_COST_WKSHT!$F41*SUPV_DETAILED_COST_WKSHT!H41,SUPV_DETAILED_COST_WKSHT!$F41*(SUPV_DETAILED_COST_WKSHT!H41*TOP_ACTV_5_Exchange_Rate))</f>
        <v>0</v>
      </c>
      <c r="G1864" s="116">
        <f t="shared" si="176"/>
        <v>0</v>
      </c>
      <c r="H1864" s="116">
        <f t="shared" si="177"/>
        <v>0</v>
      </c>
    </row>
    <row r="1865" spans="1:8" s="10" customFormat="1" outlineLevel="1" x14ac:dyDescent="0.2">
      <c r="D1865" s="49" t="str">
        <f>SUPV_DETAILED_COST_WKSHT!D42</f>
        <v>Personnel Category 15</v>
      </c>
      <c r="E1865" s="115">
        <f>IF(DD_TOP_ACTV_5_Detailed_Currency_Used=2,SUPV_DETAILED_COST_WKSHT!$F42*SUPV_DETAILED_COST_WKSHT!G42,SUPV_DETAILED_COST_WKSHT!$F42*(SUPV_DETAILED_COST_WKSHT!G42*TOP_ACTV_5_Exchange_Rate))</f>
        <v>0</v>
      </c>
      <c r="F1865" s="115">
        <f>IF(DD_TOP_ACTV_5_Detailed_Currency_Used=2,SUPV_DETAILED_COST_WKSHT!$F42*SUPV_DETAILED_COST_WKSHT!H42,SUPV_DETAILED_COST_WKSHT!$F42*(SUPV_DETAILED_COST_WKSHT!H42*TOP_ACTV_5_Exchange_Rate))</f>
        <v>0</v>
      </c>
      <c r="G1865" s="116">
        <f t="shared" si="176"/>
        <v>0</v>
      </c>
      <c r="H1865" s="116">
        <f t="shared" si="177"/>
        <v>0</v>
      </c>
    </row>
    <row r="1866" spans="1:8" s="10" customFormat="1" outlineLevel="1" x14ac:dyDescent="0.2">
      <c r="D1866" s="48" t="str">
        <f>Lang_Personnel</f>
        <v>Personnel</v>
      </c>
      <c r="E1866" s="120">
        <f>SUM(E1851:E1865)</f>
        <v>0</v>
      </c>
      <c r="F1866" s="120">
        <f>SUM(F1851:F1865)</f>
        <v>0</v>
      </c>
      <c r="G1866" s="121">
        <f>SUM(G1851:G1865)</f>
        <v>0</v>
      </c>
      <c r="H1866" s="121">
        <f>SUM(H1851:H1865)</f>
        <v>0</v>
      </c>
    </row>
    <row r="1867" spans="1:8" s="10" customFormat="1" outlineLevel="1" x14ac:dyDescent="0.2"/>
    <row r="1868" spans="1:8" s="10" customFormat="1" outlineLevel="1" x14ac:dyDescent="0.2"/>
    <row r="1869" spans="1:8" s="10" customFormat="1" outlineLevel="1" x14ac:dyDescent="0.2">
      <c r="D1869" s="76" t="str">
        <f>Lang_GoTo&amp;" "&amp;HL_TOP_ACTV_5_Personnel_Assumptions</f>
        <v>Go to SME Activity #1 (Not in Use) - Detailed Personnel Cost Assumptions</v>
      </c>
    </row>
    <row r="1870" spans="1:8" s="10" customFormat="1" outlineLevel="1" x14ac:dyDescent="0.2">
      <c r="D1870" s="76" t="str">
        <f>Lang_GoTo&amp;" "&amp;HL_TOP_ACTV_5_Cost_Summary_Output</f>
        <v>Go to SME Activity #1 (Not in Use) Detailed Cost Summary</v>
      </c>
    </row>
    <row r="1871" spans="1:8" s="10" customFormat="1" x14ac:dyDescent="0.2"/>
    <row r="1872" spans="1:8" s="13" customFormat="1" x14ac:dyDescent="0.2">
      <c r="A1872" s="12" t="s">
        <v>127</v>
      </c>
      <c r="B1872" s="13" t="str">
        <f>HL_TOP_ACTV_5_Name&amp;" "&amp;Lang_Allowances_Outputs</f>
        <v>SME Activity #1 (Not in Use) Allowances - Outputs</v>
      </c>
    </row>
    <row r="1873" spans="3:8" s="10" customFormat="1" outlineLevel="1" x14ac:dyDescent="0.2"/>
    <row r="1874" spans="3:8" s="10" customFormat="1" outlineLevel="1" x14ac:dyDescent="0.2">
      <c r="C1874" s="114" t="str">
        <f>HL_TOP_ACTV_5_Name</f>
        <v>SME Activity #1 (Not in Use)</v>
      </c>
    </row>
    <row r="1875" spans="3:8" s="10" customFormat="1" outlineLevel="1" x14ac:dyDescent="0.2">
      <c r="E1875" s="86" t="str">
        <f>SUPV_Lu!$D$32&amp;" "&amp;Lang_Cost&amp;" ("&amp;SUPV_Lu!$D$13&amp;")"</f>
        <v>Financial Cost (LCU)</v>
      </c>
      <c r="F1875" s="86" t="str">
        <f>SUPV_Lu!$D$33&amp;" "&amp;Lang_Cost&amp;" ("&amp;SUPV_Lu!$D$13&amp;")"</f>
        <v>Economic Cost (LCU)</v>
      </c>
      <c r="G1875" s="86" t="str">
        <f>SUPV_Lu!$D$32&amp;" "&amp;Lang_Cost&amp;" ("&amp;SUPV_Lu!$D$12&amp;")"</f>
        <v>Financial Cost (USD)</v>
      </c>
      <c r="H1875" s="86" t="str">
        <f>SUPV_Lu!$D$33&amp;" "&amp;Lang_Cost&amp;" ("&amp;SUPV_Lu!$D$12&amp;")"</f>
        <v>Economic Cost (USD)</v>
      </c>
    </row>
    <row r="1876" spans="3:8" s="10" customFormat="1" outlineLevel="1" x14ac:dyDescent="0.2">
      <c r="D1876" s="49" t="str">
        <f>SUPV_DETAILED_COST_WKSHT!D51</f>
        <v>Allowances Category 1</v>
      </c>
      <c r="E1876" s="115">
        <f>IF(DD_TOP_ACTV_5_Detailed_Currency_Used=2,SUPV_DETAILED_COST_WKSHT!$F51*SUPV_DETAILED_COST_WKSHT!G51,SUPV_DETAILED_COST_WKSHT!$F51*(SUPV_DETAILED_COST_WKSHT!G51*TOP_ACTV_5_Exchange_Rate))</f>
        <v>0</v>
      </c>
      <c r="F1876" s="115">
        <f>IF(DD_TOP_ACTV_5_Detailed_Currency_Used=2,SUPV_DETAILED_COST_WKSHT!$F51*SUPV_DETAILED_COST_WKSHT!H51,SUPV_DETAILED_COST_WKSHT!$F51*(SUPV_DETAILED_COST_WKSHT!H51*TOP_ACTV_5_Exchange_Rate))</f>
        <v>0</v>
      </c>
      <c r="G1876" s="116">
        <f t="shared" ref="G1876:G1885" si="178">E1876/TOP_ACTV_5_Exchange_Rate</f>
        <v>0</v>
      </c>
      <c r="H1876" s="116">
        <f t="shared" ref="H1876:H1885" si="179">F1876/TOP_ACTV_5_Exchange_Rate</f>
        <v>0</v>
      </c>
    </row>
    <row r="1877" spans="3:8" s="10" customFormat="1" outlineLevel="1" x14ac:dyDescent="0.2">
      <c r="D1877" s="49" t="str">
        <f>SUPV_DETAILED_COST_WKSHT!D52</f>
        <v>Allowances Category 2</v>
      </c>
      <c r="E1877" s="115">
        <f>IF(DD_TOP_ACTV_5_Detailed_Currency_Used=2,SUPV_DETAILED_COST_WKSHT!$F52*SUPV_DETAILED_COST_WKSHT!G52,SUPV_DETAILED_COST_WKSHT!$F52*(SUPV_DETAILED_COST_WKSHT!G52*TOP_ACTV_5_Exchange_Rate))</f>
        <v>0</v>
      </c>
      <c r="F1877" s="115">
        <f>IF(DD_TOP_ACTV_5_Detailed_Currency_Used=2,SUPV_DETAILED_COST_WKSHT!$F52*SUPV_DETAILED_COST_WKSHT!H52,SUPV_DETAILED_COST_WKSHT!$F52*(SUPV_DETAILED_COST_WKSHT!H52*TOP_ACTV_5_Exchange_Rate))</f>
        <v>0</v>
      </c>
      <c r="G1877" s="116">
        <f t="shared" si="178"/>
        <v>0</v>
      </c>
      <c r="H1877" s="116">
        <f t="shared" si="179"/>
        <v>0</v>
      </c>
    </row>
    <row r="1878" spans="3:8" s="10" customFormat="1" outlineLevel="1" x14ac:dyDescent="0.2">
      <c r="D1878" s="49" t="str">
        <f>SUPV_DETAILED_COST_WKSHT!D53</f>
        <v>Allowances Category 3</v>
      </c>
      <c r="E1878" s="115">
        <f>IF(DD_TOP_ACTV_5_Detailed_Currency_Used=2,SUPV_DETAILED_COST_WKSHT!$F53*SUPV_DETAILED_COST_WKSHT!G53,SUPV_DETAILED_COST_WKSHT!$F53*(SUPV_DETAILED_COST_WKSHT!G53*TOP_ACTV_5_Exchange_Rate))</f>
        <v>0</v>
      </c>
      <c r="F1878" s="115">
        <f>IF(DD_TOP_ACTV_5_Detailed_Currency_Used=2,SUPV_DETAILED_COST_WKSHT!$F53*SUPV_DETAILED_COST_WKSHT!H53,SUPV_DETAILED_COST_WKSHT!$F53*(SUPV_DETAILED_COST_WKSHT!H53*TOP_ACTV_5_Exchange_Rate))</f>
        <v>0</v>
      </c>
      <c r="G1878" s="116">
        <f t="shared" si="178"/>
        <v>0</v>
      </c>
      <c r="H1878" s="116">
        <f t="shared" si="179"/>
        <v>0</v>
      </c>
    </row>
    <row r="1879" spans="3:8" s="10" customFormat="1" outlineLevel="1" x14ac:dyDescent="0.2">
      <c r="D1879" s="49" t="str">
        <f>SUPV_DETAILED_COST_WKSHT!D54</f>
        <v>Allowances Category 4</v>
      </c>
      <c r="E1879" s="115">
        <f>IF(DD_TOP_ACTV_5_Detailed_Currency_Used=2,SUPV_DETAILED_COST_WKSHT!$F54*SUPV_DETAILED_COST_WKSHT!G54,SUPV_DETAILED_COST_WKSHT!$F54*(SUPV_DETAILED_COST_WKSHT!G54*TOP_ACTV_5_Exchange_Rate))</f>
        <v>0</v>
      </c>
      <c r="F1879" s="115">
        <f>IF(DD_TOP_ACTV_5_Detailed_Currency_Used=2,SUPV_DETAILED_COST_WKSHT!$F54*SUPV_DETAILED_COST_WKSHT!H54,SUPV_DETAILED_COST_WKSHT!$F54*(SUPV_DETAILED_COST_WKSHT!H54*TOP_ACTV_5_Exchange_Rate))</f>
        <v>0</v>
      </c>
      <c r="G1879" s="116">
        <f t="shared" si="178"/>
        <v>0</v>
      </c>
      <c r="H1879" s="116">
        <f t="shared" si="179"/>
        <v>0</v>
      </c>
    </row>
    <row r="1880" spans="3:8" s="10" customFormat="1" outlineLevel="1" x14ac:dyDescent="0.2">
      <c r="D1880" s="49" t="str">
        <f>SUPV_DETAILED_COST_WKSHT!D55</f>
        <v>Allowances Category 5</v>
      </c>
      <c r="E1880" s="115">
        <f>IF(DD_TOP_ACTV_5_Detailed_Currency_Used=2,SUPV_DETAILED_COST_WKSHT!$F55*SUPV_DETAILED_COST_WKSHT!G55,SUPV_DETAILED_COST_WKSHT!$F55*(SUPV_DETAILED_COST_WKSHT!G55*TOP_ACTV_5_Exchange_Rate))</f>
        <v>0</v>
      </c>
      <c r="F1880" s="115">
        <f>IF(DD_TOP_ACTV_5_Detailed_Currency_Used=2,SUPV_DETAILED_COST_WKSHT!$F55*SUPV_DETAILED_COST_WKSHT!H55,SUPV_DETAILED_COST_WKSHT!$F55*(SUPV_DETAILED_COST_WKSHT!H55*TOP_ACTV_5_Exchange_Rate))</f>
        <v>0</v>
      </c>
      <c r="G1880" s="116">
        <f t="shared" si="178"/>
        <v>0</v>
      </c>
      <c r="H1880" s="116">
        <f t="shared" si="179"/>
        <v>0</v>
      </c>
    </row>
    <row r="1881" spans="3:8" s="10" customFormat="1" outlineLevel="1" x14ac:dyDescent="0.2">
      <c r="D1881" s="49" t="str">
        <f>SUPV_DETAILED_COST_WKSHT!D56</f>
        <v>Allowances Category 6</v>
      </c>
      <c r="E1881" s="115">
        <f>IF(DD_TOP_ACTV_5_Detailed_Currency_Used=2,SUPV_DETAILED_COST_WKSHT!$F56*SUPV_DETAILED_COST_WKSHT!G56,SUPV_DETAILED_COST_WKSHT!$F56*(SUPV_DETAILED_COST_WKSHT!G56*TOP_ACTV_5_Exchange_Rate))</f>
        <v>0</v>
      </c>
      <c r="F1881" s="115">
        <f>IF(DD_TOP_ACTV_5_Detailed_Currency_Used=2,SUPV_DETAILED_COST_WKSHT!$F56*SUPV_DETAILED_COST_WKSHT!H56,SUPV_DETAILED_COST_WKSHT!$F56*(SUPV_DETAILED_COST_WKSHT!H56*TOP_ACTV_5_Exchange_Rate))</f>
        <v>0</v>
      </c>
      <c r="G1881" s="116">
        <f t="shared" si="178"/>
        <v>0</v>
      </c>
      <c r="H1881" s="116">
        <f t="shared" si="179"/>
        <v>0</v>
      </c>
    </row>
    <row r="1882" spans="3:8" s="10" customFormat="1" outlineLevel="1" x14ac:dyDescent="0.2">
      <c r="D1882" s="49" t="str">
        <f>SUPV_DETAILED_COST_WKSHT!D57</f>
        <v>Allowances Category 7</v>
      </c>
      <c r="E1882" s="115">
        <f>IF(DD_TOP_ACTV_5_Detailed_Currency_Used=2,SUPV_DETAILED_COST_WKSHT!$F57*SUPV_DETAILED_COST_WKSHT!G57,SUPV_DETAILED_COST_WKSHT!$F57*(SUPV_DETAILED_COST_WKSHT!G57*TOP_ACTV_5_Exchange_Rate))</f>
        <v>0</v>
      </c>
      <c r="F1882" s="115">
        <f>IF(DD_TOP_ACTV_5_Detailed_Currency_Used=2,SUPV_DETAILED_COST_WKSHT!$F57*SUPV_DETAILED_COST_WKSHT!H57,SUPV_DETAILED_COST_WKSHT!$F57*(SUPV_DETAILED_COST_WKSHT!H57*TOP_ACTV_5_Exchange_Rate))</f>
        <v>0</v>
      </c>
      <c r="G1882" s="116">
        <f t="shared" si="178"/>
        <v>0</v>
      </c>
      <c r="H1882" s="116">
        <f t="shared" si="179"/>
        <v>0</v>
      </c>
    </row>
    <row r="1883" spans="3:8" s="10" customFormat="1" outlineLevel="1" x14ac:dyDescent="0.2">
      <c r="D1883" s="49" t="str">
        <f>SUPV_DETAILED_COST_WKSHT!D58</f>
        <v>Allowances Category 8</v>
      </c>
      <c r="E1883" s="115">
        <f>IF(DD_TOP_ACTV_5_Detailed_Currency_Used=2,SUPV_DETAILED_COST_WKSHT!$F58*SUPV_DETAILED_COST_WKSHT!G58,SUPV_DETAILED_COST_WKSHT!$F58*(SUPV_DETAILED_COST_WKSHT!G58*TOP_ACTV_5_Exchange_Rate))</f>
        <v>0</v>
      </c>
      <c r="F1883" s="115">
        <f>IF(DD_TOP_ACTV_5_Detailed_Currency_Used=2,SUPV_DETAILED_COST_WKSHT!$F58*SUPV_DETAILED_COST_WKSHT!H58,SUPV_DETAILED_COST_WKSHT!$F58*(SUPV_DETAILED_COST_WKSHT!H58*TOP_ACTV_5_Exchange_Rate))</f>
        <v>0</v>
      </c>
      <c r="G1883" s="116">
        <f t="shared" si="178"/>
        <v>0</v>
      </c>
      <c r="H1883" s="116">
        <f t="shared" si="179"/>
        <v>0</v>
      </c>
    </row>
    <row r="1884" spans="3:8" s="10" customFormat="1" outlineLevel="1" x14ac:dyDescent="0.2">
      <c r="D1884" s="49" t="str">
        <f>SUPV_DETAILED_COST_WKSHT!D59</f>
        <v>Allowances Category 9</v>
      </c>
      <c r="E1884" s="115">
        <f>IF(DD_TOP_ACTV_5_Detailed_Currency_Used=2,SUPV_DETAILED_COST_WKSHT!$F59*SUPV_DETAILED_COST_WKSHT!G59,SUPV_DETAILED_COST_WKSHT!$F59*(SUPV_DETAILED_COST_WKSHT!G59*TOP_ACTV_5_Exchange_Rate))</f>
        <v>0</v>
      </c>
      <c r="F1884" s="115">
        <f>IF(DD_TOP_ACTV_5_Detailed_Currency_Used=2,SUPV_DETAILED_COST_WKSHT!$F59*SUPV_DETAILED_COST_WKSHT!H59,SUPV_DETAILED_COST_WKSHT!$F59*(SUPV_DETAILED_COST_WKSHT!H59*TOP_ACTV_5_Exchange_Rate))</f>
        <v>0</v>
      </c>
      <c r="G1884" s="116">
        <f t="shared" si="178"/>
        <v>0</v>
      </c>
      <c r="H1884" s="116">
        <f t="shared" si="179"/>
        <v>0</v>
      </c>
    </row>
    <row r="1885" spans="3:8" s="10" customFormat="1" outlineLevel="1" x14ac:dyDescent="0.2">
      <c r="D1885" s="49" t="str">
        <f>SUPV_DETAILED_COST_WKSHT!D60</f>
        <v>Allowances Category 10</v>
      </c>
      <c r="E1885" s="115">
        <f>IF(DD_TOP_ACTV_5_Detailed_Currency_Used=2,SUPV_DETAILED_COST_WKSHT!$F60*SUPV_DETAILED_COST_WKSHT!G60,SUPV_DETAILED_COST_WKSHT!$F60*(SUPV_DETAILED_COST_WKSHT!G60*TOP_ACTV_5_Exchange_Rate))</f>
        <v>0</v>
      </c>
      <c r="F1885" s="115">
        <f>IF(DD_TOP_ACTV_5_Detailed_Currency_Used=2,SUPV_DETAILED_COST_WKSHT!$F60*SUPV_DETAILED_COST_WKSHT!H60,SUPV_DETAILED_COST_WKSHT!$F60*(SUPV_DETAILED_COST_WKSHT!H60*TOP_ACTV_5_Exchange_Rate))</f>
        <v>0</v>
      </c>
      <c r="G1885" s="116">
        <f t="shared" si="178"/>
        <v>0</v>
      </c>
      <c r="H1885" s="116">
        <f t="shared" si="179"/>
        <v>0</v>
      </c>
    </row>
    <row r="1886" spans="3:8" s="10" customFormat="1" outlineLevel="1" x14ac:dyDescent="0.2">
      <c r="D1886" s="48" t="str">
        <f>Lang_Allowances</f>
        <v>Allowances</v>
      </c>
      <c r="E1886" s="120">
        <f>SUM(E1876:E1885)</f>
        <v>0</v>
      </c>
      <c r="F1886" s="120">
        <f>SUM(F1876:F1885)</f>
        <v>0</v>
      </c>
      <c r="G1886" s="121">
        <f>SUM(G1876:G1885)</f>
        <v>0</v>
      </c>
      <c r="H1886" s="121">
        <f>SUM(H1876:H1885)</f>
        <v>0</v>
      </c>
    </row>
    <row r="1887" spans="3:8" s="10" customFormat="1" outlineLevel="1" x14ac:dyDescent="0.2"/>
    <row r="1888" spans="3:8" s="10" customFormat="1" outlineLevel="1" x14ac:dyDescent="0.2"/>
    <row r="1889" spans="1:8" s="10" customFormat="1" outlineLevel="1" x14ac:dyDescent="0.2">
      <c r="D1889" s="76" t="str">
        <f>Lang_GoTo&amp;" "&amp;HL_TOP_ACTV_5_Ass_A</f>
        <v>Go to SME Activity #1 (Not in Use) - Detailed Allowance Cost Assumptions</v>
      </c>
    </row>
    <row r="1890" spans="1:8" s="10" customFormat="1" outlineLevel="1" x14ac:dyDescent="0.2">
      <c r="D1890" s="76" t="str">
        <f>Lang_GoTo&amp;" "&amp;HL_TOP_ACTV_5_Cost_Summary_Output</f>
        <v>Go to SME Activity #1 (Not in Use) Detailed Cost Summary</v>
      </c>
    </row>
    <row r="1891" spans="1:8" s="10" customFormat="1" x14ac:dyDescent="0.2"/>
    <row r="1892" spans="1:8" s="13" customFormat="1" x14ac:dyDescent="0.2">
      <c r="A1892" s="12" t="s">
        <v>127</v>
      </c>
      <c r="B1892" s="13" t="str">
        <f>HL_TOP_ACTV_5_Name&amp;" "&amp;Lang_Supplies_And_Materials_Outputs</f>
        <v>SME Activity #1 (Not in Use) Supplies and Materials - Outputs</v>
      </c>
    </row>
    <row r="1893" spans="1:8" s="10" customFormat="1" outlineLevel="1" x14ac:dyDescent="0.2"/>
    <row r="1894" spans="1:8" s="10" customFormat="1" outlineLevel="1" x14ac:dyDescent="0.2">
      <c r="C1894" s="114" t="str">
        <f>HL_TOP_ACTV_5_Name</f>
        <v>SME Activity #1 (Not in Use)</v>
      </c>
    </row>
    <row r="1895" spans="1:8" s="10" customFormat="1" outlineLevel="1" x14ac:dyDescent="0.2">
      <c r="E1895" s="86" t="str">
        <f>SUPV_Lu!$D$32&amp;" "&amp;Lang_Cost&amp;" ("&amp;SUPV_Lu!$D$13&amp;")"</f>
        <v>Financial Cost (LCU)</v>
      </c>
      <c r="F1895" s="86" t="str">
        <f>SUPV_Lu!$D$33&amp;" "&amp;Lang_Cost&amp;" ("&amp;SUPV_Lu!$D$13&amp;")"</f>
        <v>Economic Cost (LCU)</v>
      </c>
      <c r="G1895" s="86" t="str">
        <f>SUPV_Lu!$D$32&amp;" "&amp;Lang_Cost&amp;" ("&amp;SUPV_Lu!$D$12&amp;")"</f>
        <v>Financial Cost (USD)</v>
      </c>
      <c r="H1895" s="86" t="str">
        <f>SUPV_Lu!$D$33&amp;" "&amp;Lang_Cost&amp;" ("&amp;SUPV_Lu!$D$12&amp;")"</f>
        <v>Economic Cost (USD)</v>
      </c>
    </row>
    <row r="1896" spans="1:8" s="10" customFormat="1" outlineLevel="1" x14ac:dyDescent="0.2">
      <c r="D1896" s="49" t="str">
        <f>SUPV_DETAILED_COST_WKSHT!D69</f>
        <v>Supplies and Materials Category 1</v>
      </c>
      <c r="E1896" s="115">
        <f>IF(DD_TOP_ACTV_5_Detailed_Currency_Used=2,SUPV_DETAILED_COST_WKSHT!$F69*SUPV_DETAILED_COST_WKSHT!G69,SUPV_DETAILED_COST_WKSHT!$F69*(SUPV_DETAILED_COST_WKSHT!G69*TOP_ACTV_5_Exchange_Rate))</f>
        <v>0</v>
      </c>
      <c r="F1896" s="115">
        <f>IF(DD_TOP_ACTV_5_Detailed_Currency_Used=2,SUPV_DETAILED_COST_WKSHT!$F69*SUPV_DETAILED_COST_WKSHT!H69,SUPV_DETAILED_COST_WKSHT!$F69*(SUPV_DETAILED_COST_WKSHT!H69*TOP_ACTV_5_Exchange_Rate))</f>
        <v>0</v>
      </c>
      <c r="G1896" s="116">
        <f t="shared" ref="G1896:G1905" si="180">E1896/TOP_ACTV_5_Exchange_Rate</f>
        <v>0</v>
      </c>
      <c r="H1896" s="116">
        <f t="shared" ref="H1896:H1905" si="181">F1896/TOP_ACTV_5_Exchange_Rate</f>
        <v>0</v>
      </c>
    </row>
    <row r="1897" spans="1:8" s="10" customFormat="1" outlineLevel="1" x14ac:dyDescent="0.2">
      <c r="D1897" s="49" t="str">
        <f>SUPV_DETAILED_COST_WKSHT!D70</f>
        <v>Supplies and Materials Category 2</v>
      </c>
      <c r="E1897" s="115">
        <f>IF(DD_TOP_ACTV_5_Detailed_Currency_Used=2,SUPV_DETAILED_COST_WKSHT!$F70*SUPV_DETAILED_COST_WKSHT!G70,SUPV_DETAILED_COST_WKSHT!$F70*(SUPV_DETAILED_COST_WKSHT!G70*TOP_ACTV_5_Exchange_Rate))</f>
        <v>0</v>
      </c>
      <c r="F1897" s="115">
        <f>IF(DD_TOP_ACTV_5_Detailed_Currency_Used=2,SUPV_DETAILED_COST_WKSHT!$F70*SUPV_DETAILED_COST_WKSHT!H70,SUPV_DETAILED_COST_WKSHT!$F70*(SUPV_DETAILED_COST_WKSHT!H70*TOP_ACTV_5_Exchange_Rate))</f>
        <v>0</v>
      </c>
      <c r="G1897" s="116">
        <f t="shared" si="180"/>
        <v>0</v>
      </c>
      <c r="H1897" s="116">
        <f t="shared" si="181"/>
        <v>0</v>
      </c>
    </row>
    <row r="1898" spans="1:8" s="10" customFormat="1" outlineLevel="1" x14ac:dyDescent="0.2">
      <c r="D1898" s="49" t="str">
        <f>SUPV_DETAILED_COST_WKSHT!D71</f>
        <v>Supplies and Materials Category 3</v>
      </c>
      <c r="E1898" s="115">
        <f>IF(DD_TOP_ACTV_5_Detailed_Currency_Used=2,SUPV_DETAILED_COST_WKSHT!$F71*SUPV_DETAILED_COST_WKSHT!G71,SUPV_DETAILED_COST_WKSHT!$F71*(SUPV_DETAILED_COST_WKSHT!G71*TOP_ACTV_5_Exchange_Rate))</f>
        <v>0</v>
      </c>
      <c r="F1898" s="115">
        <f>IF(DD_TOP_ACTV_5_Detailed_Currency_Used=2,SUPV_DETAILED_COST_WKSHT!$F71*SUPV_DETAILED_COST_WKSHT!H71,SUPV_DETAILED_COST_WKSHT!$F71*(SUPV_DETAILED_COST_WKSHT!H71*TOP_ACTV_5_Exchange_Rate))</f>
        <v>0</v>
      </c>
      <c r="G1898" s="116">
        <f t="shared" si="180"/>
        <v>0</v>
      </c>
      <c r="H1898" s="116">
        <f t="shared" si="181"/>
        <v>0</v>
      </c>
    </row>
    <row r="1899" spans="1:8" s="10" customFormat="1" outlineLevel="1" x14ac:dyDescent="0.2">
      <c r="D1899" s="49" t="str">
        <f>SUPV_DETAILED_COST_WKSHT!D72</f>
        <v>Supplies and Materials Category 4</v>
      </c>
      <c r="E1899" s="115">
        <f>IF(DD_TOP_ACTV_5_Detailed_Currency_Used=2,SUPV_DETAILED_COST_WKSHT!$F72*SUPV_DETAILED_COST_WKSHT!G72,SUPV_DETAILED_COST_WKSHT!$F72*(SUPV_DETAILED_COST_WKSHT!G72*TOP_ACTV_5_Exchange_Rate))</f>
        <v>0</v>
      </c>
      <c r="F1899" s="115">
        <f>IF(DD_TOP_ACTV_5_Detailed_Currency_Used=2,SUPV_DETAILED_COST_WKSHT!$F72*SUPV_DETAILED_COST_WKSHT!H72,SUPV_DETAILED_COST_WKSHT!$F72*(SUPV_DETAILED_COST_WKSHT!H72*TOP_ACTV_5_Exchange_Rate))</f>
        <v>0</v>
      </c>
      <c r="G1899" s="116">
        <f t="shared" si="180"/>
        <v>0</v>
      </c>
      <c r="H1899" s="116">
        <f t="shared" si="181"/>
        <v>0</v>
      </c>
    </row>
    <row r="1900" spans="1:8" s="10" customFormat="1" outlineLevel="1" x14ac:dyDescent="0.2">
      <c r="D1900" s="49" t="str">
        <f>SUPV_DETAILED_COST_WKSHT!D73</f>
        <v>Supplies and Materials Category 5</v>
      </c>
      <c r="E1900" s="115">
        <f>IF(DD_TOP_ACTV_5_Detailed_Currency_Used=2,SUPV_DETAILED_COST_WKSHT!$F73*SUPV_DETAILED_COST_WKSHT!G73,SUPV_DETAILED_COST_WKSHT!$F73*(SUPV_DETAILED_COST_WKSHT!G73*TOP_ACTV_5_Exchange_Rate))</f>
        <v>0</v>
      </c>
      <c r="F1900" s="115">
        <f>IF(DD_TOP_ACTV_5_Detailed_Currency_Used=2,SUPV_DETAILED_COST_WKSHT!$F73*SUPV_DETAILED_COST_WKSHT!H73,SUPV_DETAILED_COST_WKSHT!$F73*(SUPV_DETAILED_COST_WKSHT!H73*TOP_ACTV_5_Exchange_Rate))</f>
        <v>0</v>
      </c>
      <c r="G1900" s="116">
        <f t="shared" si="180"/>
        <v>0</v>
      </c>
      <c r="H1900" s="116">
        <f t="shared" si="181"/>
        <v>0</v>
      </c>
    </row>
    <row r="1901" spans="1:8" s="10" customFormat="1" outlineLevel="1" x14ac:dyDescent="0.2">
      <c r="D1901" s="49" t="str">
        <f>SUPV_DETAILED_COST_WKSHT!D74</f>
        <v>Supplies and Materials Category 6</v>
      </c>
      <c r="E1901" s="115">
        <f>IF(DD_TOP_ACTV_5_Detailed_Currency_Used=2,SUPV_DETAILED_COST_WKSHT!$F74*SUPV_DETAILED_COST_WKSHT!G74,SUPV_DETAILED_COST_WKSHT!$F74*(SUPV_DETAILED_COST_WKSHT!G74*TOP_ACTV_5_Exchange_Rate))</f>
        <v>0</v>
      </c>
      <c r="F1901" s="115">
        <f>IF(DD_TOP_ACTV_5_Detailed_Currency_Used=2,SUPV_DETAILED_COST_WKSHT!$F74*SUPV_DETAILED_COST_WKSHT!H74,SUPV_DETAILED_COST_WKSHT!$F74*(SUPV_DETAILED_COST_WKSHT!H74*TOP_ACTV_5_Exchange_Rate))</f>
        <v>0</v>
      </c>
      <c r="G1901" s="116">
        <f t="shared" si="180"/>
        <v>0</v>
      </c>
      <c r="H1901" s="116">
        <f t="shared" si="181"/>
        <v>0</v>
      </c>
    </row>
    <row r="1902" spans="1:8" s="10" customFormat="1" outlineLevel="1" x14ac:dyDescent="0.2">
      <c r="D1902" s="49" t="str">
        <f>SUPV_DETAILED_COST_WKSHT!D75</f>
        <v>Supplies and Materials Category 7</v>
      </c>
      <c r="E1902" s="115">
        <f>IF(DD_TOP_ACTV_5_Detailed_Currency_Used=2,SUPV_DETAILED_COST_WKSHT!$F75*SUPV_DETAILED_COST_WKSHT!G75,SUPV_DETAILED_COST_WKSHT!$F75*(SUPV_DETAILED_COST_WKSHT!G75*TOP_ACTV_5_Exchange_Rate))</f>
        <v>0</v>
      </c>
      <c r="F1902" s="115">
        <f>IF(DD_TOP_ACTV_5_Detailed_Currency_Used=2,SUPV_DETAILED_COST_WKSHT!$F75*SUPV_DETAILED_COST_WKSHT!H75,SUPV_DETAILED_COST_WKSHT!$F75*(SUPV_DETAILED_COST_WKSHT!H75*TOP_ACTV_5_Exchange_Rate))</f>
        <v>0</v>
      </c>
      <c r="G1902" s="116">
        <f t="shared" si="180"/>
        <v>0</v>
      </c>
      <c r="H1902" s="116">
        <f t="shared" si="181"/>
        <v>0</v>
      </c>
    </row>
    <row r="1903" spans="1:8" s="10" customFormat="1" outlineLevel="1" x14ac:dyDescent="0.2">
      <c r="D1903" s="49" t="str">
        <f>SUPV_DETAILED_COST_WKSHT!D76</f>
        <v>Supplies and Materials Category 8</v>
      </c>
      <c r="E1903" s="115">
        <f>IF(DD_TOP_ACTV_5_Detailed_Currency_Used=2,SUPV_DETAILED_COST_WKSHT!$F76*SUPV_DETAILED_COST_WKSHT!G76,SUPV_DETAILED_COST_WKSHT!$F76*(SUPV_DETAILED_COST_WKSHT!G76*TOP_ACTV_5_Exchange_Rate))</f>
        <v>0</v>
      </c>
      <c r="F1903" s="115">
        <f>IF(DD_TOP_ACTV_5_Detailed_Currency_Used=2,SUPV_DETAILED_COST_WKSHT!$F76*SUPV_DETAILED_COST_WKSHT!H76,SUPV_DETAILED_COST_WKSHT!$F76*(SUPV_DETAILED_COST_WKSHT!H76*TOP_ACTV_5_Exchange_Rate))</f>
        <v>0</v>
      </c>
      <c r="G1903" s="116">
        <f t="shared" si="180"/>
        <v>0</v>
      </c>
      <c r="H1903" s="116">
        <f t="shared" si="181"/>
        <v>0</v>
      </c>
    </row>
    <row r="1904" spans="1:8" s="10" customFormat="1" outlineLevel="1" x14ac:dyDescent="0.2">
      <c r="D1904" s="49" t="str">
        <f>SUPV_DETAILED_COST_WKSHT!D77</f>
        <v>Supplies and Materials Category 9</v>
      </c>
      <c r="E1904" s="115">
        <f>IF(DD_TOP_ACTV_5_Detailed_Currency_Used=2,SUPV_DETAILED_COST_WKSHT!$F77*SUPV_DETAILED_COST_WKSHT!G77,SUPV_DETAILED_COST_WKSHT!$F77*(SUPV_DETAILED_COST_WKSHT!G77*TOP_ACTV_5_Exchange_Rate))</f>
        <v>0</v>
      </c>
      <c r="F1904" s="115">
        <f>IF(DD_TOP_ACTV_5_Detailed_Currency_Used=2,SUPV_DETAILED_COST_WKSHT!$F77*SUPV_DETAILED_COST_WKSHT!H77,SUPV_DETAILED_COST_WKSHT!$F77*(SUPV_DETAILED_COST_WKSHT!H77*TOP_ACTV_5_Exchange_Rate))</f>
        <v>0</v>
      </c>
      <c r="G1904" s="116">
        <f t="shared" si="180"/>
        <v>0</v>
      </c>
      <c r="H1904" s="116">
        <f t="shared" si="181"/>
        <v>0</v>
      </c>
    </row>
    <row r="1905" spans="1:8" s="10" customFormat="1" outlineLevel="1" x14ac:dyDescent="0.2">
      <c r="D1905" s="49" t="str">
        <f>SUPV_DETAILED_COST_WKSHT!D78</f>
        <v>Supplies and Materials Category 10</v>
      </c>
      <c r="E1905" s="115">
        <f>IF(DD_TOP_ACTV_5_Detailed_Currency_Used=2,SUPV_DETAILED_COST_WKSHT!$F78*SUPV_DETAILED_COST_WKSHT!G78,SUPV_DETAILED_COST_WKSHT!$F78*(SUPV_DETAILED_COST_WKSHT!G78*TOP_ACTV_5_Exchange_Rate))</f>
        <v>0</v>
      </c>
      <c r="F1905" s="115">
        <f>IF(DD_TOP_ACTV_5_Detailed_Currency_Used=2,SUPV_DETAILED_COST_WKSHT!$F78*SUPV_DETAILED_COST_WKSHT!H78,SUPV_DETAILED_COST_WKSHT!$F78*(SUPV_DETAILED_COST_WKSHT!H78*TOP_ACTV_5_Exchange_Rate))</f>
        <v>0</v>
      </c>
      <c r="G1905" s="116">
        <f t="shared" si="180"/>
        <v>0</v>
      </c>
      <c r="H1905" s="116">
        <f t="shared" si="181"/>
        <v>0</v>
      </c>
    </row>
    <row r="1906" spans="1:8" s="10" customFormat="1" outlineLevel="1" x14ac:dyDescent="0.2">
      <c r="D1906" s="48" t="str">
        <f>Lang_Supplies_And_Materials</f>
        <v>Supplies and Materials</v>
      </c>
      <c r="E1906" s="120">
        <f>SUM(E1896:E1905)</f>
        <v>0</v>
      </c>
      <c r="F1906" s="120">
        <f>SUM(F1896:F1905)</f>
        <v>0</v>
      </c>
      <c r="G1906" s="121">
        <f>SUM(G1896:G1905)</f>
        <v>0</v>
      </c>
      <c r="H1906" s="121">
        <f>SUM(H1896:H1905)</f>
        <v>0</v>
      </c>
    </row>
    <row r="1907" spans="1:8" s="10" customFormat="1" outlineLevel="1" x14ac:dyDescent="0.2"/>
    <row r="1908" spans="1:8" s="10" customFormat="1" outlineLevel="1" x14ac:dyDescent="0.2"/>
    <row r="1909" spans="1:8" s="10" customFormat="1" outlineLevel="1" x14ac:dyDescent="0.2">
      <c r="D1909" s="76" t="str">
        <f>Lang_GoTo&amp;" "&amp;HL_TOP_ACTV_5_Supplies_and_Materials</f>
        <v>Go to SME Activity #1 (Not in Use) - Detailed Supply and Material Cost Assumptions</v>
      </c>
    </row>
    <row r="1910" spans="1:8" s="10" customFormat="1" outlineLevel="1" x14ac:dyDescent="0.2">
      <c r="D1910" s="76" t="str">
        <f>Lang_GoTo&amp;" "&amp;HL_TOP_ACTV_5_Cost_Summary_Output</f>
        <v>Go to SME Activity #1 (Not in Use) Detailed Cost Summary</v>
      </c>
    </row>
    <row r="1911" spans="1:8" s="10" customFormat="1" x14ac:dyDescent="0.2"/>
    <row r="1912" spans="1:8" s="13" customFormat="1" x14ac:dyDescent="0.2">
      <c r="A1912" s="12" t="s">
        <v>127</v>
      </c>
      <c r="B1912" s="13" t="str">
        <f>HL_TOP_ACTV_5_Name&amp;" "&amp;Lang_Other_Direct_Costs_Outputs</f>
        <v>SME Activity #1 (Not in Use) Other Direct Costs - Outputs</v>
      </c>
    </row>
    <row r="1913" spans="1:8" s="10" customFormat="1" outlineLevel="1" x14ac:dyDescent="0.2"/>
    <row r="1914" spans="1:8" s="10" customFormat="1" outlineLevel="1" x14ac:dyDescent="0.2">
      <c r="C1914" s="114" t="str">
        <f>HL_TOP_ACTV_5_Name</f>
        <v>SME Activity #1 (Not in Use)</v>
      </c>
    </row>
    <row r="1915" spans="1:8" s="10" customFormat="1" outlineLevel="1" x14ac:dyDescent="0.2">
      <c r="E1915" s="86" t="str">
        <f>SUPV_Lu!$D$32&amp;" "&amp;Lang_Cost&amp;" ("&amp;SUPV_Lu!$D$13&amp;")"</f>
        <v>Financial Cost (LCU)</v>
      </c>
      <c r="F1915" s="86" t="str">
        <f>SUPV_Lu!$D$33&amp;" "&amp;Lang_Cost&amp;" ("&amp;SUPV_Lu!$D$13&amp;")"</f>
        <v>Economic Cost (LCU)</v>
      </c>
      <c r="G1915" s="86" t="str">
        <f>SUPV_Lu!$D$32&amp;" "&amp;Lang_Cost&amp;" ("&amp;SUPV_Lu!$D$12&amp;")"</f>
        <v>Financial Cost (USD)</v>
      </c>
      <c r="H1915" s="86" t="str">
        <f>SUPV_Lu!$D$33&amp;" "&amp;Lang_Cost&amp;" ("&amp;SUPV_Lu!$D$12&amp;")"</f>
        <v>Economic Cost (USD)</v>
      </c>
    </row>
    <row r="1916" spans="1:8" s="10" customFormat="1" outlineLevel="1" x14ac:dyDescent="0.2">
      <c r="D1916" s="49" t="str">
        <f>SUPV_DETAILED_COST_WKSHT!D87</f>
        <v>Other Direct Costs (ODC) Category 1</v>
      </c>
      <c r="E1916" s="115">
        <f>IF(DD_TOP_ACTV_5_Detailed_Currency_Used=2,SUPV_DETAILED_COST_WKSHT!$F87*SUPV_DETAILED_COST_WKSHT!G87,SUPV_DETAILED_COST_WKSHT!$F87*(SUPV_DETAILED_COST_WKSHT!G87*TOP_ACTV_5_Exchange_Rate))</f>
        <v>0</v>
      </c>
      <c r="F1916" s="115">
        <f>IF(DD_TOP_ACTV_5_Detailed_Currency_Used=2,SUPV_DETAILED_COST_WKSHT!$F87*SUPV_DETAILED_COST_WKSHT!H87,SUPV_DETAILED_COST_WKSHT!$F87*(SUPV_DETAILED_COST_WKSHT!H87*TOP_ACTV_5_Exchange_Rate))</f>
        <v>0</v>
      </c>
      <c r="G1916" s="116">
        <f t="shared" ref="G1916:G1925" si="182">E1916/TOP_ACTV_5_Exchange_Rate</f>
        <v>0</v>
      </c>
      <c r="H1916" s="116">
        <f t="shared" ref="H1916:H1925" si="183">F1916/TOP_ACTV_5_Exchange_Rate</f>
        <v>0</v>
      </c>
    </row>
    <row r="1917" spans="1:8" s="10" customFormat="1" outlineLevel="1" x14ac:dyDescent="0.2">
      <c r="D1917" s="49" t="str">
        <f>SUPV_DETAILED_COST_WKSHT!D88</f>
        <v>Other Direct Costs (ODC) Category 2</v>
      </c>
      <c r="E1917" s="115">
        <f>IF(DD_TOP_ACTV_5_Detailed_Currency_Used=2,SUPV_DETAILED_COST_WKSHT!$F88*SUPV_DETAILED_COST_WKSHT!G88,SUPV_DETAILED_COST_WKSHT!$F88*(SUPV_DETAILED_COST_WKSHT!G88*TOP_ACTV_5_Exchange_Rate))</f>
        <v>0</v>
      </c>
      <c r="F1917" s="115">
        <f>IF(DD_TOP_ACTV_5_Detailed_Currency_Used=2,SUPV_DETAILED_COST_WKSHT!$F88*SUPV_DETAILED_COST_WKSHT!H88,SUPV_DETAILED_COST_WKSHT!$F88*(SUPV_DETAILED_COST_WKSHT!H88*TOP_ACTV_5_Exchange_Rate))</f>
        <v>0</v>
      </c>
      <c r="G1917" s="116">
        <f t="shared" si="182"/>
        <v>0</v>
      </c>
      <c r="H1917" s="116">
        <f t="shared" si="183"/>
        <v>0</v>
      </c>
    </row>
    <row r="1918" spans="1:8" s="10" customFormat="1" outlineLevel="1" x14ac:dyDescent="0.2">
      <c r="D1918" s="49" t="str">
        <f>SUPV_DETAILED_COST_WKSHT!D89</f>
        <v>Other Direct Costs (ODC) Category 3</v>
      </c>
      <c r="E1918" s="115">
        <f>IF(DD_TOP_ACTV_5_Detailed_Currency_Used=2,SUPV_DETAILED_COST_WKSHT!$F89*SUPV_DETAILED_COST_WKSHT!G89,SUPV_DETAILED_COST_WKSHT!$F89*(SUPV_DETAILED_COST_WKSHT!G89*TOP_ACTV_5_Exchange_Rate))</f>
        <v>0</v>
      </c>
      <c r="F1918" s="115">
        <f>IF(DD_TOP_ACTV_5_Detailed_Currency_Used=2,SUPV_DETAILED_COST_WKSHT!$F89*SUPV_DETAILED_COST_WKSHT!H89,SUPV_DETAILED_COST_WKSHT!$F89*(SUPV_DETAILED_COST_WKSHT!H89*TOP_ACTV_5_Exchange_Rate))</f>
        <v>0</v>
      </c>
      <c r="G1918" s="116">
        <f t="shared" si="182"/>
        <v>0</v>
      </c>
      <c r="H1918" s="116">
        <f t="shared" si="183"/>
        <v>0</v>
      </c>
    </row>
    <row r="1919" spans="1:8" s="10" customFormat="1" outlineLevel="1" x14ac:dyDescent="0.2">
      <c r="D1919" s="49" t="str">
        <f>SUPV_DETAILED_COST_WKSHT!D90</f>
        <v>Other Direct Costs (ODC) Category 4</v>
      </c>
      <c r="E1919" s="115">
        <f>IF(DD_TOP_ACTV_5_Detailed_Currency_Used=2,SUPV_DETAILED_COST_WKSHT!$F90*SUPV_DETAILED_COST_WKSHT!G90,SUPV_DETAILED_COST_WKSHT!$F90*(SUPV_DETAILED_COST_WKSHT!G90*TOP_ACTV_5_Exchange_Rate))</f>
        <v>0</v>
      </c>
      <c r="F1919" s="115">
        <f>IF(DD_TOP_ACTV_5_Detailed_Currency_Used=2,SUPV_DETAILED_COST_WKSHT!$F90*SUPV_DETAILED_COST_WKSHT!H90,SUPV_DETAILED_COST_WKSHT!$F90*(SUPV_DETAILED_COST_WKSHT!H90*TOP_ACTV_5_Exchange_Rate))</f>
        <v>0</v>
      </c>
      <c r="G1919" s="116">
        <f t="shared" si="182"/>
        <v>0</v>
      </c>
      <c r="H1919" s="116">
        <f t="shared" si="183"/>
        <v>0</v>
      </c>
    </row>
    <row r="1920" spans="1:8" s="10" customFormat="1" outlineLevel="1" x14ac:dyDescent="0.2">
      <c r="D1920" s="49" t="str">
        <f>SUPV_DETAILED_COST_WKSHT!D91</f>
        <v>Other Direct Costs (ODC) Category 5</v>
      </c>
      <c r="E1920" s="115">
        <f>IF(DD_TOP_ACTV_5_Detailed_Currency_Used=2,SUPV_DETAILED_COST_WKSHT!$F91*SUPV_DETAILED_COST_WKSHT!G91,SUPV_DETAILED_COST_WKSHT!$F91*(SUPV_DETAILED_COST_WKSHT!G91*TOP_ACTV_5_Exchange_Rate))</f>
        <v>0</v>
      </c>
      <c r="F1920" s="115">
        <f>IF(DD_TOP_ACTV_5_Detailed_Currency_Used=2,SUPV_DETAILED_COST_WKSHT!$F91*SUPV_DETAILED_COST_WKSHT!H91,SUPV_DETAILED_COST_WKSHT!$F91*(SUPV_DETAILED_COST_WKSHT!H91*TOP_ACTV_5_Exchange_Rate))</f>
        <v>0</v>
      </c>
      <c r="G1920" s="116">
        <f t="shared" si="182"/>
        <v>0</v>
      </c>
      <c r="H1920" s="116">
        <f t="shared" si="183"/>
        <v>0</v>
      </c>
    </row>
    <row r="1921" spans="1:8" s="10" customFormat="1" outlineLevel="1" x14ac:dyDescent="0.2">
      <c r="D1921" s="49" t="str">
        <f>SUPV_DETAILED_COST_WKSHT!D92</f>
        <v>Other Direct Costs (ODC) Category 6</v>
      </c>
      <c r="E1921" s="115">
        <f>IF(DD_TOP_ACTV_5_Detailed_Currency_Used=2,SUPV_DETAILED_COST_WKSHT!$F92*SUPV_DETAILED_COST_WKSHT!G92,SUPV_DETAILED_COST_WKSHT!$F92*(SUPV_DETAILED_COST_WKSHT!G92*TOP_ACTV_5_Exchange_Rate))</f>
        <v>0</v>
      </c>
      <c r="F1921" s="115">
        <f>IF(DD_TOP_ACTV_5_Detailed_Currency_Used=2,SUPV_DETAILED_COST_WKSHT!$F92*SUPV_DETAILED_COST_WKSHT!H92,SUPV_DETAILED_COST_WKSHT!$F92*(SUPV_DETAILED_COST_WKSHT!H92*TOP_ACTV_5_Exchange_Rate))</f>
        <v>0</v>
      </c>
      <c r="G1921" s="116">
        <f t="shared" si="182"/>
        <v>0</v>
      </c>
      <c r="H1921" s="116">
        <f t="shared" si="183"/>
        <v>0</v>
      </c>
    </row>
    <row r="1922" spans="1:8" s="10" customFormat="1" outlineLevel="1" x14ac:dyDescent="0.2">
      <c r="D1922" s="49" t="str">
        <f>SUPV_DETAILED_COST_WKSHT!D93</f>
        <v>Other Direct Costs (ODC) Category 7</v>
      </c>
      <c r="E1922" s="115">
        <f>IF(DD_TOP_ACTV_5_Detailed_Currency_Used=2,SUPV_DETAILED_COST_WKSHT!$F93*SUPV_DETAILED_COST_WKSHT!G93,SUPV_DETAILED_COST_WKSHT!$F93*(SUPV_DETAILED_COST_WKSHT!G93*TOP_ACTV_5_Exchange_Rate))</f>
        <v>0</v>
      </c>
      <c r="F1922" s="115">
        <f>IF(DD_TOP_ACTV_5_Detailed_Currency_Used=2,SUPV_DETAILED_COST_WKSHT!$F93*SUPV_DETAILED_COST_WKSHT!H93,SUPV_DETAILED_COST_WKSHT!$F93*(SUPV_DETAILED_COST_WKSHT!H93*TOP_ACTV_5_Exchange_Rate))</f>
        <v>0</v>
      </c>
      <c r="G1922" s="116">
        <f t="shared" si="182"/>
        <v>0</v>
      </c>
      <c r="H1922" s="116">
        <f t="shared" si="183"/>
        <v>0</v>
      </c>
    </row>
    <row r="1923" spans="1:8" s="10" customFormat="1" outlineLevel="1" x14ac:dyDescent="0.2">
      <c r="D1923" s="49" t="str">
        <f>SUPV_DETAILED_COST_WKSHT!D94</f>
        <v>Other Direct Costs (ODC) Category 8</v>
      </c>
      <c r="E1923" s="115">
        <f>IF(DD_TOP_ACTV_5_Detailed_Currency_Used=2,SUPV_DETAILED_COST_WKSHT!$F94*SUPV_DETAILED_COST_WKSHT!G94,SUPV_DETAILED_COST_WKSHT!$F94*(SUPV_DETAILED_COST_WKSHT!G94*TOP_ACTV_5_Exchange_Rate))</f>
        <v>0</v>
      </c>
      <c r="F1923" s="115">
        <f>IF(DD_TOP_ACTV_5_Detailed_Currency_Used=2,SUPV_DETAILED_COST_WKSHT!$F94*SUPV_DETAILED_COST_WKSHT!H94,SUPV_DETAILED_COST_WKSHT!$F94*(SUPV_DETAILED_COST_WKSHT!H94*TOP_ACTV_5_Exchange_Rate))</f>
        <v>0</v>
      </c>
      <c r="G1923" s="116">
        <f t="shared" si="182"/>
        <v>0</v>
      </c>
      <c r="H1923" s="116">
        <f t="shared" si="183"/>
        <v>0</v>
      </c>
    </row>
    <row r="1924" spans="1:8" s="10" customFormat="1" outlineLevel="1" x14ac:dyDescent="0.2">
      <c r="D1924" s="49" t="str">
        <f>SUPV_DETAILED_COST_WKSHT!D95</f>
        <v>Other Direct Costs (ODC) Category 9</v>
      </c>
      <c r="E1924" s="115">
        <f>IF(DD_TOP_ACTV_5_Detailed_Currency_Used=2,SUPV_DETAILED_COST_WKSHT!$F95*SUPV_DETAILED_COST_WKSHT!G95,SUPV_DETAILED_COST_WKSHT!$F95*(SUPV_DETAILED_COST_WKSHT!G95*TOP_ACTV_5_Exchange_Rate))</f>
        <v>0</v>
      </c>
      <c r="F1924" s="115">
        <f>IF(DD_TOP_ACTV_5_Detailed_Currency_Used=2,SUPV_DETAILED_COST_WKSHT!$F95*SUPV_DETAILED_COST_WKSHT!H95,SUPV_DETAILED_COST_WKSHT!$F95*(SUPV_DETAILED_COST_WKSHT!H95*TOP_ACTV_5_Exchange_Rate))</f>
        <v>0</v>
      </c>
      <c r="G1924" s="116">
        <f t="shared" si="182"/>
        <v>0</v>
      </c>
      <c r="H1924" s="116">
        <f t="shared" si="183"/>
        <v>0</v>
      </c>
    </row>
    <row r="1925" spans="1:8" s="10" customFormat="1" outlineLevel="1" x14ac:dyDescent="0.2">
      <c r="D1925" s="49" t="str">
        <f>SUPV_DETAILED_COST_WKSHT!D96</f>
        <v>Other Direct Costs (ODC) Category 10</v>
      </c>
      <c r="E1925" s="115">
        <f>IF(DD_TOP_ACTV_5_Detailed_Currency_Used=2,SUPV_DETAILED_COST_WKSHT!$F96*SUPV_DETAILED_COST_WKSHT!G96,SUPV_DETAILED_COST_WKSHT!$F96*(SUPV_DETAILED_COST_WKSHT!G96*TOP_ACTV_5_Exchange_Rate))</f>
        <v>0</v>
      </c>
      <c r="F1925" s="115">
        <f>IF(DD_TOP_ACTV_5_Detailed_Currency_Used=2,SUPV_DETAILED_COST_WKSHT!$F96*SUPV_DETAILED_COST_WKSHT!H96,SUPV_DETAILED_COST_WKSHT!$F96*(SUPV_DETAILED_COST_WKSHT!H96*TOP_ACTV_5_Exchange_Rate))</f>
        <v>0</v>
      </c>
      <c r="G1925" s="116">
        <f t="shared" si="182"/>
        <v>0</v>
      </c>
      <c r="H1925" s="116">
        <f t="shared" si="183"/>
        <v>0</v>
      </c>
    </row>
    <row r="1926" spans="1:8" s="10" customFormat="1" outlineLevel="1" x14ac:dyDescent="0.2">
      <c r="D1926" s="48" t="str">
        <f>Lang_Other_Direct_Costs</f>
        <v>Other Direct Costs</v>
      </c>
      <c r="E1926" s="120">
        <f>SUM(E1916:E1925)</f>
        <v>0</v>
      </c>
      <c r="F1926" s="120">
        <f>SUM(F1916:F1925)</f>
        <v>0</v>
      </c>
      <c r="G1926" s="121">
        <f>SUM(G1916:G1925)</f>
        <v>0</v>
      </c>
      <c r="H1926" s="121">
        <f>SUM(H1916:H1925)</f>
        <v>0</v>
      </c>
    </row>
    <row r="1927" spans="1:8" s="10" customFormat="1" outlineLevel="1" x14ac:dyDescent="0.2"/>
    <row r="1928" spans="1:8" s="10" customFormat="1" outlineLevel="1" x14ac:dyDescent="0.2">
      <c r="D1928" s="76" t="str">
        <f>Lang_GoTo&amp;" "&amp;HL_TOP_ACTV_5_Other_Direct_Costs</f>
        <v>Go to SME Activity #1 (Not in Use) - Detailed Other Direct Cost Assumptions</v>
      </c>
    </row>
    <row r="1929" spans="1:8" s="10" customFormat="1" outlineLevel="1" x14ac:dyDescent="0.2">
      <c r="D1929" s="76" t="str">
        <f>Lang_GoTo&amp;" "&amp;HL_TOP_ACTV_5_Cost_Summary_Output</f>
        <v>Go to SME Activity #1 (Not in Use) Detailed Cost Summary</v>
      </c>
    </row>
    <row r="1930" spans="1:8" s="10" customFormat="1" x14ac:dyDescent="0.2"/>
    <row r="1931" spans="1:8" s="13" customFormat="1" x14ac:dyDescent="0.2">
      <c r="A1931" s="12" t="s">
        <v>127</v>
      </c>
      <c r="B1931" s="13" t="str">
        <f>HL_TOP_ACTV_17_Name&amp;" "&amp;Lang_Personnel_Outputs</f>
        <v>SME Activity #2 (Not in Use) Personnel - Outputs</v>
      </c>
    </row>
    <row r="1932" spans="1:8" s="10" customFormat="1" outlineLevel="1" x14ac:dyDescent="0.2"/>
    <row r="1933" spans="1:8" s="10" customFormat="1" outlineLevel="1" x14ac:dyDescent="0.2">
      <c r="C1933" s="114" t="str">
        <f>HL_TOP_ACTV_17_Name</f>
        <v>SME Activity #2 (Not in Use)</v>
      </c>
    </row>
    <row r="1934" spans="1:8" s="10" customFormat="1" outlineLevel="1" x14ac:dyDescent="0.2">
      <c r="E1934" s="86" t="str">
        <f>SUPV_Lu!$D$67&amp;" "&amp;Lang_Cost&amp;" ("&amp;SUPV_Lu!$D$48&amp;")"</f>
        <v>Financial Cost (LCU)</v>
      </c>
      <c r="F1934" s="86" t="str">
        <f>SUPV_Lu!$D$68&amp;" "&amp;Lang_Cost&amp;" ("&amp;SUPV_Lu!$D$48&amp;")"</f>
        <v>Economic Cost (LCU)</v>
      </c>
      <c r="G1934" s="86" t="str">
        <f>SUPV_Lu!$D$67&amp;" "&amp;Lang_Cost&amp;" ("&amp;SUPV_Lu!$D$47&amp;")"</f>
        <v>Financial Cost (USD)</v>
      </c>
      <c r="H1934" s="86" t="str">
        <f>SUPV_Lu!$D$68&amp;" "&amp;Lang_Cost&amp;" ("&amp;SUPV_Lu!$D$47&amp;")"</f>
        <v>Economic Cost (USD)</v>
      </c>
    </row>
    <row r="1935" spans="1:8" s="10" customFormat="1" outlineLevel="1" x14ac:dyDescent="0.2">
      <c r="D1935" s="49" t="str">
        <f>SUPV_DETAILED_COST_WKSHT!D125</f>
        <v>Personnel Category 1</v>
      </c>
      <c r="E1935" s="115">
        <f>IF(DD_TOP_ACTV_17_Detailed_Currency_Used=2,SUPV_DETAILED_COST_WKSHT!$F125*SUPV_DETAILED_COST_WKSHT!G125,SUPV_DETAILED_COST_WKSHT!$F125*(SUPV_DETAILED_COST_WKSHT!G125*TOP_ACTV_17_Exchange_Rate))</f>
        <v>0</v>
      </c>
      <c r="F1935" s="115">
        <f>IF(DD_TOP_ACTV_17_Detailed_Currency_Used=2,SUPV_DETAILED_COST_WKSHT!$F125*SUPV_DETAILED_COST_WKSHT!H125,SUPV_DETAILED_COST_WKSHT!$F125*(SUPV_DETAILED_COST_WKSHT!H125*TOP_ACTV_17_Exchange_Rate))</f>
        <v>0</v>
      </c>
      <c r="G1935" s="116">
        <f t="shared" ref="G1935:G1949" si="184">IFERROR(E1935/TOP_ACTV_17_Exchange_Rate,0)</f>
        <v>0</v>
      </c>
      <c r="H1935" s="116">
        <f t="shared" ref="H1935:H1949" si="185">IFERROR(F1935/TOP_ACTV_17_Exchange_Rate,0)</f>
        <v>0</v>
      </c>
    </row>
    <row r="1936" spans="1:8" s="10" customFormat="1" outlineLevel="1" x14ac:dyDescent="0.2">
      <c r="D1936" s="49" t="str">
        <f>SUPV_DETAILED_COST_WKSHT!D126</f>
        <v>Personnel Category 2</v>
      </c>
      <c r="E1936" s="115">
        <f>IF(DD_TOP_ACTV_17_Detailed_Currency_Used=2,SUPV_DETAILED_COST_WKSHT!$F126*SUPV_DETAILED_COST_WKSHT!G126,SUPV_DETAILED_COST_WKSHT!$F126*(SUPV_DETAILED_COST_WKSHT!G126*TOP_ACTV_17_Exchange_Rate))</f>
        <v>0</v>
      </c>
      <c r="F1936" s="115">
        <f>IF(DD_TOP_ACTV_17_Detailed_Currency_Used=2,SUPV_DETAILED_COST_WKSHT!$F126*SUPV_DETAILED_COST_WKSHT!H126,SUPV_DETAILED_COST_WKSHT!$F126*(SUPV_DETAILED_COST_WKSHT!H126*TOP_ACTV_17_Exchange_Rate))</f>
        <v>0</v>
      </c>
      <c r="G1936" s="116">
        <f t="shared" si="184"/>
        <v>0</v>
      </c>
      <c r="H1936" s="116">
        <f t="shared" si="185"/>
        <v>0</v>
      </c>
    </row>
    <row r="1937" spans="4:8" s="10" customFormat="1" outlineLevel="1" x14ac:dyDescent="0.2">
      <c r="D1937" s="49" t="str">
        <f>SUPV_DETAILED_COST_WKSHT!D127</f>
        <v>Personnel Category 3</v>
      </c>
      <c r="E1937" s="115">
        <f>IF(DD_TOP_ACTV_17_Detailed_Currency_Used=2,SUPV_DETAILED_COST_WKSHT!$F127*SUPV_DETAILED_COST_WKSHT!G127,SUPV_DETAILED_COST_WKSHT!$F127*(SUPV_DETAILED_COST_WKSHT!G127*TOP_ACTV_17_Exchange_Rate))</f>
        <v>0</v>
      </c>
      <c r="F1937" s="115">
        <f>IF(DD_TOP_ACTV_17_Detailed_Currency_Used=2,SUPV_DETAILED_COST_WKSHT!$F127*SUPV_DETAILED_COST_WKSHT!H127,SUPV_DETAILED_COST_WKSHT!$F127*(SUPV_DETAILED_COST_WKSHT!H127*TOP_ACTV_17_Exchange_Rate))</f>
        <v>0</v>
      </c>
      <c r="G1937" s="116">
        <f t="shared" si="184"/>
        <v>0</v>
      </c>
      <c r="H1937" s="116">
        <f t="shared" si="185"/>
        <v>0</v>
      </c>
    </row>
    <row r="1938" spans="4:8" s="10" customFormat="1" outlineLevel="1" x14ac:dyDescent="0.2">
      <c r="D1938" s="49" t="str">
        <f>SUPV_DETAILED_COST_WKSHT!D128</f>
        <v>Personnel Category 4</v>
      </c>
      <c r="E1938" s="115">
        <f>IF(DD_TOP_ACTV_17_Detailed_Currency_Used=2,SUPV_DETAILED_COST_WKSHT!$F128*SUPV_DETAILED_COST_WKSHT!G128,SUPV_DETAILED_COST_WKSHT!$F128*(SUPV_DETAILED_COST_WKSHT!G128*TOP_ACTV_17_Exchange_Rate))</f>
        <v>0</v>
      </c>
      <c r="F1938" s="115">
        <f>IF(DD_TOP_ACTV_17_Detailed_Currency_Used=2,SUPV_DETAILED_COST_WKSHT!$F128*SUPV_DETAILED_COST_WKSHT!H128,SUPV_DETAILED_COST_WKSHT!$F128*(SUPV_DETAILED_COST_WKSHT!H128*TOP_ACTV_17_Exchange_Rate))</f>
        <v>0</v>
      </c>
      <c r="G1938" s="116">
        <f t="shared" si="184"/>
        <v>0</v>
      </c>
      <c r="H1938" s="116">
        <f t="shared" si="185"/>
        <v>0</v>
      </c>
    </row>
    <row r="1939" spans="4:8" s="10" customFormat="1" outlineLevel="1" x14ac:dyDescent="0.2">
      <c r="D1939" s="49" t="str">
        <f>SUPV_DETAILED_COST_WKSHT!D129</f>
        <v>Personnel Category 5</v>
      </c>
      <c r="E1939" s="115">
        <f>IF(DD_TOP_ACTV_17_Detailed_Currency_Used=2,SUPV_DETAILED_COST_WKSHT!$F129*SUPV_DETAILED_COST_WKSHT!G129,SUPV_DETAILED_COST_WKSHT!$F129*(SUPV_DETAILED_COST_WKSHT!G129*TOP_ACTV_17_Exchange_Rate))</f>
        <v>0</v>
      </c>
      <c r="F1939" s="115">
        <f>IF(DD_TOP_ACTV_17_Detailed_Currency_Used=2,SUPV_DETAILED_COST_WKSHT!$F129*SUPV_DETAILED_COST_WKSHT!H129,SUPV_DETAILED_COST_WKSHT!$F129*(SUPV_DETAILED_COST_WKSHT!H129*TOP_ACTV_17_Exchange_Rate))</f>
        <v>0</v>
      </c>
      <c r="G1939" s="116">
        <f t="shared" si="184"/>
        <v>0</v>
      </c>
      <c r="H1939" s="116">
        <f t="shared" si="185"/>
        <v>0</v>
      </c>
    </row>
    <row r="1940" spans="4:8" s="10" customFormat="1" outlineLevel="1" x14ac:dyDescent="0.2">
      <c r="D1940" s="49" t="str">
        <f>SUPV_DETAILED_COST_WKSHT!D130</f>
        <v>Personnel Category 6</v>
      </c>
      <c r="E1940" s="115">
        <f>IF(DD_TOP_ACTV_17_Detailed_Currency_Used=2,SUPV_DETAILED_COST_WKSHT!$F130*SUPV_DETAILED_COST_WKSHT!G130,SUPV_DETAILED_COST_WKSHT!$F130*(SUPV_DETAILED_COST_WKSHT!G130*TOP_ACTV_17_Exchange_Rate))</f>
        <v>0</v>
      </c>
      <c r="F1940" s="115">
        <f>IF(DD_TOP_ACTV_17_Detailed_Currency_Used=2,SUPV_DETAILED_COST_WKSHT!$F130*SUPV_DETAILED_COST_WKSHT!H130,SUPV_DETAILED_COST_WKSHT!$F130*(SUPV_DETAILED_COST_WKSHT!H130*TOP_ACTV_17_Exchange_Rate))</f>
        <v>0</v>
      </c>
      <c r="G1940" s="116">
        <f t="shared" si="184"/>
        <v>0</v>
      </c>
      <c r="H1940" s="116">
        <f t="shared" si="185"/>
        <v>0</v>
      </c>
    </row>
    <row r="1941" spans="4:8" s="10" customFormat="1" outlineLevel="1" x14ac:dyDescent="0.2">
      <c r="D1941" s="49" t="str">
        <f>SUPV_DETAILED_COST_WKSHT!D131</f>
        <v>Personnel Category 7</v>
      </c>
      <c r="E1941" s="115">
        <f>IF(DD_TOP_ACTV_17_Detailed_Currency_Used=2,SUPV_DETAILED_COST_WKSHT!$F131*SUPV_DETAILED_COST_WKSHT!G131,SUPV_DETAILED_COST_WKSHT!$F131*(SUPV_DETAILED_COST_WKSHT!G131*TOP_ACTV_17_Exchange_Rate))</f>
        <v>0</v>
      </c>
      <c r="F1941" s="115">
        <f>IF(DD_TOP_ACTV_17_Detailed_Currency_Used=2,SUPV_DETAILED_COST_WKSHT!$F131*SUPV_DETAILED_COST_WKSHT!H131,SUPV_DETAILED_COST_WKSHT!$F131*(SUPV_DETAILED_COST_WKSHT!H131*TOP_ACTV_17_Exchange_Rate))</f>
        <v>0</v>
      </c>
      <c r="G1941" s="116">
        <f t="shared" si="184"/>
        <v>0</v>
      </c>
      <c r="H1941" s="116">
        <f t="shared" si="185"/>
        <v>0</v>
      </c>
    </row>
    <row r="1942" spans="4:8" s="10" customFormat="1" outlineLevel="1" x14ac:dyDescent="0.2">
      <c r="D1942" s="49" t="str">
        <f>SUPV_DETAILED_COST_WKSHT!D132</f>
        <v>Personnel Category 8</v>
      </c>
      <c r="E1942" s="115">
        <f>IF(DD_TOP_ACTV_17_Detailed_Currency_Used=2,SUPV_DETAILED_COST_WKSHT!$F132*SUPV_DETAILED_COST_WKSHT!G132,SUPV_DETAILED_COST_WKSHT!$F132*(SUPV_DETAILED_COST_WKSHT!G132*TOP_ACTV_17_Exchange_Rate))</f>
        <v>0</v>
      </c>
      <c r="F1942" s="115">
        <f>IF(DD_TOP_ACTV_17_Detailed_Currency_Used=2,SUPV_DETAILED_COST_WKSHT!$F132*SUPV_DETAILED_COST_WKSHT!H132,SUPV_DETAILED_COST_WKSHT!$F132*(SUPV_DETAILED_COST_WKSHT!H132*TOP_ACTV_17_Exchange_Rate))</f>
        <v>0</v>
      </c>
      <c r="G1942" s="116">
        <f t="shared" si="184"/>
        <v>0</v>
      </c>
      <c r="H1942" s="116">
        <f t="shared" si="185"/>
        <v>0</v>
      </c>
    </row>
    <row r="1943" spans="4:8" s="10" customFormat="1" outlineLevel="1" x14ac:dyDescent="0.2">
      <c r="D1943" s="49" t="str">
        <f>SUPV_DETAILED_COST_WKSHT!D133</f>
        <v>Personnel Category 9</v>
      </c>
      <c r="E1943" s="115">
        <f>IF(DD_TOP_ACTV_17_Detailed_Currency_Used=2,SUPV_DETAILED_COST_WKSHT!$F133*SUPV_DETAILED_COST_WKSHT!G133,SUPV_DETAILED_COST_WKSHT!$F133*(SUPV_DETAILED_COST_WKSHT!G133*TOP_ACTV_17_Exchange_Rate))</f>
        <v>0</v>
      </c>
      <c r="F1943" s="115">
        <f>IF(DD_TOP_ACTV_17_Detailed_Currency_Used=2,SUPV_DETAILED_COST_WKSHT!$F133*SUPV_DETAILED_COST_WKSHT!H133,SUPV_DETAILED_COST_WKSHT!$F133*(SUPV_DETAILED_COST_WKSHT!H133*TOP_ACTV_17_Exchange_Rate))</f>
        <v>0</v>
      </c>
      <c r="G1943" s="116">
        <f t="shared" si="184"/>
        <v>0</v>
      </c>
      <c r="H1943" s="116">
        <f t="shared" si="185"/>
        <v>0</v>
      </c>
    </row>
    <row r="1944" spans="4:8" s="10" customFormat="1" outlineLevel="1" x14ac:dyDescent="0.2">
      <c r="D1944" s="49" t="str">
        <f>SUPV_DETAILED_COST_WKSHT!D134</f>
        <v>Personnel Category 10</v>
      </c>
      <c r="E1944" s="115">
        <f>IF(DD_TOP_ACTV_17_Detailed_Currency_Used=2,SUPV_DETAILED_COST_WKSHT!$F134*SUPV_DETAILED_COST_WKSHT!G134,SUPV_DETAILED_COST_WKSHT!$F134*(SUPV_DETAILED_COST_WKSHT!G134*TOP_ACTV_17_Exchange_Rate))</f>
        <v>0</v>
      </c>
      <c r="F1944" s="115">
        <f>IF(DD_TOP_ACTV_17_Detailed_Currency_Used=2,SUPV_DETAILED_COST_WKSHT!$F134*SUPV_DETAILED_COST_WKSHT!H134,SUPV_DETAILED_COST_WKSHT!$F134*(SUPV_DETAILED_COST_WKSHT!H134*TOP_ACTV_17_Exchange_Rate))</f>
        <v>0</v>
      </c>
      <c r="G1944" s="116">
        <f t="shared" si="184"/>
        <v>0</v>
      </c>
      <c r="H1944" s="116">
        <f t="shared" si="185"/>
        <v>0</v>
      </c>
    </row>
    <row r="1945" spans="4:8" s="10" customFormat="1" outlineLevel="1" x14ac:dyDescent="0.2">
      <c r="D1945" s="49" t="str">
        <f>SUPV_DETAILED_COST_WKSHT!D135</f>
        <v>Personnel Category 11</v>
      </c>
      <c r="E1945" s="115">
        <f>IF(DD_TOP_ACTV_17_Detailed_Currency_Used=2,SUPV_DETAILED_COST_WKSHT!$F135*SUPV_DETAILED_COST_WKSHT!G135,SUPV_DETAILED_COST_WKSHT!$F135*(SUPV_DETAILED_COST_WKSHT!G135*TOP_ACTV_17_Exchange_Rate))</f>
        <v>0</v>
      </c>
      <c r="F1945" s="115">
        <f>IF(DD_TOP_ACTV_17_Detailed_Currency_Used=2,SUPV_DETAILED_COST_WKSHT!$F135*SUPV_DETAILED_COST_WKSHT!H135,SUPV_DETAILED_COST_WKSHT!$F135*(SUPV_DETAILED_COST_WKSHT!H135*TOP_ACTV_17_Exchange_Rate))</f>
        <v>0</v>
      </c>
      <c r="G1945" s="116">
        <f t="shared" si="184"/>
        <v>0</v>
      </c>
      <c r="H1945" s="116">
        <f t="shared" si="185"/>
        <v>0</v>
      </c>
    </row>
    <row r="1946" spans="4:8" s="10" customFormat="1" outlineLevel="1" x14ac:dyDescent="0.2">
      <c r="D1946" s="49" t="str">
        <f>SUPV_DETAILED_COST_WKSHT!D136</f>
        <v>Personnel Category 12</v>
      </c>
      <c r="E1946" s="115">
        <f>IF(DD_TOP_ACTV_17_Detailed_Currency_Used=2,SUPV_DETAILED_COST_WKSHT!$F136*SUPV_DETAILED_COST_WKSHT!G136,SUPV_DETAILED_COST_WKSHT!$F136*(SUPV_DETAILED_COST_WKSHT!G136*TOP_ACTV_17_Exchange_Rate))</f>
        <v>0</v>
      </c>
      <c r="F1946" s="115">
        <f>IF(DD_TOP_ACTV_17_Detailed_Currency_Used=2,SUPV_DETAILED_COST_WKSHT!$F136*SUPV_DETAILED_COST_WKSHT!H136,SUPV_DETAILED_COST_WKSHT!$F136*(SUPV_DETAILED_COST_WKSHT!H136*TOP_ACTV_17_Exchange_Rate))</f>
        <v>0</v>
      </c>
      <c r="G1946" s="116">
        <f t="shared" si="184"/>
        <v>0</v>
      </c>
      <c r="H1946" s="116">
        <f t="shared" si="185"/>
        <v>0</v>
      </c>
    </row>
    <row r="1947" spans="4:8" s="10" customFormat="1" outlineLevel="1" x14ac:dyDescent="0.2">
      <c r="D1947" s="49" t="str">
        <f>SUPV_DETAILED_COST_WKSHT!D137</f>
        <v>Personnel Category 13</v>
      </c>
      <c r="E1947" s="115">
        <f>IF(DD_TOP_ACTV_17_Detailed_Currency_Used=2,SUPV_DETAILED_COST_WKSHT!$F137*SUPV_DETAILED_COST_WKSHT!G137,SUPV_DETAILED_COST_WKSHT!$F137*(SUPV_DETAILED_COST_WKSHT!G137*TOP_ACTV_17_Exchange_Rate))</f>
        <v>0</v>
      </c>
      <c r="F1947" s="115">
        <f>IF(DD_TOP_ACTV_17_Detailed_Currency_Used=2,SUPV_DETAILED_COST_WKSHT!$F137*SUPV_DETAILED_COST_WKSHT!H137,SUPV_DETAILED_COST_WKSHT!$F137*(SUPV_DETAILED_COST_WKSHT!H137*TOP_ACTV_17_Exchange_Rate))</f>
        <v>0</v>
      </c>
      <c r="G1947" s="116">
        <f t="shared" si="184"/>
        <v>0</v>
      </c>
      <c r="H1947" s="116">
        <f t="shared" si="185"/>
        <v>0</v>
      </c>
    </row>
    <row r="1948" spans="4:8" s="10" customFormat="1" outlineLevel="1" x14ac:dyDescent="0.2">
      <c r="D1948" s="49" t="str">
        <f>SUPV_DETAILED_COST_WKSHT!D138</f>
        <v>Personnel Category 14</v>
      </c>
      <c r="E1948" s="115">
        <f>IF(DD_TOP_ACTV_17_Detailed_Currency_Used=2,SUPV_DETAILED_COST_WKSHT!$F138*SUPV_DETAILED_COST_WKSHT!G138,SUPV_DETAILED_COST_WKSHT!$F138*(SUPV_DETAILED_COST_WKSHT!G138*TOP_ACTV_17_Exchange_Rate))</f>
        <v>0</v>
      </c>
      <c r="F1948" s="115">
        <f>IF(DD_TOP_ACTV_17_Detailed_Currency_Used=2,SUPV_DETAILED_COST_WKSHT!$F138*SUPV_DETAILED_COST_WKSHT!H138,SUPV_DETAILED_COST_WKSHT!$F138*(SUPV_DETAILED_COST_WKSHT!H138*TOP_ACTV_17_Exchange_Rate))</f>
        <v>0</v>
      </c>
      <c r="G1948" s="116">
        <f t="shared" si="184"/>
        <v>0</v>
      </c>
      <c r="H1948" s="116">
        <f t="shared" si="185"/>
        <v>0</v>
      </c>
    </row>
    <row r="1949" spans="4:8" s="10" customFormat="1" outlineLevel="1" x14ac:dyDescent="0.2">
      <c r="D1949" s="49" t="str">
        <f>SUPV_DETAILED_COST_WKSHT!D139</f>
        <v>Personnel Category 15</v>
      </c>
      <c r="E1949" s="115">
        <f>IF(DD_TOP_ACTV_17_Detailed_Currency_Used=2,SUPV_DETAILED_COST_WKSHT!$F139*SUPV_DETAILED_COST_WKSHT!G139,SUPV_DETAILED_COST_WKSHT!$F139*(SUPV_DETAILED_COST_WKSHT!G139*TOP_ACTV_17_Exchange_Rate))</f>
        <v>0</v>
      </c>
      <c r="F1949" s="115">
        <f>IF(DD_TOP_ACTV_17_Detailed_Currency_Used=2,SUPV_DETAILED_COST_WKSHT!$F139*SUPV_DETAILED_COST_WKSHT!H139,SUPV_DETAILED_COST_WKSHT!$F139*(SUPV_DETAILED_COST_WKSHT!H139*TOP_ACTV_17_Exchange_Rate))</f>
        <v>0</v>
      </c>
      <c r="G1949" s="116">
        <f t="shared" si="184"/>
        <v>0</v>
      </c>
      <c r="H1949" s="116">
        <f t="shared" si="185"/>
        <v>0</v>
      </c>
    </row>
    <row r="1950" spans="4:8" s="10" customFormat="1" outlineLevel="1" x14ac:dyDescent="0.2">
      <c r="D1950" s="48" t="str">
        <f>Lang_Personnel</f>
        <v>Personnel</v>
      </c>
      <c r="E1950" s="120">
        <f>SUM(E1935:E1949)</f>
        <v>0</v>
      </c>
      <c r="F1950" s="120">
        <f>SUM(F1935:F1949)</f>
        <v>0</v>
      </c>
      <c r="G1950" s="121">
        <f>SUM(G1935:G1949)</f>
        <v>0</v>
      </c>
      <c r="H1950" s="121">
        <f>SUM(H1935:H1949)</f>
        <v>0</v>
      </c>
    </row>
    <row r="1951" spans="4:8" s="10" customFormat="1" outlineLevel="1" x14ac:dyDescent="0.2"/>
    <row r="1952" spans="4:8" s="10" customFormat="1" outlineLevel="1" x14ac:dyDescent="0.2"/>
    <row r="1953" spans="1:8" s="10" customFormat="1" outlineLevel="1" x14ac:dyDescent="0.2">
      <c r="D1953" s="76" t="str">
        <f>Lang_GoTo&amp;" "&amp;HL_TOP_ACTV_17_Personnel_Assumptions</f>
        <v>Go to SME Activity #2 (Not in Use) - Detailed Personnel Cost Assumptions</v>
      </c>
    </row>
    <row r="1954" spans="1:8" s="10" customFormat="1" outlineLevel="1" x14ac:dyDescent="0.2">
      <c r="D1954" s="76" t="str">
        <f>Lang_GoTo&amp;" "&amp;HL_TOP_ACTV_17_Cost_Summary_Output</f>
        <v>Go to SME Activity #2 (Not in Use) Detailed Cost Summary</v>
      </c>
    </row>
    <row r="1955" spans="1:8" s="10" customFormat="1" x14ac:dyDescent="0.2"/>
    <row r="1956" spans="1:8" s="13" customFormat="1" x14ac:dyDescent="0.2">
      <c r="A1956" s="12" t="s">
        <v>127</v>
      </c>
      <c r="B1956" s="13" t="str">
        <f>HL_TOP_ACTV_17_Name&amp;" "&amp;Lang_Allowances_Outputs</f>
        <v>SME Activity #2 (Not in Use) Allowances - Outputs</v>
      </c>
    </row>
    <row r="1957" spans="1:8" s="10" customFormat="1" outlineLevel="1" x14ac:dyDescent="0.2"/>
    <row r="1958" spans="1:8" s="10" customFormat="1" outlineLevel="1" x14ac:dyDescent="0.2">
      <c r="C1958" s="114" t="str">
        <f>HL_TOP_ACTV_17_Name</f>
        <v>SME Activity #2 (Not in Use)</v>
      </c>
    </row>
    <row r="1959" spans="1:8" s="10" customFormat="1" outlineLevel="1" x14ac:dyDescent="0.2">
      <c r="E1959" s="86" t="str">
        <f>SUPV_Lu!$D$67&amp;" "&amp;Lang_Cost&amp;" ("&amp;SUPV_Lu!$D$48&amp;")"</f>
        <v>Financial Cost (LCU)</v>
      </c>
      <c r="F1959" s="86" t="str">
        <f>SUPV_Lu!$D$68&amp;" "&amp;Lang_Cost&amp;" ("&amp;SUPV_Lu!$D$48&amp;")"</f>
        <v>Economic Cost (LCU)</v>
      </c>
      <c r="G1959" s="86" t="str">
        <f>SUPV_Lu!$D$67&amp;" "&amp;Lang_Cost&amp;" ("&amp;SUPV_Lu!$D$47&amp;")"</f>
        <v>Financial Cost (USD)</v>
      </c>
      <c r="H1959" s="86" t="str">
        <f>SUPV_Lu!$D$68&amp;" "&amp;Lang_Cost&amp;" ("&amp;SUPV_Lu!$D$47&amp;")"</f>
        <v>Economic Cost (USD)</v>
      </c>
    </row>
    <row r="1960" spans="1:8" s="10" customFormat="1" outlineLevel="1" x14ac:dyDescent="0.2">
      <c r="D1960" s="49" t="str">
        <f>SUPV_DETAILED_COST_WKSHT!D148</f>
        <v>Allowances Category 1</v>
      </c>
      <c r="E1960" s="115">
        <f>IF(DD_TOP_ACTV_17_Detailed_Currency_Used=2,SUPV_DETAILED_COST_WKSHT!$F148*SUPV_DETAILED_COST_WKSHT!G148,SUPV_DETAILED_COST_WKSHT!$F148*(SUPV_DETAILED_COST_WKSHT!G148*TOP_ACTV_17_Exchange_Rate))</f>
        <v>0</v>
      </c>
      <c r="F1960" s="115">
        <f>IF(DD_TOP_ACTV_17_Detailed_Currency_Used=2,SUPV_DETAILED_COST_WKSHT!$F148*SUPV_DETAILED_COST_WKSHT!H148,SUPV_DETAILED_COST_WKSHT!$F148*(SUPV_DETAILED_COST_WKSHT!H148*TOP_ACTV_17_Exchange_Rate))</f>
        <v>0</v>
      </c>
      <c r="G1960" s="116">
        <f t="shared" ref="G1960:G1969" si="186">E1960/TOP_ACTV_17_Exchange_Rate</f>
        <v>0</v>
      </c>
      <c r="H1960" s="116">
        <f t="shared" ref="H1960:H1969" si="187">F1960/TOP_ACTV_17_Exchange_Rate</f>
        <v>0</v>
      </c>
    </row>
    <row r="1961" spans="1:8" s="10" customFormat="1" outlineLevel="1" x14ac:dyDescent="0.2">
      <c r="D1961" s="49" t="str">
        <f>SUPV_DETAILED_COST_WKSHT!D149</f>
        <v>Allowances Category 2</v>
      </c>
      <c r="E1961" s="115">
        <f>IF(DD_TOP_ACTV_17_Detailed_Currency_Used=2,SUPV_DETAILED_COST_WKSHT!$F149*SUPV_DETAILED_COST_WKSHT!G149,SUPV_DETAILED_COST_WKSHT!$F149*(SUPV_DETAILED_COST_WKSHT!G149*TOP_ACTV_17_Exchange_Rate))</f>
        <v>0</v>
      </c>
      <c r="F1961" s="115">
        <f>IF(DD_TOP_ACTV_17_Detailed_Currency_Used=2,SUPV_DETAILED_COST_WKSHT!$F149*SUPV_DETAILED_COST_WKSHT!H149,SUPV_DETAILED_COST_WKSHT!$F149*(SUPV_DETAILED_COST_WKSHT!H149*TOP_ACTV_17_Exchange_Rate))</f>
        <v>0</v>
      </c>
      <c r="G1961" s="116">
        <f t="shared" si="186"/>
        <v>0</v>
      </c>
      <c r="H1961" s="116">
        <f t="shared" si="187"/>
        <v>0</v>
      </c>
    </row>
    <row r="1962" spans="1:8" s="10" customFormat="1" outlineLevel="1" x14ac:dyDescent="0.2">
      <c r="D1962" s="49" t="str">
        <f>SUPV_DETAILED_COST_WKSHT!D150</f>
        <v>Allowances Category 3</v>
      </c>
      <c r="E1962" s="115">
        <f>IF(DD_TOP_ACTV_17_Detailed_Currency_Used=2,SUPV_DETAILED_COST_WKSHT!$F150*SUPV_DETAILED_COST_WKSHT!G150,SUPV_DETAILED_COST_WKSHT!$F150*(SUPV_DETAILED_COST_WKSHT!G150*TOP_ACTV_17_Exchange_Rate))</f>
        <v>0</v>
      </c>
      <c r="F1962" s="115">
        <f>IF(DD_TOP_ACTV_17_Detailed_Currency_Used=2,SUPV_DETAILED_COST_WKSHT!$F150*SUPV_DETAILED_COST_WKSHT!H150,SUPV_DETAILED_COST_WKSHT!$F150*(SUPV_DETAILED_COST_WKSHT!H150*TOP_ACTV_17_Exchange_Rate))</f>
        <v>0</v>
      </c>
      <c r="G1962" s="116">
        <f t="shared" si="186"/>
        <v>0</v>
      </c>
      <c r="H1962" s="116">
        <f t="shared" si="187"/>
        <v>0</v>
      </c>
    </row>
    <row r="1963" spans="1:8" s="10" customFormat="1" outlineLevel="1" x14ac:dyDescent="0.2">
      <c r="D1963" s="49" t="str">
        <f>SUPV_DETAILED_COST_WKSHT!D151</f>
        <v>Allowances Category 4</v>
      </c>
      <c r="E1963" s="115">
        <f>IF(DD_TOP_ACTV_17_Detailed_Currency_Used=2,SUPV_DETAILED_COST_WKSHT!$F151*SUPV_DETAILED_COST_WKSHT!G151,SUPV_DETAILED_COST_WKSHT!$F151*(SUPV_DETAILED_COST_WKSHT!G151*TOP_ACTV_17_Exchange_Rate))</f>
        <v>0</v>
      </c>
      <c r="F1963" s="115">
        <f>IF(DD_TOP_ACTV_17_Detailed_Currency_Used=2,SUPV_DETAILED_COST_WKSHT!$F151*SUPV_DETAILED_COST_WKSHT!H151,SUPV_DETAILED_COST_WKSHT!$F151*(SUPV_DETAILED_COST_WKSHT!H151*TOP_ACTV_17_Exchange_Rate))</f>
        <v>0</v>
      </c>
      <c r="G1963" s="116">
        <f t="shared" si="186"/>
        <v>0</v>
      </c>
      <c r="H1963" s="116">
        <f t="shared" si="187"/>
        <v>0</v>
      </c>
    </row>
    <row r="1964" spans="1:8" s="10" customFormat="1" outlineLevel="1" x14ac:dyDescent="0.2">
      <c r="D1964" s="49" t="str">
        <f>SUPV_DETAILED_COST_WKSHT!D152</f>
        <v>Allowances Category 5</v>
      </c>
      <c r="E1964" s="115">
        <f>IF(DD_TOP_ACTV_17_Detailed_Currency_Used=2,SUPV_DETAILED_COST_WKSHT!$F152*SUPV_DETAILED_COST_WKSHT!G152,SUPV_DETAILED_COST_WKSHT!$F152*(SUPV_DETAILED_COST_WKSHT!G152*TOP_ACTV_17_Exchange_Rate))</f>
        <v>0</v>
      </c>
      <c r="F1964" s="115">
        <f>IF(DD_TOP_ACTV_17_Detailed_Currency_Used=2,SUPV_DETAILED_COST_WKSHT!$F152*SUPV_DETAILED_COST_WKSHT!H152,SUPV_DETAILED_COST_WKSHT!$F152*(SUPV_DETAILED_COST_WKSHT!H152*TOP_ACTV_17_Exchange_Rate))</f>
        <v>0</v>
      </c>
      <c r="G1964" s="116">
        <f t="shared" si="186"/>
        <v>0</v>
      </c>
      <c r="H1964" s="116">
        <f t="shared" si="187"/>
        <v>0</v>
      </c>
    </row>
    <row r="1965" spans="1:8" s="10" customFormat="1" outlineLevel="1" x14ac:dyDescent="0.2">
      <c r="D1965" s="49" t="str">
        <f>SUPV_DETAILED_COST_WKSHT!D153</f>
        <v>Allowances Category 6</v>
      </c>
      <c r="E1965" s="115">
        <f>IF(DD_TOP_ACTV_17_Detailed_Currency_Used=2,SUPV_DETAILED_COST_WKSHT!$F153*SUPV_DETAILED_COST_WKSHT!G153,SUPV_DETAILED_COST_WKSHT!$F153*(SUPV_DETAILED_COST_WKSHT!G153*TOP_ACTV_17_Exchange_Rate))</f>
        <v>0</v>
      </c>
      <c r="F1965" s="115">
        <f>IF(DD_TOP_ACTV_17_Detailed_Currency_Used=2,SUPV_DETAILED_COST_WKSHT!$F153*SUPV_DETAILED_COST_WKSHT!H153,SUPV_DETAILED_COST_WKSHT!$F153*(SUPV_DETAILED_COST_WKSHT!H153*TOP_ACTV_17_Exchange_Rate))</f>
        <v>0</v>
      </c>
      <c r="G1965" s="116">
        <f t="shared" si="186"/>
        <v>0</v>
      </c>
      <c r="H1965" s="116">
        <f t="shared" si="187"/>
        <v>0</v>
      </c>
    </row>
    <row r="1966" spans="1:8" s="10" customFormat="1" outlineLevel="1" x14ac:dyDescent="0.2">
      <c r="D1966" s="49" t="str">
        <f>SUPV_DETAILED_COST_WKSHT!D154</f>
        <v>Allowances Category 7</v>
      </c>
      <c r="E1966" s="115">
        <f>IF(DD_TOP_ACTV_17_Detailed_Currency_Used=2,SUPV_DETAILED_COST_WKSHT!$F154*SUPV_DETAILED_COST_WKSHT!G154,SUPV_DETAILED_COST_WKSHT!$F154*(SUPV_DETAILED_COST_WKSHT!G154*TOP_ACTV_17_Exchange_Rate))</f>
        <v>0</v>
      </c>
      <c r="F1966" s="115">
        <f>IF(DD_TOP_ACTV_17_Detailed_Currency_Used=2,SUPV_DETAILED_COST_WKSHT!$F154*SUPV_DETAILED_COST_WKSHT!H154,SUPV_DETAILED_COST_WKSHT!$F154*(SUPV_DETAILED_COST_WKSHT!H154*TOP_ACTV_17_Exchange_Rate))</f>
        <v>0</v>
      </c>
      <c r="G1966" s="116">
        <f t="shared" si="186"/>
        <v>0</v>
      </c>
      <c r="H1966" s="116">
        <f t="shared" si="187"/>
        <v>0</v>
      </c>
    </row>
    <row r="1967" spans="1:8" s="10" customFormat="1" outlineLevel="1" x14ac:dyDescent="0.2">
      <c r="D1967" s="49" t="str">
        <f>SUPV_DETAILED_COST_WKSHT!D155</f>
        <v>Allowances Category 8</v>
      </c>
      <c r="E1967" s="115">
        <f>IF(DD_TOP_ACTV_17_Detailed_Currency_Used=2,SUPV_DETAILED_COST_WKSHT!$F155*SUPV_DETAILED_COST_WKSHT!G155,SUPV_DETAILED_COST_WKSHT!$F155*(SUPV_DETAILED_COST_WKSHT!G155*TOP_ACTV_17_Exchange_Rate))</f>
        <v>0</v>
      </c>
      <c r="F1967" s="115">
        <f>IF(DD_TOP_ACTV_17_Detailed_Currency_Used=2,SUPV_DETAILED_COST_WKSHT!$F155*SUPV_DETAILED_COST_WKSHT!H155,SUPV_DETAILED_COST_WKSHT!$F155*(SUPV_DETAILED_COST_WKSHT!H155*TOP_ACTV_17_Exchange_Rate))</f>
        <v>0</v>
      </c>
      <c r="G1967" s="116">
        <f t="shared" si="186"/>
        <v>0</v>
      </c>
      <c r="H1967" s="116">
        <f t="shared" si="187"/>
        <v>0</v>
      </c>
    </row>
    <row r="1968" spans="1:8" s="10" customFormat="1" outlineLevel="1" x14ac:dyDescent="0.2">
      <c r="D1968" s="49" t="str">
        <f>SUPV_DETAILED_COST_WKSHT!D156</f>
        <v>Allowances Category 9</v>
      </c>
      <c r="E1968" s="115">
        <f>IF(DD_TOP_ACTV_17_Detailed_Currency_Used=2,SUPV_DETAILED_COST_WKSHT!$F156*SUPV_DETAILED_COST_WKSHT!G156,SUPV_DETAILED_COST_WKSHT!$F156*(SUPV_DETAILED_COST_WKSHT!G156*TOP_ACTV_17_Exchange_Rate))</f>
        <v>0</v>
      </c>
      <c r="F1968" s="115">
        <f>IF(DD_TOP_ACTV_17_Detailed_Currency_Used=2,SUPV_DETAILED_COST_WKSHT!$F156*SUPV_DETAILED_COST_WKSHT!H156,SUPV_DETAILED_COST_WKSHT!$F156*(SUPV_DETAILED_COST_WKSHT!H156*TOP_ACTV_17_Exchange_Rate))</f>
        <v>0</v>
      </c>
      <c r="G1968" s="116">
        <f t="shared" si="186"/>
        <v>0</v>
      </c>
      <c r="H1968" s="116">
        <f t="shared" si="187"/>
        <v>0</v>
      </c>
    </row>
    <row r="1969" spans="1:8" s="10" customFormat="1" outlineLevel="1" x14ac:dyDescent="0.2">
      <c r="D1969" s="49" t="str">
        <f>SUPV_DETAILED_COST_WKSHT!D157</f>
        <v>Allowances Category 10</v>
      </c>
      <c r="E1969" s="115">
        <f>IF(DD_TOP_ACTV_17_Detailed_Currency_Used=2,SUPV_DETAILED_COST_WKSHT!$F157*SUPV_DETAILED_COST_WKSHT!G157,SUPV_DETAILED_COST_WKSHT!$F157*(SUPV_DETAILED_COST_WKSHT!G157*TOP_ACTV_17_Exchange_Rate))</f>
        <v>0</v>
      </c>
      <c r="F1969" s="115">
        <f>IF(DD_TOP_ACTV_17_Detailed_Currency_Used=2,SUPV_DETAILED_COST_WKSHT!$F157*SUPV_DETAILED_COST_WKSHT!H157,SUPV_DETAILED_COST_WKSHT!$F157*(SUPV_DETAILED_COST_WKSHT!H157*TOP_ACTV_17_Exchange_Rate))</f>
        <v>0</v>
      </c>
      <c r="G1969" s="116">
        <f t="shared" si="186"/>
        <v>0</v>
      </c>
      <c r="H1969" s="116">
        <f t="shared" si="187"/>
        <v>0</v>
      </c>
    </row>
    <row r="1970" spans="1:8" s="10" customFormat="1" outlineLevel="1" x14ac:dyDescent="0.2">
      <c r="D1970" s="48" t="str">
        <f>Lang_Allowances</f>
        <v>Allowances</v>
      </c>
      <c r="E1970" s="120">
        <f>SUM(E1960:E1969)</f>
        <v>0</v>
      </c>
      <c r="F1970" s="120">
        <f>SUM(F1960:F1969)</f>
        <v>0</v>
      </c>
      <c r="G1970" s="121">
        <f>SUM(G1960:G1969)</f>
        <v>0</v>
      </c>
      <c r="H1970" s="121">
        <f>SUM(H1960:H1969)</f>
        <v>0</v>
      </c>
    </row>
    <row r="1971" spans="1:8" s="10" customFormat="1" outlineLevel="1" x14ac:dyDescent="0.2"/>
    <row r="1972" spans="1:8" s="10" customFormat="1" outlineLevel="1" x14ac:dyDescent="0.2"/>
    <row r="1973" spans="1:8" s="10" customFormat="1" outlineLevel="1" x14ac:dyDescent="0.2">
      <c r="D1973" s="76" t="str">
        <f>Lang_GoTo&amp;" "&amp;HL_TOP_ACTV_17_Ass_A</f>
        <v>Go to SME Activity #2 (Not in Use) - Detailed Allowance Cost Assumptions</v>
      </c>
    </row>
    <row r="1974" spans="1:8" s="10" customFormat="1" outlineLevel="1" x14ac:dyDescent="0.2">
      <c r="D1974" s="76" t="str">
        <f>Lang_GoTo&amp;" "&amp;HL_TOP_ACTV_17_Cost_Summary_Output</f>
        <v>Go to SME Activity #2 (Not in Use) Detailed Cost Summary</v>
      </c>
    </row>
    <row r="1975" spans="1:8" s="10" customFormat="1" x14ac:dyDescent="0.2"/>
    <row r="1976" spans="1:8" s="13" customFormat="1" x14ac:dyDescent="0.2">
      <c r="A1976" s="12" t="s">
        <v>127</v>
      </c>
      <c r="B1976" s="13" t="str">
        <f>HL_TOP_ACTV_17_Name&amp;" "&amp;Lang_Supplies_And_Materials_Outputs</f>
        <v>SME Activity #2 (Not in Use) Supplies and Materials - Outputs</v>
      </c>
    </row>
    <row r="1977" spans="1:8" s="10" customFormat="1" outlineLevel="1" x14ac:dyDescent="0.2"/>
    <row r="1978" spans="1:8" s="10" customFormat="1" outlineLevel="1" x14ac:dyDescent="0.2">
      <c r="C1978" s="114" t="str">
        <f>HL_TOP_ACTV_17_Name</f>
        <v>SME Activity #2 (Not in Use)</v>
      </c>
    </row>
    <row r="1979" spans="1:8" s="10" customFormat="1" outlineLevel="1" x14ac:dyDescent="0.2">
      <c r="E1979" s="86" t="str">
        <f>SUPV_Lu!$D$67&amp;" "&amp;Lang_Cost&amp;" ("&amp;SUPV_Lu!$D$48&amp;")"</f>
        <v>Financial Cost (LCU)</v>
      </c>
      <c r="F1979" s="86" t="str">
        <f>SUPV_Lu!$D$68&amp;" "&amp;Lang_Cost&amp;" ("&amp;SUPV_Lu!$D$48&amp;")"</f>
        <v>Economic Cost (LCU)</v>
      </c>
      <c r="G1979" s="86" t="str">
        <f>SUPV_Lu!$D$67&amp;" "&amp;Lang_Cost&amp;" ("&amp;SUPV_Lu!$D$47&amp;")"</f>
        <v>Financial Cost (USD)</v>
      </c>
      <c r="H1979" s="86" t="str">
        <f>SUPV_Lu!$D$68&amp;" "&amp;Lang_Cost&amp;" ("&amp;SUPV_Lu!$D$47&amp;")"</f>
        <v>Economic Cost (USD)</v>
      </c>
    </row>
    <row r="1980" spans="1:8" s="10" customFormat="1" outlineLevel="1" x14ac:dyDescent="0.2">
      <c r="D1980" s="49" t="str">
        <f>SUPV_DETAILED_COST_WKSHT!D166</f>
        <v>Supplies and Materials Category 1</v>
      </c>
      <c r="E1980" s="115">
        <f>IF(DD_TOP_ACTV_17_Detailed_Currency_Used=2,SUPV_DETAILED_COST_WKSHT!$F166*SUPV_DETAILED_COST_WKSHT!G166,SUPV_DETAILED_COST_WKSHT!$F166*(SUPV_DETAILED_COST_WKSHT!G166*TOP_ACTV_17_Exchange_Rate))</f>
        <v>0</v>
      </c>
      <c r="F1980" s="115">
        <f>IF(DD_TOP_ACTV_17_Detailed_Currency_Used=2,SUPV_DETAILED_COST_WKSHT!$F166*SUPV_DETAILED_COST_WKSHT!H166,SUPV_DETAILED_COST_WKSHT!$F166*(SUPV_DETAILED_COST_WKSHT!H166*TOP_ACTV_17_Exchange_Rate))</f>
        <v>0</v>
      </c>
      <c r="G1980" s="116">
        <f t="shared" ref="G1980:G1989" si="188">E1980/TOP_ACTV_17_Exchange_Rate</f>
        <v>0</v>
      </c>
      <c r="H1980" s="116">
        <f t="shared" ref="H1980:H1989" si="189">F1980/TOP_ACTV_17_Exchange_Rate</f>
        <v>0</v>
      </c>
    </row>
    <row r="1981" spans="1:8" s="10" customFormat="1" outlineLevel="1" x14ac:dyDescent="0.2">
      <c r="D1981" s="49" t="str">
        <f>SUPV_DETAILED_COST_WKSHT!D167</f>
        <v>Supplies and Materials Category 2</v>
      </c>
      <c r="E1981" s="115">
        <f>IF(DD_TOP_ACTV_17_Detailed_Currency_Used=2,SUPV_DETAILED_COST_WKSHT!$F167*SUPV_DETAILED_COST_WKSHT!G167,SUPV_DETAILED_COST_WKSHT!$F167*(SUPV_DETAILED_COST_WKSHT!G167*TOP_ACTV_17_Exchange_Rate))</f>
        <v>0</v>
      </c>
      <c r="F1981" s="115">
        <f>IF(DD_TOP_ACTV_17_Detailed_Currency_Used=2,SUPV_DETAILED_COST_WKSHT!$F167*SUPV_DETAILED_COST_WKSHT!H167,SUPV_DETAILED_COST_WKSHT!$F167*(SUPV_DETAILED_COST_WKSHT!H167*TOP_ACTV_17_Exchange_Rate))</f>
        <v>0</v>
      </c>
      <c r="G1981" s="116">
        <f t="shared" si="188"/>
        <v>0</v>
      </c>
      <c r="H1981" s="116">
        <f t="shared" si="189"/>
        <v>0</v>
      </c>
    </row>
    <row r="1982" spans="1:8" s="10" customFormat="1" outlineLevel="1" x14ac:dyDescent="0.2">
      <c r="D1982" s="49" t="str">
        <f>SUPV_DETAILED_COST_WKSHT!D168</f>
        <v>Supplies and Materials Category 3</v>
      </c>
      <c r="E1982" s="115">
        <f>IF(DD_TOP_ACTV_17_Detailed_Currency_Used=2,SUPV_DETAILED_COST_WKSHT!$F168*SUPV_DETAILED_COST_WKSHT!G168,SUPV_DETAILED_COST_WKSHT!$F168*(SUPV_DETAILED_COST_WKSHT!G168*TOP_ACTV_17_Exchange_Rate))</f>
        <v>0</v>
      </c>
      <c r="F1982" s="115">
        <f>IF(DD_TOP_ACTV_17_Detailed_Currency_Used=2,SUPV_DETAILED_COST_WKSHT!$F168*SUPV_DETAILED_COST_WKSHT!H168,SUPV_DETAILED_COST_WKSHT!$F168*(SUPV_DETAILED_COST_WKSHT!H168*TOP_ACTV_17_Exchange_Rate))</f>
        <v>0</v>
      </c>
      <c r="G1982" s="116">
        <f t="shared" si="188"/>
        <v>0</v>
      </c>
      <c r="H1982" s="116">
        <f t="shared" si="189"/>
        <v>0</v>
      </c>
    </row>
    <row r="1983" spans="1:8" s="10" customFormat="1" outlineLevel="1" x14ac:dyDescent="0.2">
      <c r="D1983" s="49" t="str">
        <f>SUPV_DETAILED_COST_WKSHT!D169</f>
        <v>Supplies and Materials Category 4</v>
      </c>
      <c r="E1983" s="115">
        <f>IF(DD_TOP_ACTV_17_Detailed_Currency_Used=2,SUPV_DETAILED_COST_WKSHT!$F169*SUPV_DETAILED_COST_WKSHT!G169,SUPV_DETAILED_COST_WKSHT!$F169*(SUPV_DETAILED_COST_WKSHT!G169*TOP_ACTV_17_Exchange_Rate))</f>
        <v>0</v>
      </c>
      <c r="F1983" s="115">
        <f>IF(DD_TOP_ACTV_17_Detailed_Currency_Used=2,SUPV_DETAILED_COST_WKSHT!$F169*SUPV_DETAILED_COST_WKSHT!H169,SUPV_DETAILED_COST_WKSHT!$F169*(SUPV_DETAILED_COST_WKSHT!H169*TOP_ACTV_17_Exchange_Rate))</f>
        <v>0</v>
      </c>
      <c r="G1983" s="116">
        <f t="shared" si="188"/>
        <v>0</v>
      </c>
      <c r="H1983" s="116">
        <f t="shared" si="189"/>
        <v>0</v>
      </c>
    </row>
    <row r="1984" spans="1:8" s="10" customFormat="1" outlineLevel="1" x14ac:dyDescent="0.2">
      <c r="D1984" s="49" t="str">
        <f>SUPV_DETAILED_COST_WKSHT!D170</f>
        <v>Supplies and Materials Category 5</v>
      </c>
      <c r="E1984" s="115">
        <f>IF(DD_TOP_ACTV_17_Detailed_Currency_Used=2,SUPV_DETAILED_COST_WKSHT!$F170*SUPV_DETAILED_COST_WKSHT!G170,SUPV_DETAILED_COST_WKSHT!$F170*(SUPV_DETAILED_COST_WKSHT!G170*TOP_ACTV_17_Exchange_Rate))</f>
        <v>0</v>
      </c>
      <c r="F1984" s="115">
        <f>IF(DD_TOP_ACTV_17_Detailed_Currency_Used=2,SUPV_DETAILED_COST_WKSHT!$F170*SUPV_DETAILED_COST_WKSHT!H170,SUPV_DETAILED_COST_WKSHT!$F170*(SUPV_DETAILED_COST_WKSHT!H170*TOP_ACTV_17_Exchange_Rate))</f>
        <v>0</v>
      </c>
      <c r="G1984" s="116">
        <f t="shared" si="188"/>
        <v>0</v>
      </c>
      <c r="H1984" s="116">
        <f t="shared" si="189"/>
        <v>0</v>
      </c>
    </row>
    <row r="1985" spans="1:8" s="10" customFormat="1" outlineLevel="1" x14ac:dyDescent="0.2">
      <c r="D1985" s="49" t="str">
        <f>SUPV_DETAILED_COST_WKSHT!D171</f>
        <v>Supplies and Materials Category 6</v>
      </c>
      <c r="E1985" s="115">
        <f>IF(DD_TOP_ACTV_17_Detailed_Currency_Used=2,SUPV_DETAILED_COST_WKSHT!$F171*SUPV_DETAILED_COST_WKSHT!G171,SUPV_DETAILED_COST_WKSHT!$F171*(SUPV_DETAILED_COST_WKSHT!G171*TOP_ACTV_17_Exchange_Rate))</f>
        <v>0</v>
      </c>
      <c r="F1985" s="115">
        <f>IF(DD_TOP_ACTV_17_Detailed_Currency_Used=2,SUPV_DETAILED_COST_WKSHT!$F171*SUPV_DETAILED_COST_WKSHT!H171,SUPV_DETAILED_COST_WKSHT!$F171*(SUPV_DETAILED_COST_WKSHT!H171*TOP_ACTV_17_Exchange_Rate))</f>
        <v>0</v>
      </c>
      <c r="G1985" s="116">
        <f t="shared" si="188"/>
        <v>0</v>
      </c>
      <c r="H1985" s="116">
        <f t="shared" si="189"/>
        <v>0</v>
      </c>
    </row>
    <row r="1986" spans="1:8" s="10" customFormat="1" outlineLevel="1" x14ac:dyDescent="0.2">
      <c r="D1986" s="49" t="str">
        <f>SUPV_DETAILED_COST_WKSHT!D172</f>
        <v>Supplies and Materials Category 7</v>
      </c>
      <c r="E1986" s="115">
        <f>IF(DD_TOP_ACTV_17_Detailed_Currency_Used=2,SUPV_DETAILED_COST_WKSHT!$F172*SUPV_DETAILED_COST_WKSHT!G172,SUPV_DETAILED_COST_WKSHT!$F172*(SUPV_DETAILED_COST_WKSHT!G172*TOP_ACTV_17_Exchange_Rate))</f>
        <v>0</v>
      </c>
      <c r="F1986" s="115">
        <f>IF(DD_TOP_ACTV_17_Detailed_Currency_Used=2,SUPV_DETAILED_COST_WKSHT!$F172*SUPV_DETAILED_COST_WKSHT!H172,SUPV_DETAILED_COST_WKSHT!$F172*(SUPV_DETAILED_COST_WKSHT!H172*TOP_ACTV_17_Exchange_Rate))</f>
        <v>0</v>
      </c>
      <c r="G1986" s="116">
        <f t="shared" si="188"/>
        <v>0</v>
      </c>
      <c r="H1986" s="116">
        <f t="shared" si="189"/>
        <v>0</v>
      </c>
    </row>
    <row r="1987" spans="1:8" s="10" customFormat="1" outlineLevel="1" x14ac:dyDescent="0.2">
      <c r="D1987" s="49" t="str">
        <f>SUPV_DETAILED_COST_WKSHT!D173</f>
        <v>Supplies and Materials Category 8</v>
      </c>
      <c r="E1987" s="115">
        <f>IF(DD_TOP_ACTV_17_Detailed_Currency_Used=2,SUPV_DETAILED_COST_WKSHT!$F173*SUPV_DETAILED_COST_WKSHT!G173,SUPV_DETAILED_COST_WKSHT!$F173*(SUPV_DETAILED_COST_WKSHT!G173*TOP_ACTV_17_Exchange_Rate))</f>
        <v>0</v>
      </c>
      <c r="F1987" s="115">
        <f>IF(DD_TOP_ACTV_17_Detailed_Currency_Used=2,SUPV_DETAILED_COST_WKSHT!$F173*SUPV_DETAILED_COST_WKSHT!H173,SUPV_DETAILED_COST_WKSHT!$F173*(SUPV_DETAILED_COST_WKSHT!H173*TOP_ACTV_17_Exchange_Rate))</f>
        <v>0</v>
      </c>
      <c r="G1987" s="116">
        <f t="shared" si="188"/>
        <v>0</v>
      </c>
      <c r="H1987" s="116">
        <f t="shared" si="189"/>
        <v>0</v>
      </c>
    </row>
    <row r="1988" spans="1:8" s="10" customFormat="1" outlineLevel="1" x14ac:dyDescent="0.2">
      <c r="D1988" s="49" t="str">
        <f>SUPV_DETAILED_COST_WKSHT!D174</f>
        <v>Supplies and Materials Category 9</v>
      </c>
      <c r="E1988" s="115">
        <f>IF(DD_TOP_ACTV_17_Detailed_Currency_Used=2,SUPV_DETAILED_COST_WKSHT!$F174*SUPV_DETAILED_COST_WKSHT!G174,SUPV_DETAILED_COST_WKSHT!$F174*(SUPV_DETAILED_COST_WKSHT!G174*TOP_ACTV_17_Exchange_Rate))</f>
        <v>0</v>
      </c>
      <c r="F1988" s="115">
        <f>IF(DD_TOP_ACTV_17_Detailed_Currency_Used=2,SUPV_DETAILED_COST_WKSHT!$F174*SUPV_DETAILED_COST_WKSHT!H174,SUPV_DETAILED_COST_WKSHT!$F174*(SUPV_DETAILED_COST_WKSHT!H174*TOP_ACTV_17_Exchange_Rate))</f>
        <v>0</v>
      </c>
      <c r="G1988" s="116">
        <f t="shared" si="188"/>
        <v>0</v>
      </c>
      <c r="H1988" s="116">
        <f t="shared" si="189"/>
        <v>0</v>
      </c>
    </row>
    <row r="1989" spans="1:8" s="10" customFormat="1" outlineLevel="1" x14ac:dyDescent="0.2">
      <c r="D1989" s="49" t="str">
        <f>SUPV_DETAILED_COST_WKSHT!D175</f>
        <v>Supplies and Materials Category 10</v>
      </c>
      <c r="E1989" s="115">
        <f>IF(DD_TOP_ACTV_17_Detailed_Currency_Used=2,SUPV_DETAILED_COST_WKSHT!$F175*SUPV_DETAILED_COST_WKSHT!G175,SUPV_DETAILED_COST_WKSHT!$F175*(SUPV_DETAILED_COST_WKSHT!G175*TOP_ACTV_17_Exchange_Rate))</f>
        <v>0</v>
      </c>
      <c r="F1989" s="115">
        <f>IF(DD_TOP_ACTV_17_Detailed_Currency_Used=2,SUPV_DETAILED_COST_WKSHT!$F175*SUPV_DETAILED_COST_WKSHT!H175,SUPV_DETAILED_COST_WKSHT!$F175*(SUPV_DETAILED_COST_WKSHT!H175*TOP_ACTV_17_Exchange_Rate))</f>
        <v>0</v>
      </c>
      <c r="G1989" s="116">
        <f t="shared" si="188"/>
        <v>0</v>
      </c>
      <c r="H1989" s="116">
        <f t="shared" si="189"/>
        <v>0</v>
      </c>
    </row>
    <row r="1990" spans="1:8" s="10" customFormat="1" outlineLevel="1" x14ac:dyDescent="0.2">
      <c r="D1990" s="48" t="str">
        <f>Lang_Supplies_And_Materials</f>
        <v>Supplies and Materials</v>
      </c>
      <c r="E1990" s="120">
        <f>SUM(E1980:E1989)</f>
        <v>0</v>
      </c>
      <c r="F1990" s="120">
        <f>SUM(F1980:F1989)</f>
        <v>0</v>
      </c>
      <c r="G1990" s="121">
        <f>SUM(G1980:G1989)</f>
        <v>0</v>
      </c>
      <c r="H1990" s="121">
        <f>SUM(H1980:H1989)</f>
        <v>0</v>
      </c>
    </row>
    <row r="1991" spans="1:8" s="10" customFormat="1" outlineLevel="1" x14ac:dyDescent="0.2"/>
    <row r="1992" spans="1:8" s="10" customFormat="1" outlineLevel="1" x14ac:dyDescent="0.2"/>
    <row r="1993" spans="1:8" s="10" customFormat="1" outlineLevel="1" x14ac:dyDescent="0.2">
      <c r="D1993" s="76" t="str">
        <f>Lang_GoTo&amp;" "&amp;HL_TOP_ACTV_17_Supplies_and_Materials</f>
        <v>Go to SME Activity #2 (Not in Use) - Detailed Supply and Material Cost Assumptions</v>
      </c>
    </row>
    <row r="1994" spans="1:8" s="10" customFormat="1" outlineLevel="1" x14ac:dyDescent="0.2">
      <c r="D1994" s="76" t="str">
        <f>Lang_GoTo&amp;" "&amp;HL_TOP_ACTV_17_Cost_Summary_Output</f>
        <v>Go to SME Activity #2 (Not in Use) Detailed Cost Summary</v>
      </c>
    </row>
    <row r="1995" spans="1:8" s="10" customFormat="1" x14ac:dyDescent="0.2"/>
    <row r="1996" spans="1:8" s="13" customFormat="1" x14ac:dyDescent="0.2">
      <c r="A1996" s="12" t="s">
        <v>127</v>
      </c>
      <c r="B1996" s="13" t="str">
        <f>HL_TOP_ACTV_17_Name&amp;" "&amp;Lang_Other_Direct_Costs_Outputs</f>
        <v>SME Activity #2 (Not in Use) Other Direct Costs - Outputs</v>
      </c>
    </row>
    <row r="1997" spans="1:8" s="10" customFormat="1" outlineLevel="1" x14ac:dyDescent="0.2"/>
    <row r="1998" spans="1:8" s="10" customFormat="1" outlineLevel="1" x14ac:dyDescent="0.2">
      <c r="C1998" s="114" t="str">
        <f>HL_TOP_ACTV_17_Name</f>
        <v>SME Activity #2 (Not in Use)</v>
      </c>
    </row>
    <row r="1999" spans="1:8" s="10" customFormat="1" outlineLevel="1" x14ac:dyDescent="0.2">
      <c r="E1999" s="86" t="str">
        <f>SUPV_Lu!$D$67&amp;" "&amp;Lang_Cost&amp;" ("&amp;SUPV_Lu!$D$48&amp;")"</f>
        <v>Financial Cost (LCU)</v>
      </c>
      <c r="F1999" s="86" t="str">
        <f>SUPV_Lu!$D$68&amp;" "&amp;Lang_Cost&amp;" ("&amp;SUPV_Lu!$D$48&amp;")"</f>
        <v>Economic Cost (LCU)</v>
      </c>
      <c r="G1999" s="86" t="str">
        <f>SUPV_Lu!$D$67&amp;" "&amp;Lang_Cost&amp;" ("&amp;SUPV_Lu!$D$47&amp;")"</f>
        <v>Financial Cost (USD)</v>
      </c>
      <c r="H1999" s="86" t="str">
        <f>SUPV_Lu!$D$68&amp;" "&amp;Lang_Cost&amp;" ("&amp;SUPV_Lu!$D$47&amp;")"</f>
        <v>Economic Cost (USD)</v>
      </c>
    </row>
    <row r="2000" spans="1:8" s="10" customFormat="1" outlineLevel="1" x14ac:dyDescent="0.2">
      <c r="D2000" s="49" t="str">
        <f>SUPV_DETAILED_COST_WKSHT!D184</f>
        <v>Other Direct Costs (ODC) Category 1</v>
      </c>
      <c r="E2000" s="115">
        <f>IF(DD_TOP_ACTV_17_Detailed_Currency_Used=2,SUPV_DETAILED_COST_WKSHT!$F184*SUPV_DETAILED_COST_WKSHT!G184,SUPV_DETAILED_COST_WKSHT!$F184*(SUPV_DETAILED_COST_WKSHT!G184*TOP_ACTV_17_Exchange_Rate))</f>
        <v>0</v>
      </c>
      <c r="F2000" s="115">
        <f>IF(DD_TOP_ACTV_17_Detailed_Currency_Used=2,SUPV_DETAILED_COST_WKSHT!$F184*SUPV_DETAILED_COST_WKSHT!H184,SUPV_DETAILED_COST_WKSHT!$F184*(SUPV_DETAILED_COST_WKSHT!H184*TOP_ACTV_17_Exchange_Rate))</f>
        <v>0</v>
      </c>
      <c r="G2000" s="116">
        <f t="shared" ref="G2000:G2009" si="190">E2000/TOP_ACTV_17_Exchange_Rate</f>
        <v>0</v>
      </c>
      <c r="H2000" s="116">
        <f t="shared" ref="H2000:H2009" si="191">F2000/TOP_ACTV_17_Exchange_Rate</f>
        <v>0</v>
      </c>
    </row>
    <row r="2001" spans="1:8" s="10" customFormat="1" outlineLevel="1" x14ac:dyDescent="0.2">
      <c r="D2001" s="49" t="str">
        <f>SUPV_DETAILED_COST_WKSHT!D185</f>
        <v>Other Direct Costs (ODC) Category 2</v>
      </c>
      <c r="E2001" s="115">
        <f>IF(DD_TOP_ACTV_17_Detailed_Currency_Used=2,SUPV_DETAILED_COST_WKSHT!$F185*SUPV_DETAILED_COST_WKSHT!G185,SUPV_DETAILED_COST_WKSHT!$F185*(SUPV_DETAILED_COST_WKSHT!G185*TOP_ACTV_17_Exchange_Rate))</f>
        <v>0</v>
      </c>
      <c r="F2001" s="115">
        <f>IF(DD_TOP_ACTV_17_Detailed_Currency_Used=2,SUPV_DETAILED_COST_WKSHT!$F185*SUPV_DETAILED_COST_WKSHT!H185,SUPV_DETAILED_COST_WKSHT!$F185*(SUPV_DETAILED_COST_WKSHT!H185*TOP_ACTV_17_Exchange_Rate))</f>
        <v>0</v>
      </c>
      <c r="G2001" s="116">
        <f t="shared" si="190"/>
        <v>0</v>
      </c>
      <c r="H2001" s="116">
        <f t="shared" si="191"/>
        <v>0</v>
      </c>
    </row>
    <row r="2002" spans="1:8" s="10" customFormat="1" outlineLevel="1" x14ac:dyDescent="0.2">
      <c r="D2002" s="49" t="str">
        <f>SUPV_DETAILED_COST_WKSHT!D186</f>
        <v>Other Direct Costs (ODC) Category 3</v>
      </c>
      <c r="E2002" s="115">
        <f>IF(DD_TOP_ACTV_17_Detailed_Currency_Used=2,SUPV_DETAILED_COST_WKSHT!$F186*SUPV_DETAILED_COST_WKSHT!G186,SUPV_DETAILED_COST_WKSHT!$F186*(SUPV_DETAILED_COST_WKSHT!G186*TOP_ACTV_17_Exchange_Rate))</f>
        <v>0</v>
      </c>
      <c r="F2002" s="115">
        <f>IF(DD_TOP_ACTV_17_Detailed_Currency_Used=2,SUPV_DETAILED_COST_WKSHT!$F186*SUPV_DETAILED_COST_WKSHT!H186,SUPV_DETAILED_COST_WKSHT!$F186*(SUPV_DETAILED_COST_WKSHT!H186*TOP_ACTV_17_Exchange_Rate))</f>
        <v>0</v>
      </c>
      <c r="G2002" s="116">
        <f t="shared" si="190"/>
        <v>0</v>
      </c>
      <c r="H2002" s="116">
        <f t="shared" si="191"/>
        <v>0</v>
      </c>
    </row>
    <row r="2003" spans="1:8" s="10" customFormat="1" outlineLevel="1" x14ac:dyDescent="0.2">
      <c r="D2003" s="49" t="str">
        <f>SUPV_DETAILED_COST_WKSHT!D187</f>
        <v>Other Direct Costs (ODC) Category 4</v>
      </c>
      <c r="E2003" s="115">
        <f>IF(DD_TOP_ACTV_17_Detailed_Currency_Used=2,SUPV_DETAILED_COST_WKSHT!$F187*SUPV_DETAILED_COST_WKSHT!G187,SUPV_DETAILED_COST_WKSHT!$F187*(SUPV_DETAILED_COST_WKSHT!G187*TOP_ACTV_17_Exchange_Rate))</f>
        <v>0</v>
      </c>
      <c r="F2003" s="115">
        <f>IF(DD_TOP_ACTV_17_Detailed_Currency_Used=2,SUPV_DETAILED_COST_WKSHT!$F187*SUPV_DETAILED_COST_WKSHT!H187,SUPV_DETAILED_COST_WKSHT!$F187*(SUPV_DETAILED_COST_WKSHT!H187*TOP_ACTV_17_Exchange_Rate))</f>
        <v>0</v>
      </c>
      <c r="G2003" s="116">
        <f t="shared" si="190"/>
        <v>0</v>
      </c>
      <c r="H2003" s="116">
        <f t="shared" si="191"/>
        <v>0</v>
      </c>
    </row>
    <row r="2004" spans="1:8" s="10" customFormat="1" outlineLevel="1" x14ac:dyDescent="0.2">
      <c r="D2004" s="49" t="str">
        <f>SUPV_DETAILED_COST_WKSHT!D188</f>
        <v>Other Direct Costs (ODC) Category 5</v>
      </c>
      <c r="E2004" s="115">
        <f>IF(DD_TOP_ACTV_17_Detailed_Currency_Used=2,SUPV_DETAILED_COST_WKSHT!$F188*SUPV_DETAILED_COST_WKSHT!G188,SUPV_DETAILED_COST_WKSHT!$F188*(SUPV_DETAILED_COST_WKSHT!G188*TOP_ACTV_17_Exchange_Rate))</f>
        <v>0</v>
      </c>
      <c r="F2004" s="115">
        <f>IF(DD_TOP_ACTV_17_Detailed_Currency_Used=2,SUPV_DETAILED_COST_WKSHT!$F188*SUPV_DETAILED_COST_WKSHT!H188,SUPV_DETAILED_COST_WKSHT!$F188*(SUPV_DETAILED_COST_WKSHT!H188*TOP_ACTV_17_Exchange_Rate))</f>
        <v>0</v>
      </c>
      <c r="G2004" s="116">
        <f t="shared" si="190"/>
        <v>0</v>
      </c>
      <c r="H2004" s="116">
        <f t="shared" si="191"/>
        <v>0</v>
      </c>
    </row>
    <row r="2005" spans="1:8" s="10" customFormat="1" outlineLevel="1" x14ac:dyDescent="0.2">
      <c r="D2005" s="49" t="str">
        <f>SUPV_DETAILED_COST_WKSHT!D189</f>
        <v>Other Direct Costs (ODC) Category 6</v>
      </c>
      <c r="E2005" s="115">
        <f>IF(DD_TOP_ACTV_17_Detailed_Currency_Used=2,SUPV_DETAILED_COST_WKSHT!$F189*SUPV_DETAILED_COST_WKSHT!G189,SUPV_DETAILED_COST_WKSHT!$F189*(SUPV_DETAILED_COST_WKSHT!G189*TOP_ACTV_17_Exchange_Rate))</f>
        <v>0</v>
      </c>
      <c r="F2005" s="115">
        <f>IF(DD_TOP_ACTV_17_Detailed_Currency_Used=2,SUPV_DETAILED_COST_WKSHT!$F189*SUPV_DETAILED_COST_WKSHT!H189,SUPV_DETAILED_COST_WKSHT!$F189*(SUPV_DETAILED_COST_WKSHT!H189*TOP_ACTV_17_Exchange_Rate))</f>
        <v>0</v>
      </c>
      <c r="G2005" s="116">
        <f t="shared" si="190"/>
        <v>0</v>
      </c>
      <c r="H2005" s="116">
        <f t="shared" si="191"/>
        <v>0</v>
      </c>
    </row>
    <row r="2006" spans="1:8" s="10" customFormat="1" outlineLevel="1" x14ac:dyDescent="0.2">
      <c r="D2006" s="49" t="str">
        <f>SUPV_DETAILED_COST_WKSHT!D190</f>
        <v>Other Direct Costs (ODC) Category 7</v>
      </c>
      <c r="E2006" s="115">
        <f>IF(DD_TOP_ACTV_17_Detailed_Currency_Used=2,SUPV_DETAILED_COST_WKSHT!$F190*SUPV_DETAILED_COST_WKSHT!G190,SUPV_DETAILED_COST_WKSHT!$F190*(SUPV_DETAILED_COST_WKSHT!G190*TOP_ACTV_17_Exchange_Rate))</f>
        <v>0</v>
      </c>
      <c r="F2006" s="115">
        <f>IF(DD_TOP_ACTV_17_Detailed_Currency_Used=2,SUPV_DETAILED_COST_WKSHT!$F190*SUPV_DETAILED_COST_WKSHT!H190,SUPV_DETAILED_COST_WKSHT!$F190*(SUPV_DETAILED_COST_WKSHT!H190*TOP_ACTV_17_Exchange_Rate))</f>
        <v>0</v>
      </c>
      <c r="G2006" s="116">
        <f t="shared" si="190"/>
        <v>0</v>
      </c>
      <c r="H2006" s="116">
        <f t="shared" si="191"/>
        <v>0</v>
      </c>
    </row>
    <row r="2007" spans="1:8" s="10" customFormat="1" outlineLevel="1" x14ac:dyDescent="0.2">
      <c r="D2007" s="49" t="str">
        <f>SUPV_DETAILED_COST_WKSHT!D191</f>
        <v>Other Direct Costs (ODC) Category 8</v>
      </c>
      <c r="E2007" s="115">
        <f>IF(DD_TOP_ACTV_17_Detailed_Currency_Used=2,SUPV_DETAILED_COST_WKSHT!$F191*SUPV_DETAILED_COST_WKSHT!G191,SUPV_DETAILED_COST_WKSHT!$F191*(SUPV_DETAILED_COST_WKSHT!G191*TOP_ACTV_17_Exchange_Rate))</f>
        <v>0</v>
      </c>
      <c r="F2007" s="115">
        <f>IF(DD_TOP_ACTV_17_Detailed_Currency_Used=2,SUPV_DETAILED_COST_WKSHT!$F191*SUPV_DETAILED_COST_WKSHT!H191,SUPV_DETAILED_COST_WKSHT!$F191*(SUPV_DETAILED_COST_WKSHT!H191*TOP_ACTV_17_Exchange_Rate))</f>
        <v>0</v>
      </c>
      <c r="G2007" s="116">
        <f t="shared" si="190"/>
        <v>0</v>
      </c>
      <c r="H2007" s="116">
        <f t="shared" si="191"/>
        <v>0</v>
      </c>
    </row>
    <row r="2008" spans="1:8" s="10" customFormat="1" outlineLevel="1" x14ac:dyDescent="0.2">
      <c r="D2008" s="49" t="str">
        <f>SUPV_DETAILED_COST_WKSHT!D192</f>
        <v>Other Direct Costs (ODC) Category 9</v>
      </c>
      <c r="E2008" s="115">
        <f>IF(DD_TOP_ACTV_17_Detailed_Currency_Used=2,SUPV_DETAILED_COST_WKSHT!$F192*SUPV_DETAILED_COST_WKSHT!G192,SUPV_DETAILED_COST_WKSHT!$F192*(SUPV_DETAILED_COST_WKSHT!G192*TOP_ACTV_17_Exchange_Rate))</f>
        <v>0</v>
      </c>
      <c r="F2008" s="115">
        <f>IF(DD_TOP_ACTV_17_Detailed_Currency_Used=2,SUPV_DETAILED_COST_WKSHT!$F192*SUPV_DETAILED_COST_WKSHT!H192,SUPV_DETAILED_COST_WKSHT!$F192*(SUPV_DETAILED_COST_WKSHT!H192*TOP_ACTV_17_Exchange_Rate))</f>
        <v>0</v>
      </c>
      <c r="G2008" s="116">
        <f t="shared" si="190"/>
        <v>0</v>
      </c>
      <c r="H2008" s="116">
        <f t="shared" si="191"/>
        <v>0</v>
      </c>
    </row>
    <row r="2009" spans="1:8" s="10" customFormat="1" outlineLevel="1" x14ac:dyDescent="0.2">
      <c r="D2009" s="49" t="str">
        <f>SUPV_DETAILED_COST_WKSHT!D193</f>
        <v>Other Direct Costs (ODC) Category 10</v>
      </c>
      <c r="E2009" s="115">
        <f>IF(DD_TOP_ACTV_17_Detailed_Currency_Used=2,SUPV_DETAILED_COST_WKSHT!$F193*SUPV_DETAILED_COST_WKSHT!G193,SUPV_DETAILED_COST_WKSHT!$F193*(SUPV_DETAILED_COST_WKSHT!G193*TOP_ACTV_17_Exchange_Rate))</f>
        <v>0</v>
      </c>
      <c r="F2009" s="115">
        <f>IF(DD_TOP_ACTV_17_Detailed_Currency_Used=2,SUPV_DETAILED_COST_WKSHT!$F193*SUPV_DETAILED_COST_WKSHT!H193,SUPV_DETAILED_COST_WKSHT!$F193*(SUPV_DETAILED_COST_WKSHT!H193*TOP_ACTV_17_Exchange_Rate))</f>
        <v>0</v>
      </c>
      <c r="G2009" s="116">
        <f t="shared" si="190"/>
        <v>0</v>
      </c>
      <c r="H2009" s="116">
        <f t="shared" si="191"/>
        <v>0</v>
      </c>
    </row>
    <row r="2010" spans="1:8" s="10" customFormat="1" outlineLevel="1" x14ac:dyDescent="0.2">
      <c r="D2010" s="48" t="str">
        <f>Lang_Other_Direct_Costs</f>
        <v>Other Direct Costs</v>
      </c>
      <c r="E2010" s="120">
        <f>SUM(E2000:E2009)</f>
        <v>0</v>
      </c>
      <c r="F2010" s="120">
        <f>SUM(F2000:F2009)</f>
        <v>0</v>
      </c>
      <c r="G2010" s="121">
        <f>SUM(G2000:G2009)</f>
        <v>0</v>
      </c>
      <c r="H2010" s="121">
        <f>SUM(H2000:H2009)</f>
        <v>0</v>
      </c>
    </row>
    <row r="2011" spans="1:8" s="10" customFormat="1" outlineLevel="1" x14ac:dyDescent="0.2"/>
    <row r="2012" spans="1:8" s="10" customFormat="1" outlineLevel="1" x14ac:dyDescent="0.2">
      <c r="D2012" s="76" t="str">
        <f>Lang_GoTo&amp;" "&amp;HL_TOP_ACTV_17_Other_Direct_Costs</f>
        <v>Go to SME Activity #2 (Not in Use) - Detailed Other Direct Cost Assumptions</v>
      </c>
    </row>
    <row r="2013" spans="1:8" s="10" customFormat="1" outlineLevel="1" x14ac:dyDescent="0.2">
      <c r="D2013" s="76" t="str">
        <f>Lang_GoTo&amp;" "&amp;HL_TOP_ACTV_17_Cost_Summary_Output</f>
        <v>Go to SME Activity #2 (Not in Use) Detailed Cost Summary</v>
      </c>
    </row>
    <row r="2014" spans="1:8" s="10" customFormat="1" x14ac:dyDescent="0.2"/>
    <row r="2015" spans="1:8" s="13" customFormat="1" x14ac:dyDescent="0.2">
      <c r="A2015" s="12" t="s">
        <v>127</v>
      </c>
      <c r="B2015" s="13" t="str">
        <f>HL_TOP_ACTV_18_Name&amp;" "&amp;Lang_Personnel_Outputs</f>
        <v>SME Activity #3 (Not in Use) Personnel - Outputs</v>
      </c>
    </row>
    <row r="2016" spans="1:8" s="10" customFormat="1" outlineLevel="1" x14ac:dyDescent="0.2"/>
    <row r="2017" spans="3:8" s="10" customFormat="1" outlineLevel="1" x14ac:dyDescent="0.2">
      <c r="C2017" s="114" t="str">
        <f>HL_TOP_ACTV_18_Name</f>
        <v>SME Activity #3 (Not in Use)</v>
      </c>
    </row>
    <row r="2018" spans="3:8" s="10" customFormat="1" outlineLevel="1" x14ac:dyDescent="0.2">
      <c r="E2018" s="86" t="str">
        <f>SUPV_Lu!$D$102&amp;" "&amp;Lang_Cost&amp;" ("&amp;SUPV_Lu!$D$83&amp;")"</f>
        <v>Financial Cost (LCU)</v>
      </c>
      <c r="F2018" s="86" t="str">
        <f>SUPV_Lu!$D$103&amp;" "&amp;Lang_Cost&amp;" ("&amp;SUPV_Lu!$D$83&amp;")"</f>
        <v>Economic Cost (LCU)</v>
      </c>
      <c r="G2018" s="86" t="str">
        <f>SUPV_Lu!$D$102&amp;" "&amp;Lang_Cost&amp;" ("&amp;SUPV_Lu!$D$82&amp;")"</f>
        <v>Financial Cost (USD)</v>
      </c>
      <c r="H2018" s="86" t="str">
        <f>SUPV_Lu!$D$103&amp;" "&amp;Lang_Cost&amp;" ("&amp;SUPV_Lu!$D$82&amp;")"</f>
        <v>Economic Cost (USD)</v>
      </c>
    </row>
    <row r="2019" spans="3:8" s="10" customFormat="1" outlineLevel="1" x14ac:dyDescent="0.2">
      <c r="D2019" s="49" t="str">
        <f>SUPV_DETAILED_COST_WKSHT!D222</f>
        <v>Personnel Category 1</v>
      </c>
      <c r="E2019" s="115">
        <f>IF(DD_TOP_ACTV_18_Detailed_Currency_Used=2,SUPV_DETAILED_COST_WKSHT!$F222*SUPV_DETAILED_COST_WKSHT!G222,SUPV_DETAILED_COST_WKSHT!$F222*(SUPV_DETAILED_COST_WKSHT!G222*TOP_ACTV_18_Exchange_Rate))</f>
        <v>0</v>
      </c>
      <c r="F2019" s="115">
        <f>IF(DD_TOP_ACTV_18_Detailed_Currency_Used=2,SUPV_DETAILED_COST_WKSHT!$F222*SUPV_DETAILED_COST_WKSHT!H222,SUPV_DETAILED_COST_WKSHT!$F222*(SUPV_DETAILED_COST_WKSHT!H222*TOP_ACTV_18_Exchange_Rate))</f>
        <v>0</v>
      </c>
      <c r="G2019" s="116">
        <f t="shared" ref="G2019:G2033" si="192">IFERROR(E2019/TOP_ACTV_18_Exchange_Rate,0)</f>
        <v>0</v>
      </c>
      <c r="H2019" s="116">
        <f t="shared" ref="H2019:H2033" si="193">IFERROR(F2019/TOP_ACTV_18_Exchange_Rate,0)</f>
        <v>0</v>
      </c>
    </row>
    <row r="2020" spans="3:8" s="10" customFormat="1" outlineLevel="1" x14ac:dyDescent="0.2">
      <c r="D2020" s="49" t="str">
        <f>SUPV_DETAILED_COST_WKSHT!D223</f>
        <v>Personnel Category 2</v>
      </c>
      <c r="E2020" s="115">
        <f>IF(DD_TOP_ACTV_18_Detailed_Currency_Used=2,SUPV_DETAILED_COST_WKSHT!$F223*SUPV_DETAILED_COST_WKSHT!G223,SUPV_DETAILED_COST_WKSHT!$F223*(SUPV_DETAILED_COST_WKSHT!G223*TOP_ACTV_18_Exchange_Rate))</f>
        <v>0</v>
      </c>
      <c r="F2020" s="115">
        <f>IF(DD_TOP_ACTV_18_Detailed_Currency_Used=2,SUPV_DETAILED_COST_WKSHT!$F223*SUPV_DETAILED_COST_WKSHT!H223,SUPV_DETAILED_COST_WKSHT!$F223*(SUPV_DETAILED_COST_WKSHT!H223*TOP_ACTV_18_Exchange_Rate))</f>
        <v>0</v>
      </c>
      <c r="G2020" s="116">
        <f t="shared" si="192"/>
        <v>0</v>
      </c>
      <c r="H2020" s="116">
        <f t="shared" si="193"/>
        <v>0</v>
      </c>
    </row>
    <row r="2021" spans="3:8" s="10" customFormat="1" outlineLevel="1" x14ac:dyDescent="0.2">
      <c r="D2021" s="49" t="str">
        <f>SUPV_DETAILED_COST_WKSHT!D224</f>
        <v>Personnel Category 3</v>
      </c>
      <c r="E2021" s="115">
        <f>IF(DD_TOP_ACTV_18_Detailed_Currency_Used=2,SUPV_DETAILED_COST_WKSHT!$F224*SUPV_DETAILED_COST_WKSHT!G224,SUPV_DETAILED_COST_WKSHT!$F224*(SUPV_DETAILED_COST_WKSHT!G224*TOP_ACTV_18_Exchange_Rate))</f>
        <v>0</v>
      </c>
      <c r="F2021" s="115">
        <f>IF(DD_TOP_ACTV_18_Detailed_Currency_Used=2,SUPV_DETAILED_COST_WKSHT!$F224*SUPV_DETAILED_COST_WKSHT!H224,SUPV_DETAILED_COST_WKSHT!$F224*(SUPV_DETAILED_COST_WKSHT!H224*TOP_ACTV_18_Exchange_Rate))</f>
        <v>0</v>
      </c>
      <c r="G2021" s="116">
        <f t="shared" si="192"/>
        <v>0</v>
      </c>
      <c r="H2021" s="116">
        <f t="shared" si="193"/>
        <v>0</v>
      </c>
    </row>
    <row r="2022" spans="3:8" s="10" customFormat="1" outlineLevel="1" x14ac:dyDescent="0.2">
      <c r="D2022" s="49" t="str">
        <f>SUPV_DETAILED_COST_WKSHT!D225</f>
        <v>Personnel Category 4</v>
      </c>
      <c r="E2022" s="115">
        <f>IF(DD_TOP_ACTV_18_Detailed_Currency_Used=2,SUPV_DETAILED_COST_WKSHT!$F225*SUPV_DETAILED_COST_WKSHT!G225,SUPV_DETAILED_COST_WKSHT!$F225*(SUPV_DETAILED_COST_WKSHT!G225*TOP_ACTV_18_Exchange_Rate))</f>
        <v>0</v>
      </c>
      <c r="F2022" s="115">
        <f>IF(DD_TOP_ACTV_18_Detailed_Currency_Used=2,SUPV_DETAILED_COST_WKSHT!$F225*SUPV_DETAILED_COST_WKSHT!H225,SUPV_DETAILED_COST_WKSHT!$F225*(SUPV_DETAILED_COST_WKSHT!H225*TOP_ACTV_18_Exchange_Rate))</f>
        <v>0</v>
      </c>
      <c r="G2022" s="116">
        <f t="shared" si="192"/>
        <v>0</v>
      </c>
      <c r="H2022" s="116">
        <f t="shared" si="193"/>
        <v>0</v>
      </c>
    </row>
    <row r="2023" spans="3:8" s="10" customFormat="1" outlineLevel="1" x14ac:dyDescent="0.2">
      <c r="D2023" s="49" t="str">
        <f>SUPV_DETAILED_COST_WKSHT!D226</f>
        <v>Personnel Category 5</v>
      </c>
      <c r="E2023" s="115">
        <f>IF(DD_TOP_ACTV_18_Detailed_Currency_Used=2,SUPV_DETAILED_COST_WKSHT!$F226*SUPV_DETAILED_COST_WKSHT!G226,SUPV_DETAILED_COST_WKSHT!$F226*(SUPV_DETAILED_COST_WKSHT!G226*TOP_ACTV_18_Exchange_Rate))</f>
        <v>0</v>
      </c>
      <c r="F2023" s="115">
        <f>IF(DD_TOP_ACTV_18_Detailed_Currency_Used=2,SUPV_DETAILED_COST_WKSHT!$F226*SUPV_DETAILED_COST_WKSHT!H226,SUPV_DETAILED_COST_WKSHT!$F226*(SUPV_DETAILED_COST_WKSHT!H226*TOP_ACTV_18_Exchange_Rate))</f>
        <v>0</v>
      </c>
      <c r="G2023" s="116">
        <f t="shared" si="192"/>
        <v>0</v>
      </c>
      <c r="H2023" s="116">
        <f t="shared" si="193"/>
        <v>0</v>
      </c>
    </row>
    <row r="2024" spans="3:8" s="10" customFormat="1" outlineLevel="1" x14ac:dyDescent="0.2">
      <c r="D2024" s="49" t="str">
        <f>SUPV_DETAILED_COST_WKSHT!D227</f>
        <v>Personnel Category 6</v>
      </c>
      <c r="E2024" s="115">
        <f>IF(DD_TOP_ACTV_18_Detailed_Currency_Used=2,SUPV_DETAILED_COST_WKSHT!$F227*SUPV_DETAILED_COST_WKSHT!G227,SUPV_DETAILED_COST_WKSHT!$F227*(SUPV_DETAILED_COST_WKSHT!G227*TOP_ACTV_18_Exchange_Rate))</f>
        <v>0</v>
      </c>
      <c r="F2024" s="115">
        <f>IF(DD_TOP_ACTV_18_Detailed_Currency_Used=2,SUPV_DETAILED_COST_WKSHT!$F227*SUPV_DETAILED_COST_WKSHT!H227,SUPV_DETAILED_COST_WKSHT!$F227*(SUPV_DETAILED_COST_WKSHT!H227*TOP_ACTV_18_Exchange_Rate))</f>
        <v>0</v>
      </c>
      <c r="G2024" s="116">
        <f t="shared" si="192"/>
        <v>0</v>
      </c>
      <c r="H2024" s="116">
        <f t="shared" si="193"/>
        <v>0</v>
      </c>
    </row>
    <row r="2025" spans="3:8" s="10" customFormat="1" outlineLevel="1" x14ac:dyDescent="0.2">
      <c r="D2025" s="49" t="str">
        <f>SUPV_DETAILED_COST_WKSHT!D228</f>
        <v>Personnel Category 7</v>
      </c>
      <c r="E2025" s="115">
        <f>IF(DD_TOP_ACTV_18_Detailed_Currency_Used=2,SUPV_DETAILED_COST_WKSHT!$F228*SUPV_DETAILED_COST_WKSHT!G228,SUPV_DETAILED_COST_WKSHT!$F228*(SUPV_DETAILED_COST_WKSHT!G228*TOP_ACTV_18_Exchange_Rate))</f>
        <v>0</v>
      </c>
      <c r="F2025" s="115">
        <f>IF(DD_TOP_ACTV_18_Detailed_Currency_Used=2,SUPV_DETAILED_COST_WKSHT!$F228*SUPV_DETAILED_COST_WKSHT!H228,SUPV_DETAILED_COST_WKSHT!$F228*(SUPV_DETAILED_COST_WKSHT!H228*TOP_ACTV_18_Exchange_Rate))</f>
        <v>0</v>
      </c>
      <c r="G2025" s="116">
        <f t="shared" si="192"/>
        <v>0</v>
      </c>
      <c r="H2025" s="116">
        <f t="shared" si="193"/>
        <v>0</v>
      </c>
    </row>
    <row r="2026" spans="3:8" s="10" customFormat="1" outlineLevel="1" x14ac:dyDescent="0.2">
      <c r="D2026" s="49" t="str">
        <f>SUPV_DETAILED_COST_WKSHT!D229</f>
        <v>Personnel Category 8</v>
      </c>
      <c r="E2026" s="115">
        <f>IF(DD_TOP_ACTV_18_Detailed_Currency_Used=2,SUPV_DETAILED_COST_WKSHT!$F229*SUPV_DETAILED_COST_WKSHT!G229,SUPV_DETAILED_COST_WKSHT!$F229*(SUPV_DETAILED_COST_WKSHT!G229*TOP_ACTV_18_Exchange_Rate))</f>
        <v>0</v>
      </c>
      <c r="F2026" s="115">
        <f>IF(DD_TOP_ACTV_18_Detailed_Currency_Used=2,SUPV_DETAILED_COST_WKSHT!$F229*SUPV_DETAILED_COST_WKSHT!H229,SUPV_DETAILED_COST_WKSHT!$F229*(SUPV_DETAILED_COST_WKSHT!H229*TOP_ACTV_18_Exchange_Rate))</f>
        <v>0</v>
      </c>
      <c r="G2026" s="116">
        <f t="shared" si="192"/>
        <v>0</v>
      </c>
      <c r="H2026" s="116">
        <f t="shared" si="193"/>
        <v>0</v>
      </c>
    </row>
    <row r="2027" spans="3:8" s="10" customFormat="1" outlineLevel="1" x14ac:dyDescent="0.2">
      <c r="D2027" s="49" t="str">
        <f>SUPV_DETAILED_COST_WKSHT!D230</f>
        <v>Personnel Category 9</v>
      </c>
      <c r="E2027" s="115">
        <f>IF(DD_TOP_ACTV_18_Detailed_Currency_Used=2,SUPV_DETAILED_COST_WKSHT!$F230*SUPV_DETAILED_COST_WKSHT!G230,SUPV_DETAILED_COST_WKSHT!$F230*(SUPV_DETAILED_COST_WKSHT!G230*TOP_ACTV_18_Exchange_Rate))</f>
        <v>0</v>
      </c>
      <c r="F2027" s="115">
        <f>IF(DD_TOP_ACTV_18_Detailed_Currency_Used=2,SUPV_DETAILED_COST_WKSHT!$F230*SUPV_DETAILED_COST_WKSHT!H230,SUPV_DETAILED_COST_WKSHT!$F230*(SUPV_DETAILED_COST_WKSHT!H230*TOP_ACTV_18_Exchange_Rate))</f>
        <v>0</v>
      </c>
      <c r="G2027" s="116">
        <f t="shared" si="192"/>
        <v>0</v>
      </c>
      <c r="H2027" s="116">
        <f t="shared" si="193"/>
        <v>0</v>
      </c>
    </row>
    <row r="2028" spans="3:8" s="10" customFormat="1" outlineLevel="1" x14ac:dyDescent="0.2">
      <c r="D2028" s="49" t="str">
        <f>SUPV_DETAILED_COST_WKSHT!D231</f>
        <v>Personnel Category 10</v>
      </c>
      <c r="E2028" s="115">
        <f>IF(DD_TOP_ACTV_18_Detailed_Currency_Used=2,SUPV_DETAILED_COST_WKSHT!$F231*SUPV_DETAILED_COST_WKSHT!G231,SUPV_DETAILED_COST_WKSHT!$F231*(SUPV_DETAILED_COST_WKSHT!G231*TOP_ACTV_18_Exchange_Rate))</f>
        <v>0</v>
      </c>
      <c r="F2028" s="115">
        <f>IF(DD_TOP_ACTV_18_Detailed_Currency_Used=2,SUPV_DETAILED_COST_WKSHT!$F231*SUPV_DETAILED_COST_WKSHT!H231,SUPV_DETAILED_COST_WKSHT!$F231*(SUPV_DETAILED_COST_WKSHT!H231*TOP_ACTV_18_Exchange_Rate))</f>
        <v>0</v>
      </c>
      <c r="G2028" s="116">
        <f t="shared" si="192"/>
        <v>0</v>
      </c>
      <c r="H2028" s="116">
        <f t="shared" si="193"/>
        <v>0</v>
      </c>
    </row>
    <row r="2029" spans="3:8" s="10" customFormat="1" outlineLevel="1" x14ac:dyDescent="0.2">
      <c r="D2029" s="49" t="str">
        <f>SUPV_DETAILED_COST_WKSHT!D232</f>
        <v>Personnel Category 11</v>
      </c>
      <c r="E2029" s="115">
        <f>IF(DD_TOP_ACTV_18_Detailed_Currency_Used=2,SUPV_DETAILED_COST_WKSHT!$F232*SUPV_DETAILED_COST_WKSHT!G232,SUPV_DETAILED_COST_WKSHT!$F232*(SUPV_DETAILED_COST_WKSHT!G232*TOP_ACTV_18_Exchange_Rate))</f>
        <v>0</v>
      </c>
      <c r="F2029" s="115">
        <f>IF(DD_TOP_ACTV_18_Detailed_Currency_Used=2,SUPV_DETAILED_COST_WKSHT!$F232*SUPV_DETAILED_COST_WKSHT!H232,SUPV_DETAILED_COST_WKSHT!$F232*(SUPV_DETAILED_COST_WKSHT!H232*TOP_ACTV_18_Exchange_Rate))</f>
        <v>0</v>
      </c>
      <c r="G2029" s="116">
        <f t="shared" si="192"/>
        <v>0</v>
      </c>
      <c r="H2029" s="116">
        <f t="shared" si="193"/>
        <v>0</v>
      </c>
    </row>
    <row r="2030" spans="3:8" s="10" customFormat="1" outlineLevel="1" x14ac:dyDescent="0.2">
      <c r="D2030" s="49" t="str">
        <f>SUPV_DETAILED_COST_WKSHT!D233</f>
        <v>Personnel Category 12</v>
      </c>
      <c r="E2030" s="115">
        <f>IF(DD_TOP_ACTV_18_Detailed_Currency_Used=2,SUPV_DETAILED_COST_WKSHT!$F233*SUPV_DETAILED_COST_WKSHT!G233,SUPV_DETAILED_COST_WKSHT!$F233*(SUPV_DETAILED_COST_WKSHT!G233*TOP_ACTV_18_Exchange_Rate))</f>
        <v>0</v>
      </c>
      <c r="F2030" s="115">
        <f>IF(DD_TOP_ACTV_18_Detailed_Currency_Used=2,SUPV_DETAILED_COST_WKSHT!$F233*SUPV_DETAILED_COST_WKSHT!H233,SUPV_DETAILED_COST_WKSHT!$F233*(SUPV_DETAILED_COST_WKSHT!H233*TOP_ACTV_18_Exchange_Rate))</f>
        <v>0</v>
      </c>
      <c r="G2030" s="116">
        <f t="shared" si="192"/>
        <v>0</v>
      </c>
      <c r="H2030" s="116">
        <f t="shared" si="193"/>
        <v>0</v>
      </c>
    </row>
    <row r="2031" spans="3:8" s="10" customFormat="1" outlineLevel="1" x14ac:dyDescent="0.2">
      <c r="D2031" s="49" t="str">
        <f>SUPV_DETAILED_COST_WKSHT!D234</f>
        <v>Personnel Category 13</v>
      </c>
      <c r="E2031" s="115">
        <f>IF(DD_TOP_ACTV_18_Detailed_Currency_Used=2,SUPV_DETAILED_COST_WKSHT!$F234*SUPV_DETAILED_COST_WKSHT!G234,SUPV_DETAILED_COST_WKSHT!$F234*(SUPV_DETAILED_COST_WKSHT!G234*TOP_ACTV_18_Exchange_Rate))</f>
        <v>0</v>
      </c>
      <c r="F2031" s="115">
        <f>IF(DD_TOP_ACTV_18_Detailed_Currency_Used=2,SUPV_DETAILED_COST_WKSHT!$F234*SUPV_DETAILED_COST_WKSHT!H234,SUPV_DETAILED_COST_WKSHT!$F234*(SUPV_DETAILED_COST_WKSHT!H234*TOP_ACTV_18_Exchange_Rate))</f>
        <v>0</v>
      </c>
      <c r="G2031" s="116">
        <f t="shared" si="192"/>
        <v>0</v>
      </c>
      <c r="H2031" s="116">
        <f t="shared" si="193"/>
        <v>0</v>
      </c>
    </row>
    <row r="2032" spans="3:8" s="10" customFormat="1" outlineLevel="1" x14ac:dyDescent="0.2">
      <c r="D2032" s="49" t="str">
        <f>SUPV_DETAILED_COST_WKSHT!D235</f>
        <v>Personnel Category 14</v>
      </c>
      <c r="E2032" s="115">
        <f>IF(DD_TOP_ACTV_18_Detailed_Currency_Used=2,SUPV_DETAILED_COST_WKSHT!$F235*SUPV_DETAILED_COST_WKSHT!G235,SUPV_DETAILED_COST_WKSHT!$F235*(SUPV_DETAILED_COST_WKSHT!G235*TOP_ACTV_18_Exchange_Rate))</f>
        <v>0</v>
      </c>
      <c r="F2032" s="115">
        <f>IF(DD_TOP_ACTV_18_Detailed_Currency_Used=2,SUPV_DETAILED_COST_WKSHT!$F235*SUPV_DETAILED_COST_WKSHT!H235,SUPV_DETAILED_COST_WKSHT!$F235*(SUPV_DETAILED_COST_WKSHT!H235*TOP_ACTV_18_Exchange_Rate))</f>
        <v>0</v>
      </c>
      <c r="G2032" s="116">
        <f t="shared" si="192"/>
        <v>0</v>
      </c>
      <c r="H2032" s="116">
        <f t="shared" si="193"/>
        <v>0</v>
      </c>
    </row>
    <row r="2033" spans="1:8" s="10" customFormat="1" outlineLevel="1" x14ac:dyDescent="0.2">
      <c r="D2033" s="49" t="str">
        <f>SUPV_DETAILED_COST_WKSHT!D236</f>
        <v>Personnel Category 15</v>
      </c>
      <c r="E2033" s="115">
        <f>IF(DD_TOP_ACTV_18_Detailed_Currency_Used=2,SUPV_DETAILED_COST_WKSHT!$F236*SUPV_DETAILED_COST_WKSHT!G236,SUPV_DETAILED_COST_WKSHT!$F236*(SUPV_DETAILED_COST_WKSHT!G236*TOP_ACTV_18_Exchange_Rate))</f>
        <v>0</v>
      </c>
      <c r="F2033" s="115">
        <f>IF(DD_TOP_ACTV_18_Detailed_Currency_Used=2,SUPV_DETAILED_COST_WKSHT!$F236*SUPV_DETAILED_COST_WKSHT!H236,SUPV_DETAILED_COST_WKSHT!$F236*(SUPV_DETAILED_COST_WKSHT!H236*TOP_ACTV_18_Exchange_Rate))</f>
        <v>0</v>
      </c>
      <c r="G2033" s="116">
        <f t="shared" si="192"/>
        <v>0</v>
      </c>
      <c r="H2033" s="116">
        <f t="shared" si="193"/>
        <v>0</v>
      </c>
    </row>
    <row r="2034" spans="1:8" s="10" customFormat="1" outlineLevel="1" x14ac:dyDescent="0.2">
      <c r="D2034" s="48" t="str">
        <f>Lang_Personnel</f>
        <v>Personnel</v>
      </c>
      <c r="E2034" s="120">
        <f>SUM(E2019:E2033)</f>
        <v>0</v>
      </c>
      <c r="F2034" s="120">
        <f>SUM(F2019:F2033)</f>
        <v>0</v>
      </c>
      <c r="G2034" s="121">
        <f>SUM(G2019:G2033)</f>
        <v>0</v>
      </c>
      <c r="H2034" s="121">
        <f>SUM(H2019:H2033)</f>
        <v>0</v>
      </c>
    </row>
    <row r="2035" spans="1:8" s="10" customFormat="1" outlineLevel="1" x14ac:dyDescent="0.2"/>
    <row r="2036" spans="1:8" s="10" customFormat="1" outlineLevel="1" x14ac:dyDescent="0.2"/>
    <row r="2037" spans="1:8" s="10" customFormat="1" outlineLevel="1" x14ac:dyDescent="0.2">
      <c r="D2037" s="76" t="str">
        <f>Lang_GoTo&amp;" "&amp;HL_TOP_ACTV_18_Personnel_Assumptions</f>
        <v>Go to SME Activity #3 (Not in Use) - Detailed Personnel Cost Assumptions</v>
      </c>
    </row>
    <row r="2038" spans="1:8" s="10" customFormat="1" outlineLevel="1" x14ac:dyDescent="0.2">
      <c r="D2038" s="76" t="str">
        <f>Lang_GoTo&amp;" "&amp;HL_TOP_ACTV_18_Cost_Summary_Output</f>
        <v>Go to SME Activity #3 (Not in Use) Detailed Cost Summary</v>
      </c>
    </row>
    <row r="2039" spans="1:8" s="10" customFormat="1" x14ac:dyDescent="0.2"/>
    <row r="2040" spans="1:8" s="13" customFormat="1" x14ac:dyDescent="0.2">
      <c r="A2040" s="12" t="s">
        <v>127</v>
      </c>
      <c r="B2040" s="13" t="str">
        <f>HL_TOP_ACTV_18_Name&amp;" "&amp;Lang_Allowances_Outputs</f>
        <v>SME Activity #3 (Not in Use) Allowances - Outputs</v>
      </c>
    </row>
    <row r="2041" spans="1:8" s="10" customFormat="1" outlineLevel="1" x14ac:dyDescent="0.2"/>
    <row r="2042" spans="1:8" s="10" customFormat="1" outlineLevel="1" x14ac:dyDescent="0.2">
      <c r="C2042" s="114" t="str">
        <f>HL_TOP_ACTV_18_Name</f>
        <v>SME Activity #3 (Not in Use)</v>
      </c>
    </row>
    <row r="2043" spans="1:8" s="10" customFormat="1" outlineLevel="1" x14ac:dyDescent="0.2">
      <c r="E2043" s="86" t="str">
        <f>SUPV_Lu!$D$102&amp;" "&amp;Lang_Cost&amp;" ("&amp;SUPV_Lu!$D$83&amp;")"</f>
        <v>Financial Cost (LCU)</v>
      </c>
      <c r="F2043" s="86" t="str">
        <f>SUPV_Lu!$D$103&amp;" "&amp;Lang_Cost&amp;" ("&amp;SUPV_Lu!$D$83&amp;")"</f>
        <v>Economic Cost (LCU)</v>
      </c>
      <c r="G2043" s="86" t="str">
        <f>SUPV_Lu!$D$102&amp;" "&amp;Lang_Cost&amp;" ("&amp;SUPV_Lu!$D$82&amp;")"</f>
        <v>Financial Cost (USD)</v>
      </c>
      <c r="H2043" s="86" t="str">
        <f>SUPV_Lu!$D$103&amp;" "&amp;Lang_Cost&amp;" ("&amp;SUPV_Lu!$D$82&amp;")"</f>
        <v>Economic Cost (USD)</v>
      </c>
    </row>
    <row r="2044" spans="1:8" s="10" customFormat="1" outlineLevel="1" x14ac:dyDescent="0.2">
      <c r="D2044" s="49" t="str">
        <f>SUPV_DETAILED_COST_WKSHT!D245</f>
        <v>Allowances Category 1</v>
      </c>
      <c r="E2044" s="115">
        <f>IF(DD_TOP_ACTV_18_Detailed_Currency_Used=2,SUPV_DETAILED_COST_WKSHT!$F245*SUPV_DETAILED_COST_WKSHT!G245,SUPV_DETAILED_COST_WKSHT!$F245*(SUPV_DETAILED_COST_WKSHT!G245*TOP_ACTV_18_Exchange_Rate))</f>
        <v>0</v>
      </c>
      <c r="F2044" s="115">
        <f>IF(DD_TOP_ACTV_18_Detailed_Currency_Used=2,SUPV_DETAILED_COST_WKSHT!$F245*SUPV_DETAILED_COST_WKSHT!H245,SUPV_DETAILED_COST_WKSHT!$F245*(SUPV_DETAILED_COST_WKSHT!H245*TOP_ACTV_18_Exchange_Rate))</f>
        <v>0</v>
      </c>
      <c r="G2044" s="116">
        <f t="shared" ref="G2044:G2053" si="194">E2044/TOP_ACTV_18_Exchange_Rate</f>
        <v>0</v>
      </c>
      <c r="H2044" s="116">
        <f t="shared" ref="H2044:H2053" si="195">F2044/TOP_ACTV_18_Exchange_Rate</f>
        <v>0</v>
      </c>
    </row>
    <row r="2045" spans="1:8" s="10" customFormat="1" outlineLevel="1" x14ac:dyDescent="0.2">
      <c r="D2045" s="49" t="str">
        <f>SUPV_DETAILED_COST_WKSHT!D246</f>
        <v>Allowances Category 2</v>
      </c>
      <c r="E2045" s="115">
        <f>IF(DD_TOP_ACTV_18_Detailed_Currency_Used=2,SUPV_DETAILED_COST_WKSHT!$F246*SUPV_DETAILED_COST_WKSHT!G246,SUPV_DETAILED_COST_WKSHT!$F246*(SUPV_DETAILED_COST_WKSHT!G246*TOP_ACTV_18_Exchange_Rate))</f>
        <v>0</v>
      </c>
      <c r="F2045" s="115">
        <f>IF(DD_TOP_ACTV_18_Detailed_Currency_Used=2,SUPV_DETAILED_COST_WKSHT!$F246*SUPV_DETAILED_COST_WKSHT!H246,SUPV_DETAILED_COST_WKSHT!$F246*(SUPV_DETAILED_COST_WKSHT!H246*TOP_ACTV_18_Exchange_Rate))</f>
        <v>0</v>
      </c>
      <c r="G2045" s="116">
        <f t="shared" si="194"/>
        <v>0</v>
      </c>
      <c r="H2045" s="116">
        <f t="shared" si="195"/>
        <v>0</v>
      </c>
    </row>
    <row r="2046" spans="1:8" s="10" customFormat="1" outlineLevel="1" x14ac:dyDescent="0.2">
      <c r="D2046" s="49" t="str">
        <f>SUPV_DETAILED_COST_WKSHT!D247</f>
        <v>Allowances Category 3</v>
      </c>
      <c r="E2046" s="115">
        <f>IF(DD_TOP_ACTV_18_Detailed_Currency_Used=2,SUPV_DETAILED_COST_WKSHT!$F247*SUPV_DETAILED_COST_WKSHT!G247,SUPV_DETAILED_COST_WKSHT!$F247*(SUPV_DETAILED_COST_WKSHT!G247*TOP_ACTV_18_Exchange_Rate))</f>
        <v>0</v>
      </c>
      <c r="F2046" s="115">
        <f>IF(DD_TOP_ACTV_18_Detailed_Currency_Used=2,SUPV_DETAILED_COST_WKSHT!$F247*SUPV_DETAILED_COST_WKSHT!H247,SUPV_DETAILED_COST_WKSHT!$F247*(SUPV_DETAILED_COST_WKSHT!H247*TOP_ACTV_18_Exchange_Rate))</f>
        <v>0</v>
      </c>
      <c r="G2046" s="116">
        <f t="shared" si="194"/>
        <v>0</v>
      </c>
      <c r="H2046" s="116">
        <f t="shared" si="195"/>
        <v>0</v>
      </c>
    </row>
    <row r="2047" spans="1:8" s="10" customFormat="1" outlineLevel="1" x14ac:dyDescent="0.2">
      <c r="D2047" s="49" t="str">
        <f>SUPV_DETAILED_COST_WKSHT!D248</f>
        <v>Allowances Category 4</v>
      </c>
      <c r="E2047" s="115">
        <f>IF(DD_TOP_ACTV_18_Detailed_Currency_Used=2,SUPV_DETAILED_COST_WKSHT!$F248*SUPV_DETAILED_COST_WKSHT!G248,SUPV_DETAILED_COST_WKSHT!$F248*(SUPV_DETAILED_COST_WKSHT!G248*TOP_ACTV_18_Exchange_Rate))</f>
        <v>0</v>
      </c>
      <c r="F2047" s="115">
        <f>IF(DD_TOP_ACTV_18_Detailed_Currency_Used=2,SUPV_DETAILED_COST_WKSHT!$F248*SUPV_DETAILED_COST_WKSHT!H248,SUPV_DETAILED_COST_WKSHT!$F248*(SUPV_DETAILED_COST_WKSHT!H248*TOP_ACTV_18_Exchange_Rate))</f>
        <v>0</v>
      </c>
      <c r="G2047" s="116">
        <f t="shared" si="194"/>
        <v>0</v>
      </c>
      <c r="H2047" s="116">
        <f t="shared" si="195"/>
        <v>0</v>
      </c>
    </row>
    <row r="2048" spans="1:8" s="10" customFormat="1" outlineLevel="1" x14ac:dyDescent="0.2">
      <c r="D2048" s="49" t="str">
        <f>SUPV_DETAILED_COST_WKSHT!D249</f>
        <v>Allowances Category 5</v>
      </c>
      <c r="E2048" s="115">
        <f>IF(DD_TOP_ACTV_18_Detailed_Currency_Used=2,SUPV_DETAILED_COST_WKSHT!$F249*SUPV_DETAILED_COST_WKSHT!G249,SUPV_DETAILED_COST_WKSHT!$F249*(SUPV_DETAILED_COST_WKSHT!G249*TOP_ACTV_18_Exchange_Rate))</f>
        <v>0</v>
      </c>
      <c r="F2048" s="115">
        <f>IF(DD_TOP_ACTV_18_Detailed_Currency_Used=2,SUPV_DETAILED_COST_WKSHT!$F249*SUPV_DETAILED_COST_WKSHT!H249,SUPV_DETAILED_COST_WKSHT!$F249*(SUPV_DETAILED_COST_WKSHT!H249*TOP_ACTV_18_Exchange_Rate))</f>
        <v>0</v>
      </c>
      <c r="G2048" s="116">
        <f t="shared" si="194"/>
        <v>0</v>
      </c>
      <c r="H2048" s="116">
        <f t="shared" si="195"/>
        <v>0</v>
      </c>
    </row>
    <row r="2049" spans="1:8" s="10" customFormat="1" outlineLevel="1" x14ac:dyDescent="0.2">
      <c r="D2049" s="49" t="str">
        <f>SUPV_DETAILED_COST_WKSHT!D250</f>
        <v>Allowances Category 6</v>
      </c>
      <c r="E2049" s="115">
        <f>IF(DD_TOP_ACTV_18_Detailed_Currency_Used=2,SUPV_DETAILED_COST_WKSHT!$F250*SUPV_DETAILED_COST_WKSHT!G250,SUPV_DETAILED_COST_WKSHT!$F250*(SUPV_DETAILED_COST_WKSHT!G250*TOP_ACTV_18_Exchange_Rate))</f>
        <v>0</v>
      </c>
      <c r="F2049" s="115">
        <f>IF(DD_TOP_ACTV_18_Detailed_Currency_Used=2,SUPV_DETAILED_COST_WKSHT!$F250*SUPV_DETAILED_COST_WKSHT!H250,SUPV_DETAILED_COST_WKSHT!$F250*(SUPV_DETAILED_COST_WKSHT!H250*TOP_ACTV_18_Exchange_Rate))</f>
        <v>0</v>
      </c>
      <c r="G2049" s="116">
        <f t="shared" si="194"/>
        <v>0</v>
      </c>
      <c r="H2049" s="116">
        <f t="shared" si="195"/>
        <v>0</v>
      </c>
    </row>
    <row r="2050" spans="1:8" s="10" customFormat="1" outlineLevel="1" x14ac:dyDescent="0.2">
      <c r="D2050" s="49" t="str">
        <f>SUPV_DETAILED_COST_WKSHT!D251</f>
        <v>Allowances Category 7</v>
      </c>
      <c r="E2050" s="115">
        <f>IF(DD_TOP_ACTV_18_Detailed_Currency_Used=2,SUPV_DETAILED_COST_WKSHT!$F251*SUPV_DETAILED_COST_WKSHT!G251,SUPV_DETAILED_COST_WKSHT!$F251*(SUPV_DETAILED_COST_WKSHT!G251*TOP_ACTV_18_Exchange_Rate))</f>
        <v>0</v>
      </c>
      <c r="F2050" s="115">
        <f>IF(DD_TOP_ACTV_18_Detailed_Currency_Used=2,SUPV_DETAILED_COST_WKSHT!$F251*SUPV_DETAILED_COST_WKSHT!H251,SUPV_DETAILED_COST_WKSHT!$F251*(SUPV_DETAILED_COST_WKSHT!H251*TOP_ACTV_18_Exchange_Rate))</f>
        <v>0</v>
      </c>
      <c r="G2050" s="116">
        <f t="shared" si="194"/>
        <v>0</v>
      </c>
      <c r="H2050" s="116">
        <f t="shared" si="195"/>
        <v>0</v>
      </c>
    </row>
    <row r="2051" spans="1:8" s="10" customFormat="1" outlineLevel="1" x14ac:dyDescent="0.2">
      <c r="D2051" s="49" t="str">
        <f>SUPV_DETAILED_COST_WKSHT!D252</f>
        <v>Allowances Category 8</v>
      </c>
      <c r="E2051" s="115">
        <f>IF(DD_TOP_ACTV_18_Detailed_Currency_Used=2,SUPV_DETAILED_COST_WKSHT!$F252*SUPV_DETAILED_COST_WKSHT!G252,SUPV_DETAILED_COST_WKSHT!$F252*(SUPV_DETAILED_COST_WKSHT!G252*TOP_ACTV_18_Exchange_Rate))</f>
        <v>0</v>
      </c>
      <c r="F2051" s="115">
        <f>IF(DD_TOP_ACTV_18_Detailed_Currency_Used=2,SUPV_DETAILED_COST_WKSHT!$F252*SUPV_DETAILED_COST_WKSHT!H252,SUPV_DETAILED_COST_WKSHT!$F252*(SUPV_DETAILED_COST_WKSHT!H252*TOP_ACTV_18_Exchange_Rate))</f>
        <v>0</v>
      </c>
      <c r="G2051" s="116">
        <f t="shared" si="194"/>
        <v>0</v>
      </c>
      <c r="H2051" s="116">
        <f t="shared" si="195"/>
        <v>0</v>
      </c>
    </row>
    <row r="2052" spans="1:8" s="10" customFormat="1" outlineLevel="1" x14ac:dyDescent="0.2">
      <c r="D2052" s="49" t="str">
        <f>SUPV_DETAILED_COST_WKSHT!D253</f>
        <v>Allowances Category 9</v>
      </c>
      <c r="E2052" s="115">
        <f>IF(DD_TOP_ACTV_18_Detailed_Currency_Used=2,SUPV_DETAILED_COST_WKSHT!$F253*SUPV_DETAILED_COST_WKSHT!G253,SUPV_DETAILED_COST_WKSHT!$F253*(SUPV_DETAILED_COST_WKSHT!G253*TOP_ACTV_18_Exchange_Rate))</f>
        <v>0</v>
      </c>
      <c r="F2052" s="115">
        <f>IF(DD_TOP_ACTV_18_Detailed_Currency_Used=2,SUPV_DETAILED_COST_WKSHT!$F253*SUPV_DETAILED_COST_WKSHT!H253,SUPV_DETAILED_COST_WKSHT!$F253*(SUPV_DETAILED_COST_WKSHT!H253*TOP_ACTV_18_Exchange_Rate))</f>
        <v>0</v>
      </c>
      <c r="G2052" s="116">
        <f t="shared" si="194"/>
        <v>0</v>
      </c>
      <c r="H2052" s="116">
        <f t="shared" si="195"/>
        <v>0</v>
      </c>
    </row>
    <row r="2053" spans="1:8" s="10" customFormat="1" outlineLevel="1" x14ac:dyDescent="0.2">
      <c r="D2053" s="49" t="str">
        <f>SUPV_DETAILED_COST_WKSHT!D254</f>
        <v>Allowances Category 10</v>
      </c>
      <c r="E2053" s="115">
        <f>IF(DD_TOP_ACTV_18_Detailed_Currency_Used=2,SUPV_DETAILED_COST_WKSHT!$F254*SUPV_DETAILED_COST_WKSHT!G254,SUPV_DETAILED_COST_WKSHT!$F254*(SUPV_DETAILED_COST_WKSHT!G254*TOP_ACTV_18_Exchange_Rate))</f>
        <v>0</v>
      </c>
      <c r="F2053" s="115">
        <f>IF(DD_TOP_ACTV_18_Detailed_Currency_Used=2,SUPV_DETAILED_COST_WKSHT!$F254*SUPV_DETAILED_COST_WKSHT!H254,SUPV_DETAILED_COST_WKSHT!$F254*(SUPV_DETAILED_COST_WKSHT!H254*TOP_ACTV_18_Exchange_Rate))</f>
        <v>0</v>
      </c>
      <c r="G2053" s="116">
        <f t="shared" si="194"/>
        <v>0</v>
      </c>
      <c r="H2053" s="116">
        <f t="shared" si="195"/>
        <v>0</v>
      </c>
    </row>
    <row r="2054" spans="1:8" s="10" customFormat="1" outlineLevel="1" x14ac:dyDescent="0.2">
      <c r="D2054" s="48" t="str">
        <f>Lang_Allowances</f>
        <v>Allowances</v>
      </c>
      <c r="E2054" s="120">
        <f>SUM(E2044:E2053)</f>
        <v>0</v>
      </c>
      <c r="F2054" s="120">
        <f>SUM(F2044:F2053)</f>
        <v>0</v>
      </c>
      <c r="G2054" s="121">
        <f>SUM(G2044:G2053)</f>
        <v>0</v>
      </c>
      <c r="H2054" s="121">
        <f>SUM(H2044:H2053)</f>
        <v>0</v>
      </c>
    </row>
    <row r="2055" spans="1:8" s="10" customFormat="1" outlineLevel="1" x14ac:dyDescent="0.2"/>
    <row r="2056" spans="1:8" s="10" customFormat="1" outlineLevel="1" x14ac:dyDescent="0.2"/>
    <row r="2057" spans="1:8" s="10" customFormat="1" outlineLevel="1" x14ac:dyDescent="0.2">
      <c r="D2057" s="76" t="str">
        <f>Lang_GoTo&amp;" "&amp;HL_TOP_ACTV_18_Ass_A</f>
        <v>Go to SME Activity #3 (Not in Use) - Detailed Allowance Cost Assumptions</v>
      </c>
    </row>
    <row r="2058" spans="1:8" s="10" customFormat="1" outlineLevel="1" x14ac:dyDescent="0.2">
      <c r="D2058" s="76" t="str">
        <f>Lang_GoTo&amp;" "&amp;HL_TOP_ACTV_18_Cost_Summary_Output</f>
        <v>Go to SME Activity #3 (Not in Use) Detailed Cost Summary</v>
      </c>
    </row>
    <row r="2059" spans="1:8" s="10" customFormat="1" x14ac:dyDescent="0.2"/>
    <row r="2060" spans="1:8" s="13" customFormat="1" x14ac:dyDescent="0.2">
      <c r="A2060" s="12" t="s">
        <v>127</v>
      </c>
      <c r="B2060" s="13" t="str">
        <f>HL_TOP_ACTV_18_Name&amp;" "&amp;Lang_Supplies_And_Materials_Outputs</f>
        <v>SME Activity #3 (Not in Use) Supplies and Materials - Outputs</v>
      </c>
    </row>
    <row r="2061" spans="1:8" s="10" customFormat="1" outlineLevel="1" x14ac:dyDescent="0.2"/>
    <row r="2062" spans="1:8" s="10" customFormat="1" outlineLevel="1" x14ac:dyDescent="0.2">
      <c r="C2062" s="114" t="str">
        <f>HL_TOP_ACTV_18_Name</f>
        <v>SME Activity #3 (Not in Use)</v>
      </c>
    </row>
    <row r="2063" spans="1:8" s="10" customFormat="1" outlineLevel="1" x14ac:dyDescent="0.2">
      <c r="E2063" s="86" t="str">
        <f>SUPV_Lu!$D$102&amp;" "&amp;Lang_Cost&amp;" ("&amp;SUPV_Lu!$D$83&amp;")"</f>
        <v>Financial Cost (LCU)</v>
      </c>
      <c r="F2063" s="86" t="str">
        <f>SUPV_Lu!$D$103&amp;" "&amp;Lang_Cost&amp;" ("&amp;SUPV_Lu!$D$83&amp;")"</f>
        <v>Economic Cost (LCU)</v>
      </c>
      <c r="G2063" s="86" t="str">
        <f>SUPV_Lu!$D$102&amp;" "&amp;Lang_Cost&amp;" ("&amp;SUPV_Lu!$D$82&amp;")"</f>
        <v>Financial Cost (USD)</v>
      </c>
      <c r="H2063" s="86" t="str">
        <f>SUPV_Lu!$D$103&amp;" "&amp;Lang_Cost&amp;" ("&amp;SUPV_Lu!$D$82&amp;")"</f>
        <v>Economic Cost (USD)</v>
      </c>
    </row>
    <row r="2064" spans="1:8" s="10" customFormat="1" outlineLevel="1" x14ac:dyDescent="0.2">
      <c r="D2064" s="49" t="str">
        <f>SUPV_DETAILED_COST_WKSHT!D263</f>
        <v>Supplies and Materials Category 1</v>
      </c>
      <c r="E2064" s="115">
        <f>IF(DD_TOP_ACTV_18_Detailed_Currency_Used=2,SUPV_DETAILED_COST_WKSHT!$F263*SUPV_DETAILED_COST_WKSHT!G263,SUPV_DETAILED_COST_WKSHT!$F263*(SUPV_DETAILED_COST_WKSHT!G263*TOP_ACTV_18_Exchange_Rate))</f>
        <v>0</v>
      </c>
      <c r="F2064" s="115">
        <f>IF(DD_TOP_ACTV_18_Detailed_Currency_Used=2,SUPV_DETAILED_COST_WKSHT!$F263*SUPV_DETAILED_COST_WKSHT!H263,SUPV_DETAILED_COST_WKSHT!$F263*(SUPV_DETAILED_COST_WKSHT!H263*TOP_ACTV_18_Exchange_Rate))</f>
        <v>0</v>
      </c>
      <c r="G2064" s="116">
        <f t="shared" ref="G2064:G2073" si="196">E2064/TOP_ACTV_18_Exchange_Rate</f>
        <v>0</v>
      </c>
      <c r="H2064" s="116">
        <f t="shared" ref="H2064:H2073" si="197">F2064/TOP_ACTV_18_Exchange_Rate</f>
        <v>0</v>
      </c>
    </row>
    <row r="2065" spans="1:8" s="10" customFormat="1" outlineLevel="1" x14ac:dyDescent="0.2">
      <c r="D2065" s="49" t="str">
        <f>SUPV_DETAILED_COST_WKSHT!D264</f>
        <v>Supplies and Materials Category 2</v>
      </c>
      <c r="E2065" s="115">
        <f>IF(DD_TOP_ACTV_18_Detailed_Currency_Used=2,SUPV_DETAILED_COST_WKSHT!$F264*SUPV_DETAILED_COST_WKSHT!G264,SUPV_DETAILED_COST_WKSHT!$F264*(SUPV_DETAILED_COST_WKSHT!G264*TOP_ACTV_18_Exchange_Rate))</f>
        <v>0</v>
      </c>
      <c r="F2065" s="115">
        <f>IF(DD_TOP_ACTV_18_Detailed_Currency_Used=2,SUPV_DETAILED_COST_WKSHT!$F264*SUPV_DETAILED_COST_WKSHT!H264,SUPV_DETAILED_COST_WKSHT!$F264*(SUPV_DETAILED_COST_WKSHT!H264*TOP_ACTV_18_Exchange_Rate))</f>
        <v>0</v>
      </c>
      <c r="G2065" s="116">
        <f t="shared" si="196"/>
        <v>0</v>
      </c>
      <c r="H2065" s="116">
        <f t="shared" si="197"/>
        <v>0</v>
      </c>
    </row>
    <row r="2066" spans="1:8" s="10" customFormat="1" outlineLevel="1" x14ac:dyDescent="0.2">
      <c r="D2066" s="49" t="str">
        <f>SUPV_DETAILED_COST_WKSHT!D265</f>
        <v>Supplies and Materials Category 3</v>
      </c>
      <c r="E2066" s="115">
        <f>IF(DD_TOP_ACTV_18_Detailed_Currency_Used=2,SUPV_DETAILED_COST_WKSHT!$F265*SUPV_DETAILED_COST_WKSHT!G265,SUPV_DETAILED_COST_WKSHT!$F265*(SUPV_DETAILED_COST_WKSHT!G265*TOP_ACTV_18_Exchange_Rate))</f>
        <v>0</v>
      </c>
      <c r="F2066" s="115">
        <f>IF(DD_TOP_ACTV_18_Detailed_Currency_Used=2,SUPV_DETAILED_COST_WKSHT!$F265*SUPV_DETAILED_COST_WKSHT!H265,SUPV_DETAILED_COST_WKSHT!$F265*(SUPV_DETAILED_COST_WKSHT!H265*TOP_ACTV_18_Exchange_Rate))</f>
        <v>0</v>
      </c>
      <c r="G2066" s="116">
        <f t="shared" si="196"/>
        <v>0</v>
      </c>
      <c r="H2066" s="116">
        <f t="shared" si="197"/>
        <v>0</v>
      </c>
    </row>
    <row r="2067" spans="1:8" s="10" customFormat="1" outlineLevel="1" x14ac:dyDescent="0.2">
      <c r="D2067" s="49" t="str">
        <f>SUPV_DETAILED_COST_WKSHT!D266</f>
        <v>Supplies and Materials Category 4</v>
      </c>
      <c r="E2067" s="115">
        <f>IF(DD_TOP_ACTV_18_Detailed_Currency_Used=2,SUPV_DETAILED_COST_WKSHT!$F266*SUPV_DETAILED_COST_WKSHT!G266,SUPV_DETAILED_COST_WKSHT!$F266*(SUPV_DETAILED_COST_WKSHT!G266*TOP_ACTV_18_Exchange_Rate))</f>
        <v>0</v>
      </c>
      <c r="F2067" s="115">
        <f>IF(DD_TOP_ACTV_18_Detailed_Currency_Used=2,SUPV_DETAILED_COST_WKSHT!$F266*SUPV_DETAILED_COST_WKSHT!H266,SUPV_DETAILED_COST_WKSHT!$F266*(SUPV_DETAILED_COST_WKSHT!H266*TOP_ACTV_18_Exchange_Rate))</f>
        <v>0</v>
      </c>
      <c r="G2067" s="116">
        <f t="shared" si="196"/>
        <v>0</v>
      </c>
      <c r="H2067" s="116">
        <f t="shared" si="197"/>
        <v>0</v>
      </c>
    </row>
    <row r="2068" spans="1:8" s="10" customFormat="1" outlineLevel="1" x14ac:dyDescent="0.2">
      <c r="D2068" s="49" t="str">
        <f>SUPV_DETAILED_COST_WKSHT!D267</f>
        <v>Supplies and Materials Category 5</v>
      </c>
      <c r="E2068" s="115">
        <f>IF(DD_TOP_ACTV_18_Detailed_Currency_Used=2,SUPV_DETAILED_COST_WKSHT!$F267*SUPV_DETAILED_COST_WKSHT!G267,SUPV_DETAILED_COST_WKSHT!$F267*(SUPV_DETAILED_COST_WKSHT!G267*TOP_ACTV_18_Exchange_Rate))</f>
        <v>0</v>
      </c>
      <c r="F2068" s="115">
        <f>IF(DD_TOP_ACTV_18_Detailed_Currency_Used=2,SUPV_DETAILED_COST_WKSHT!$F267*SUPV_DETAILED_COST_WKSHT!H267,SUPV_DETAILED_COST_WKSHT!$F267*(SUPV_DETAILED_COST_WKSHT!H267*TOP_ACTV_18_Exchange_Rate))</f>
        <v>0</v>
      </c>
      <c r="G2068" s="116">
        <f t="shared" si="196"/>
        <v>0</v>
      </c>
      <c r="H2068" s="116">
        <f t="shared" si="197"/>
        <v>0</v>
      </c>
    </row>
    <row r="2069" spans="1:8" s="10" customFormat="1" outlineLevel="1" x14ac:dyDescent="0.2">
      <c r="D2069" s="49" t="str">
        <f>SUPV_DETAILED_COST_WKSHT!D268</f>
        <v>Supplies and Materials Category 6</v>
      </c>
      <c r="E2069" s="115">
        <f>IF(DD_TOP_ACTV_18_Detailed_Currency_Used=2,SUPV_DETAILED_COST_WKSHT!$F268*SUPV_DETAILED_COST_WKSHT!G268,SUPV_DETAILED_COST_WKSHT!$F268*(SUPV_DETAILED_COST_WKSHT!G268*TOP_ACTV_18_Exchange_Rate))</f>
        <v>0</v>
      </c>
      <c r="F2069" s="115">
        <f>IF(DD_TOP_ACTV_18_Detailed_Currency_Used=2,SUPV_DETAILED_COST_WKSHT!$F268*SUPV_DETAILED_COST_WKSHT!H268,SUPV_DETAILED_COST_WKSHT!$F268*(SUPV_DETAILED_COST_WKSHT!H268*TOP_ACTV_18_Exchange_Rate))</f>
        <v>0</v>
      </c>
      <c r="G2069" s="116">
        <f t="shared" si="196"/>
        <v>0</v>
      </c>
      <c r="H2069" s="116">
        <f t="shared" si="197"/>
        <v>0</v>
      </c>
    </row>
    <row r="2070" spans="1:8" s="10" customFormat="1" outlineLevel="1" x14ac:dyDescent="0.2">
      <c r="D2070" s="49" t="str">
        <f>SUPV_DETAILED_COST_WKSHT!D269</f>
        <v>Supplies and Materials Category 7</v>
      </c>
      <c r="E2070" s="115">
        <f>IF(DD_TOP_ACTV_18_Detailed_Currency_Used=2,SUPV_DETAILED_COST_WKSHT!$F269*SUPV_DETAILED_COST_WKSHT!G269,SUPV_DETAILED_COST_WKSHT!$F269*(SUPV_DETAILED_COST_WKSHT!G269*TOP_ACTV_18_Exchange_Rate))</f>
        <v>0</v>
      </c>
      <c r="F2070" s="115">
        <f>IF(DD_TOP_ACTV_18_Detailed_Currency_Used=2,SUPV_DETAILED_COST_WKSHT!$F269*SUPV_DETAILED_COST_WKSHT!H269,SUPV_DETAILED_COST_WKSHT!$F269*(SUPV_DETAILED_COST_WKSHT!H269*TOP_ACTV_18_Exchange_Rate))</f>
        <v>0</v>
      </c>
      <c r="G2070" s="116">
        <f t="shared" si="196"/>
        <v>0</v>
      </c>
      <c r="H2070" s="116">
        <f t="shared" si="197"/>
        <v>0</v>
      </c>
    </row>
    <row r="2071" spans="1:8" s="10" customFormat="1" outlineLevel="1" x14ac:dyDescent="0.2">
      <c r="D2071" s="49" t="str">
        <f>SUPV_DETAILED_COST_WKSHT!D270</f>
        <v>Supplies and Materials Category 8</v>
      </c>
      <c r="E2071" s="115">
        <f>IF(DD_TOP_ACTV_18_Detailed_Currency_Used=2,SUPV_DETAILED_COST_WKSHT!$F270*SUPV_DETAILED_COST_WKSHT!G270,SUPV_DETAILED_COST_WKSHT!$F270*(SUPV_DETAILED_COST_WKSHT!G270*TOP_ACTV_18_Exchange_Rate))</f>
        <v>0</v>
      </c>
      <c r="F2071" s="115">
        <f>IF(DD_TOP_ACTV_18_Detailed_Currency_Used=2,SUPV_DETAILED_COST_WKSHT!$F270*SUPV_DETAILED_COST_WKSHT!H270,SUPV_DETAILED_COST_WKSHT!$F270*(SUPV_DETAILED_COST_WKSHT!H270*TOP_ACTV_18_Exchange_Rate))</f>
        <v>0</v>
      </c>
      <c r="G2071" s="116">
        <f t="shared" si="196"/>
        <v>0</v>
      </c>
      <c r="H2071" s="116">
        <f t="shared" si="197"/>
        <v>0</v>
      </c>
    </row>
    <row r="2072" spans="1:8" s="10" customFormat="1" outlineLevel="1" x14ac:dyDescent="0.2">
      <c r="D2072" s="49" t="str">
        <f>SUPV_DETAILED_COST_WKSHT!D271</f>
        <v>Supplies and Materials Category 9</v>
      </c>
      <c r="E2072" s="115">
        <f>IF(DD_TOP_ACTV_18_Detailed_Currency_Used=2,SUPV_DETAILED_COST_WKSHT!$F271*SUPV_DETAILED_COST_WKSHT!G271,SUPV_DETAILED_COST_WKSHT!$F271*(SUPV_DETAILED_COST_WKSHT!G271*TOP_ACTV_18_Exchange_Rate))</f>
        <v>0</v>
      </c>
      <c r="F2072" s="115">
        <f>IF(DD_TOP_ACTV_18_Detailed_Currency_Used=2,SUPV_DETAILED_COST_WKSHT!$F271*SUPV_DETAILED_COST_WKSHT!H271,SUPV_DETAILED_COST_WKSHT!$F271*(SUPV_DETAILED_COST_WKSHT!H271*TOP_ACTV_18_Exchange_Rate))</f>
        <v>0</v>
      </c>
      <c r="G2072" s="116">
        <f t="shared" si="196"/>
        <v>0</v>
      </c>
      <c r="H2072" s="116">
        <f t="shared" si="197"/>
        <v>0</v>
      </c>
    </row>
    <row r="2073" spans="1:8" s="10" customFormat="1" outlineLevel="1" x14ac:dyDescent="0.2">
      <c r="D2073" s="49" t="str">
        <f>SUPV_DETAILED_COST_WKSHT!D272</f>
        <v>Supplies and Materials Category 10</v>
      </c>
      <c r="E2073" s="115">
        <f>IF(DD_TOP_ACTV_18_Detailed_Currency_Used=2,SUPV_DETAILED_COST_WKSHT!$F272*SUPV_DETAILED_COST_WKSHT!G272,SUPV_DETAILED_COST_WKSHT!$F272*(SUPV_DETAILED_COST_WKSHT!G272*TOP_ACTV_18_Exchange_Rate))</f>
        <v>0</v>
      </c>
      <c r="F2073" s="115">
        <f>IF(DD_TOP_ACTV_18_Detailed_Currency_Used=2,SUPV_DETAILED_COST_WKSHT!$F272*SUPV_DETAILED_COST_WKSHT!H272,SUPV_DETAILED_COST_WKSHT!$F272*(SUPV_DETAILED_COST_WKSHT!H272*TOP_ACTV_18_Exchange_Rate))</f>
        <v>0</v>
      </c>
      <c r="G2073" s="116">
        <f t="shared" si="196"/>
        <v>0</v>
      </c>
      <c r="H2073" s="116">
        <f t="shared" si="197"/>
        <v>0</v>
      </c>
    </row>
    <row r="2074" spans="1:8" s="10" customFormat="1" outlineLevel="1" x14ac:dyDescent="0.2">
      <c r="D2074" s="48" t="str">
        <f>Lang_Supplies_And_Materials</f>
        <v>Supplies and Materials</v>
      </c>
      <c r="E2074" s="120">
        <f>SUM(E2064:E2073)</f>
        <v>0</v>
      </c>
      <c r="F2074" s="120">
        <f>SUM(F2064:F2073)</f>
        <v>0</v>
      </c>
      <c r="G2074" s="121">
        <f>SUM(G2064:G2073)</f>
        <v>0</v>
      </c>
      <c r="H2074" s="121">
        <f>SUM(H2064:H2073)</f>
        <v>0</v>
      </c>
    </row>
    <row r="2075" spans="1:8" s="10" customFormat="1" outlineLevel="1" x14ac:dyDescent="0.2"/>
    <row r="2076" spans="1:8" s="10" customFormat="1" outlineLevel="1" x14ac:dyDescent="0.2"/>
    <row r="2077" spans="1:8" s="10" customFormat="1" outlineLevel="1" x14ac:dyDescent="0.2">
      <c r="D2077" s="76" t="str">
        <f>Lang_GoTo&amp;" "&amp;HL_TOP_ACTV_18_Supplies_and_Materials</f>
        <v>Go to SME Activity #3 (Not in Use) - Detailed Supply and Material Cost Assumptions</v>
      </c>
    </row>
    <row r="2078" spans="1:8" s="10" customFormat="1" outlineLevel="1" x14ac:dyDescent="0.2">
      <c r="D2078" s="76" t="str">
        <f>Lang_GoTo&amp;" "&amp;HL_TOP_ACTV_18_Cost_Summary_Output</f>
        <v>Go to SME Activity #3 (Not in Use) Detailed Cost Summary</v>
      </c>
    </row>
    <row r="2079" spans="1:8" s="10" customFormat="1" x14ac:dyDescent="0.2"/>
    <row r="2080" spans="1:8" s="13" customFormat="1" x14ac:dyDescent="0.2">
      <c r="A2080" s="12" t="s">
        <v>127</v>
      </c>
      <c r="B2080" s="13" t="str">
        <f>HL_TOP_ACTV_18_Name&amp;" "&amp;Lang_Other_Direct_Costs_Outputs</f>
        <v>SME Activity #3 (Not in Use) Other Direct Costs - Outputs</v>
      </c>
    </row>
    <row r="2081" spans="3:8" s="10" customFormat="1" outlineLevel="1" x14ac:dyDescent="0.2"/>
    <row r="2082" spans="3:8" s="10" customFormat="1" outlineLevel="1" x14ac:dyDescent="0.2">
      <c r="C2082" s="114" t="str">
        <f>HL_TOP_ACTV_18_Name</f>
        <v>SME Activity #3 (Not in Use)</v>
      </c>
    </row>
    <row r="2083" spans="3:8" s="10" customFormat="1" outlineLevel="1" x14ac:dyDescent="0.2">
      <c r="E2083" s="86" t="str">
        <f>SUPV_Lu!$D$102&amp;" "&amp;Lang_Cost&amp;" ("&amp;SUPV_Lu!$D$83&amp;")"</f>
        <v>Financial Cost (LCU)</v>
      </c>
      <c r="F2083" s="86" t="str">
        <f>SUPV_Lu!$D$103&amp;" "&amp;Lang_Cost&amp;" ("&amp;SUPV_Lu!$D$83&amp;")"</f>
        <v>Economic Cost (LCU)</v>
      </c>
      <c r="G2083" s="86" t="str">
        <f>SUPV_Lu!$D$102&amp;" "&amp;Lang_Cost&amp;" ("&amp;SUPV_Lu!$D$82&amp;")"</f>
        <v>Financial Cost (USD)</v>
      </c>
      <c r="H2083" s="86" t="str">
        <f>SUPV_Lu!$D$103&amp;" "&amp;Lang_Cost&amp;" ("&amp;SUPV_Lu!$D$82&amp;")"</f>
        <v>Economic Cost (USD)</v>
      </c>
    </row>
    <row r="2084" spans="3:8" s="10" customFormat="1" outlineLevel="1" x14ac:dyDescent="0.2">
      <c r="D2084" s="49" t="str">
        <f>SUPV_DETAILED_COST_WKSHT!D281</f>
        <v>Other Direct Costs (ODC) Category 1</v>
      </c>
      <c r="E2084" s="115">
        <f>IF(DD_TOP_ACTV_18_Detailed_Currency_Used=2,SUPV_DETAILED_COST_WKSHT!$F281*SUPV_DETAILED_COST_WKSHT!G281,SUPV_DETAILED_COST_WKSHT!$F281*(SUPV_DETAILED_COST_WKSHT!G281*TOP_ACTV_18_Exchange_Rate))</f>
        <v>0</v>
      </c>
      <c r="F2084" s="115">
        <f>IF(DD_TOP_ACTV_18_Detailed_Currency_Used=2,SUPV_DETAILED_COST_WKSHT!$F281*SUPV_DETAILED_COST_WKSHT!H281,SUPV_DETAILED_COST_WKSHT!$F281*(SUPV_DETAILED_COST_WKSHT!H281*TOP_ACTV_18_Exchange_Rate))</f>
        <v>0</v>
      </c>
      <c r="G2084" s="116">
        <f t="shared" ref="G2084:G2093" si="198">E2084/TOP_ACTV_18_Exchange_Rate</f>
        <v>0</v>
      </c>
      <c r="H2084" s="116">
        <f t="shared" ref="H2084:H2093" si="199">F2084/TOP_ACTV_18_Exchange_Rate</f>
        <v>0</v>
      </c>
    </row>
    <row r="2085" spans="3:8" s="10" customFormat="1" outlineLevel="1" x14ac:dyDescent="0.2">
      <c r="D2085" s="49" t="str">
        <f>SUPV_DETAILED_COST_WKSHT!D282</f>
        <v>Other Direct Costs (ODC) Category 2</v>
      </c>
      <c r="E2085" s="115">
        <f>IF(DD_TOP_ACTV_18_Detailed_Currency_Used=2,SUPV_DETAILED_COST_WKSHT!$F282*SUPV_DETAILED_COST_WKSHT!G282,SUPV_DETAILED_COST_WKSHT!$F282*(SUPV_DETAILED_COST_WKSHT!G282*TOP_ACTV_18_Exchange_Rate))</f>
        <v>0</v>
      </c>
      <c r="F2085" s="115">
        <f>IF(DD_TOP_ACTV_18_Detailed_Currency_Used=2,SUPV_DETAILED_COST_WKSHT!$F282*SUPV_DETAILED_COST_WKSHT!H282,SUPV_DETAILED_COST_WKSHT!$F282*(SUPV_DETAILED_COST_WKSHT!H282*TOP_ACTV_18_Exchange_Rate))</f>
        <v>0</v>
      </c>
      <c r="G2085" s="116">
        <f t="shared" si="198"/>
        <v>0</v>
      </c>
      <c r="H2085" s="116">
        <f t="shared" si="199"/>
        <v>0</v>
      </c>
    </row>
    <row r="2086" spans="3:8" s="10" customFormat="1" outlineLevel="1" x14ac:dyDescent="0.2">
      <c r="D2086" s="49" t="str">
        <f>SUPV_DETAILED_COST_WKSHT!D283</f>
        <v>Other Direct Costs (ODC) Category 3</v>
      </c>
      <c r="E2086" s="115">
        <f>IF(DD_TOP_ACTV_18_Detailed_Currency_Used=2,SUPV_DETAILED_COST_WKSHT!$F283*SUPV_DETAILED_COST_WKSHT!G283,SUPV_DETAILED_COST_WKSHT!$F283*(SUPV_DETAILED_COST_WKSHT!G283*TOP_ACTV_18_Exchange_Rate))</f>
        <v>0</v>
      </c>
      <c r="F2086" s="115">
        <f>IF(DD_TOP_ACTV_18_Detailed_Currency_Used=2,SUPV_DETAILED_COST_WKSHT!$F283*SUPV_DETAILED_COST_WKSHT!H283,SUPV_DETAILED_COST_WKSHT!$F283*(SUPV_DETAILED_COST_WKSHT!H283*TOP_ACTV_18_Exchange_Rate))</f>
        <v>0</v>
      </c>
      <c r="G2086" s="116">
        <f t="shared" si="198"/>
        <v>0</v>
      </c>
      <c r="H2086" s="116">
        <f t="shared" si="199"/>
        <v>0</v>
      </c>
    </row>
    <row r="2087" spans="3:8" s="10" customFormat="1" outlineLevel="1" x14ac:dyDescent="0.2">
      <c r="D2087" s="49" t="str">
        <f>SUPV_DETAILED_COST_WKSHT!D284</f>
        <v>Other Direct Costs (ODC) Category 4</v>
      </c>
      <c r="E2087" s="115">
        <f>IF(DD_TOP_ACTV_18_Detailed_Currency_Used=2,SUPV_DETAILED_COST_WKSHT!$F284*SUPV_DETAILED_COST_WKSHT!G284,SUPV_DETAILED_COST_WKSHT!$F284*(SUPV_DETAILED_COST_WKSHT!G284*TOP_ACTV_18_Exchange_Rate))</f>
        <v>0</v>
      </c>
      <c r="F2087" s="115">
        <f>IF(DD_TOP_ACTV_18_Detailed_Currency_Used=2,SUPV_DETAILED_COST_WKSHT!$F284*SUPV_DETAILED_COST_WKSHT!H284,SUPV_DETAILED_COST_WKSHT!$F284*(SUPV_DETAILED_COST_WKSHT!H284*TOP_ACTV_18_Exchange_Rate))</f>
        <v>0</v>
      </c>
      <c r="G2087" s="116">
        <f t="shared" si="198"/>
        <v>0</v>
      </c>
      <c r="H2087" s="116">
        <f t="shared" si="199"/>
        <v>0</v>
      </c>
    </row>
    <row r="2088" spans="3:8" s="10" customFormat="1" outlineLevel="1" x14ac:dyDescent="0.2">
      <c r="D2088" s="49" t="str">
        <f>SUPV_DETAILED_COST_WKSHT!D285</f>
        <v>Other Direct Costs (ODC) Category 5</v>
      </c>
      <c r="E2088" s="115">
        <f>IF(DD_TOP_ACTV_18_Detailed_Currency_Used=2,SUPV_DETAILED_COST_WKSHT!$F285*SUPV_DETAILED_COST_WKSHT!G285,SUPV_DETAILED_COST_WKSHT!$F285*(SUPV_DETAILED_COST_WKSHT!G285*TOP_ACTV_18_Exchange_Rate))</f>
        <v>0</v>
      </c>
      <c r="F2088" s="115">
        <f>IF(DD_TOP_ACTV_18_Detailed_Currency_Used=2,SUPV_DETAILED_COST_WKSHT!$F285*SUPV_DETAILED_COST_WKSHT!H285,SUPV_DETAILED_COST_WKSHT!$F285*(SUPV_DETAILED_COST_WKSHT!H285*TOP_ACTV_18_Exchange_Rate))</f>
        <v>0</v>
      </c>
      <c r="G2088" s="116">
        <f t="shared" si="198"/>
        <v>0</v>
      </c>
      <c r="H2088" s="116">
        <f t="shared" si="199"/>
        <v>0</v>
      </c>
    </row>
    <row r="2089" spans="3:8" s="10" customFormat="1" outlineLevel="1" x14ac:dyDescent="0.2">
      <c r="D2089" s="49" t="str">
        <f>SUPV_DETAILED_COST_WKSHT!D286</f>
        <v>Other Direct Costs (ODC) Category 6</v>
      </c>
      <c r="E2089" s="115">
        <f>IF(DD_TOP_ACTV_18_Detailed_Currency_Used=2,SUPV_DETAILED_COST_WKSHT!$F286*SUPV_DETAILED_COST_WKSHT!G286,SUPV_DETAILED_COST_WKSHT!$F286*(SUPV_DETAILED_COST_WKSHT!G286*TOP_ACTV_18_Exchange_Rate))</f>
        <v>0</v>
      </c>
      <c r="F2089" s="115">
        <f>IF(DD_TOP_ACTV_18_Detailed_Currency_Used=2,SUPV_DETAILED_COST_WKSHT!$F286*SUPV_DETAILED_COST_WKSHT!H286,SUPV_DETAILED_COST_WKSHT!$F286*(SUPV_DETAILED_COST_WKSHT!H286*TOP_ACTV_18_Exchange_Rate))</f>
        <v>0</v>
      </c>
      <c r="G2089" s="116">
        <f t="shared" si="198"/>
        <v>0</v>
      </c>
      <c r="H2089" s="116">
        <f t="shared" si="199"/>
        <v>0</v>
      </c>
    </row>
    <row r="2090" spans="3:8" s="10" customFormat="1" outlineLevel="1" x14ac:dyDescent="0.2">
      <c r="D2090" s="49" t="str">
        <f>SUPV_DETAILED_COST_WKSHT!D287</f>
        <v>Other Direct Costs (ODC) Category 7</v>
      </c>
      <c r="E2090" s="115">
        <f>IF(DD_TOP_ACTV_18_Detailed_Currency_Used=2,SUPV_DETAILED_COST_WKSHT!$F287*SUPV_DETAILED_COST_WKSHT!G287,SUPV_DETAILED_COST_WKSHT!$F287*(SUPV_DETAILED_COST_WKSHT!G287*TOP_ACTV_18_Exchange_Rate))</f>
        <v>0</v>
      </c>
      <c r="F2090" s="115">
        <f>IF(DD_TOP_ACTV_18_Detailed_Currency_Used=2,SUPV_DETAILED_COST_WKSHT!$F287*SUPV_DETAILED_COST_WKSHT!H287,SUPV_DETAILED_COST_WKSHT!$F287*(SUPV_DETAILED_COST_WKSHT!H287*TOP_ACTV_18_Exchange_Rate))</f>
        <v>0</v>
      </c>
      <c r="G2090" s="116">
        <f t="shared" si="198"/>
        <v>0</v>
      </c>
      <c r="H2090" s="116">
        <f t="shared" si="199"/>
        <v>0</v>
      </c>
    </row>
    <row r="2091" spans="3:8" s="10" customFormat="1" outlineLevel="1" x14ac:dyDescent="0.2">
      <c r="D2091" s="49" t="str">
        <f>SUPV_DETAILED_COST_WKSHT!D288</f>
        <v>Other Direct Costs (ODC) Category 8</v>
      </c>
      <c r="E2091" s="115">
        <f>IF(DD_TOP_ACTV_18_Detailed_Currency_Used=2,SUPV_DETAILED_COST_WKSHT!$F288*SUPV_DETAILED_COST_WKSHT!G288,SUPV_DETAILED_COST_WKSHT!$F288*(SUPV_DETAILED_COST_WKSHT!G288*TOP_ACTV_18_Exchange_Rate))</f>
        <v>0</v>
      </c>
      <c r="F2091" s="115">
        <f>IF(DD_TOP_ACTV_18_Detailed_Currency_Used=2,SUPV_DETAILED_COST_WKSHT!$F288*SUPV_DETAILED_COST_WKSHT!H288,SUPV_DETAILED_COST_WKSHT!$F288*(SUPV_DETAILED_COST_WKSHT!H288*TOP_ACTV_18_Exchange_Rate))</f>
        <v>0</v>
      </c>
      <c r="G2091" s="116">
        <f t="shared" si="198"/>
        <v>0</v>
      </c>
      <c r="H2091" s="116">
        <f t="shared" si="199"/>
        <v>0</v>
      </c>
    </row>
    <row r="2092" spans="3:8" s="10" customFormat="1" outlineLevel="1" x14ac:dyDescent="0.2">
      <c r="D2092" s="49" t="str">
        <f>SUPV_DETAILED_COST_WKSHT!D289</f>
        <v>Other Direct Costs (ODC) Category 9</v>
      </c>
      <c r="E2092" s="115">
        <f>IF(DD_TOP_ACTV_18_Detailed_Currency_Used=2,SUPV_DETAILED_COST_WKSHT!$F289*SUPV_DETAILED_COST_WKSHT!G289,SUPV_DETAILED_COST_WKSHT!$F289*(SUPV_DETAILED_COST_WKSHT!G289*TOP_ACTV_18_Exchange_Rate))</f>
        <v>0</v>
      </c>
      <c r="F2092" s="115">
        <f>IF(DD_TOP_ACTV_18_Detailed_Currency_Used=2,SUPV_DETAILED_COST_WKSHT!$F289*SUPV_DETAILED_COST_WKSHT!H289,SUPV_DETAILED_COST_WKSHT!$F289*(SUPV_DETAILED_COST_WKSHT!H289*TOP_ACTV_18_Exchange_Rate))</f>
        <v>0</v>
      </c>
      <c r="G2092" s="116">
        <f t="shared" si="198"/>
        <v>0</v>
      </c>
      <c r="H2092" s="116">
        <f t="shared" si="199"/>
        <v>0</v>
      </c>
    </row>
    <row r="2093" spans="3:8" s="10" customFormat="1" outlineLevel="1" x14ac:dyDescent="0.2">
      <c r="D2093" s="49" t="str">
        <f>SUPV_DETAILED_COST_WKSHT!D290</f>
        <v>Other Direct Costs (ODC) Category 10</v>
      </c>
      <c r="E2093" s="115">
        <f>IF(DD_TOP_ACTV_18_Detailed_Currency_Used=2,SUPV_DETAILED_COST_WKSHT!$F290*SUPV_DETAILED_COST_WKSHT!G290,SUPV_DETAILED_COST_WKSHT!$F290*(SUPV_DETAILED_COST_WKSHT!G290*TOP_ACTV_18_Exchange_Rate))</f>
        <v>0</v>
      </c>
      <c r="F2093" s="115">
        <f>IF(DD_TOP_ACTV_18_Detailed_Currency_Used=2,SUPV_DETAILED_COST_WKSHT!$F290*SUPV_DETAILED_COST_WKSHT!H290,SUPV_DETAILED_COST_WKSHT!$F290*(SUPV_DETAILED_COST_WKSHT!H290*TOP_ACTV_18_Exchange_Rate))</f>
        <v>0</v>
      </c>
      <c r="G2093" s="116">
        <f t="shared" si="198"/>
        <v>0</v>
      </c>
      <c r="H2093" s="116">
        <f t="shared" si="199"/>
        <v>0</v>
      </c>
    </row>
    <row r="2094" spans="3:8" s="10" customFormat="1" outlineLevel="1" x14ac:dyDescent="0.2">
      <c r="D2094" s="48" t="str">
        <f>Lang_Other_Direct_Costs</f>
        <v>Other Direct Costs</v>
      </c>
      <c r="E2094" s="120">
        <f>SUM(E2084:E2093)</f>
        <v>0</v>
      </c>
      <c r="F2094" s="120">
        <f>SUM(F2084:F2093)</f>
        <v>0</v>
      </c>
      <c r="G2094" s="121">
        <f>SUM(G2084:G2093)</f>
        <v>0</v>
      </c>
      <c r="H2094" s="121">
        <f>SUM(H2084:H2093)</f>
        <v>0</v>
      </c>
    </row>
    <row r="2095" spans="3:8" s="10" customFormat="1" outlineLevel="1" x14ac:dyDescent="0.2"/>
    <row r="2096" spans="3:8" s="10" customFormat="1" outlineLevel="1" x14ac:dyDescent="0.2">
      <c r="D2096" s="76" t="str">
        <f>Lang_GoTo&amp;" "&amp;HL_TOP_ACTV_18_Other_Direct_Costs</f>
        <v>Go to SME Activity #3 (Not in Use) - Detailed Other Direct Cost Assumptions</v>
      </c>
    </row>
    <row r="2097" spans="1:8" s="10" customFormat="1" outlineLevel="1" x14ac:dyDescent="0.2">
      <c r="D2097" s="76" t="str">
        <f>Lang_GoTo&amp;" "&amp;HL_TOP_ACTV_18_Cost_Summary_Output</f>
        <v>Go to SME Activity #3 (Not in Use) Detailed Cost Summary</v>
      </c>
    </row>
    <row r="2098" spans="1:8" s="10" customFormat="1" x14ac:dyDescent="0.2"/>
    <row r="2099" spans="1:8" s="13" customFormat="1" x14ac:dyDescent="0.2">
      <c r="A2099" s="12" t="s">
        <v>127</v>
      </c>
      <c r="B2099" s="13" t="str">
        <f>HL_TOP_ACTV_8_Name&amp;" "&amp;Lang_Personnel_Outputs</f>
        <v>SME Activity #4 (Not in Use) Personnel - Outputs</v>
      </c>
    </row>
    <row r="2100" spans="1:8" s="10" customFormat="1" outlineLevel="1" x14ac:dyDescent="0.2"/>
    <row r="2101" spans="1:8" s="10" customFormat="1" outlineLevel="1" x14ac:dyDescent="0.2">
      <c r="C2101" s="114" t="str">
        <f>HL_TOP_ACTV_8_Name</f>
        <v>SME Activity #4 (Not in Use)</v>
      </c>
    </row>
    <row r="2102" spans="1:8" s="10" customFormat="1" outlineLevel="1" x14ac:dyDescent="0.2">
      <c r="E2102" s="86" t="str">
        <f>SUPV_Lu!$D$137&amp;" "&amp;Lang_Cost&amp;" ("&amp;SUPV_Lu!$D$118&amp;")"</f>
        <v>Financial Cost (LCU)</v>
      </c>
      <c r="F2102" s="86" t="str">
        <f>SUPV_Lu!$D$138&amp;" "&amp;Lang_Cost&amp;" ("&amp;SUPV_Lu!$D$118&amp;")"</f>
        <v>Economic Cost (LCU)</v>
      </c>
      <c r="G2102" s="86" t="str">
        <f>SUPV_Lu!$D$137&amp;" "&amp;Lang_Cost&amp;" ("&amp;SUPV_Lu!$D$117&amp;")"</f>
        <v>Financial Cost (USD)</v>
      </c>
      <c r="H2102" s="86" t="str">
        <f>SUPV_Lu!$D$138&amp;" "&amp;Lang_Cost&amp;" ("&amp;SUPV_Lu!$D$117&amp;")"</f>
        <v>Economic Cost (USD)</v>
      </c>
    </row>
    <row r="2103" spans="1:8" s="10" customFormat="1" outlineLevel="1" x14ac:dyDescent="0.2">
      <c r="D2103" s="49" t="str">
        <f>SUPV_DETAILED_COST_WKSHT!D319</f>
        <v>Personnel Category 1</v>
      </c>
      <c r="E2103" s="115">
        <f>IF(DD_TOP_ACTV_8_Detailed_Currency_Used=2,SUPV_DETAILED_COST_WKSHT!$F319*SUPV_DETAILED_COST_WKSHT!G319,SUPV_DETAILED_COST_WKSHT!$F319*(SUPV_DETAILED_COST_WKSHT!G319*TOP_ACTV_8_Exchange_Rate))</f>
        <v>0</v>
      </c>
      <c r="F2103" s="115">
        <f>IF(DD_TOP_ACTV_8_Detailed_Currency_Used=2,SUPV_DETAILED_COST_WKSHT!$F319*SUPV_DETAILED_COST_WKSHT!H319,SUPV_DETAILED_COST_WKSHT!$F319*(SUPV_DETAILED_COST_WKSHT!H319*TOP_ACTV_8_Exchange_Rate))</f>
        <v>0</v>
      </c>
      <c r="G2103" s="116">
        <f t="shared" ref="G2103:G2117" si="200">IFERROR(E2103/TOP_ACTV_8_Exchange_Rate,0)</f>
        <v>0</v>
      </c>
      <c r="H2103" s="116">
        <f t="shared" ref="H2103:H2117" si="201">IFERROR(F2103/TOP_ACTV_8_Exchange_Rate,0)</f>
        <v>0</v>
      </c>
    </row>
    <row r="2104" spans="1:8" s="10" customFormat="1" outlineLevel="1" x14ac:dyDescent="0.2">
      <c r="D2104" s="49" t="str">
        <f>SUPV_DETAILED_COST_WKSHT!D320</f>
        <v>Personnel Category 2</v>
      </c>
      <c r="E2104" s="115">
        <f>IF(DD_TOP_ACTV_8_Detailed_Currency_Used=2,SUPV_DETAILED_COST_WKSHT!$F320*SUPV_DETAILED_COST_WKSHT!G320,SUPV_DETAILED_COST_WKSHT!$F320*(SUPV_DETAILED_COST_WKSHT!G320*TOP_ACTV_8_Exchange_Rate))</f>
        <v>0</v>
      </c>
      <c r="F2104" s="115">
        <f>IF(DD_TOP_ACTV_8_Detailed_Currency_Used=2,SUPV_DETAILED_COST_WKSHT!$F320*SUPV_DETAILED_COST_WKSHT!H320,SUPV_DETAILED_COST_WKSHT!$F320*(SUPV_DETAILED_COST_WKSHT!H320*TOP_ACTV_8_Exchange_Rate))</f>
        <v>0</v>
      </c>
      <c r="G2104" s="116">
        <f t="shared" si="200"/>
        <v>0</v>
      </c>
      <c r="H2104" s="116">
        <f t="shared" si="201"/>
        <v>0</v>
      </c>
    </row>
    <row r="2105" spans="1:8" s="10" customFormat="1" outlineLevel="1" x14ac:dyDescent="0.2">
      <c r="D2105" s="49" t="str">
        <f>SUPV_DETAILED_COST_WKSHT!D321</f>
        <v>Personnel Category 3</v>
      </c>
      <c r="E2105" s="115">
        <f>IF(DD_TOP_ACTV_8_Detailed_Currency_Used=2,SUPV_DETAILED_COST_WKSHT!$F321*SUPV_DETAILED_COST_WKSHT!G321,SUPV_DETAILED_COST_WKSHT!$F321*(SUPV_DETAILED_COST_WKSHT!G321*TOP_ACTV_8_Exchange_Rate))</f>
        <v>0</v>
      </c>
      <c r="F2105" s="115">
        <f>IF(DD_TOP_ACTV_8_Detailed_Currency_Used=2,SUPV_DETAILED_COST_WKSHT!$F321*SUPV_DETAILED_COST_WKSHT!H321,SUPV_DETAILED_COST_WKSHT!$F321*(SUPV_DETAILED_COST_WKSHT!H321*TOP_ACTV_8_Exchange_Rate))</f>
        <v>0</v>
      </c>
      <c r="G2105" s="116">
        <f t="shared" si="200"/>
        <v>0</v>
      </c>
      <c r="H2105" s="116">
        <f t="shared" si="201"/>
        <v>0</v>
      </c>
    </row>
    <row r="2106" spans="1:8" s="10" customFormat="1" outlineLevel="1" x14ac:dyDescent="0.2">
      <c r="D2106" s="49" t="str">
        <f>SUPV_DETAILED_COST_WKSHT!D322</f>
        <v>Personnel Category 4</v>
      </c>
      <c r="E2106" s="115">
        <f>IF(DD_TOP_ACTV_8_Detailed_Currency_Used=2,SUPV_DETAILED_COST_WKSHT!$F322*SUPV_DETAILED_COST_WKSHT!G322,SUPV_DETAILED_COST_WKSHT!$F322*(SUPV_DETAILED_COST_WKSHT!G322*TOP_ACTV_8_Exchange_Rate))</f>
        <v>0</v>
      </c>
      <c r="F2106" s="115">
        <f>IF(DD_TOP_ACTV_8_Detailed_Currency_Used=2,SUPV_DETAILED_COST_WKSHT!$F322*SUPV_DETAILED_COST_WKSHT!H322,SUPV_DETAILED_COST_WKSHT!$F322*(SUPV_DETAILED_COST_WKSHT!H322*TOP_ACTV_8_Exchange_Rate))</f>
        <v>0</v>
      </c>
      <c r="G2106" s="116">
        <f t="shared" si="200"/>
        <v>0</v>
      </c>
      <c r="H2106" s="116">
        <f t="shared" si="201"/>
        <v>0</v>
      </c>
    </row>
    <row r="2107" spans="1:8" s="10" customFormat="1" outlineLevel="1" x14ac:dyDescent="0.2">
      <c r="D2107" s="49" t="str">
        <f>SUPV_DETAILED_COST_WKSHT!D323</f>
        <v>Personnel Category 5</v>
      </c>
      <c r="E2107" s="115">
        <f>IF(DD_TOP_ACTV_8_Detailed_Currency_Used=2,SUPV_DETAILED_COST_WKSHT!$F323*SUPV_DETAILED_COST_WKSHT!G323,SUPV_DETAILED_COST_WKSHT!$F323*(SUPV_DETAILED_COST_WKSHT!G323*TOP_ACTV_8_Exchange_Rate))</f>
        <v>0</v>
      </c>
      <c r="F2107" s="115">
        <f>IF(DD_TOP_ACTV_8_Detailed_Currency_Used=2,SUPV_DETAILED_COST_WKSHT!$F323*SUPV_DETAILED_COST_WKSHT!H323,SUPV_DETAILED_COST_WKSHT!$F323*(SUPV_DETAILED_COST_WKSHT!H323*TOP_ACTV_8_Exchange_Rate))</f>
        <v>0</v>
      </c>
      <c r="G2107" s="116">
        <f t="shared" si="200"/>
        <v>0</v>
      </c>
      <c r="H2107" s="116">
        <f t="shared" si="201"/>
        <v>0</v>
      </c>
    </row>
    <row r="2108" spans="1:8" s="10" customFormat="1" outlineLevel="1" x14ac:dyDescent="0.2">
      <c r="D2108" s="49" t="str">
        <f>SUPV_DETAILED_COST_WKSHT!D324</f>
        <v>Personnel Category 6</v>
      </c>
      <c r="E2108" s="115">
        <f>IF(DD_TOP_ACTV_8_Detailed_Currency_Used=2,SUPV_DETAILED_COST_WKSHT!$F324*SUPV_DETAILED_COST_WKSHT!G324,SUPV_DETAILED_COST_WKSHT!$F324*(SUPV_DETAILED_COST_WKSHT!G324*TOP_ACTV_8_Exchange_Rate))</f>
        <v>0</v>
      </c>
      <c r="F2108" s="115">
        <f>IF(DD_TOP_ACTV_8_Detailed_Currency_Used=2,SUPV_DETAILED_COST_WKSHT!$F324*SUPV_DETAILED_COST_WKSHT!H324,SUPV_DETAILED_COST_WKSHT!$F324*(SUPV_DETAILED_COST_WKSHT!H324*TOP_ACTV_8_Exchange_Rate))</f>
        <v>0</v>
      </c>
      <c r="G2108" s="116">
        <f t="shared" si="200"/>
        <v>0</v>
      </c>
      <c r="H2108" s="116">
        <f t="shared" si="201"/>
        <v>0</v>
      </c>
    </row>
    <row r="2109" spans="1:8" s="10" customFormat="1" outlineLevel="1" x14ac:dyDescent="0.2">
      <c r="D2109" s="49" t="str">
        <f>SUPV_DETAILED_COST_WKSHT!D325</f>
        <v>Personnel Category 7</v>
      </c>
      <c r="E2109" s="115">
        <f>IF(DD_TOP_ACTV_8_Detailed_Currency_Used=2,SUPV_DETAILED_COST_WKSHT!$F325*SUPV_DETAILED_COST_WKSHT!G325,SUPV_DETAILED_COST_WKSHT!$F325*(SUPV_DETAILED_COST_WKSHT!G325*TOP_ACTV_8_Exchange_Rate))</f>
        <v>0</v>
      </c>
      <c r="F2109" s="115">
        <f>IF(DD_TOP_ACTV_8_Detailed_Currency_Used=2,SUPV_DETAILED_COST_WKSHT!$F325*SUPV_DETAILED_COST_WKSHT!H325,SUPV_DETAILED_COST_WKSHT!$F325*(SUPV_DETAILED_COST_WKSHT!H325*TOP_ACTV_8_Exchange_Rate))</f>
        <v>0</v>
      </c>
      <c r="G2109" s="116">
        <f t="shared" si="200"/>
        <v>0</v>
      </c>
      <c r="H2109" s="116">
        <f t="shared" si="201"/>
        <v>0</v>
      </c>
    </row>
    <row r="2110" spans="1:8" s="10" customFormat="1" outlineLevel="1" x14ac:dyDescent="0.2">
      <c r="D2110" s="49" t="str">
        <f>SUPV_DETAILED_COST_WKSHT!D326</f>
        <v>Personnel Category 8</v>
      </c>
      <c r="E2110" s="115">
        <f>IF(DD_TOP_ACTV_8_Detailed_Currency_Used=2,SUPV_DETAILED_COST_WKSHT!$F326*SUPV_DETAILED_COST_WKSHT!G326,SUPV_DETAILED_COST_WKSHT!$F326*(SUPV_DETAILED_COST_WKSHT!G326*TOP_ACTV_8_Exchange_Rate))</f>
        <v>0</v>
      </c>
      <c r="F2110" s="115">
        <f>IF(DD_TOP_ACTV_8_Detailed_Currency_Used=2,SUPV_DETAILED_COST_WKSHT!$F326*SUPV_DETAILED_COST_WKSHT!H326,SUPV_DETAILED_COST_WKSHT!$F326*(SUPV_DETAILED_COST_WKSHT!H326*TOP_ACTV_8_Exchange_Rate))</f>
        <v>0</v>
      </c>
      <c r="G2110" s="116">
        <f t="shared" si="200"/>
        <v>0</v>
      </c>
      <c r="H2110" s="116">
        <f t="shared" si="201"/>
        <v>0</v>
      </c>
    </row>
    <row r="2111" spans="1:8" s="10" customFormat="1" outlineLevel="1" x14ac:dyDescent="0.2">
      <c r="D2111" s="49" t="str">
        <f>SUPV_DETAILED_COST_WKSHT!D327</f>
        <v>Personnel Category 9</v>
      </c>
      <c r="E2111" s="115">
        <f>IF(DD_TOP_ACTV_8_Detailed_Currency_Used=2,SUPV_DETAILED_COST_WKSHT!$F327*SUPV_DETAILED_COST_WKSHT!G327,SUPV_DETAILED_COST_WKSHT!$F327*(SUPV_DETAILED_COST_WKSHT!G327*TOP_ACTV_8_Exchange_Rate))</f>
        <v>0</v>
      </c>
      <c r="F2111" s="115">
        <f>IF(DD_TOP_ACTV_8_Detailed_Currency_Used=2,SUPV_DETAILED_COST_WKSHT!$F327*SUPV_DETAILED_COST_WKSHT!H327,SUPV_DETAILED_COST_WKSHT!$F327*(SUPV_DETAILED_COST_WKSHT!H327*TOP_ACTV_8_Exchange_Rate))</f>
        <v>0</v>
      </c>
      <c r="G2111" s="116">
        <f t="shared" si="200"/>
        <v>0</v>
      </c>
      <c r="H2111" s="116">
        <f t="shared" si="201"/>
        <v>0</v>
      </c>
    </row>
    <row r="2112" spans="1:8" s="10" customFormat="1" outlineLevel="1" x14ac:dyDescent="0.2">
      <c r="D2112" s="49" t="str">
        <f>SUPV_DETAILED_COST_WKSHT!D328</f>
        <v>Personnel Category 10</v>
      </c>
      <c r="E2112" s="115">
        <f>IF(DD_TOP_ACTV_8_Detailed_Currency_Used=2,SUPV_DETAILED_COST_WKSHT!$F328*SUPV_DETAILED_COST_WKSHT!G328,SUPV_DETAILED_COST_WKSHT!$F328*(SUPV_DETAILED_COST_WKSHT!G328*TOP_ACTV_8_Exchange_Rate))</f>
        <v>0</v>
      </c>
      <c r="F2112" s="115">
        <f>IF(DD_TOP_ACTV_8_Detailed_Currency_Used=2,SUPV_DETAILED_COST_WKSHT!$F328*SUPV_DETAILED_COST_WKSHT!H328,SUPV_DETAILED_COST_WKSHT!$F328*(SUPV_DETAILED_COST_WKSHT!H328*TOP_ACTV_8_Exchange_Rate))</f>
        <v>0</v>
      </c>
      <c r="G2112" s="116">
        <f t="shared" si="200"/>
        <v>0</v>
      </c>
      <c r="H2112" s="116">
        <f t="shared" si="201"/>
        <v>0</v>
      </c>
    </row>
    <row r="2113" spans="1:8" s="10" customFormat="1" outlineLevel="1" x14ac:dyDescent="0.2">
      <c r="D2113" s="49" t="str">
        <f>SUPV_DETAILED_COST_WKSHT!D329</f>
        <v>Personnel Category 11</v>
      </c>
      <c r="E2113" s="115">
        <f>IF(DD_TOP_ACTV_8_Detailed_Currency_Used=2,SUPV_DETAILED_COST_WKSHT!$F329*SUPV_DETAILED_COST_WKSHT!G329,SUPV_DETAILED_COST_WKSHT!$F329*(SUPV_DETAILED_COST_WKSHT!G329*TOP_ACTV_8_Exchange_Rate))</f>
        <v>0</v>
      </c>
      <c r="F2113" s="115">
        <f>IF(DD_TOP_ACTV_8_Detailed_Currency_Used=2,SUPV_DETAILED_COST_WKSHT!$F329*SUPV_DETAILED_COST_WKSHT!H329,SUPV_DETAILED_COST_WKSHT!$F329*(SUPV_DETAILED_COST_WKSHT!H329*TOP_ACTV_8_Exchange_Rate))</f>
        <v>0</v>
      </c>
      <c r="G2113" s="116">
        <f t="shared" si="200"/>
        <v>0</v>
      </c>
      <c r="H2113" s="116">
        <f t="shared" si="201"/>
        <v>0</v>
      </c>
    </row>
    <row r="2114" spans="1:8" s="10" customFormat="1" outlineLevel="1" x14ac:dyDescent="0.2">
      <c r="D2114" s="49" t="str">
        <f>SUPV_DETAILED_COST_WKSHT!D330</f>
        <v>Personnel Category 12</v>
      </c>
      <c r="E2114" s="115">
        <f>IF(DD_TOP_ACTV_8_Detailed_Currency_Used=2,SUPV_DETAILED_COST_WKSHT!$F330*SUPV_DETAILED_COST_WKSHT!G330,SUPV_DETAILED_COST_WKSHT!$F330*(SUPV_DETAILED_COST_WKSHT!G330*TOP_ACTV_8_Exchange_Rate))</f>
        <v>0</v>
      </c>
      <c r="F2114" s="115">
        <f>IF(DD_TOP_ACTV_8_Detailed_Currency_Used=2,SUPV_DETAILED_COST_WKSHT!$F330*SUPV_DETAILED_COST_WKSHT!H330,SUPV_DETAILED_COST_WKSHT!$F330*(SUPV_DETAILED_COST_WKSHT!H330*TOP_ACTV_8_Exchange_Rate))</f>
        <v>0</v>
      </c>
      <c r="G2114" s="116">
        <f t="shared" si="200"/>
        <v>0</v>
      </c>
      <c r="H2114" s="116">
        <f t="shared" si="201"/>
        <v>0</v>
      </c>
    </row>
    <row r="2115" spans="1:8" s="10" customFormat="1" outlineLevel="1" x14ac:dyDescent="0.2">
      <c r="D2115" s="49" t="str">
        <f>SUPV_DETAILED_COST_WKSHT!D331</f>
        <v>Personnel Category 13</v>
      </c>
      <c r="E2115" s="115">
        <f>IF(DD_TOP_ACTV_8_Detailed_Currency_Used=2,SUPV_DETAILED_COST_WKSHT!$F331*SUPV_DETAILED_COST_WKSHT!G331,SUPV_DETAILED_COST_WKSHT!$F331*(SUPV_DETAILED_COST_WKSHT!G331*TOP_ACTV_8_Exchange_Rate))</f>
        <v>0</v>
      </c>
      <c r="F2115" s="115">
        <f>IF(DD_TOP_ACTV_8_Detailed_Currency_Used=2,SUPV_DETAILED_COST_WKSHT!$F331*SUPV_DETAILED_COST_WKSHT!H331,SUPV_DETAILED_COST_WKSHT!$F331*(SUPV_DETAILED_COST_WKSHT!H331*TOP_ACTV_8_Exchange_Rate))</f>
        <v>0</v>
      </c>
      <c r="G2115" s="116">
        <f t="shared" si="200"/>
        <v>0</v>
      </c>
      <c r="H2115" s="116">
        <f t="shared" si="201"/>
        <v>0</v>
      </c>
    </row>
    <row r="2116" spans="1:8" s="10" customFormat="1" outlineLevel="1" x14ac:dyDescent="0.2">
      <c r="D2116" s="49" t="str">
        <f>SUPV_DETAILED_COST_WKSHT!D332</f>
        <v>Personnel Category 14</v>
      </c>
      <c r="E2116" s="115">
        <f>IF(DD_TOP_ACTV_8_Detailed_Currency_Used=2,SUPV_DETAILED_COST_WKSHT!$F332*SUPV_DETAILED_COST_WKSHT!G332,SUPV_DETAILED_COST_WKSHT!$F332*(SUPV_DETAILED_COST_WKSHT!G332*TOP_ACTV_8_Exchange_Rate))</f>
        <v>0</v>
      </c>
      <c r="F2116" s="115">
        <f>IF(DD_TOP_ACTV_8_Detailed_Currency_Used=2,SUPV_DETAILED_COST_WKSHT!$F332*SUPV_DETAILED_COST_WKSHT!H332,SUPV_DETAILED_COST_WKSHT!$F332*(SUPV_DETAILED_COST_WKSHT!H332*TOP_ACTV_8_Exchange_Rate))</f>
        <v>0</v>
      </c>
      <c r="G2116" s="116">
        <f t="shared" si="200"/>
        <v>0</v>
      </c>
      <c r="H2116" s="116">
        <f t="shared" si="201"/>
        <v>0</v>
      </c>
    </row>
    <row r="2117" spans="1:8" s="10" customFormat="1" outlineLevel="1" x14ac:dyDescent="0.2">
      <c r="D2117" s="49" t="str">
        <f>SUPV_DETAILED_COST_WKSHT!D333</f>
        <v>Personnel Category 15</v>
      </c>
      <c r="E2117" s="115">
        <f>IF(DD_TOP_ACTV_8_Detailed_Currency_Used=2,SUPV_DETAILED_COST_WKSHT!$F333*SUPV_DETAILED_COST_WKSHT!G333,SUPV_DETAILED_COST_WKSHT!$F333*(SUPV_DETAILED_COST_WKSHT!G333*TOP_ACTV_8_Exchange_Rate))</f>
        <v>0</v>
      </c>
      <c r="F2117" s="115">
        <f>IF(DD_TOP_ACTV_8_Detailed_Currency_Used=2,SUPV_DETAILED_COST_WKSHT!$F333*SUPV_DETAILED_COST_WKSHT!H333,SUPV_DETAILED_COST_WKSHT!$F333*(SUPV_DETAILED_COST_WKSHT!H333*TOP_ACTV_8_Exchange_Rate))</f>
        <v>0</v>
      </c>
      <c r="G2117" s="116">
        <f t="shared" si="200"/>
        <v>0</v>
      </c>
      <c r="H2117" s="116">
        <f t="shared" si="201"/>
        <v>0</v>
      </c>
    </row>
    <row r="2118" spans="1:8" s="10" customFormat="1" outlineLevel="1" x14ac:dyDescent="0.2">
      <c r="D2118" s="48" t="str">
        <f>Lang_Personnel</f>
        <v>Personnel</v>
      </c>
      <c r="E2118" s="120">
        <f>SUM(E2103:E2117)</f>
        <v>0</v>
      </c>
      <c r="F2118" s="120">
        <f>SUM(F2103:F2117)</f>
        <v>0</v>
      </c>
      <c r="G2118" s="121">
        <f>SUM(G2103:G2117)</f>
        <v>0</v>
      </c>
      <c r="H2118" s="121">
        <f>SUM(H2103:H2117)</f>
        <v>0</v>
      </c>
    </row>
    <row r="2119" spans="1:8" s="10" customFormat="1" outlineLevel="1" x14ac:dyDescent="0.2"/>
    <row r="2120" spans="1:8" s="10" customFormat="1" outlineLevel="1" x14ac:dyDescent="0.2"/>
    <row r="2121" spans="1:8" s="10" customFormat="1" outlineLevel="1" x14ac:dyDescent="0.2">
      <c r="D2121" s="76" t="str">
        <f>Lang_GoTo&amp;" "&amp;HL_TOP_ACTV_8_Personnel_Assumptions</f>
        <v>Go to SME Activity #4 (Not in Use) - Detailed Personnel Cost Assumptions</v>
      </c>
    </row>
    <row r="2122" spans="1:8" s="10" customFormat="1" outlineLevel="1" x14ac:dyDescent="0.2">
      <c r="D2122" s="76" t="str">
        <f>Lang_GoTo&amp;" "&amp;HL_TOP_ACTV_8_Cost_Summary_Output</f>
        <v>Go to SME Activity #4 (Not in Use) Detailed Cost Summary</v>
      </c>
    </row>
    <row r="2123" spans="1:8" s="10" customFormat="1" x14ac:dyDescent="0.2"/>
    <row r="2124" spans="1:8" s="13" customFormat="1" x14ac:dyDescent="0.2">
      <c r="A2124" s="12" t="s">
        <v>127</v>
      </c>
      <c r="B2124" s="13" t="str">
        <f>HL_TOP_ACTV_8_Name&amp;" "&amp;Lang_Allowances_Outputs</f>
        <v>SME Activity #4 (Not in Use) Allowances - Outputs</v>
      </c>
    </row>
    <row r="2125" spans="1:8" s="10" customFormat="1" outlineLevel="1" x14ac:dyDescent="0.2"/>
    <row r="2126" spans="1:8" s="10" customFormat="1" outlineLevel="1" x14ac:dyDescent="0.2">
      <c r="C2126" s="114" t="str">
        <f>HL_TOP_ACTV_8_Name</f>
        <v>SME Activity #4 (Not in Use)</v>
      </c>
    </row>
    <row r="2127" spans="1:8" s="10" customFormat="1" outlineLevel="1" x14ac:dyDescent="0.2">
      <c r="E2127" s="86" t="str">
        <f>SUPV_Lu!$D$137&amp;" "&amp;Lang_Cost&amp;" ("&amp;SUPV_Lu!$D$118&amp;")"</f>
        <v>Financial Cost (LCU)</v>
      </c>
      <c r="F2127" s="86" t="str">
        <f>SUPV_Lu!$D$138&amp;" "&amp;Lang_Cost&amp;" ("&amp;SUPV_Lu!$D$118&amp;")"</f>
        <v>Economic Cost (LCU)</v>
      </c>
      <c r="G2127" s="86" t="str">
        <f>SUPV_Lu!$D$137&amp;" "&amp;Lang_Cost&amp;" ("&amp;SUPV_Lu!$D$117&amp;")"</f>
        <v>Financial Cost (USD)</v>
      </c>
      <c r="H2127" s="86" t="str">
        <f>SUPV_Lu!$D$138&amp;" "&amp;Lang_Cost&amp;" ("&amp;SUPV_Lu!$D$117&amp;")"</f>
        <v>Economic Cost (USD)</v>
      </c>
    </row>
    <row r="2128" spans="1:8" s="10" customFormat="1" outlineLevel="1" x14ac:dyDescent="0.2">
      <c r="D2128" s="49" t="str">
        <f>SUPV_DETAILED_COST_WKSHT!D342</f>
        <v>Allowances Category 1</v>
      </c>
      <c r="E2128" s="115">
        <f>IF(DD_TOP_ACTV_8_Detailed_Currency_Used=2,SUPV_DETAILED_COST_WKSHT!$F342*SUPV_DETAILED_COST_WKSHT!G342,SUPV_DETAILED_COST_WKSHT!$F342*(SUPV_DETAILED_COST_WKSHT!G342*TOP_ACTV_8_Exchange_Rate))</f>
        <v>0</v>
      </c>
      <c r="F2128" s="115">
        <f>IF(DD_TOP_ACTV_8_Detailed_Currency_Used=2,SUPV_DETAILED_COST_WKSHT!$F342*SUPV_DETAILED_COST_WKSHT!H342,SUPV_DETAILED_COST_WKSHT!$F342*(SUPV_DETAILED_COST_WKSHT!H342*TOP_ACTV_8_Exchange_Rate))</f>
        <v>0</v>
      </c>
      <c r="G2128" s="116">
        <f t="shared" ref="G2128:G2137" si="202">E2128/TOP_ACTV_8_Exchange_Rate</f>
        <v>0</v>
      </c>
      <c r="H2128" s="116">
        <f t="shared" ref="H2128:H2137" si="203">F2128/TOP_ACTV_8_Exchange_Rate</f>
        <v>0</v>
      </c>
    </row>
    <row r="2129" spans="1:8" s="10" customFormat="1" outlineLevel="1" x14ac:dyDescent="0.2">
      <c r="D2129" s="49" t="str">
        <f>SUPV_DETAILED_COST_WKSHT!D343</f>
        <v>Allowances Category 2</v>
      </c>
      <c r="E2129" s="115">
        <f>IF(DD_TOP_ACTV_8_Detailed_Currency_Used=2,SUPV_DETAILED_COST_WKSHT!$F343*SUPV_DETAILED_COST_WKSHT!G343,SUPV_DETAILED_COST_WKSHT!$F343*(SUPV_DETAILED_COST_WKSHT!G343*TOP_ACTV_8_Exchange_Rate))</f>
        <v>0</v>
      </c>
      <c r="F2129" s="115">
        <f>IF(DD_TOP_ACTV_8_Detailed_Currency_Used=2,SUPV_DETAILED_COST_WKSHT!$F343*SUPV_DETAILED_COST_WKSHT!H343,SUPV_DETAILED_COST_WKSHT!$F343*(SUPV_DETAILED_COST_WKSHT!H343*TOP_ACTV_8_Exchange_Rate))</f>
        <v>0</v>
      </c>
      <c r="G2129" s="116">
        <f t="shared" si="202"/>
        <v>0</v>
      </c>
      <c r="H2129" s="116">
        <f t="shared" si="203"/>
        <v>0</v>
      </c>
    </row>
    <row r="2130" spans="1:8" s="10" customFormat="1" outlineLevel="1" x14ac:dyDescent="0.2">
      <c r="D2130" s="49" t="str">
        <f>SUPV_DETAILED_COST_WKSHT!D344</f>
        <v>Allowances Category 3</v>
      </c>
      <c r="E2130" s="115">
        <f>IF(DD_TOP_ACTV_8_Detailed_Currency_Used=2,SUPV_DETAILED_COST_WKSHT!$F344*SUPV_DETAILED_COST_WKSHT!G344,SUPV_DETAILED_COST_WKSHT!$F344*(SUPV_DETAILED_COST_WKSHT!G344*TOP_ACTV_8_Exchange_Rate))</f>
        <v>0</v>
      </c>
      <c r="F2130" s="115">
        <f>IF(DD_TOP_ACTV_8_Detailed_Currency_Used=2,SUPV_DETAILED_COST_WKSHT!$F344*SUPV_DETAILED_COST_WKSHT!H344,SUPV_DETAILED_COST_WKSHT!$F344*(SUPV_DETAILED_COST_WKSHT!H344*TOP_ACTV_8_Exchange_Rate))</f>
        <v>0</v>
      </c>
      <c r="G2130" s="116">
        <f t="shared" si="202"/>
        <v>0</v>
      </c>
      <c r="H2130" s="116">
        <f t="shared" si="203"/>
        <v>0</v>
      </c>
    </row>
    <row r="2131" spans="1:8" s="10" customFormat="1" outlineLevel="1" x14ac:dyDescent="0.2">
      <c r="D2131" s="49" t="str">
        <f>SUPV_DETAILED_COST_WKSHT!D345</f>
        <v>Allowances Category 4</v>
      </c>
      <c r="E2131" s="115">
        <f>IF(DD_TOP_ACTV_8_Detailed_Currency_Used=2,SUPV_DETAILED_COST_WKSHT!$F345*SUPV_DETAILED_COST_WKSHT!G345,SUPV_DETAILED_COST_WKSHT!$F345*(SUPV_DETAILED_COST_WKSHT!G345*TOP_ACTV_8_Exchange_Rate))</f>
        <v>0</v>
      </c>
      <c r="F2131" s="115">
        <f>IF(DD_TOP_ACTV_8_Detailed_Currency_Used=2,SUPV_DETAILED_COST_WKSHT!$F345*SUPV_DETAILED_COST_WKSHT!H345,SUPV_DETAILED_COST_WKSHT!$F345*(SUPV_DETAILED_COST_WKSHT!H345*TOP_ACTV_8_Exchange_Rate))</f>
        <v>0</v>
      </c>
      <c r="G2131" s="116">
        <f t="shared" si="202"/>
        <v>0</v>
      </c>
      <c r="H2131" s="116">
        <f t="shared" si="203"/>
        <v>0</v>
      </c>
    </row>
    <row r="2132" spans="1:8" s="10" customFormat="1" outlineLevel="1" x14ac:dyDescent="0.2">
      <c r="D2132" s="49" t="str">
        <f>SUPV_DETAILED_COST_WKSHT!D346</f>
        <v>Allowances Category 5</v>
      </c>
      <c r="E2132" s="115">
        <f>IF(DD_TOP_ACTV_8_Detailed_Currency_Used=2,SUPV_DETAILED_COST_WKSHT!$F346*SUPV_DETAILED_COST_WKSHT!G346,SUPV_DETAILED_COST_WKSHT!$F346*(SUPV_DETAILED_COST_WKSHT!G346*TOP_ACTV_8_Exchange_Rate))</f>
        <v>0</v>
      </c>
      <c r="F2132" s="115">
        <f>IF(DD_TOP_ACTV_8_Detailed_Currency_Used=2,SUPV_DETAILED_COST_WKSHT!$F346*SUPV_DETAILED_COST_WKSHT!H346,SUPV_DETAILED_COST_WKSHT!$F346*(SUPV_DETAILED_COST_WKSHT!H346*TOP_ACTV_8_Exchange_Rate))</f>
        <v>0</v>
      </c>
      <c r="G2132" s="116">
        <f t="shared" si="202"/>
        <v>0</v>
      </c>
      <c r="H2132" s="116">
        <f t="shared" si="203"/>
        <v>0</v>
      </c>
    </row>
    <row r="2133" spans="1:8" s="10" customFormat="1" outlineLevel="1" x14ac:dyDescent="0.2">
      <c r="D2133" s="49" t="str">
        <f>SUPV_DETAILED_COST_WKSHT!D347</f>
        <v>Allowances Category 6</v>
      </c>
      <c r="E2133" s="115">
        <f>IF(DD_TOP_ACTV_8_Detailed_Currency_Used=2,SUPV_DETAILED_COST_WKSHT!$F347*SUPV_DETAILED_COST_WKSHT!G347,SUPV_DETAILED_COST_WKSHT!$F347*(SUPV_DETAILED_COST_WKSHT!G347*TOP_ACTV_8_Exchange_Rate))</f>
        <v>0</v>
      </c>
      <c r="F2133" s="115">
        <f>IF(DD_TOP_ACTV_8_Detailed_Currency_Used=2,SUPV_DETAILED_COST_WKSHT!$F347*SUPV_DETAILED_COST_WKSHT!H347,SUPV_DETAILED_COST_WKSHT!$F347*(SUPV_DETAILED_COST_WKSHT!H347*TOP_ACTV_8_Exchange_Rate))</f>
        <v>0</v>
      </c>
      <c r="G2133" s="116">
        <f t="shared" si="202"/>
        <v>0</v>
      </c>
      <c r="H2133" s="116">
        <f t="shared" si="203"/>
        <v>0</v>
      </c>
    </row>
    <row r="2134" spans="1:8" s="10" customFormat="1" outlineLevel="1" x14ac:dyDescent="0.2">
      <c r="D2134" s="49" t="str">
        <f>SUPV_DETAILED_COST_WKSHT!D348</f>
        <v>Allowances Category 7</v>
      </c>
      <c r="E2134" s="115">
        <f>IF(DD_TOP_ACTV_8_Detailed_Currency_Used=2,SUPV_DETAILED_COST_WKSHT!$F348*SUPV_DETAILED_COST_WKSHT!G348,SUPV_DETAILED_COST_WKSHT!$F348*(SUPV_DETAILED_COST_WKSHT!G348*TOP_ACTV_8_Exchange_Rate))</f>
        <v>0</v>
      </c>
      <c r="F2134" s="115">
        <f>IF(DD_TOP_ACTV_8_Detailed_Currency_Used=2,SUPV_DETAILED_COST_WKSHT!$F348*SUPV_DETAILED_COST_WKSHT!H348,SUPV_DETAILED_COST_WKSHT!$F348*(SUPV_DETAILED_COST_WKSHT!H348*TOP_ACTV_8_Exchange_Rate))</f>
        <v>0</v>
      </c>
      <c r="G2134" s="116">
        <f t="shared" si="202"/>
        <v>0</v>
      </c>
      <c r="H2134" s="116">
        <f t="shared" si="203"/>
        <v>0</v>
      </c>
    </row>
    <row r="2135" spans="1:8" s="10" customFormat="1" outlineLevel="1" x14ac:dyDescent="0.2">
      <c r="D2135" s="49" t="str">
        <f>SUPV_DETAILED_COST_WKSHT!D349</f>
        <v>Allowances Category 8</v>
      </c>
      <c r="E2135" s="115">
        <f>IF(DD_TOP_ACTV_8_Detailed_Currency_Used=2,SUPV_DETAILED_COST_WKSHT!$F349*SUPV_DETAILED_COST_WKSHT!G349,SUPV_DETAILED_COST_WKSHT!$F349*(SUPV_DETAILED_COST_WKSHT!G349*TOP_ACTV_8_Exchange_Rate))</f>
        <v>0</v>
      </c>
      <c r="F2135" s="115">
        <f>IF(DD_TOP_ACTV_8_Detailed_Currency_Used=2,SUPV_DETAILED_COST_WKSHT!$F349*SUPV_DETAILED_COST_WKSHT!H349,SUPV_DETAILED_COST_WKSHT!$F349*(SUPV_DETAILED_COST_WKSHT!H349*TOP_ACTV_8_Exchange_Rate))</f>
        <v>0</v>
      </c>
      <c r="G2135" s="116">
        <f t="shared" si="202"/>
        <v>0</v>
      </c>
      <c r="H2135" s="116">
        <f t="shared" si="203"/>
        <v>0</v>
      </c>
    </row>
    <row r="2136" spans="1:8" s="10" customFormat="1" outlineLevel="1" x14ac:dyDescent="0.2">
      <c r="D2136" s="49" t="str">
        <f>SUPV_DETAILED_COST_WKSHT!D350</f>
        <v>Allowances Category 9</v>
      </c>
      <c r="E2136" s="115">
        <f>IF(DD_TOP_ACTV_8_Detailed_Currency_Used=2,SUPV_DETAILED_COST_WKSHT!$F350*SUPV_DETAILED_COST_WKSHT!G350,SUPV_DETAILED_COST_WKSHT!$F350*(SUPV_DETAILED_COST_WKSHT!G350*TOP_ACTV_8_Exchange_Rate))</f>
        <v>0</v>
      </c>
      <c r="F2136" s="115">
        <f>IF(DD_TOP_ACTV_8_Detailed_Currency_Used=2,SUPV_DETAILED_COST_WKSHT!$F350*SUPV_DETAILED_COST_WKSHT!H350,SUPV_DETAILED_COST_WKSHT!$F350*(SUPV_DETAILED_COST_WKSHT!H350*TOP_ACTV_8_Exchange_Rate))</f>
        <v>0</v>
      </c>
      <c r="G2136" s="116">
        <f t="shared" si="202"/>
        <v>0</v>
      </c>
      <c r="H2136" s="116">
        <f t="shared" si="203"/>
        <v>0</v>
      </c>
    </row>
    <row r="2137" spans="1:8" s="10" customFormat="1" outlineLevel="1" x14ac:dyDescent="0.2">
      <c r="D2137" s="49" t="str">
        <f>SUPV_DETAILED_COST_WKSHT!D351</f>
        <v>Allowances Category 10</v>
      </c>
      <c r="E2137" s="115">
        <f>IF(DD_TOP_ACTV_8_Detailed_Currency_Used=2,SUPV_DETAILED_COST_WKSHT!$F351*SUPV_DETAILED_COST_WKSHT!G351,SUPV_DETAILED_COST_WKSHT!$F351*(SUPV_DETAILED_COST_WKSHT!G351*TOP_ACTV_8_Exchange_Rate))</f>
        <v>0</v>
      </c>
      <c r="F2137" s="115">
        <f>IF(DD_TOP_ACTV_8_Detailed_Currency_Used=2,SUPV_DETAILED_COST_WKSHT!$F351*SUPV_DETAILED_COST_WKSHT!H351,SUPV_DETAILED_COST_WKSHT!$F351*(SUPV_DETAILED_COST_WKSHT!H351*TOP_ACTV_8_Exchange_Rate))</f>
        <v>0</v>
      </c>
      <c r="G2137" s="116">
        <f t="shared" si="202"/>
        <v>0</v>
      </c>
      <c r="H2137" s="116">
        <f t="shared" si="203"/>
        <v>0</v>
      </c>
    </row>
    <row r="2138" spans="1:8" s="10" customFormat="1" outlineLevel="1" x14ac:dyDescent="0.2">
      <c r="D2138" s="48" t="str">
        <f>Lang_Allowances</f>
        <v>Allowances</v>
      </c>
      <c r="E2138" s="120">
        <f>SUM(E2128:E2137)</f>
        <v>0</v>
      </c>
      <c r="F2138" s="120">
        <f>SUM(F2128:F2137)</f>
        <v>0</v>
      </c>
      <c r="G2138" s="121">
        <f>SUM(G2128:G2137)</f>
        <v>0</v>
      </c>
      <c r="H2138" s="121">
        <f>SUM(H2128:H2137)</f>
        <v>0</v>
      </c>
    </row>
    <row r="2139" spans="1:8" s="10" customFormat="1" outlineLevel="1" x14ac:dyDescent="0.2"/>
    <row r="2140" spans="1:8" s="10" customFormat="1" outlineLevel="1" x14ac:dyDescent="0.2"/>
    <row r="2141" spans="1:8" s="10" customFormat="1" outlineLevel="1" x14ac:dyDescent="0.2">
      <c r="D2141" s="76" t="str">
        <f>Lang_GoTo&amp;" "&amp;HL_TOP_ACTV_8_Ass_A</f>
        <v>Go to SME Activity #4 (Not in Use) - Detailed Allowance Cost Assumptions</v>
      </c>
    </row>
    <row r="2142" spans="1:8" s="10" customFormat="1" outlineLevel="1" x14ac:dyDescent="0.2">
      <c r="D2142" s="76" t="str">
        <f>Lang_GoTo&amp;" "&amp;HL_TOP_ACTV_8_Cost_Summary_Output</f>
        <v>Go to SME Activity #4 (Not in Use) Detailed Cost Summary</v>
      </c>
    </row>
    <row r="2143" spans="1:8" s="10" customFormat="1" x14ac:dyDescent="0.2"/>
    <row r="2144" spans="1:8" s="13" customFormat="1" x14ac:dyDescent="0.2">
      <c r="A2144" s="12" t="s">
        <v>127</v>
      </c>
      <c r="B2144" s="13" t="str">
        <f>HL_TOP_ACTV_8_Name&amp;" "&amp;Lang_Supplies_And_Materials_Outputs</f>
        <v>SME Activity #4 (Not in Use) Supplies and Materials - Outputs</v>
      </c>
    </row>
    <row r="2145" spans="3:8" s="10" customFormat="1" outlineLevel="1" x14ac:dyDescent="0.2"/>
    <row r="2146" spans="3:8" s="10" customFormat="1" outlineLevel="1" x14ac:dyDescent="0.2">
      <c r="C2146" s="114" t="str">
        <f>HL_TOP_ACTV_8_Name</f>
        <v>SME Activity #4 (Not in Use)</v>
      </c>
    </row>
    <row r="2147" spans="3:8" s="10" customFormat="1" outlineLevel="1" x14ac:dyDescent="0.2">
      <c r="E2147" s="86" t="str">
        <f>SUPV_Lu!$D$137&amp;" "&amp;Lang_Cost&amp;" ("&amp;SUPV_Lu!$D$118&amp;")"</f>
        <v>Financial Cost (LCU)</v>
      </c>
      <c r="F2147" s="86" t="str">
        <f>SUPV_Lu!$D$138&amp;" "&amp;Lang_Cost&amp;" ("&amp;SUPV_Lu!$D$118&amp;")"</f>
        <v>Economic Cost (LCU)</v>
      </c>
      <c r="G2147" s="86" t="str">
        <f>SUPV_Lu!$D$137&amp;" "&amp;Lang_Cost&amp;" ("&amp;SUPV_Lu!$D$117&amp;")"</f>
        <v>Financial Cost (USD)</v>
      </c>
      <c r="H2147" s="86" t="str">
        <f>SUPV_Lu!$D$138&amp;" "&amp;Lang_Cost&amp;" ("&amp;SUPV_Lu!$D$117&amp;")"</f>
        <v>Economic Cost (USD)</v>
      </c>
    </row>
    <row r="2148" spans="3:8" s="10" customFormat="1" outlineLevel="1" x14ac:dyDescent="0.2">
      <c r="D2148" s="49" t="str">
        <f>SUPV_DETAILED_COST_WKSHT!D360</f>
        <v>Supplies and Materials Category 1</v>
      </c>
      <c r="E2148" s="115">
        <f>IF(DD_TOP_ACTV_8_Detailed_Currency_Used=2,SUPV_DETAILED_COST_WKSHT!$F360*SUPV_DETAILED_COST_WKSHT!G360,SUPV_DETAILED_COST_WKSHT!$F360*(SUPV_DETAILED_COST_WKSHT!G360*TOP_ACTV_8_Exchange_Rate))</f>
        <v>0</v>
      </c>
      <c r="F2148" s="115">
        <f>IF(DD_TOP_ACTV_8_Detailed_Currency_Used=2,SUPV_DETAILED_COST_WKSHT!$F360*SUPV_DETAILED_COST_WKSHT!H360,SUPV_DETAILED_COST_WKSHT!$F360*(SUPV_DETAILED_COST_WKSHT!H360*TOP_ACTV_8_Exchange_Rate))</f>
        <v>0</v>
      </c>
      <c r="G2148" s="116">
        <f t="shared" ref="G2148:G2157" si="204">E2148/TOP_ACTV_8_Exchange_Rate</f>
        <v>0</v>
      </c>
      <c r="H2148" s="116">
        <f t="shared" ref="H2148:H2157" si="205">F2148/TOP_ACTV_8_Exchange_Rate</f>
        <v>0</v>
      </c>
    </row>
    <row r="2149" spans="3:8" s="10" customFormat="1" outlineLevel="1" x14ac:dyDescent="0.2">
      <c r="D2149" s="49" t="str">
        <f>SUPV_DETAILED_COST_WKSHT!D361</f>
        <v>Supplies and Materials Category 2</v>
      </c>
      <c r="E2149" s="115">
        <f>IF(DD_TOP_ACTV_8_Detailed_Currency_Used=2,SUPV_DETAILED_COST_WKSHT!$F361*SUPV_DETAILED_COST_WKSHT!G361,SUPV_DETAILED_COST_WKSHT!$F361*(SUPV_DETAILED_COST_WKSHT!G361*TOP_ACTV_8_Exchange_Rate))</f>
        <v>0</v>
      </c>
      <c r="F2149" s="115">
        <f>IF(DD_TOP_ACTV_8_Detailed_Currency_Used=2,SUPV_DETAILED_COST_WKSHT!$F361*SUPV_DETAILED_COST_WKSHT!H361,SUPV_DETAILED_COST_WKSHT!$F361*(SUPV_DETAILED_COST_WKSHT!H361*TOP_ACTV_8_Exchange_Rate))</f>
        <v>0</v>
      </c>
      <c r="G2149" s="116">
        <f t="shared" si="204"/>
        <v>0</v>
      </c>
      <c r="H2149" s="116">
        <f t="shared" si="205"/>
        <v>0</v>
      </c>
    </row>
    <row r="2150" spans="3:8" s="10" customFormat="1" outlineLevel="1" x14ac:dyDescent="0.2">
      <c r="D2150" s="49" t="str">
        <f>SUPV_DETAILED_COST_WKSHT!D362</f>
        <v>Supplies and Materials Category 3</v>
      </c>
      <c r="E2150" s="115">
        <f>IF(DD_TOP_ACTV_8_Detailed_Currency_Used=2,SUPV_DETAILED_COST_WKSHT!$F362*SUPV_DETAILED_COST_WKSHT!G362,SUPV_DETAILED_COST_WKSHT!$F362*(SUPV_DETAILED_COST_WKSHT!G362*TOP_ACTV_8_Exchange_Rate))</f>
        <v>0</v>
      </c>
      <c r="F2150" s="115">
        <f>IF(DD_TOP_ACTV_8_Detailed_Currency_Used=2,SUPV_DETAILED_COST_WKSHT!$F362*SUPV_DETAILED_COST_WKSHT!H362,SUPV_DETAILED_COST_WKSHT!$F362*(SUPV_DETAILED_COST_WKSHT!H362*TOP_ACTV_8_Exchange_Rate))</f>
        <v>0</v>
      </c>
      <c r="G2150" s="116">
        <f t="shared" si="204"/>
        <v>0</v>
      </c>
      <c r="H2150" s="116">
        <f t="shared" si="205"/>
        <v>0</v>
      </c>
    </row>
    <row r="2151" spans="3:8" s="10" customFormat="1" outlineLevel="1" x14ac:dyDescent="0.2">
      <c r="D2151" s="49" t="str">
        <f>SUPV_DETAILED_COST_WKSHT!D363</f>
        <v>Supplies and Materials Category 4</v>
      </c>
      <c r="E2151" s="115">
        <f>IF(DD_TOP_ACTV_8_Detailed_Currency_Used=2,SUPV_DETAILED_COST_WKSHT!$F363*SUPV_DETAILED_COST_WKSHT!G363,SUPV_DETAILED_COST_WKSHT!$F363*(SUPV_DETAILED_COST_WKSHT!G363*TOP_ACTV_8_Exchange_Rate))</f>
        <v>0</v>
      </c>
      <c r="F2151" s="115">
        <f>IF(DD_TOP_ACTV_8_Detailed_Currency_Used=2,SUPV_DETAILED_COST_WKSHT!$F363*SUPV_DETAILED_COST_WKSHT!H363,SUPV_DETAILED_COST_WKSHT!$F363*(SUPV_DETAILED_COST_WKSHT!H363*TOP_ACTV_8_Exchange_Rate))</f>
        <v>0</v>
      </c>
      <c r="G2151" s="116">
        <f t="shared" si="204"/>
        <v>0</v>
      </c>
      <c r="H2151" s="116">
        <f t="shared" si="205"/>
        <v>0</v>
      </c>
    </row>
    <row r="2152" spans="3:8" s="10" customFormat="1" outlineLevel="1" x14ac:dyDescent="0.2">
      <c r="D2152" s="49" t="str">
        <f>SUPV_DETAILED_COST_WKSHT!D364</f>
        <v>Supplies and Materials Category 5</v>
      </c>
      <c r="E2152" s="115">
        <f>IF(DD_TOP_ACTV_8_Detailed_Currency_Used=2,SUPV_DETAILED_COST_WKSHT!$F364*SUPV_DETAILED_COST_WKSHT!G364,SUPV_DETAILED_COST_WKSHT!$F364*(SUPV_DETAILED_COST_WKSHT!G364*TOP_ACTV_8_Exchange_Rate))</f>
        <v>0</v>
      </c>
      <c r="F2152" s="115">
        <f>IF(DD_TOP_ACTV_8_Detailed_Currency_Used=2,SUPV_DETAILED_COST_WKSHT!$F364*SUPV_DETAILED_COST_WKSHT!H364,SUPV_DETAILED_COST_WKSHT!$F364*(SUPV_DETAILED_COST_WKSHT!H364*TOP_ACTV_8_Exchange_Rate))</f>
        <v>0</v>
      </c>
      <c r="G2152" s="116">
        <f t="shared" si="204"/>
        <v>0</v>
      </c>
      <c r="H2152" s="116">
        <f t="shared" si="205"/>
        <v>0</v>
      </c>
    </row>
    <row r="2153" spans="3:8" s="10" customFormat="1" outlineLevel="1" x14ac:dyDescent="0.2">
      <c r="D2153" s="49" t="str">
        <f>SUPV_DETAILED_COST_WKSHT!D365</f>
        <v>Supplies and Materials Category 6</v>
      </c>
      <c r="E2153" s="115">
        <f>IF(DD_TOP_ACTV_8_Detailed_Currency_Used=2,SUPV_DETAILED_COST_WKSHT!$F365*SUPV_DETAILED_COST_WKSHT!G365,SUPV_DETAILED_COST_WKSHT!$F365*(SUPV_DETAILED_COST_WKSHT!G365*TOP_ACTV_8_Exchange_Rate))</f>
        <v>0</v>
      </c>
      <c r="F2153" s="115">
        <f>IF(DD_TOP_ACTV_8_Detailed_Currency_Used=2,SUPV_DETAILED_COST_WKSHT!$F365*SUPV_DETAILED_COST_WKSHT!H365,SUPV_DETAILED_COST_WKSHT!$F365*(SUPV_DETAILED_COST_WKSHT!H365*TOP_ACTV_8_Exchange_Rate))</f>
        <v>0</v>
      </c>
      <c r="G2153" s="116">
        <f t="shared" si="204"/>
        <v>0</v>
      </c>
      <c r="H2153" s="116">
        <f t="shared" si="205"/>
        <v>0</v>
      </c>
    </row>
    <row r="2154" spans="3:8" s="10" customFormat="1" outlineLevel="1" x14ac:dyDescent="0.2">
      <c r="D2154" s="49" t="str">
        <f>SUPV_DETAILED_COST_WKSHT!D366</f>
        <v>Supplies and Materials Category 7</v>
      </c>
      <c r="E2154" s="115">
        <f>IF(DD_TOP_ACTV_8_Detailed_Currency_Used=2,SUPV_DETAILED_COST_WKSHT!$F366*SUPV_DETAILED_COST_WKSHT!G366,SUPV_DETAILED_COST_WKSHT!$F366*(SUPV_DETAILED_COST_WKSHT!G366*TOP_ACTV_8_Exchange_Rate))</f>
        <v>0</v>
      </c>
      <c r="F2154" s="115">
        <f>IF(DD_TOP_ACTV_8_Detailed_Currency_Used=2,SUPV_DETAILED_COST_WKSHT!$F366*SUPV_DETAILED_COST_WKSHT!H366,SUPV_DETAILED_COST_WKSHT!$F366*(SUPV_DETAILED_COST_WKSHT!H366*TOP_ACTV_8_Exchange_Rate))</f>
        <v>0</v>
      </c>
      <c r="G2154" s="116">
        <f t="shared" si="204"/>
        <v>0</v>
      </c>
      <c r="H2154" s="116">
        <f t="shared" si="205"/>
        <v>0</v>
      </c>
    </row>
    <row r="2155" spans="3:8" s="10" customFormat="1" outlineLevel="1" x14ac:dyDescent="0.2">
      <c r="D2155" s="49" t="str">
        <f>SUPV_DETAILED_COST_WKSHT!D367</f>
        <v>Supplies and Materials Category 8</v>
      </c>
      <c r="E2155" s="115">
        <f>IF(DD_TOP_ACTV_8_Detailed_Currency_Used=2,SUPV_DETAILED_COST_WKSHT!$F367*SUPV_DETAILED_COST_WKSHT!G367,SUPV_DETAILED_COST_WKSHT!$F367*(SUPV_DETAILED_COST_WKSHT!G367*TOP_ACTV_8_Exchange_Rate))</f>
        <v>0</v>
      </c>
      <c r="F2155" s="115">
        <f>IF(DD_TOP_ACTV_8_Detailed_Currency_Used=2,SUPV_DETAILED_COST_WKSHT!$F367*SUPV_DETAILED_COST_WKSHT!H367,SUPV_DETAILED_COST_WKSHT!$F367*(SUPV_DETAILED_COST_WKSHT!H367*TOP_ACTV_8_Exchange_Rate))</f>
        <v>0</v>
      </c>
      <c r="G2155" s="116">
        <f t="shared" si="204"/>
        <v>0</v>
      </c>
      <c r="H2155" s="116">
        <f t="shared" si="205"/>
        <v>0</v>
      </c>
    </row>
    <row r="2156" spans="3:8" s="10" customFormat="1" outlineLevel="1" x14ac:dyDescent="0.2">
      <c r="D2156" s="49" t="str">
        <f>SUPV_DETAILED_COST_WKSHT!D368</f>
        <v>Supplies and Materials Category 9</v>
      </c>
      <c r="E2156" s="115">
        <f>IF(DD_TOP_ACTV_8_Detailed_Currency_Used=2,SUPV_DETAILED_COST_WKSHT!$F368*SUPV_DETAILED_COST_WKSHT!G368,SUPV_DETAILED_COST_WKSHT!$F368*(SUPV_DETAILED_COST_WKSHT!G368*TOP_ACTV_8_Exchange_Rate))</f>
        <v>0</v>
      </c>
      <c r="F2156" s="115">
        <f>IF(DD_TOP_ACTV_8_Detailed_Currency_Used=2,SUPV_DETAILED_COST_WKSHT!$F368*SUPV_DETAILED_COST_WKSHT!H368,SUPV_DETAILED_COST_WKSHT!$F368*(SUPV_DETAILED_COST_WKSHT!H368*TOP_ACTV_8_Exchange_Rate))</f>
        <v>0</v>
      </c>
      <c r="G2156" s="116">
        <f t="shared" si="204"/>
        <v>0</v>
      </c>
      <c r="H2156" s="116">
        <f t="shared" si="205"/>
        <v>0</v>
      </c>
    </row>
    <row r="2157" spans="3:8" s="10" customFormat="1" outlineLevel="1" x14ac:dyDescent="0.2">
      <c r="D2157" s="49" t="str">
        <f>SUPV_DETAILED_COST_WKSHT!D369</f>
        <v>Supplies and Materials Category 10</v>
      </c>
      <c r="E2157" s="115">
        <f>IF(DD_TOP_ACTV_8_Detailed_Currency_Used=2,SUPV_DETAILED_COST_WKSHT!$F369*SUPV_DETAILED_COST_WKSHT!G369,SUPV_DETAILED_COST_WKSHT!$F369*(SUPV_DETAILED_COST_WKSHT!G369*TOP_ACTV_8_Exchange_Rate))</f>
        <v>0</v>
      </c>
      <c r="F2157" s="115">
        <f>IF(DD_TOP_ACTV_8_Detailed_Currency_Used=2,SUPV_DETAILED_COST_WKSHT!$F369*SUPV_DETAILED_COST_WKSHT!H369,SUPV_DETAILED_COST_WKSHT!$F369*(SUPV_DETAILED_COST_WKSHT!H369*TOP_ACTV_8_Exchange_Rate))</f>
        <v>0</v>
      </c>
      <c r="G2157" s="116">
        <f t="shared" si="204"/>
        <v>0</v>
      </c>
      <c r="H2157" s="116">
        <f t="shared" si="205"/>
        <v>0</v>
      </c>
    </row>
    <row r="2158" spans="3:8" s="10" customFormat="1" outlineLevel="1" x14ac:dyDescent="0.2">
      <c r="D2158" s="48" t="str">
        <f>Lang_Supplies_And_Materials</f>
        <v>Supplies and Materials</v>
      </c>
      <c r="E2158" s="120">
        <f>SUM(E2148:E2157)</f>
        <v>0</v>
      </c>
      <c r="F2158" s="120">
        <f>SUM(F2148:F2157)</f>
        <v>0</v>
      </c>
      <c r="G2158" s="121">
        <f>SUM(G2148:G2157)</f>
        <v>0</v>
      </c>
      <c r="H2158" s="121">
        <f>SUM(H2148:H2157)</f>
        <v>0</v>
      </c>
    </row>
    <row r="2159" spans="3:8" s="10" customFormat="1" outlineLevel="1" x14ac:dyDescent="0.2"/>
    <row r="2160" spans="3:8" s="10" customFormat="1" outlineLevel="1" x14ac:dyDescent="0.2"/>
    <row r="2161" spans="1:8" s="10" customFormat="1" outlineLevel="1" x14ac:dyDescent="0.2">
      <c r="D2161" s="76" t="str">
        <f>Lang_GoTo&amp;" "&amp;HL_TOP_ACTV_8_Supplies_and_Materials</f>
        <v>Go to SME Activity #4 (Not in Use) - Detailed Supply and Material Cost Assumptions</v>
      </c>
    </row>
    <row r="2162" spans="1:8" s="10" customFormat="1" outlineLevel="1" x14ac:dyDescent="0.2">
      <c r="D2162" s="76" t="str">
        <f>Lang_GoTo&amp;" "&amp;HL_TOP_ACTV_8_Cost_Summary_Output</f>
        <v>Go to SME Activity #4 (Not in Use) Detailed Cost Summary</v>
      </c>
    </row>
    <row r="2163" spans="1:8" s="10" customFormat="1" x14ac:dyDescent="0.2"/>
    <row r="2164" spans="1:8" s="13" customFormat="1" x14ac:dyDescent="0.2">
      <c r="A2164" s="12" t="s">
        <v>127</v>
      </c>
      <c r="B2164" s="13" t="str">
        <f>HL_TOP_ACTV_8_Name&amp;" "&amp;Lang_Other_Direct_Costs_Outputs</f>
        <v>SME Activity #4 (Not in Use) Other Direct Costs - Outputs</v>
      </c>
    </row>
    <row r="2165" spans="1:8" s="10" customFormat="1" outlineLevel="1" x14ac:dyDescent="0.2"/>
    <row r="2166" spans="1:8" s="10" customFormat="1" outlineLevel="1" x14ac:dyDescent="0.2">
      <c r="C2166" s="114" t="str">
        <f>HL_TOP_ACTV_8_Name</f>
        <v>SME Activity #4 (Not in Use)</v>
      </c>
    </row>
    <row r="2167" spans="1:8" s="10" customFormat="1" outlineLevel="1" x14ac:dyDescent="0.2">
      <c r="E2167" s="86" t="str">
        <f>SUPV_Lu!$D$137&amp;" "&amp;Lang_Cost&amp;" ("&amp;SUPV_Lu!$D$118&amp;")"</f>
        <v>Financial Cost (LCU)</v>
      </c>
      <c r="F2167" s="86" t="str">
        <f>SUPV_Lu!$D$138&amp;" "&amp;Lang_Cost&amp;" ("&amp;SUPV_Lu!$D$118&amp;")"</f>
        <v>Economic Cost (LCU)</v>
      </c>
      <c r="G2167" s="86" t="str">
        <f>SUPV_Lu!$D$137&amp;" "&amp;Lang_Cost&amp;" ("&amp;SUPV_Lu!$D$117&amp;")"</f>
        <v>Financial Cost (USD)</v>
      </c>
      <c r="H2167" s="86" t="str">
        <f>SUPV_Lu!$D$138&amp;" "&amp;Lang_Cost&amp;" ("&amp;SUPV_Lu!$D$117&amp;")"</f>
        <v>Economic Cost (USD)</v>
      </c>
    </row>
    <row r="2168" spans="1:8" s="10" customFormat="1" outlineLevel="1" x14ac:dyDescent="0.2">
      <c r="D2168" s="49" t="str">
        <f>SUPV_DETAILED_COST_WKSHT!D378</f>
        <v>Other Direct Costs (ODC) Category 1</v>
      </c>
      <c r="E2168" s="115">
        <f>IF(DD_TOP_ACTV_8_Detailed_Currency_Used=2,SUPV_DETAILED_COST_WKSHT!$F378*SUPV_DETAILED_COST_WKSHT!G378,SUPV_DETAILED_COST_WKSHT!$F378*(SUPV_DETAILED_COST_WKSHT!G378*TOP_ACTV_8_Exchange_Rate))</f>
        <v>0</v>
      </c>
      <c r="F2168" s="115">
        <f>IF(DD_TOP_ACTV_8_Detailed_Currency_Used=2,SUPV_DETAILED_COST_WKSHT!$F378*SUPV_DETAILED_COST_WKSHT!H378,SUPV_DETAILED_COST_WKSHT!$F378*(SUPV_DETAILED_COST_WKSHT!H378*TOP_ACTV_8_Exchange_Rate))</f>
        <v>0</v>
      </c>
      <c r="G2168" s="116">
        <f t="shared" ref="G2168:G2177" si="206">E2168/TOP_ACTV_8_Exchange_Rate</f>
        <v>0</v>
      </c>
      <c r="H2168" s="116">
        <f t="shared" ref="H2168:H2177" si="207">F2168/TOP_ACTV_8_Exchange_Rate</f>
        <v>0</v>
      </c>
    </row>
    <row r="2169" spans="1:8" s="10" customFormat="1" outlineLevel="1" x14ac:dyDescent="0.2">
      <c r="D2169" s="49" t="str">
        <f>SUPV_DETAILED_COST_WKSHT!D379</f>
        <v>Other Direct Costs (ODC) Category 2</v>
      </c>
      <c r="E2169" s="115">
        <f>IF(DD_TOP_ACTV_8_Detailed_Currency_Used=2,SUPV_DETAILED_COST_WKSHT!$F379*SUPV_DETAILED_COST_WKSHT!G379,SUPV_DETAILED_COST_WKSHT!$F379*(SUPV_DETAILED_COST_WKSHT!G379*TOP_ACTV_8_Exchange_Rate))</f>
        <v>0</v>
      </c>
      <c r="F2169" s="115">
        <f>IF(DD_TOP_ACTV_8_Detailed_Currency_Used=2,SUPV_DETAILED_COST_WKSHT!$F379*SUPV_DETAILED_COST_WKSHT!H379,SUPV_DETAILED_COST_WKSHT!$F379*(SUPV_DETAILED_COST_WKSHT!H379*TOP_ACTV_8_Exchange_Rate))</f>
        <v>0</v>
      </c>
      <c r="G2169" s="116">
        <f t="shared" si="206"/>
        <v>0</v>
      </c>
      <c r="H2169" s="116">
        <f t="shared" si="207"/>
        <v>0</v>
      </c>
    </row>
    <row r="2170" spans="1:8" s="10" customFormat="1" outlineLevel="1" x14ac:dyDescent="0.2">
      <c r="D2170" s="49" t="str">
        <f>SUPV_DETAILED_COST_WKSHT!D380</f>
        <v>Other Direct Costs (ODC) Category 3</v>
      </c>
      <c r="E2170" s="115">
        <f>IF(DD_TOP_ACTV_8_Detailed_Currency_Used=2,SUPV_DETAILED_COST_WKSHT!$F380*SUPV_DETAILED_COST_WKSHT!G380,SUPV_DETAILED_COST_WKSHT!$F380*(SUPV_DETAILED_COST_WKSHT!G380*TOP_ACTV_8_Exchange_Rate))</f>
        <v>0</v>
      </c>
      <c r="F2170" s="115">
        <f>IF(DD_TOP_ACTV_8_Detailed_Currency_Used=2,SUPV_DETAILED_COST_WKSHT!$F380*SUPV_DETAILED_COST_WKSHT!H380,SUPV_DETAILED_COST_WKSHT!$F380*(SUPV_DETAILED_COST_WKSHT!H380*TOP_ACTV_8_Exchange_Rate))</f>
        <v>0</v>
      </c>
      <c r="G2170" s="116">
        <f t="shared" si="206"/>
        <v>0</v>
      </c>
      <c r="H2170" s="116">
        <f t="shared" si="207"/>
        <v>0</v>
      </c>
    </row>
    <row r="2171" spans="1:8" s="10" customFormat="1" outlineLevel="1" x14ac:dyDescent="0.2">
      <c r="D2171" s="49" t="str">
        <f>SUPV_DETAILED_COST_WKSHT!D381</f>
        <v>Other Direct Costs (ODC) Category 4</v>
      </c>
      <c r="E2171" s="115">
        <f>IF(DD_TOP_ACTV_8_Detailed_Currency_Used=2,SUPV_DETAILED_COST_WKSHT!$F381*SUPV_DETAILED_COST_WKSHT!G381,SUPV_DETAILED_COST_WKSHT!$F381*(SUPV_DETAILED_COST_WKSHT!G381*TOP_ACTV_8_Exchange_Rate))</f>
        <v>0</v>
      </c>
      <c r="F2171" s="115">
        <f>IF(DD_TOP_ACTV_8_Detailed_Currency_Used=2,SUPV_DETAILED_COST_WKSHT!$F381*SUPV_DETAILED_COST_WKSHT!H381,SUPV_DETAILED_COST_WKSHT!$F381*(SUPV_DETAILED_COST_WKSHT!H381*TOP_ACTV_8_Exchange_Rate))</f>
        <v>0</v>
      </c>
      <c r="G2171" s="116">
        <f t="shared" si="206"/>
        <v>0</v>
      </c>
      <c r="H2171" s="116">
        <f t="shared" si="207"/>
        <v>0</v>
      </c>
    </row>
    <row r="2172" spans="1:8" s="10" customFormat="1" outlineLevel="1" x14ac:dyDescent="0.2">
      <c r="D2172" s="49" t="str">
        <f>SUPV_DETAILED_COST_WKSHT!D382</f>
        <v>Other Direct Costs (ODC) Category 5</v>
      </c>
      <c r="E2172" s="115">
        <f>IF(DD_TOP_ACTV_8_Detailed_Currency_Used=2,SUPV_DETAILED_COST_WKSHT!$F382*SUPV_DETAILED_COST_WKSHT!G382,SUPV_DETAILED_COST_WKSHT!$F382*(SUPV_DETAILED_COST_WKSHT!G382*TOP_ACTV_8_Exchange_Rate))</f>
        <v>0</v>
      </c>
      <c r="F2172" s="115">
        <f>IF(DD_TOP_ACTV_8_Detailed_Currency_Used=2,SUPV_DETAILED_COST_WKSHT!$F382*SUPV_DETAILED_COST_WKSHT!H382,SUPV_DETAILED_COST_WKSHT!$F382*(SUPV_DETAILED_COST_WKSHT!H382*TOP_ACTV_8_Exchange_Rate))</f>
        <v>0</v>
      </c>
      <c r="G2172" s="116">
        <f t="shared" si="206"/>
        <v>0</v>
      </c>
      <c r="H2172" s="116">
        <f t="shared" si="207"/>
        <v>0</v>
      </c>
    </row>
    <row r="2173" spans="1:8" s="10" customFormat="1" outlineLevel="1" x14ac:dyDescent="0.2">
      <c r="D2173" s="49" t="str">
        <f>SUPV_DETAILED_COST_WKSHT!D383</f>
        <v>Other Direct Costs (ODC) Category 6</v>
      </c>
      <c r="E2173" s="115">
        <f>IF(DD_TOP_ACTV_8_Detailed_Currency_Used=2,SUPV_DETAILED_COST_WKSHT!$F383*SUPV_DETAILED_COST_WKSHT!G383,SUPV_DETAILED_COST_WKSHT!$F383*(SUPV_DETAILED_COST_WKSHT!G383*TOP_ACTV_8_Exchange_Rate))</f>
        <v>0</v>
      </c>
      <c r="F2173" s="115">
        <f>IF(DD_TOP_ACTV_8_Detailed_Currency_Used=2,SUPV_DETAILED_COST_WKSHT!$F383*SUPV_DETAILED_COST_WKSHT!H383,SUPV_DETAILED_COST_WKSHT!$F383*(SUPV_DETAILED_COST_WKSHT!H383*TOP_ACTV_8_Exchange_Rate))</f>
        <v>0</v>
      </c>
      <c r="G2173" s="116">
        <f t="shared" si="206"/>
        <v>0</v>
      </c>
      <c r="H2173" s="116">
        <f t="shared" si="207"/>
        <v>0</v>
      </c>
    </row>
    <row r="2174" spans="1:8" s="10" customFormat="1" outlineLevel="1" x14ac:dyDescent="0.2">
      <c r="D2174" s="49" t="str">
        <f>SUPV_DETAILED_COST_WKSHT!D384</f>
        <v>Other Direct Costs (ODC) Category 7</v>
      </c>
      <c r="E2174" s="115">
        <f>IF(DD_TOP_ACTV_8_Detailed_Currency_Used=2,SUPV_DETAILED_COST_WKSHT!$F384*SUPV_DETAILED_COST_WKSHT!G384,SUPV_DETAILED_COST_WKSHT!$F384*(SUPV_DETAILED_COST_WKSHT!G384*TOP_ACTV_8_Exchange_Rate))</f>
        <v>0</v>
      </c>
      <c r="F2174" s="115">
        <f>IF(DD_TOP_ACTV_8_Detailed_Currency_Used=2,SUPV_DETAILED_COST_WKSHT!$F384*SUPV_DETAILED_COST_WKSHT!H384,SUPV_DETAILED_COST_WKSHT!$F384*(SUPV_DETAILED_COST_WKSHT!H384*TOP_ACTV_8_Exchange_Rate))</f>
        <v>0</v>
      </c>
      <c r="G2174" s="116">
        <f t="shared" si="206"/>
        <v>0</v>
      </c>
      <c r="H2174" s="116">
        <f t="shared" si="207"/>
        <v>0</v>
      </c>
    </row>
    <row r="2175" spans="1:8" s="10" customFormat="1" outlineLevel="1" x14ac:dyDescent="0.2">
      <c r="D2175" s="49" t="str">
        <f>SUPV_DETAILED_COST_WKSHT!D385</f>
        <v>Other Direct Costs (ODC) Category 8</v>
      </c>
      <c r="E2175" s="115">
        <f>IF(DD_TOP_ACTV_8_Detailed_Currency_Used=2,SUPV_DETAILED_COST_WKSHT!$F385*SUPV_DETAILED_COST_WKSHT!G385,SUPV_DETAILED_COST_WKSHT!$F385*(SUPV_DETAILED_COST_WKSHT!G385*TOP_ACTV_8_Exchange_Rate))</f>
        <v>0</v>
      </c>
      <c r="F2175" s="115">
        <f>IF(DD_TOP_ACTV_8_Detailed_Currency_Used=2,SUPV_DETAILED_COST_WKSHT!$F385*SUPV_DETAILED_COST_WKSHT!H385,SUPV_DETAILED_COST_WKSHT!$F385*(SUPV_DETAILED_COST_WKSHT!H385*TOP_ACTV_8_Exchange_Rate))</f>
        <v>0</v>
      </c>
      <c r="G2175" s="116">
        <f t="shared" si="206"/>
        <v>0</v>
      </c>
      <c r="H2175" s="116">
        <f t="shared" si="207"/>
        <v>0</v>
      </c>
    </row>
    <row r="2176" spans="1:8" s="10" customFormat="1" outlineLevel="1" x14ac:dyDescent="0.2">
      <c r="D2176" s="49" t="str">
        <f>SUPV_DETAILED_COST_WKSHT!D386</f>
        <v>Other Direct Costs (ODC) Category 9</v>
      </c>
      <c r="E2176" s="115">
        <f>IF(DD_TOP_ACTV_8_Detailed_Currency_Used=2,SUPV_DETAILED_COST_WKSHT!$F386*SUPV_DETAILED_COST_WKSHT!G386,SUPV_DETAILED_COST_WKSHT!$F386*(SUPV_DETAILED_COST_WKSHT!G386*TOP_ACTV_8_Exchange_Rate))</f>
        <v>0</v>
      </c>
      <c r="F2176" s="115">
        <f>IF(DD_TOP_ACTV_8_Detailed_Currency_Used=2,SUPV_DETAILED_COST_WKSHT!$F386*SUPV_DETAILED_COST_WKSHT!H386,SUPV_DETAILED_COST_WKSHT!$F386*(SUPV_DETAILED_COST_WKSHT!H386*TOP_ACTV_8_Exchange_Rate))</f>
        <v>0</v>
      </c>
      <c r="G2176" s="116">
        <f t="shared" si="206"/>
        <v>0</v>
      </c>
      <c r="H2176" s="116">
        <f t="shared" si="207"/>
        <v>0</v>
      </c>
    </row>
    <row r="2177" spans="1:8" s="10" customFormat="1" outlineLevel="1" x14ac:dyDescent="0.2">
      <c r="D2177" s="49" t="str">
        <f>SUPV_DETAILED_COST_WKSHT!D387</f>
        <v>Other Direct Costs (ODC) Category 10</v>
      </c>
      <c r="E2177" s="115">
        <f>IF(DD_TOP_ACTV_8_Detailed_Currency_Used=2,SUPV_DETAILED_COST_WKSHT!$F387*SUPV_DETAILED_COST_WKSHT!G387,SUPV_DETAILED_COST_WKSHT!$F387*(SUPV_DETAILED_COST_WKSHT!G387*TOP_ACTV_8_Exchange_Rate))</f>
        <v>0</v>
      </c>
      <c r="F2177" s="115">
        <f>IF(DD_TOP_ACTV_8_Detailed_Currency_Used=2,SUPV_DETAILED_COST_WKSHT!$F387*SUPV_DETAILED_COST_WKSHT!H387,SUPV_DETAILED_COST_WKSHT!$F387*(SUPV_DETAILED_COST_WKSHT!H387*TOP_ACTV_8_Exchange_Rate))</f>
        <v>0</v>
      </c>
      <c r="G2177" s="116">
        <f t="shared" si="206"/>
        <v>0</v>
      </c>
      <c r="H2177" s="116">
        <f t="shared" si="207"/>
        <v>0</v>
      </c>
    </row>
    <row r="2178" spans="1:8" s="10" customFormat="1" outlineLevel="1" x14ac:dyDescent="0.2">
      <c r="D2178" s="48" t="str">
        <f>Lang_Other_Direct_Costs</f>
        <v>Other Direct Costs</v>
      </c>
      <c r="E2178" s="120">
        <f>SUM(E2168:E2177)</f>
        <v>0</v>
      </c>
      <c r="F2178" s="120">
        <f>SUM(F2168:F2177)</f>
        <v>0</v>
      </c>
      <c r="G2178" s="121">
        <f>SUM(G2168:G2177)</f>
        <v>0</v>
      </c>
      <c r="H2178" s="121">
        <f>SUM(H2168:H2177)</f>
        <v>0</v>
      </c>
    </row>
    <row r="2179" spans="1:8" s="10" customFormat="1" outlineLevel="1" x14ac:dyDescent="0.2"/>
    <row r="2180" spans="1:8" s="10" customFormat="1" outlineLevel="1" x14ac:dyDescent="0.2">
      <c r="D2180" s="76" t="str">
        <f>Lang_GoTo&amp;" "&amp;HL_TOP_ACTV_8_Other_Direct_Costs</f>
        <v>Go to SME Activity #4 (Not in Use) - Detailed Other Direct Cost Assumptions</v>
      </c>
    </row>
    <row r="2181" spans="1:8" s="10" customFormat="1" outlineLevel="1" x14ac:dyDescent="0.2">
      <c r="D2181" s="76" t="str">
        <f>Lang_GoTo&amp;" "&amp;HL_TOP_ACTV_8_Cost_Summary_Output</f>
        <v>Go to SME Activity #4 (Not in Use) Detailed Cost Summary</v>
      </c>
    </row>
    <row r="2182" spans="1:8" s="10" customFormat="1" x14ac:dyDescent="0.2"/>
    <row r="2183" spans="1:8" s="13" customFormat="1" x14ac:dyDescent="0.2">
      <c r="A2183" s="12" t="s">
        <v>127</v>
      </c>
      <c r="B2183" s="13" t="str">
        <f>C2185&amp;" "&amp;Lang_Personnel_Outputs</f>
        <v>SME Activity #5 (Not in Use) Personnel - Outputs</v>
      </c>
    </row>
    <row r="2184" spans="1:8" s="10" customFormat="1" outlineLevel="1" x14ac:dyDescent="0.2"/>
    <row r="2185" spans="1:8" s="10" customFormat="1" outlineLevel="1" x14ac:dyDescent="0.2">
      <c r="C2185" s="114" t="str">
        <f>HL_LVL2_ACTV_5_Name</f>
        <v>SME Activity #5 (Not in Use)</v>
      </c>
    </row>
    <row r="2186" spans="1:8" s="10" customFormat="1" outlineLevel="1" x14ac:dyDescent="0.2">
      <c r="E2186" s="86" t="str">
        <f>SUPV_Lu!$D$172&amp;" "&amp;Lang_Cost&amp;" ("&amp;SUPV_Lu!$D$153&amp;")"</f>
        <v>Financial Cost (LCU)</v>
      </c>
      <c r="F2186" s="86" t="str">
        <f>SUPV_Lu!$D$173&amp;" "&amp;Lang_Cost&amp;" ("&amp;SUPV_Lu!$D$153&amp;")"</f>
        <v>Economic Cost (LCU)</v>
      </c>
      <c r="G2186" s="86" t="str">
        <f>SUPV_Lu!$D$172&amp;" "&amp;Lang_Cost&amp;" ("&amp;SUPV_Lu!$D$152&amp;")"</f>
        <v>Financial Cost (USD)</v>
      </c>
      <c r="H2186" s="86" t="str">
        <f>SUPV_Lu!$D$173&amp;" "&amp;Lang_Cost&amp;" ("&amp;SUPV_Lu!$D$152&amp;")"</f>
        <v>Economic Cost (USD)</v>
      </c>
    </row>
    <row r="2187" spans="1:8" s="10" customFormat="1" outlineLevel="1" x14ac:dyDescent="0.2">
      <c r="D2187" s="49" t="str">
        <f>SUPV_DETAILED_COST_WKSHT!D418</f>
        <v>Personnel Category 1</v>
      </c>
      <c r="E2187" s="115">
        <f>IF(DD_LVL2_ACTV_5_Currency_Selected=2,SUPV_DETAILED_COST_WKSHT!$F418*SUPV_DETAILED_COST_WKSHT!G418,SUPV_DETAILED_COST_WKSHT!$F418*(SUPV_DETAILED_COST_WKSHT!G418*LVL2_ACTV_5_Exchange_Rate))</f>
        <v>0</v>
      </c>
      <c r="F2187" s="115">
        <f>IF(DD_LVL2_ACTV_5_Currency_Selected=2,SUPV_DETAILED_COST_WKSHT!$F418*SUPV_DETAILED_COST_WKSHT!H418,SUPV_DETAILED_COST_WKSHT!$F418*(SUPV_DETAILED_COST_WKSHT!H418*LVL2_ACTV_5_Exchange_Rate))</f>
        <v>0</v>
      </c>
      <c r="G2187" s="116">
        <f t="shared" ref="G2187:G2201" si="208">IFERROR(E2187/LVL2_ACTV_5_Exchange_Rate,0)</f>
        <v>0</v>
      </c>
      <c r="H2187" s="116">
        <f t="shared" ref="H2187:H2201" si="209">IFERROR(F2187/LVL2_ACTV_5_Exchange_Rate,0)</f>
        <v>0</v>
      </c>
    </row>
    <row r="2188" spans="1:8" s="10" customFormat="1" outlineLevel="1" x14ac:dyDescent="0.2">
      <c r="D2188" s="49" t="str">
        <f>SUPV_DETAILED_COST_WKSHT!D419</f>
        <v>Personnel Category 2</v>
      </c>
      <c r="E2188" s="115">
        <f>IF(DD_LVL2_ACTV_5_Currency_Selected=2,SUPV_DETAILED_COST_WKSHT!$F419*SUPV_DETAILED_COST_WKSHT!G419,SUPV_DETAILED_COST_WKSHT!$F419*(SUPV_DETAILED_COST_WKSHT!G419*LVL2_ACTV_5_Exchange_Rate))</f>
        <v>0</v>
      </c>
      <c r="F2188" s="115">
        <f>IF(DD_LVL2_ACTV_5_Currency_Selected=2,SUPV_DETAILED_COST_WKSHT!$F419*SUPV_DETAILED_COST_WKSHT!H419,SUPV_DETAILED_COST_WKSHT!$F419*(SUPV_DETAILED_COST_WKSHT!H419*LVL2_ACTV_5_Exchange_Rate))</f>
        <v>0</v>
      </c>
      <c r="G2188" s="116">
        <f t="shared" si="208"/>
        <v>0</v>
      </c>
      <c r="H2188" s="116">
        <f t="shared" si="209"/>
        <v>0</v>
      </c>
    </row>
    <row r="2189" spans="1:8" s="10" customFormat="1" outlineLevel="1" x14ac:dyDescent="0.2">
      <c r="D2189" s="49" t="str">
        <f>SUPV_DETAILED_COST_WKSHT!D420</f>
        <v>Personnel Category 3</v>
      </c>
      <c r="E2189" s="115">
        <f>IF(DD_LVL2_ACTV_5_Currency_Selected=2,SUPV_DETAILED_COST_WKSHT!$F420*SUPV_DETAILED_COST_WKSHT!G420,SUPV_DETAILED_COST_WKSHT!$F420*(SUPV_DETAILED_COST_WKSHT!G420*LVL2_ACTV_5_Exchange_Rate))</f>
        <v>0</v>
      </c>
      <c r="F2189" s="115">
        <f>IF(DD_LVL2_ACTV_5_Currency_Selected=2,SUPV_DETAILED_COST_WKSHT!$F420*SUPV_DETAILED_COST_WKSHT!H420,SUPV_DETAILED_COST_WKSHT!$F420*(SUPV_DETAILED_COST_WKSHT!H420*LVL2_ACTV_5_Exchange_Rate))</f>
        <v>0</v>
      </c>
      <c r="G2189" s="116">
        <f t="shared" si="208"/>
        <v>0</v>
      </c>
      <c r="H2189" s="116">
        <f t="shared" si="209"/>
        <v>0</v>
      </c>
    </row>
    <row r="2190" spans="1:8" s="10" customFormat="1" outlineLevel="1" x14ac:dyDescent="0.2">
      <c r="D2190" s="49" t="str">
        <f>SUPV_DETAILED_COST_WKSHT!D421</f>
        <v>Personnel Category 4</v>
      </c>
      <c r="E2190" s="115">
        <f>IF(DD_LVL2_ACTV_5_Currency_Selected=2,SUPV_DETAILED_COST_WKSHT!$F421*SUPV_DETAILED_COST_WKSHT!G421,SUPV_DETAILED_COST_WKSHT!$F421*(SUPV_DETAILED_COST_WKSHT!G421*LVL2_ACTV_5_Exchange_Rate))</f>
        <v>0</v>
      </c>
      <c r="F2190" s="115">
        <f>IF(DD_LVL2_ACTV_5_Currency_Selected=2,SUPV_DETAILED_COST_WKSHT!$F421*SUPV_DETAILED_COST_WKSHT!H421,SUPV_DETAILED_COST_WKSHT!$F421*(SUPV_DETAILED_COST_WKSHT!H421*LVL2_ACTV_5_Exchange_Rate))</f>
        <v>0</v>
      </c>
      <c r="G2190" s="116">
        <f t="shared" si="208"/>
        <v>0</v>
      </c>
      <c r="H2190" s="116">
        <f t="shared" si="209"/>
        <v>0</v>
      </c>
    </row>
    <row r="2191" spans="1:8" s="10" customFormat="1" outlineLevel="1" x14ac:dyDescent="0.2">
      <c r="D2191" s="49" t="str">
        <f>SUPV_DETAILED_COST_WKSHT!D422</f>
        <v>Personnel Category 5</v>
      </c>
      <c r="E2191" s="115">
        <f>IF(DD_LVL2_ACTV_5_Currency_Selected=2,SUPV_DETAILED_COST_WKSHT!$F422*SUPV_DETAILED_COST_WKSHT!G422,SUPV_DETAILED_COST_WKSHT!$F422*(SUPV_DETAILED_COST_WKSHT!G422*LVL2_ACTV_5_Exchange_Rate))</f>
        <v>0</v>
      </c>
      <c r="F2191" s="115">
        <f>IF(DD_LVL2_ACTV_5_Currency_Selected=2,SUPV_DETAILED_COST_WKSHT!$F422*SUPV_DETAILED_COST_WKSHT!H422,SUPV_DETAILED_COST_WKSHT!$F422*(SUPV_DETAILED_COST_WKSHT!H422*LVL2_ACTV_5_Exchange_Rate))</f>
        <v>0</v>
      </c>
      <c r="G2191" s="116">
        <f t="shared" si="208"/>
        <v>0</v>
      </c>
      <c r="H2191" s="116">
        <f t="shared" si="209"/>
        <v>0</v>
      </c>
    </row>
    <row r="2192" spans="1:8" s="10" customFormat="1" outlineLevel="1" x14ac:dyDescent="0.2">
      <c r="D2192" s="49" t="str">
        <f>SUPV_DETAILED_COST_WKSHT!D423</f>
        <v>Personnel Category 6</v>
      </c>
      <c r="E2192" s="115">
        <f>IF(DD_LVL2_ACTV_5_Currency_Selected=2,SUPV_DETAILED_COST_WKSHT!$F423*SUPV_DETAILED_COST_WKSHT!G423,SUPV_DETAILED_COST_WKSHT!$F423*(SUPV_DETAILED_COST_WKSHT!G423*LVL2_ACTV_5_Exchange_Rate))</f>
        <v>0</v>
      </c>
      <c r="F2192" s="115">
        <f>IF(DD_LVL2_ACTV_5_Currency_Selected=2,SUPV_DETAILED_COST_WKSHT!$F423*SUPV_DETAILED_COST_WKSHT!H423,SUPV_DETAILED_COST_WKSHT!$F423*(SUPV_DETAILED_COST_WKSHT!H423*LVL2_ACTV_5_Exchange_Rate))</f>
        <v>0</v>
      </c>
      <c r="G2192" s="116">
        <f t="shared" si="208"/>
        <v>0</v>
      </c>
      <c r="H2192" s="116">
        <f t="shared" si="209"/>
        <v>0</v>
      </c>
    </row>
    <row r="2193" spans="1:8" s="10" customFormat="1" outlineLevel="1" x14ac:dyDescent="0.2">
      <c r="D2193" s="49" t="str">
        <f>SUPV_DETAILED_COST_WKSHT!D424</f>
        <v>Personnel Category 7</v>
      </c>
      <c r="E2193" s="115">
        <f>IF(DD_LVL2_ACTV_5_Currency_Selected=2,SUPV_DETAILED_COST_WKSHT!$F424*SUPV_DETAILED_COST_WKSHT!G424,SUPV_DETAILED_COST_WKSHT!$F424*(SUPV_DETAILED_COST_WKSHT!G424*LVL2_ACTV_5_Exchange_Rate))</f>
        <v>0</v>
      </c>
      <c r="F2193" s="115">
        <f>IF(DD_LVL2_ACTV_5_Currency_Selected=2,SUPV_DETAILED_COST_WKSHT!$F424*SUPV_DETAILED_COST_WKSHT!H424,SUPV_DETAILED_COST_WKSHT!$F424*(SUPV_DETAILED_COST_WKSHT!H424*LVL2_ACTV_5_Exchange_Rate))</f>
        <v>0</v>
      </c>
      <c r="G2193" s="116">
        <f t="shared" si="208"/>
        <v>0</v>
      </c>
      <c r="H2193" s="116">
        <f t="shared" si="209"/>
        <v>0</v>
      </c>
    </row>
    <row r="2194" spans="1:8" s="10" customFormat="1" outlineLevel="1" x14ac:dyDescent="0.2">
      <c r="D2194" s="49" t="str">
        <f>SUPV_DETAILED_COST_WKSHT!D425</f>
        <v>Personnel Category 8</v>
      </c>
      <c r="E2194" s="115">
        <f>IF(DD_LVL2_ACTV_5_Currency_Selected=2,SUPV_DETAILED_COST_WKSHT!$F425*SUPV_DETAILED_COST_WKSHT!G425,SUPV_DETAILED_COST_WKSHT!$F425*(SUPV_DETAILED_COST_WKSHT!G425*LVL2_ACTV_5_Exchange_Rate))</f>
        <v>0</v>
      </c>
      <c r="F2194" s="115">
        <f>IF(DD_LVL2_ACTV_5_Currency_Selected=2,SUPV_DETAILED_COST_WKSHT!$F425*SUPV_DETAILED_COST_WKSHT!H425,SUPV_DETAILED_COST_WKSHT!$F425*(SUPV_DETAILED_COST_WKSHT!H425*LVL2_ACTV_5_Exchange_Rate))</f>
        <v>0</v>
      </c>
      <c r="G2194" s="116">
        <f t="shared" si="208"/>
        <v>0</v>
      </c>
      <c r="H2194" s="116">
        <f t="shared" si="209"/>
        <v>0</v>
      </c>
    </row>
    <row r="2195" spans="1:8" s="10" customFormat="1" outlineLevel="1" x14ac:dyDescent="0.2">
      <c r="D2195" s="49" t="str">
        <f>SUPV_DETAILED_COST_WKSHT!D426</f>
        <v>Personnel Category 9</v>
      </c>
      <c r="E2195" s="115">
        <f>IF(DD_LVL2_ACTV_5_Currency_Selected=2,SUPV_DETAILED_COST_WKSHT!$F426*SUPV_DETAILED_COST_WKSHT!G426,SUPV_DETAILED_COST_WKSHT!$F426*(SUPV_DETAILED_COST_WKSHT!G426*LVL2_ACTV_5_Exchange_Rate))</f>
        <v>0</v>
      </c>
      <c r="F2195" s="115">
        <f>IF(DD_LVL2_ACTV_5_Currency_Selected=2,SUPV_DETAILED_COST_WKSHT!$F426*SUPV_DETAILED_COST_WKSHT!H426,SUPV_DETAILED_COST_WKSHT!$F426*(SUPV_DETAILED_COST_WKSHT!H426*LVL2_ACTV_5_Exchange_Rate))</f>
        <v>0</v>
      </c>
      <c r="G2195" s="116">
        <f t="shared" si="208"/>
        <v>0</v>
      </c>
      <c r="H2195" s="116">
        <f t="shared" si="209"/>
        <v>0</v>
      </c>
    </row>
    <row r="2196" spans="1:8" s="10" customFormat="1" outlineLevel="1" x14ac:dyDescent="0.2">
      <c r="D2196" s="49" t="str">
        <f>SUPV_DETAILED_COST_WKSHT!D427</f>
        <v>Personnel Category 10</v>
      </c>
      <c r="E2196" s="115">
        <f>IF(DD_LVL2_ACTV_5_Currency_Selected=2,SUPV_DETAILED_COST_WKSHT!$F427*SUPV_DETAILED_COST_WKSHT!G427,SUPV_DETAILED_COST_WKSHT!$F427*(SUPV_DETAILED_COST_WKSHT!G427*LVL2_ACTV_5_Exchange_Rate))</f>
        <v>0</v>
      </c>
      <c r="F2196" s="115">
        <f>IF(DD_LVL2_ACTV_5_Currency_Selected=2,SUPV_DETAILED_COST_WKSHT!$F427*SUPV_DETAILED_COST_WKSHT!H427,SUPV_DETAILED_COST_WKSHT!$F427*(SUPV_DETAILED_COST_WKSHT!H427*LVL2_ACTV_5_Exchange_Rate))</f>
        <v>0</v>
      </c>
      <c r="G2196" s="116">
        <f t="shared" si="208"/>
        <v>0</v>
      </c>
      <c r="H2196" s="116">
        <f t="shared" si="209"/>
        <v>0</v>
      </c>
    </row>
    <row r="2197" spans="1:8" s="10" customFormat="1" outlineLevel="1" x14ac:dyDescent="0.2">
      <c r="D2197" s="49" t="str">
        <f>SUPV_DETAILED_COST_WKSHT!D428</f>
        <v>Personnel Category 11</v>
      </c>
      <c r="E2197" s="115">
        <f>IF(DD_LVL2_ACTV_5_Currency_Selected=2,SUPV_DETAILED_COST_WKSHT!$F428*SUPV_DETAILED_COST_WKSHT!G428,SUPV_DETAILED_COST_WKSHT!$F428*(SUPV_DETAILED_COST_WKSHT!G428*LVL2_ACTV_5_Exchange_Rate))</f>
        <v>0</v>
      </c>
      <c r="F2197" s="115">
        <f>IF(DD_LVL2_ACTV_5_Currency_Selected=2,SUPV_DETAILED_COST_WKSHT!$F428*SUPV_DETAILED_COST_WKSHT!H428,SUPV_DETAILED_COST_WKSHT!$F428*(SUPV_DETAILED_COST_WKSHT!H428*LVL2_ACTV_5_Exchange_Rate))</f>
        <v>0</v>
      </c>
      <c r="G2197" s="116">
        <f t="shared" si="208"/>
        <v>0</v>
      </c>
      <c r="H2197" s="116">
        <f t="shared" si="209"/>
        <v>0</v>
      </c>
    </row>
    <row r="2198" spans="1:8" s="10" customFormat="1" outlineLevel="1" x14ac:dyDescent="0.2">
      <c r="D2198" s="49" t="str">
        <f>SUPV_DETAILED_COST_WKSHT!D429</f>
        <v>Personnel Category 12</v>
      </c>
      <c r="E2198" s="115">
        <f>IF(DD_LVL2_ACTV_5_Currency_Selected=2,SUPV_DETAILED_COST_WKSHT!$F429*SUPV_DETAILED_COST_WKSHT!G429,SUPV_DETAILED_COST_WKSHT!$F429*(SUPV_DETAILED_COST_WKSHT!G429*LVL2_ACTV_5_Exchange_Rate))</f>
        <v>0</v>
      </c>
      <c r="F2198" s="115">
        <f>IF(DD_LVL2_ACTV_5_Currency_Selected=2,SUPV_DETAILED_COST_WKSHT!$F429*SUPV_DETAILED_COST_WKSHT!H429,SUPV_DETAILED_COST_WKSHT!$F429*(SUPV_DETAILED_COST_WKSHT!H429*LVL2_ACTV_5_Exchange_Rate))</f>
        <v>0</v>
      </c>
      <c r="G2198" s="116">
        <f t="shared" si="208"/>
        <v>0</v>
      </c>
      <c r="H2198" s="116">
        <f t="shared" si="209"/>
        <v>0</v>
      </c>
    </row>
    <row r="2199" spans="1:8" s="10" customFormat="1" outlineLevel="1" x14ac:dyDescent="0.2">
      <c r="D2199" s="49" t="str">
        <f>SUPV_DETAILED_COST_WKSHT!D430</f>
        <v>Personnel Category 13</v>
      </c>
      <c r="E2199" s="115">
        <f>IF(DD_LVL2_ACTV_5_Currency_Selected=2,SUPV_DETAILED_COST_WKSHT!$F430*SUPV_DETAILED_COST_WKSHT!G430,SUPV_DETAILED_COST_WKSHT!$F430*(SUPV_DETAILED_COST_WKSHT!G430*LVL2_ACTV_5_Exchange_Rate))</f>
        <v>0</v>
      </c>
      <c r="F2199" s="115">
        <f>IF(DD_LVL2_ACTV_5_Currency_Selected=2,SUPV_DETAILED_COST_WKSHT!$F430*SUPV_DETAILED_COST_WKSHT!H430,SUPV_DETAILED_COST_WKSHT!$F430*(SUPV_DETAILED_COST_WKSHT!H430*LVL2_ACTV_5_Exchange_Rate))</f>
        <v>0</v>
      </c>
      <c r="G2199" s="116">
        <f t="shared" si="208"/>
        <v>0</v>
      </c>
      <c r="H2199" s="116">
        <f t="shared" si="209"/>
        <v>0</v>
      </c>
    </row>
    <row r="2200" spans="1:8" s="10" customFormat="1" outlineLevel="1" x14ac:dyDescent="0.2">
      <c r="D2200" s="49" t="str">
        <f>SUPV_DETAILED_COST_WKSHT!D431</f>
        <v>Personnel Category 14</v>
      </c>
      <c r="E2200" s="115">
        <f>IF(DD_LVL2_ACTV_5_Currency_Selected=2,SUPV_DETAILED_COST_WKSHT!$F431*SUPV_DETAILED_COST_WKSHT!G431,SUPV_DETAILED_COST_WKSHT!$F431*(SUPV_DETAILED_COST_WKSHT!G431*LVL2_ACTV_5_Exchange_Rate))</f>
        <v>0</v>
      </c>
      <c r="F2200" s="115">
        <f>IF(DD_LVL2_ACTV_5_Currency_Selected=2,SUPV_DETAILED_COST_WKSHT!$F431*SUPV_DETAILED_COST_WKSHT!H431,SUPV_DETAILED_COST_WKSHT!$F431*(SUPV_DETAILED_COST_WKSHT!H431*LVL2_ACTV_5_Exchange_Rate))</f>
        <v>0</v>
      </c>
      <c r="G2200" s="116">
        <f t="shared" si="208"/>
        <v>0</v>
      </c>
      <c r="H2200" s="116">
        <f t="shared" si="209"/>
        <v>0</v>
      </c>
    </row>
    <row r="2201" spans="1:8" s="10" customFormat="1" outlineLevel="1" x14ac:dyDescent="0.2">
      <c r="D2201" s="49" t="str">
        <f>SUPV_DETAILED_COST_WKSHT!D432</f>
        <v>Personnel Category 15</v>
      </c>
      <c r="E2201" s="115">
        <f>IF(DD_LVL2_ACTV_5_Currency_Selected=2,SUPV_DETAILED_COST_WKSHT!$F432*SUPV_DETAILED_COST_WKSHT!G432,SUPV_DETAILED_COST_WKSHT!$F432*(SUPV_DETAILED_COST_WKSHT!G432*LVL2_ACTV_5_Exchange_Rate))</f>
        <v>0</v>
      </c>
      <c r="F2201" s="115">
        <f>IF(DD_LVL2_ACTV_5_Currency_Selected=2,SUPV_DETAILED_COST_WKSHT!$F432*SUPV_DETAILED_COST_WKSHT!H432,SUPV_DETAILED_COST_WKSHT!$F432*(SUPV_DETAILED_COST_WKSHT!H432*LVL2_ACTV_5_Exchange_Rate))</f>
        <v>0</v>
      </c>
      <c r="G2201" s="116">
        <f t="shared" si="208"/>
        <v>0</v>
      </c>
      <c r="H2201" s="116">
        <f t="shared" si="209"/>
        <v>0</v>
      </c>
    </row>
    <row r="2202" spans="1:8" s="10" customFormat="1" outlineLevel="1" x14ac:dyDescent="0.2">
      <c r="D2202" s="48" t="str">
        <f>Lang_Personnel</f>
        <v>Personnel</v>
      </c>
      <c r="E2202" s="120">
        <f>SUM(E2187:E2201)</f>
        <v>0</v>
      </c>
      <c r="F2202" s="120">
        <f>SUM(F2187:F2201)</f>
        <v>0</v>
      </c>
      <c r="G2202" s="121">
        <f>SUM(G2187:G2201)</f>
        <v>0</v>
      </c>
      <c r="H2202" s="121">
        <f>SUM(H2187:H2201)</f>
        <v>0</v>
      </c>
    </row>
    <row r="2203" spans="1:8" s="10" customFormat="1" outlineLevel="1" x14ac:dyDescent="0.2"/>
    <row r="2204" spans="1:8" s="10" customFormat="1" outlineLevel="1" x14ac:dyDescent="0.2"/>
    <row r="2205" spans="1:8" s="10" customFormat="1" outlineLevel="1" x14ac:dyDescent="0.2">
      <c r="D2205" s="76" t="str">
        <f>Lang_GoTo&amp;" "&amp;HL_LVL2_ACTV_5_Personnel_Assumptions</f>
        <v>Go to SME Activity #5 (Not in Use) - Detailed Personnel Cost Assumptions</v>
      </c>
    </row>
    <row r="2206" spans="1:8" s="10" customFormat="1" outlineLevel="1" x14ac:dyDescent="0.2">
      <c r="D2206" s="76" t="str">
        <f>Lang_GoTo&amp;" "&amp;HL_LVL2_ACTV_5_Cost_Summary_Output</f>
        <v>Go to SME Activity #5 (Not in Use) Detailed Cost Summary</v>
      </c>
    </row>
    <row r="2207" spans="1:8" s="10" customFormat="1" x14ac:dyDescent="0.2"/>
    <row r="2208" spans="1:8" s="13" customFormat="1" x14ac:dyDescent="0.2">
      <c r="A2208" s="12" t="s">
        <v>127</v>
      </c>
      <c r="B2208" s="13" t="str">
        <f>C2210&amp;" "&amp;Lang_Allowances_Outputs</f>
        <v>SME Activity #5 (Not in Use) Allowances - Outputs</v>
      </c>
    </row>
    <row r="2209" spans="3:8" s="10" customFormat="1" outlineLevel="1" x14ac:dyDescent="0.2"/>
    <row r="2210" spans="3:8" s="10" customFormat="1" outlineLevel="1" x14ac:dyDescent="0.2">
      <c r="C2210" s="114" t="str">
        <f>HL_LVL2_ACTV_5_Name</f>
        <v>SME Activity #5 (Not in Use)</v>
      </c>
    </row>
    <row r="2211" spans="3:8" s="10" customFormat="1" outlineLevel="1" x14ac:dyDescent="0.2">
      <c r="E2211" s="86" t="str">
        <f>SUPV_Lu!$D$172&amp;" "&amp;Lang_Cost&amp;" ("&amp;SUPV_Lu!$D$153&amp;")"</f>
        <v>Financial Cost (LCU)</v>
      </c>
      <c r="F2211" s="86" t="str">
        <f>SUPV_Lu!$D$173&amp;" "&amp;Lang_Cost&amp;" ("&amp;SUPV_Lu!$D$153&amp;")"</f>
        <v>Economic Cost (LCU)</v>
      </c>
      <c r="G2211" s="86" t="str">
        <f>SUPV_Lu!$D$172&amp;" "&amp;Lang_Cost&amp;" ("&amp;SUPV_Lu!$D$152&amp;")"</f>
        <v>Financial Cost (USD)</v>
      </c>
      <c r="H2211" s="86" t="str">
        <f>SUPV_Lu!$D$173&amp;" "&amp;Lang_Cost&amp;" ("&amp;SUPV_Lu!$D$152&amp;")"</f>
        <v>Economic Cost (USD)</v>
      </c>
    </row>
    <row r="2212" spans="3:8" s="10" customFormat="1" outlineLevel="1" x14ac:dyDescent="0.2">
      <c r="D2212" s="49" t="str">
        <f>SUPV_DETAILED_COST_WKSHT!D441</f>
        <v>Allowances Category 1</v>
      </c>
      <c r="E2212" s="115">
        <f>IF(DD_LVL2_ACTV_5_Currency_Selected=2,SUPV_DETAILED_COST_WKSHT!$F441*SUPV_DETAILED_COST_WKSHT!G441,SUPV_DETAILED_COST_WKSHT!$F441*(SUPV_DETAILED_COST_WKSHT!G441*LVL2_ACTV_5_Exchange_Rate))</f>
        <v>0</v>
      </c>
      <c r="F2212" s="115">
        <f>IF(DD_LVL2_ACTV_5_Currency_Selected=2,SUPV_DETAILED_COST_WKSHT!$F441*SUPV_DETAILED_COST_WKSHT!H441,SUPV_DETAILED_COST_WKSHT!$F441*(SUPV_DETAILED_COST_WKSHT!H441*LVL2_ACTV_5_Exchange_Rate))</f>
        <v>0</v>
      </c>
      <c r="G2212" s="116">
        <f t="shared" ref="G2212:G2221" si="210">E2212/LVL2_ACTV_5_Exchange_Rate</f>
        <v>0</v>
      </c>
      <c r="H2212" s="116">
        <f t="shared" ref="H2212:H2221" si="211">F2212/LVL2_ACTV_5_Exchange_Rate</f>
        <v>0</v>
      </c>
    </row>
    <row r="2213" spans="3:8" s="10" customFormat="1" outlineLevel="1" x14ac:dyDescent="0.2">
      <c r="D2213" s="49" t="str">
        <f>SUPV_DETAILED_COST_WKSHT!D442</f>
        <v>Allowances Category 2</v>
      </c>
      <c r="E2213" s="115">
        <f>IF(DD_LVL2_ACTV_5_Currency_Selected=2,SUPV_DETAILED_COST_WKSHT!$F442*SUPV_DETAILED_COST_WKSHT!G442,SUPV_DETAILED_COST_WKSHT!$F442*(SUPV_DETAILED_COST_WKSHT!G442*LVL2_ACTV_5_Exchange_Rate))</f>
        <v>0</v>
      </c>
      <c r="F2213" s="115">
        <f>IF(DD_LVL2_ACTV_5_Currency_Selected=2,SUPV_DETAILED_COST_WKSHT!$F442*SUPV_DETAILED_COST_WKSHT!H442,SUPV_DETAILED_COST_WKSHT!$F442*(SUPV_DETAILED_COST_WKSHT!H442*LVL2_ACTV_5_Exchange_Rate))</f>
        <v>0</v>
      </c>
      <c r="G2213" s="116">
        <f t="shared" si="210"/>
        <v>0</v>
      </c>
      <c r="H2213" s="116">
        <f t="shared" si="211"/>
        <v>0</v>
      </c>
    </row>
    <row r="2214" spans="3:8" s="10" customFormat="1" outlineLevel="1" x14ac:dyDescent="0.2">
      <c r="D2214" s="49" t="str">
        <f>SUPV_DETAILED_COST_WKSHT!D443</f>
        <v>Allowances Category 3</v>
      </c>
      <c r="E2214" s="115">
        <f>IF(DD_LVL2_ACTV_5_Currency_Selected=2,SUPV_DETAILED_COST_WKSHT!$F443*SUPV_DETAILED_COST_WKSHT!G443,SUPV_DETAILED_COST_WKSHT!$F443*(SUPV_DETAILED_COST_WKSHT!G443*LVL2_ACTV_5_Exchange_Rate))</f>
        <v>0</v>
      </c>
      <c r="F2214" s="115">
        <f>IF(DD_LVL2_ACTV_5_Currency_Selected=2,SUPV_DETAILED_COST_WKSHT!$F443*SUPV_DETAILED_COST_WKSHT!H443,SUPV_DETAILED_COST_WKSHT!$F443*(SUPV_DETAILED_COST_WKSHT!H443*LVL2_ACTV_5_Exchange_Rate))</f>
        <v>0</v>
      </c>
      <c r="G2214" s="116">
        <f t="shared" si="210"/>
        <v>0</v>
      </c>
      <c r="H2214" s="116">
        <f t="shared" si="211"/>
        <v>0</v>
      </c>
    </row>
    <row r="2215" spans="3:8" s="10" customFormat="1" outlineLevel="1" x14ac:dyDescent="0.2">
      <c r="D2215" s="49" t="str">
        <f>SUPV_DETAILED_COST_WKSHT!D444</f>
        <v>Allowances Category 4</v>
      </c>
      <c r="E2215" s="115">
        <f>IF(DD_LVL2_ACTV_5_Currency_Selected=2,SUPV_DETAILED_COST_WKSHT!$F444*SUPV_DETAILED_COST_WKSHT!G444,SUPV_DETAILED_COST_WKSHT!$F444*(SUPV_DETAILED_COST_WKSHT!G444*LVL2_ACTV_5_Exchange_Rate))</f>
        <v>0</v>
      </c>
      <c r="F2215" s="115">
        <f>IF(DD_LVL2_ACTV_5_Currency_Selected=2,SUPV_DETAILED_COST_WKSHT!$F444*SUPV_DETAILED_COST_WKSHT!H444,SUPV_DETAILED_COST_WKSHT!$F444*(SUPV_DETAILED_COST_WKSHT!H444*LVL2_ACTV_5_Exchange_Rate))</f>
        <v>0</v>
      </c>
      <c r="G2215" s="116">
        <f t="shared" si="210"/>
        <v>0</v>
      </c>
      <c r="H2215" s="116">
        <f t="shared" si="211"/>
        <v>0</v>
      </c>
    </row>
    <row r="2216" spans="3:8" s="10" customFormat="1" outlineLevel="1" x14ac:dyDescent="0.2">
      <c r="D2216" s="49" t="str">
        <f>SUPV_DETAILED_COST_WKSHT!D445</f>
        <v>Allowances Category 5</v>
      </c>
      <c r="E2216" s="115">
        <f>IF(DD_LVL2_ACTV_5_Currency_Selected=2,SUPV_DETAILED_COST_WKSHT!$F445*SUPV_DETAILED_COST_WKSHT!G445,SUPV_DETAILED_COST_WKSHT!$F445*(SUPV_DETAILED_COST_WKSHT!G445*LVL2_ACTV_5_Exchange_Rate))</f>
        <v>0</v>
      </c>
      <c r="F2216" s="115">
        <f>IF(DD_LVL2_ACTV_5_Currency_Selected=2,SUPV_DETAILED_COST_WKSHT!$F445*SUPV_DETAILED_COST_WKSHT!H445,SUPV_DETAILED_COST_WKSHT!$F445*(SUPV_DETAILED_COST_WKSHT!H445*LVL2_ACTV_5_Exchange_Rate))</f>
        <v>0</v>
      </c>
      <c r="G2216" s="116">
        <f t="shared" si="210"/>
        <v>0</v>
      </c>
      <c r="H2216" s="116">
        <f t="shared" si="211"/>
        <v>0</v>
      </c>
    </row>
    <row r="2217" spans="3:8" s="10" customFormat="1" outlineLevel="1" x14ac:dyDescent="0.2">
      <c r="D2217" s="49" t="str">
        <f>SUPV_DETAILED_COST_WKSHT!D446</f>
        <v>Allowances Category 6</v>
      </c>
      <c r="E2217" s="115">
        <f>IF(DD_LVL2_ACTV_5_Currency_Selected=2,SUPV_DETAILED_COST_WKSHT!$F446*SUPV_DETAILED_COST_WKSHT!G446,SUPV_DETAILED_COST_WKSHT!$F446*(SUPV_DETAILED_COST_WKSHT!G446*LVL2_ACTV_5_Exchange_Rate))</f>
        <v>0</v>
      </c>
      <c r="F2217" s="115">
        <f>IF(DD_LVL2_ACTV_5_Currency_Selected=2,SUPV_DETAILED_COST_WKSHT!$F446*SUPV_DETAILED_COST_WKSHT!H446,SUPV_DETAILED_COST_WKSHT!$F446*(SUPV_DETAILED_COST_WKSHT!H446*LVL2_ACTV_5_Exchange_Rate))</f>
        <v>0</v>
      </c>
      <c r="G2217" s="116">
        <f t="shared" si="210"/>
        <v>0</v>
      </c>
      <c r="H2217" s="116">
        <f t="shared" si="211"/>
        <v>0</v>
      </c>
    </row>
    <row r="2218" spans="3:8" s="10" customFormat="1" outlineLevel="1" x14ac:dyDescent="0.2">
      <c r="D2218" s="49" t="str">
        <f>SUPV_DETAILED_COST_WKSHT!D447</f>
        <v>Allowances Category 7</v>
      </c>
      <c r="E2218" s="115">
        <f>IF(DD_LVL2_ACTV_5_Currency_Selected=2,SUPV_DETAILED_COST_WKSHT!$F447*SUPV_DETAILED_COST_WKSHT!G447,SUPV_DETAILED_COST_WKSHT!$F447*(SUPV_DETAILED_COST_WKSHT!G447*LVL2_ACTV_5_Exchange_Rate))</f>
        <v>0</v>
      </c>
      <c r="F2218" s="115">
        <f>IF(DD_LVL2_ACTV_5_Currency_Selected=2,SUPV_DETAILED_COST_WKSHT!$F447*SUPV_DETAILED_COST_WKSHT!H447,SUPV_DETAILED_COST_WKSHT!$F447*(SUPV_DETAILED_COST_WKSHT!H447*LVL2_ACTV_5_Exchange_Rate))</f>
        <v>0</v>
      </c>
      <c r="G2218" s="116">
        <f t="shared" si="210"/>
        <v>0</v>
      </c>
      <c r="H2218" s="116">
        <f t="shared" si="211"/>
        <v>0</v>
      </c>
    </row>
    <row r="2219" spans="3:8" s="10" customFormat="1" outlineLevel="1" x14ac:dyDescent="0.2">
      <c r="D2219" s="49" t="str">
        <f>SUPV_DETAILED_COST_WKSHT!D448</f>
        <v>Allowances Category 8</v>
      </c>
      <c r="E2219" s="115">
        <f>IF(DD_LVL2_ACTV_5_Currency_Selected=2,SUPV_DETAILED_COST_WKSHT!$F448*SUPV_DETAILED_COST_WKSHT!G448,SUPV_DETAILED_COST_WKSHT!$F448*(SUPV_DETAILED_COST_WKSHT!G448*LVL2_ACTV_5_Exchange_Rate))</f>
        <v>0</v>
      </c>
      <c r="F2219" s="115">
        <f>IF(DD_LVL2_ACTV_5_Currency_Selected=2,SUPV_DETAILED_COST_WKSHT!$F448*SUPV_DETAILED_COST_WKSHT!H448,SUPV_DETAILED_COST_WKSHT!$F448*(SUPV_DETAILED_COST_WKSHT!H448*LVL2_ACTV_5_Exchange_Rate))</f>
        <v>0</v>
      </c>
      <c r="G2219" s="116">
        <f t="shared" si="210"/>
        <v>0</v>
      </c>
      <c r="H2219" s="116">
        <f t="shared" si="211"/>
        <v>0</v>
      </c>
    </row>
    <row r="2220" spans="3:8" s="10" customFormat="1" outlineLevel="1" x14ac:dyDescent="0.2">
      <c r="D2220" s="49" t="str">
        <f>SUPV_DETAILED_COST_WKSHT!D449</f>
        <v>Allowances Category 9</v>
      </c>
      <c r="E2220" s="115">
        <f>IF(DD_LVL2_ACTV_5_Currency_Selected=2,SUPV_DETAILED_COST_WKSHT!$F449*SUPV_DETAILED_COST_WKSHT!G449,SUPV_DETAILED_COST_WKSHT!$F449*(SUPV_DETAILED_COST_WKSHT!G449*LVL2_ACTV_5_Exchange_Rate))</f>
        <v>0</v>
      </c>
      <c r="F2220" s="115">
        <f>IF(DD_LVL2_ACTV_5_Currency_Selected=2,SUPV_DETAILED_COST_WKSHT!$F449*SUPV_DETAILED_COST_WKSHT!H449,SUPV_DETAILED_COST_WKSHT!$F449*(SUPV_DETAILED_COST_WKSHT!H449*LVL2_ACTV_5_Exchange_Rate))</f>
        <v>0</v>
      </c>
      <c r="G2220" s="116">
        <f t="shared" si="210"/>
        <v>0</v>
      </c>
      <c r="H2220" s="116">
        <f t="shared" si="211"/>
        <v>0</v>
      </c>
    </row>
    <row r="2221" spans="3:8" s="10" customFormat="1" outlineLevel="1" x14ac:dyDescent="0.2">
      <c r="D2221" s="49" t="str">
        <f>SUPV_DETAILED_COST_WKSHT!D450</f>
        <v>Allowances Category 10</v>
      </c>
      <c r="E2221" s="115">
        <f>IF(DD_LVL2_ACTV_5_Currency_Selected=2,SUPV_DETAILED_COST_WKSHT!$F450*SUPV_DETAILED_COST_WKSHT!G450,SUPV_DETAILED_COST_WKSHT!$F450*(SUPV_DETAILED_COST_WKSHT!G450*LVL2_ACTV_5_Exchange_Rate))</f>
        <v>0</v>
      </c>
      <c r="F2221" s="115">
        <f>IF(DD_LVL2_ACTV_5_Currency_Selected=2,SUPV_DETAILED_COST_WKSHT!$F450*SUPV_DETAILED_COST_WKSHT!H450,SUPV_DETAILED_COST_WKSHT!$F450*(SUPV_DETAILED_COST_WKSHT!H450*LVL2_ACTV_5_Exchange_Rate))</f>
        <v>0</v>
      </c>
      <c r="G2221" s="116">
        <f t="shared" si="210"/>
        <v>0</v>
      </c>
      <c r="H2221" s="116">
        <f t="shared" si="211"/>
        <v>0</v>
      </c>
    </row>
    <row r="2222" spans="3:8" s="10" customFormat="1" outlineLevel="1" x14ac:dyDescent="0.2">
      <c r="D2222" s="48" t="str">
        <f>Lang_Allowances</f>
        <v>Allowances</v>
      </c>
      <c r="E2222" s="120">
        <f>SUM(E2212:E2221)</f>
        <v>0</v>
      </c>
      <c r="F2222" s="120">
        <f>SUM(F2212:F2221)</f>
        <v>0</v>
      </c>
      <c r="G2222" s="121">
        <f>SUM(G2212:G2221)</f>
        <v>0</v>
      </c>
      <c r="H2222" s="121">
        <f>SUM(H2212:H2221)</f>
        <v>0</v>
      </c>
    </row>
    <row r="2223" spans="3:8" s="10" customFormat="1" outlineLevel="1" x14ac:dyDescent="0.2"/>
    <row r="2224" spans="3:8" s="10" customFormat="1" outlineLevel="1" x14ac:dyDescent="0.2"/>
    <row r="2225" spans="1:8" s="10" customFormat="1" outlineLevel="1" x14ac:dyDescent="0.2">
      <c r="D2225" s="76" t="str">
        <f>Lang_GoTo&amp;" "&amp;HL_LVL2_ACTV_5_Ass_A</f>
        <v>Go to SME Activity #5 (Not in Use) - Detailed Allowance Cost Assumptions</v>
      </c>
    </row>
    <row r="2226" spans="1:8" s="10" customFormat="1" outlineLevel="1" x14ac:dyDescent="0.2">
      <c r="D2226" s="76" t="str">
        <f>Lang_GoTo&amp;" "&amp;HL_LVL2_ACTV_5_Cost_Summary_Output</f>
        <v>Go to SME Activity #5 (Not in Use) Detailed Cost Summary</v>
      </c>
    </row>
    <row r="2227" spans="1:8" s="10" customFormat="1" x14ac:dyDescent="0.2"/>
    <row r="2228" spans="1:8" s="13" customFormat="1" x14ac:dyDescent="0.2">
      <c r="A2228" s="12" t="s">
        <v>127</v>
      </c>
      <c r="B2228" s="13" t="str">
        <f>C2230&amp;" "&amp;Lang_Supplies_And_Materials_Outputs</f>
        <v>SME Activity #5 (Not in Use) Supplies and Materials - Outputs</v>
      </c>
    </row>
    <row r="2229" spans="1:8" s="10" customFormat="1" outlineLevel="1" x14ac:dyDescent="0.2"/>
    <row r="2230" spans="1:8" s="10" customFormat="1" outlineLevel="1" x14ac:dyDescent="0.2">
      <c r="C2230" s="114" t="str">
        <f>HL_LVL2_ACTV_5_Name</f>
        <v>SME Activity #5 (Not in Use)</v>
      </c>
    </row>
    <row r="2231" spans="1:8" s="10" customFormat="1" outlineLevel="1" x14ac:dyDescent="0.2">
      <c r="E2231" s="86" t="str">
        <f>SUPV_Lu!$D$172&amp;" "&amp;Lang_Cost&amp;" ("&amp;SUPV_Lu!$D$153&amp;")"</f>
        <v>Financial Cost (LCU)</v>
      </c>
      <c r="F2231" s="86" t="str">
        <f>SUPV_Lu!$D$173&amp;" "&amp;Lang_Cost&amp;" ("&amp;SUPV_Lu!$D$153&amp;")"</f>
        <v>Economic Cost (LCU)</v>
      </c>
      <c r="G2231" s="86" t="str">
        <f>SUPV_Lu!$D$172&amp;" "&amp;Lang_Cost&amp;" ("&amp;SUPV_Lu!$D$152&amp;")"</f>
        <v>Financial Cost (USD)</v>
      </c>
      <c r="H2231" s="86" t="str">
        <f>SUPV_Lu!$D$173&amp;" "&amp;Lang_Cost&amp;" ("&amp;SUPV_Lu!$D$152&amp;")"</f>
        <v>Economic Cost (USD)</v>
      </c>
    </row>
    <row r="2232" spans="1:8" s="10" customFormat="1" outlineLevel="1" x14ac:dyDescent="0.2">
      <c r="D2232" s="49" t="str">
        <f>SUPV_DETAILED_COST_WKSHT!D459</f>
        <v>Supplies and Materials Category 1</v>
      </c>
      <c r="E2232" s="115">
        <f>IF(DD_LVL2_ACTV_5_Currency_Selected=2,SUPV_DETAILED_COST_WKSHT!$F459*SUPV_DETAILED_COST_WKSHT!G459,SUPV_DETAILED_COST_WKSHT!$F459*(SUPV_DETAILED_COST_WKSHT!G459*LVL2_ACTV_5_Exchange_Rate))</f>
        <v>0</v>
      </c>
      <c r="F2232" s="115">
        <f>IF(DD_LVL2_ACTV_5_Currency_Selected=2,SUPV_DETAILED_COST_WKSHT!$F459*SUPV_DETAILED_COST_WKSHT!H459,SUPV_DETAILED_COST_WKSHT!$F459*(SUPV_DETAILED_COST_WKSHT!H459*LVL2_ACTV_5_Exchange_Rate))</f>
        <v>0</v>
      </c>
      <c r="G2232" s="116">
        <f t="shared" ref="G2232:G2241" si="212">E2232/LVL2_ACTV_5_Exchange_Rate</f>
        <v>0</v>
      </c>
      <c r="H2232" s="116">
        <f t="shared" ref="H2232:H2241" si="213">F2232/LVL2_ACTV_5_Exchange_Rate</f>
        <v>0</v>
      </c>
    </row>
    <row r="2233" spans="1:8" s="10" customFormat="1" outlineLevel="1" x14ac:dyDescent="0.2">
      <c r="D2233" s="49" t="str">
        <f>SUPV_DETAILED_COST_WKSHT!D460</f>
        <v>Supplies and Materials Category 2</v>
      </c>
      <c r="E2233" s="115">
        <f>IF(DD_LVL2_ACTV_5_Currency_Selected=2,SUPV_DETAILED_COST_WKSHT!$F460*SUPV_DETAILED_COST_WKSHT!G460,SUPV_DETAILED_COST_WKSHT!$F460*(SUPV_DETAILED_COST_WKSHT!G460*LVL2_ACTV_5_Exchange_Rate))</f>
        <v>0</v>
      </c>
      <c r="F2233" s="115">
        <f>IF(DD_LVL2_ACTV_5_Currency_Selected=2,SUPV_DETAILED_COST_WKSHT!$F460*SUPV_DETAILED_COST_WKSHT!H460,SUPV_DETAILED_COST_WKSHT!$F460*(SUPV_DETAILED_COST_WKSHT!H460*LVL2_ACTV_5_Exchange_Rate))</f>
        <v>0</v>
      </c>
      <c r="G2233" s="116">
        <f t="shared" si="212"/>
        <v>0</v>
      </c>
      <c r="H2233" s="116">
        <f t="shared" si="213"/>
        <v>0</v>
      </c>
    </row>
    <row r="2234" spans="1:8" s="10" customFormat="1" outlineLevel="1" x14ac:dyDescent="0.2">
      <c r="D2234" s="49" t="str">
        <f>SUPV_DETAILED_COST_WKSHT!D461</f>
        <v>Supplies and Materials Category 3</v>
      </c>
      <c r="E2234" s="115">
        <f>IF(DD_LVL2_ACTV_5_Currency_Selected=2,SUPV_DETAILED_COST_WKSHT!$F461*SUPV_DETAILED_COST_WKSHT!G461,SUPV_DETAILED_COST_WKSHT!$F461*(SUPV_DETAILED_COST_WKSHT!G461*LVL2_ACTV_5_Exchange_Rate))</f>
        <v>0</v>
      </c>
      <c r="F2234" s="115">
        <f>IF(DD_LVL2_ACTV_5_Currency_Selected=2,SUPV_DETAILED_COST_WKSHT!$F461*SUPV_DETAILED_COST_WKSHT!H461,SUPV_DETAILED_COST_WKSHT!$F461*(SUPV_DETAILED_COST_WKSHT!H461*LVL2_ACTV_5_Exchange_Rate))</f>
        <v>0</v>
      </c>
      <c r="G2234" s="116">
        <f t="shared" si="212"/>
        <v>0</v>
      </c>
      <c r="H2234" s="116">
        <f t="shared" si="213"/>
        <v>0</v>
      </c>
    </row>
    <row r="2235" spans="1:8" s="10" customFormat="1" outlineLevel="1" x14ac:dyDescent="0.2">
      <c r="D2235" s="49" t="str">
        <f>SUPV_DETAILED_COST_WKSHT!D462</f>
        <v>Supplies and Materials Category 4</v>
      </c>
      <c r="E2235" s="115">
        <f>IF(DD_LVL2_ACTV_5_Currency_Selected=2,SUPV_DETAILED_COST_WKSHT!$F462*SUPV_DETAILED_COST_WKSHT!G462,SUPV_DETAILED_COST_WKSHT!$F462*(SUPV_DETAILED_COST_WKSHT!G462*LVL2_ACTV_5_Exchange_Rate))</f>
        <v>0</v>
      </c>
      <c r="F2235" s="115">
        <f>IF(DD_LVL2_ACTV_5_Currency_Selected=2,SUPV_DETAILED_COST_WKSHT!$F462*SUPV_DETAILED_COST_WKSHT!H462,SUPV_DETAILED_COST_WKSHT!$F462*(SUPV_DETAILED_COST_WKSHT!H462*LVL2_ACTV_5_Exchange_Rate))</f>
        <v>0</v>
      </c>
      <c r="G2235" s="116">
        <f t="shared" si="212"/>
        <v>0</v>
      </c>
      <c r="H2235" s="116">
        <f t="shared" si="213"/>
        <v>0</v>
      </c>
    </row>
    <row r="2236" spans="1:8" s="10" customFormat="1" outlineLevel="1" x14ac:dyDescent="0.2">
      <c r="D2236" s="49" t="str">
        <f>SUPV_DETAILED_COST_WKSHT!D463</f>
        <v>Supplies and Materials Category 5</v>
      </c>
      <c r="E2236" s="115">
        <f>IF(DD_LVL2_ACTV_5_Currency_Selected=2,SUPV_DETAILED_COST_WKSHT!$F463*SUPV_DETAILED_COST_WKSHT!G463,SUPV_DETAILED_COST_WKSHT!$F463*(SUPV_DETAILED_COST_WKSHT!G463*LVL2_ACTV_5_Exchange_Rate))</f>
        <v>0</v>
      </c>
      <c r="F2236" s="115">
        <f>IF(DD_LVL2_ACTV_5_Currency_Selected=2,SUPV_DETAILED_COST_WKSHT!$F463*SUPV_DETAILED_COST_WKSHT!H463,SUPV_DETAILED_COST_WKSHT!$F463*(SUPV_DETAILED_COST_WKSHT!H463*LVL2_ACTV_5_Exchange_Rate))</f>
        <v>0</v>
      </c>
      <c r="G2236" s="116">
        <f t="shared" si="212"/>
        <v>0</v>
      </c>
      <c r="H2236" s="116">
        <f t="shared" si="213"/>
        <v>0</v>
      </c>
    </row>
    <row r="2237" spans="1:8" s="10" customFormat="1" outlineLevel="1" x14ac:dyDescent="0.2">
      <c r="D2237" s="49" t="str">
        <f>SUPV_DETAILED_COST_WKSHT!D464</f>
        <v>Supplies and Materials Category 6</v>
      </c>
      <c r="E2237" s="115">
        <f>IF(DD_LVL2_ACTV_5_Currency_Selected=2,SUPV_DETAILED_COST_WKSHT!$F464*SUPV_DETAILED_COST_WKSHT!G464,SUPV_DETAILED_COST_WKSHT!$F464*(SUPV_DETAILED_COST_WKSHT!G464*LVL2_ACTV_5_Exchange_Rate))</f>
        <v>0</v>
      </c>
      <c r="F2237" s="115">
        <f>IF(DD_LVL2_ACTV_5_Currency_Selected=2,SUPV_DETAILED_COST_WKSHT!$F464*SUPV_DETAILED_COST_WKSHT!H464,SUPV_DETAILED_COST_WKSHT!$F464*(SUPV_DETAILED_COST_WKSHT!H464*LVL2_ACTV_5_Exchange_Rate))</f>
        <v>0</v>
      </c>
      <c r="G2237" s="116">
        <f t="shared" si="212"/>
        <v>0</v>
      </c>
      <c r="H2237" s="116">
        <f t="shared" si="213"/>
        <v>0</v>
      </c>
    </row>
    <row r="2238" spans="1:8" s="10" customFormat="1" outlineLevel="1" x14ac:dyDescent="0.2">
      <c r="D2238" s="49" t="str">
        <f>SUPV_DETAILED_COST_WKSHT!D465</f>
        <v>Supplies and Materials Category 7</v>
      </c>
      <c r="E2238" s="115">
        <f>IF(DD_LVL2_ACTV_5_Currency_Selected=2,SUPV_DETAILED_COST_WKSHT!$F465*SUPV_DETAILED_COST_WKSHT!G465,SUPV_DETAILED_COST_WKSHT!$F465*(SUPV_DETAILED_COST_WKSHT!G465*LVL2_ACTV_5_Exchange_Rate))</f>
        <v>0</v>
      </c>
      <c r="F2238" s="115">
        <f>IF(DD_LVL2_ACTV_5_Currency_Selected=2,SUPV_DETAILED_COST_WKSHT!$F465*SUPV_DETAILED_COST_WKSHT!H465,SUPV_DETAILED_COST_WKSHT!$F465*(SUPV_DETAILED_COST_WKSHT!H465*LVL2_ACTV_5_Exchange_Rate))</f>
        <v>0</v>
      </c>
      <c r="G2238" s="116">
        <f t="shared" si="212"/>
        <v>0</v>
      </c>
      <c r="H2238" s="116">
        <f t="shared" si="213"/>
        <v>0</v>
      </c>
    </row>
    <row r="2239" spans="1:8" s="10" customFormat="1" outlineLevel="1" x14ac:dyDescent="0.2">
      <c r="D2239" s="49" t="str">
        <f>SUPV_DETAILED_COST_WKSHT!D466</f>
        <v>Supplies and Materials Category 8</v>
      </c>
      <c r="E2239" s="115">
        <f>IF(DD_LVL2_ACTV_5_Currency_Selected=2,SUPV_DETAILED_COST_WKSHT!$F466*SUPV_DETAILED_COST_WKSHT!G466,SUPV_DETAILED_COST_WKSHT!$F466*(SUPV_DETAILED_COST_WKSHT!G466*LVL2_ACTV_5_Exchange_Rate))</f>
        <v>0</v>
      </c>
      <c r="F2239" s="115">
        <f>IF(DD_LVL2_ACTV_5_Currency_Selected=2,SUPV_DETAILED_COST_WKSHT!$F466*SUPV_DETAILED_COST_WKSHT!H466,SUPV_DETAILED_COST_WKSHT!$F466*(SUPV_DETAILED_COST_WKSHT!H466*LVL2_ACTV_5_Exchange_Rate))</f>
        <v>0</v>
      </c>
      <c r="G2239" s="116">
        <f t="shared" si="212"/>
        <v>0</v>
      </c>
      <c r="H2239" s="116">
        <f t="shared" si="213"/>
        <v>0</v>
      </c>
    </row>
    <row r="2240" spans="1:8" s="10" customFormat="1" outlineLevel="1" x14ac:dyDescent="0.2">
      <c r="D2240" s="49" t="str">
        <f>SUPV_DETAILED_COST_WKSHT!D467</f>
        <v>Supplies and Materials Category 9</v>
      </c>
      <c r="E2240" s="115">
        <f>IF(DD_LVL2_ACTV_5_Currency_Selected=2,SUPV_DETAILED_COST_WKSHT!$F467*SUPV_DETAILED_COST_WKSHT!G467,SUPV_DETAILED_COST_WKSHT!$F467*(SUPV_DETAILED_COST_WKSHT!G467*LVL2_ACTV_5_Exchange_Rate))</f>
        <v>0</v>
      </c>
      <c r="F2240" s="115">
        <f>IF(DD_LVL2_ACTV_5_Currency_Selected=2,SUPV_DETAILED_COST_WKSHT!$F467*SUPV_DETAILED_COST_WKSHT!H467,SUPV_DETAILED_COST_WKSHT!$F467*(SUPV_DETAILED_COST_WKSHT!H467*LVL2_ACTV_5_Exchange_Rate))</f>
        <v>0</v>
      </c>
      <c r="G2240" s="116">
        <f t="shared" si="212"/>
        <v>0</v>
      </c>
      <c r="H2240" s="116">
        <f t="shared" si="213"/>
        <v>0</v>
      </c>
    </row>
    <row r="2241" spans="1:8" s="10" customFormat="1" outlineLevel="1" x14ac:dyDescent="0.2">
      <c r="D2241" s="49" t="str">
        <f>SUPV_DETAILED_COST_WKSHT!D468</f>
        <v>Supplies and Materials Category 10</v>
      </c>
      <c r="E2241" s="115">
        <f>IF(DD_LVL2_ACTV_5_Currency_Selected=2,SUPV_DETAILED_COST_WKSHT!$F468*SUPV_DETAILED_COST_WKSHT!G468,SUPV_DETAILED_COST_WKSHT!$F468*(SUPV_DETAILED_COST_WKSHT!G468*LVL2_ACTV_5_Exchange_Rate))</f>
        <v>0</v>
      </c>
      <c r="F2241" s="115">
        <f>IF(DD_LVL2_ACTV_5_Currency_Selected=2,SUPV_DETAILED_COST_WKSHT!$F468*SUPV_DETAILED_COST_WKSHT!H468,SUPV_DETAILED_COST_WKSHT!$F468*(SUPV_DETAILED_COST_WKSHT!H468*LVL2_ACTV_5_Exchange_Rate))</f>
        <v>0</v>
      </c>
      <c r="G2241" s="116">
        <f t="shared" si="212"/>
        <v>0</v>
      </c>
      <c r="H2241" s="116">
        <f t="shared" si="213"/>
        <v>0</v>
      </c>
    </row>
    <row r="2242" spans="1:8" s="10" customFormat="1" outlineLevel="1" x14ac:dyDescent="0.2">
      <c r="D2242" s="48" t="str">
        <f>Lang_Supplies_And_Materials</f>
        <v>Supplies and Materials</v>
      </c>
      <c r="E2242" s="120">
        <f>SUM(E2232:E2241)</f>
        <v>0</v>
      </c>
      <c r="F2242" s="120">
        <f>SUM(F2232:F2241)</f>
        <v>0</v>
      </c>
      <c r="G2242" s="121">
        <f>SUM(G2232:G2241)</f>
        <v>0</v>
      </c>
      <c r="H2242" s="121">
        <f>SUM(H2232:H2241)</f>
        <v>0</v>
      </c>
    </row>
    <row r="2243" spans="1:8" s="10" customFormat="1" outlineLevel="1" x14ac:dyDescent="0.2"/>
    <row r="2244" spans="1:8" s="10" customFormat="1" outlineLevel="1" x14ac:dyDescent="0.2"/>
    <row r="2245" spans="1:8" s="10" customFormat="1" outlineLevel="1" x14ac:dyDescent="0.2">
      <c r="D2245" s="76" t="str">
        <f>Lang_GoTo&amp;" "&amp;HL_LVL2_ACTV_5_Supplies_and_Materials</f>
        <v>Go to SME Activity #5 (Not in Use) - Detailed Supply and Material Cost Assumptions</v>
      </c>
    </row>
    <row r="2246" spans="1:8" s="10" customFormat="1" outlineLevel="1" x14ac:dyDescent="0.2">
      <c r="D2246" s="76" t="str">
        <f>Lang_GoTo&amp;" "&amp;HL_LVL2_ACTV_5_Cost_Summary_Output</f>
        <v>Go to SME Activity #5 (Not in Use) Detailed Cost Summary</v>
      </c>
    </row>
    <row r="2247" spans="1:8" s="10" customFormat="1" x14ac:dyDescent="0.2"/>
    <row r="2248" spans="1:8" s="13" customFormat="1" x14ac:dyDescent="0.2">
      <c r="A2248" s="12" t="s">
        <v>127</v>
      </c>
      <c r="B2248" s="13" t="str">
        <f>C2250&amp;" "&amp;Lang_Other_Direct_Costs_Outputs</f>
        <v>SME Activity #5 (Not in Use) Other Direct Costs - Outputs</v>
      </c>
    </row>
    <row r="2249" spans="1:8" s="10" customFormat="1" outlineLevel="1" x14ac:dyDescent="0.2"/>
    <row r="2250" spans="1:8" s="10" customFormat="1" outlineLevel="1" x14ac:dyDescent="0.2">
      <c r="C2250" s="114" t="str">
        <f>HL_LVL2_ACTV_5_Name</f>
        <v>SME Activity #5 (Not in Use)</v>
      </c>
    </row>
    <row r="2251" spans="1:8" s="10" customFormat="1" outlineLevel="1" x14ac:dyDescent="0.2">
      <c r="E2251" s="86" t="str">
        <f>SUPV_Lu!$D$172&amp;" "&amp;Lang_Cost&amp;" ("&amp;SUPV_Lu!$D$153&amp;")"</f>
        <v>Financial Cost (LCU)</v>
      </c>
      <c r="F2251" s="86" t="str">
        <f>SUPV_Lu!$D$173&amp;" "&amp;Lang_Cost&amp;" ("&amp;SUPV_Lu!$D$153&amp;")"</f>
        <v>Economic Cost (LCU)</v>
      </c>
      <c r="G2251" s="86" t="str">
        <f>SUPV_Lu!$D$172&amp;" "&amp;Lang_Cost&amp;" ("&amp;SUPV_Lu!$D$152&amp;")"</f>
        <v>Financial Cost (USD)</v>
      </c>
      <c r="H2251" s="86" t="str">
        <f>SUPV_Lu!$D$173&amp;" "&amp;Lang_Cost&amp;" ("&amp;SUPV_Lu!$D$152&amp;")"</f>
        <v>Economic Cost (USD)</v>
      </c>
    </row>
    <row r="2252" spans="1:8" s="10" customFormat="1" outlineLevel="1" x14ac:dyDescent="0.2">
      <c r="D2252" s="49" t="str">
        <f>SUPV_DETAILED_COST_WKSHT!D477</f>
        <v>Other Direct Costs (ODC) Category 1</v>
      </c>
      <c r="E2252" s="115">
        <f>IF(DD_LVL2_ACTV_5_Currency_Selected=2,SUPV_DETAILED_COST_WKSHT!$F477*SUPV_DETAILED_COST_WKSHT!G477,SUPV_DETAILED_COST_WKSHT!$F477*(SUPV_DETAILED_COST_WKSHT!G477*LVL2_ACTV_5_Exchange_Rate))</f>
        <v>0</v>
      </c>
      <c r="F2252" s="115">
        <f>IF(DD_LVL2_ACTV_5_Currency_Selected=2,SUPV_DETAILED_COST_WKSHT!$F477*SUPV_DETAILED_COST_WKSHT!H477,SUPV_DETAILED_COST_WKSHT!$F477*(SUPV_DETAILED_COST_WKSHT!H477*LVL2_ACTV_5_Exchange_Rate))</f>
        <v>0</v>
      </c>
      <c r="G2252" s="116">
        <f t="shared" ref="G2252:G2261" si="214">E2252/LVL2_ACTV_5_Exchange_Rate</f>
        <v>0</v>
      </c>
      <c r="H2252" s="116">
        <f t="shared" ref="H2252:H2261" si="215">F2252/LVL2_ACTV_5_Exchange_Rate</f>
        <v>0</v>
      </c>
    </row>
    <row r="2253" spans="1:8" s="10" customFormat="1" outlineLevel="1" x14ac:dyDescent="0.2">
      <c r="D2253" s="49" t="str">
        <f>SUPV_DETAILED_COST_WKSHT!D478</f>
        <v>Other Direct Costs (ODC) Category 2</v>
      </c>
      <c r="E2253" s="115">
        <f>IF(DD_LVL2_ACTV_5_Currency_Selected=2,SUPV_DETAILED_COST_WKSHT!$F478*SUPV_DETAILED_COST_WKSHT!G478,SUPV_DETAILED_COST_WKSHT!$F478*(SUPV_DETAILED_COST_WKSHT!G478*LVL2_ACTV_5_Exchange_Rate))</f>
        <v>0</v>
      </c>
      <c r="F2253" s="115">
        <f>IF(DD_LVL2_ACTV_5_Currency_Selected=2,SUPV_DETAILED_COST_WKSHT!$F478*SUPV_DETAILED_COST_WKSHT!H478,SUPV_DETAILED_COST_WKSHT!$F478*(SUPV_DETAILED_COST_WKSHT!H478*LVL2_ACTV_5_Exchange_Rate))</f>
        <v>0</v>
      </c>
      <c r="G2253" s="116">
        <f t="shared" si="214"/>
        <v>0</v>
      </c>
      <c r="H2253" s="116">
        <f t="shared" si="215"/>
        <v>0</v>
      </c>
    </row>
    <row r="2254" spans="1:8" s="10" customFormat="1" outlineLevel="1" x14ac:dyDescent="0.2">
      <c r="D2254" s="49" t="str">
        <f>SUPV_DETAILED_COST_WKSHT!D479</f>
        <v>Other Direct Costs (ODC) Category 3</v>
      </c>
      <c r="E2254" s="115">
        <f>IF(DD_LVL2_ACTV_5_Currency_Selected=2,SUPV_DETAILED_COST_WKSHT!$F479*SUPV_DETAILED_COST_WKSHT!G479,SUPV_DETAILED_COST_WKSHT!$F479*(SUPV_DETAILED_COST_WKSHT!G479*LVL2_ACTV_5_Exchange_Rate))</f>
        <v>0</v>
      </c>
      <c r="F2254" s="115">
        <f>IF(DD_LVL2_ACTV_5_Currency_Selected=2,SUPV_DETAILED_COST_WKSHT!$F479*SUPV_DETAILED_COST_WKSHT!H479,SUPV_DETAILED_COST_WKSHT!$F479*(SUPV_DETAILED_COST_WKSHT!H479*LVL2_ACTV_5_Exchange_Rate))</f>
        <v>0</v>
      </c>
      <c r="G2254" s="116">
        <f t="shared" si="214"/>
        <v>0</v>
      </c>
      <c r="H2254" s="116">
        <f t="shared" si="215"/>
        <v>0</v>
      </c>
    </row>
    <row r="2255" spans="1:8" s="10" customFormat="1" outlineLevel="1" x14ac:dyDescent="0.2">
      <c r="D2255" s="49" t="str">
        <f>SUPV_DETAILED_COST_WKSHT!D480</f>
        <v>Other Direct Costs (ODC) Category 4</v>
      </c>
      <c r="E2255" s="115">
        <f>IF(DD_LVL2_ACTV_5_Currency_Selected=2,SUPV_DETAILED_COST_WKSHT!$F480*SUPV_DETAILED_COST_WKSHT!G480,SUPV_DETAILED_COST_WKSHT!$F480*(SUPV_DETAILED_COST_WKSHT!G480*LVL2_ACTV_5_Exchange_Rate))</f>
        <v>0</v>
      </c>
      <c r="F2255" s="115">
        <f>IF(DD_LVL2_ACTV_5_Currency_Selected=2,SUPV_DETAILED_COST_WKSHT!$F480*SUPV_DETAILED_COST_WKSHT!H480,SUPV_DETAILED_COST_WKSHT!$F480*(SUPV_DETAILED_COST_WKSHT!H480*LVL2_ACTV_5_Exchange_Rate))</f>
        <v>0</v>
      </c>
      <c r="G2255" s="116">
        <f t="shared" si="214"/>
        <v>0</v>
      </c>
      <c r="H2255" s="116">
        <f t="shared" si="215"/>
        <v>0</v>
      </c>
    </row>
    <row r="2256" spans="1:8" s="10" customFormat="1" outlineLevel="1" x14ac:dyDescent="0.2">
      <c r="D2256" s="49" t="str">
        <f>SUPV_DETAILED_COST_WKSHT!D481</f>
        <v>Other Direct Costs (ODC) Category 5</v>
      </c>
      <c r="E2256" s="115">
        <f>IF(DD_LVL2_ACTV_5_Currency_Selected=2,SUPV_DETAILED_COST_WKSHT!$F481*SUPV_DETAILED_COST_WKSHT!G481,SUPV_DETAILED_COST_WKSHT!$F481*(SUPV_DETAILED_COST_WKSHT!G481*LVL2_ACTV_5_Exchange_Rate))</f>
        <v>0</v>
      </c>
      <c r="F2256" s="115">
        <f>IF(DD_LVL2_ACTV_5_Currency_Selected=2,SUPV_DETAILED_COST_WKSHT!$F481*SUPV_DETAILED_COST_WKSHT!H481,SUPV_DETAILED_COST_WKSHT!$F481*(SUPV_DETAILED_COST_WKSHT!H481*LVL2_ACTV_5_Exchange_Rate))</f>
        <v>0</v>
      </c>
      <c r="G2256" s="116">
        <f t="shared" si="214"/>
        <v>0</v>
      </c>
      <c r="H2256" s="116">
        <f t="shared" si="215"/>
        <v>0</v>
      </c>
    </row>
    <row r="2257" spans="1:8" s="10" customFormat="1" outlineLevel="1" x14ac:dyDescent="0.2">
      <c r="D2257" s="49" t="str">
        <f>SUPV_DETAILED_COST_WKSHT!D482</f>
        <v>Other Direct Costs (ODC) Category 6</v>
      </c>
      <c r="E2257" s="115">
        <f>IF(DD_LVL2_ACTV_5_Currency_Selected=2,SUPV_DETAILED_COST_WKSHT!$F482*SUPV_DETAILED_COST_WKSHT!G482,SUPV_DETAILED_COST_WKSHT!$F482*(SUPV_DETAILED_COST_WKSHT!G482*LVL2_ACTV_5_Exchange_Rate))</f>
        <v>0</v>
      </c>
      <c r="F2257" s="115">
        <f>IF(DD_LVL2_ACTV_5_Currency_Selected=2,SUPV_DETAILED_COST_WKSHT!$F482*SUPV_DETAILED_COST_WKSHT!H482,SUPV_DETAILED_COST_WKSHT!$F482*(SUPV_DETAILED_COST_WKSHT!H482*LVL2_ACTV_5_Exchange_Rate))</f>
        <v>0</v>
      </c>
      <c r="G2257" s="116">
        <f t="shared" si="214"/>
        <v>0</v>
      </c>
      <c r="H2257" s="116">
        <f t="shared" si="215"/>
        <v>0</v>
      </c>
    </row>
    <row r="2258" spans="1:8" s="10" customFormat="1" outlineLevel="1" x14ac:dyDescent="0.2">
      <c r="D2258" s="49" t="str">
        <f>SUPV_DETAILED_COST_WKSHT!D483</f>
        <v>Other Direct Costs (ODC) Category 7</v>
      </c>
      <c r="E2258" s="115">
        <f>IF(DD_LVL2_ACTV_5_Currency_Selected=2,SUPV_DETAILED_COST_WKSHT!$F483*SUPV_DETAILED_COST_WKSHT!G483,SUPV_DETAILED_COST_WKSHT!$F483*(SUPV_DETAILED_COST_WKSHT!G483*LVL2_ACTV_5_Exchange_Rate))</f>
        <v>0</v>
      </c>
      <c r="F2258" s="115">
        <f>IF(DD_LVL2_ACTV_5_Currency_Selected=2,SUPV_DETAILED_COST_WKSHT!$F483*SUPV_DETAILED_COST_WKSHT!H483,SUPV_DETAILED_COST_WKSHT!$F483*(SUPV_DETAILED_COST_WKSHT!H483*LVL2_ACTV_5_Exchange_Rate))</f>
        <v>0</v>
      </c>
      <c r="G2258" s="116">
        <f t="shared" si="214"/>
        <v>0</v>
      </c>
      <c r="H2258" s="116">
        <f t="shared" si="215"/>
        <v>0</v>
      </c>
    </row>
    <row r="2259" spans="1:8" s="10" customFormat="1" outlineLevel="1" x14ac:dyDescent="0.2">
      <c r="D2259" s="49" t="str">
        <f>SUPV_DETAILED_COST_WKSHT!D484</f>
        <v>Other Direct Costs (ODC) Category 8</v>
      </c>
      <c r="E2259" s="115">
        <f>IF(DD_LVL2_ACTV_5_Currency_Selected=2,SUPV_DETAILED_COST_WKSHT!$F484*SUPV_DETAILED_COST_WKSHT!G484,SUPV_DETAILED_COST_WKSHT!$F484*(SUPV_DETAILED_COST_WKSHT!G484*LVL2_ACTV_5_Exchange_Rate))</f>
        <v>0</v>
      </c>
      <c r="F2259" s="115">
        <f>IF(DD_LVL2_ACTV_5_Currency_Selected=2,SUPV_DETAILED_COST_WKSHT!$F484*SUPV_DETAILED_COST_WKSHT!H484,SUPV_DETAILED_COST_WKSHT!$F484*(SUPV_DETAILED_COST_WKSHT!H484*LVL2_ACTV_5_Exchange_Rate))</f>
        <v>0</v>
      </c>
      <c r="G2259" s="116">
        <f t="shared" si="214"/>
        <v>0</v>
      </c>
      <c r="H2259" s="116">
        <f t="shared" si="215"/>
        <v>0</v>
      </c>
    </row>
    <row r="2260" spans="1:8" s="10" customFormat="1" outlineLevel="1" x14ac:dyDescent="0.2">
      <c r="D2260" s="49" t="str">
        <f>SUPV_DETAILED_COST_WKSHT!D485</f>
        <v>Other Direct Costs (ODC) Category 9</v>
      </c>
      <c r="E2260" s="115">
        <f>IF(DD_LVL2_ACTV_5_Currency_Selected=2,SUPV_DETAILED_COST_WKSHT!$F485*SUPV_DETAILED_COST_WKSHT!G485,SUPV_DETAILED_COST_WKSHT!$F485*(SUPV_DETAILED_COST_WKSHT!G485*LVL2_ACTV_5_Exchange_Rate))</f>
        <v>0</v>
      </c>
      <c r="F2260" s="115">
        <f>IF(DD_LVL2_ACTV_5_Currency_Selected=2,SUPV_DETAILED_COST_WKSHT!$F485*SUPV_DETAILED_COST_WKSHT!H485,SUPV_DETAILED_COST_WKSHT!$F485*(SUPV_DETAILED_COST_WKSHT!H485*LVL2_ACTV_5_Exchange_Rate))</f>
        <v>0</v>
      </c>
      <c r="G2260" s="116">
        <f t="shared" si="214"/>
        <v>0</v>
      </c>
      <c r="H2260" s="116">
        <f t="shared" si="215"/>
        <v>0</v>
      </c>
    </row>
    <row r="2261" spans="1:8" s="10" customFormat="1" outlineLevel="1" x14ac:dyDescent="0.2">
      <c r="D2261" s="49" t="str">
        <f>SUPV_DETAILED_COST_WKSHT!D486</f>
        <v>Other Direct Costs (ODC) Category 10</v>
      </c>
      <c r="E2261" s="115">
        <f>IF(DD_LVL2_ACTV_5_Currency_Selected=2,SUPV_DETAILED_COST_WKSHT!$F486*SUPV_DETAILED_COST_WKSHT!G486,SUPV_DETAILED_COST_WKSHT!$F486*(SUPV_DETAILED_COST_WKSHT!G486*LVL2_ACTV_5_Exchange_Rate))</f>
        <v>0</v>
      </c>
      <c r="F2261" s="115">
        <f>IF(DD_LVL2_ACTV_5_Currency_Selected=2,SUPV_DETAILED_COST_WKSHT!$F486*SUPV_DETAILED_COST_WKSHT!H486,SUPV_DETAILED_COST_WKSHT!$F486*(SUPV_DETAILED_COST_WKSHT!H486*LVL2_ACTV_5_Exchange_Rate))</f>
        <v>0</v>
      </c>
      <c r="G2261" s="116">
        <f t="shared" si="214"/>
        <v>0</v>
      </c>
      <c r="H2261" s="116">
        <f t="shared" si="215"/>
        <v>0</v>
      </c>
    </row>
    <row r="2262" spans="1:8" s="10" customFormat="1" outlineLevel="1" x14ac:dyDescent="0.2">
      <c r="D2262" s="48" t="str">
        <f>Lang_Other_Direct_Costs</f>
        <v>Other Direct Costs</v>
      </c>
      <c r="E2262" s="120">
        <f>SUM(E2252:E2261)</f>
        <v>0</v>
      </c>
      <c r="F2262" s="120">
        <f>SUM(F2252:F2261)</f>
        <v>0</v>
      </c>
      <c r="G2262" s="121">
        <f>SUM(G2252:G2261)</f>
        <v>0</v>
      </c>
      <c r="H2262" s="121">
        <f>SUM(H2252:H2261)</f>
        <v>0</v>
      </c>
    </row>
    <row r="2263" spans="1:8" s="10" customFormat="1" outlineLevel="1" x14ac:dyDescent="0.2"/>
    <row r="2264" spans="1:8" s="10" customFormat="1" outlineLevel="1" x14ac:dyDescent="0.2">
      <c r="D2264" s="76" t="str">
        <f>Lang_GoTo&amp;" "&amp;HL_LVL2_ACTV_5_Other_Direct_Costs</f>
        <v>Go to SME Activity #5 (Not in Use) - Detailed Other Direct Cost Assumptions</v>
      </c>
    </row>
    <row r="2265" spans="1:8" s="10" customFormat="1" outlineLevel="1" x14ac:dyDescent="0.2">
      <c r="D2265" s="76" t="str">
        <f>Lang_GoTo&amp;" "&amp;HL_LVL2_ACTV_5_Cost_Summary_Output</f>
        <v>Go to SME Activity #5 (Not in Use) Detailed Cost Summary</v>
      </c>
    </row>
    <row r="2266" spans="1:8" s="10" customFormat="1" x14ac:dyDescent="0.2"/>
    <row r="2267" spans="1:8" s="13" customFormat="1" x14ac:dyDescent="0.2">
      <c r="A2267" s="12" t="s">
        <v>127</v>
      </c>
      <c r="B2267" s="13" t="str">
        <f>C2269&amp;" "&amp;Lang_Personnel_Outputs</f>
        <v>SME Activity #6 (Not in Use) Personnel - Outputs</v>
      </c>
    </row>
    <row r="2268" spans="1:8" s="10" customFormat="1" outlineLevel="1" x14ac:dyDescent="0.2"/>
    <row r="2269" spans="1:8" s="10" customFormat="1" outlineLevel="1" x14ac:dyDescent="0.2">
      <c r="C2269" s="114" t="str">
        <f>HL_LVL2_ACTV_14_Name</f>
        <v>SME Activity #6 (Not in Use)</v>
      </c>
    </row>
    <row r="2270" spans="1:8" s="10" customFormat="1" outlineLevel="1" x14ac:dyDescent="0.2">
      <c r="E2270" s="86" t="str">
        <f>SUPV_Lu!$D$207&amp;" "&amp;Lang_Cost&amp;" ("&amp;SUPV_Lu!$D$188&amp;")"</f>
        <v>Financial Cost (LCU)</v>
      </c>
      <c r="F2270" s="86" t="str">
        <f>SUPV_Lu!$D$208&amp;" "&amp;Lang_Cost&amp;" ("&amp;SUPV_Lu!$D$188&amp;")"</f>
        <v>Economic Cost (LCU)</v>
      </c>
      <c r="G2270" s="86" t="str">
        <f>SUPV_Lu!$D$207&amp;" "&amp;Lang_Cost&amp;" ("&amp;SUPV_Lu!$D$187&amp;")"</f>
        <v>Financial Cost (USD)</v>
      </c>
      <c r="H2270" s="86" t="str">
        <f>SUPV_Lu!$D$208&amp;" "&amp;Lang_Cost&amp;" ("&amp;SUPV_Lu!$D$187&amp;")"</f>
        <v>Economic Cost (USD)</v>
      </c>
    </row>
    <row r="2271" spans="1:8" s="10" customFormat="1" outlineLevel="1" x14ac:dyDescent="0.2">
      <c r="D2271" s="49" t="str">
        <f>SUPV_DETAILED_COST_WKSHT!D517</f>
        <v>Personnel Category 1</v>
      </c>
      <c r="E2271" s="115">
        <f>IF(DD_LVL2_ACTV_14_Currency_Selected=2,SUPV_DETAILED_COST_WKSHT!$F517*SUPV_DETAILED_COST_WKSHT!G517,SUPV_DETAILED_COST_WKSHT!$F517*(SUPV_DETAILED_COST_WKSHT!G517*LVL2_ACTV_14_Exchange_Rate))</f>
        <v>0</v>
      </c>
      <c r="F2271" s="115">
        <f>IF(DD_LVL2_ACTV_14_Currency_Selected=2,SUPV_DETAILED_COST_WKSHT!$F517*SUPV_DETAILED_COST_WKSHT!H517,SUPV_DETAILED_COST_WKSHT!$F517*(SUPV_DETAILED_COST_WKSHT!H517*LVL2_ACTV_14_Exchange_Rate))</f>
        <v>0</v>
      </c>
      <c r="G2271" s="116">
        <f t="shared" ref="G2271:G2285" si="216">IFERROR(E2271/LVL2_ACTV_14_Exchange_Rate,0)</f>
        <v>0</v>
      </c>
      <c r="H2271" s="116">
        <f t="shared" ref="H2271:H2285" si="217">IFERROR(F2271/LVL2_ACTV_14_Exchange_Rate,0)</f>
        <v>0</v>
      </c>
    </row>
    <row r="2272" spans="1:8" s="10" customFormat="1" outlineLevel="1" x14ac:dyDescent="0.2">
      <c r="D2272" s="49" t="str">
        <f>SUPV_DETAILED_COST_WKSHT!D518</f>
        <v>Personnel Category 2</v>
      </c>
      <c r="E2272" s="115">
        <f>IF(DD_LVL2_ACTV_14_Currency_Selected=2,SUPV_DETAILED_COST_WKSHT!$F518*SUPV_DETAILED_COST_WKSHT!G518,SUPV_DETAILED_COST_WKSHT!$F518*(SUPV_DETAILED_COST_WKSHT!G518*LVL2_ACTV_14_Exchange_Rate))</f>
        <v>0</v>
      </c>
      <c r="F2272" s="115">
        <f>IF(DD_LVL2_ACTV_14_Currency_Selected=2,SUPV_DETAILED_COST_WKSHT!$F518*SUPV_DETAILED_COST_WKSHT!H518,SUPV_DETAILED_COST_WKSHT!$F518*(SUPV_DETAILED_COST_WKSHT!H518*LVL2_ACTV_14_Exchange_Rate))</f>
        <v>0</v>
      </c>
      <c r="G2272" s="116">
        <f t="shared" si="216"/>
        <v>0</v>
      </c>
      <c r="H2272" s="116">
        <f t="shared" si="217"/>
        <v>0</v>
      </c>
    </row>
    <row r="2273" spans="4:8" s="10" customFormat="1" outlineLevel="1" x14ac:dyDescent="0.2">
      <c r="D2273" s="49" t="str">
        <f>SUPV_DETAILED_COST_WKSHT!D519</f>
        <v>Personnel Category 3</v>
      </c>
      <c r="E2273" s="115">
        <f>IF(DD_LVL2_ACTV_14_Currency_Selected=2,SUPV_DETAILED_COST_WKSHT!$F519*SUPV_DETAILED_COST_WKSHT!G519,SUPV_DETAILED_COST_WKSHT!$F519*(SUPV_DETAILED_COST_WKSHT!G519*LVL2_ACTV_14_Exchange_Rate))</f>
        <v>0</v>
      </c>
      <c r="F2273" s="115">
        <f>IF(DD_LVL2_ACTV_14_Currency_Selected=2,SUPV_DETAILED_COST_WKSHT!$F519*SUPV_DETAILED_COST_WKSHT!H519,SUPV_DETAILED_COST_WKSHT!$F519*(SUPV_DETAILED_COST_WKSHT!H519*LVL2_ACTV_14_Exchange_Rate))</f>
        <v>0</v>
      </c>
      <c r="G2273" s="116">
        <f t="shared" si="216"/>
        <v>0</v>
      </c>
      <c r="H2273" s="116">
        <f t="shared" si="217"/>
        <v>0</v>
      </c>
    </row>
    <row r="2274" spans="4:8" s="10" customFormat="1" outlineLevel="1" x14ac:dyDescent="0.2">
      <c r="D2274" s="49" t="str">
        <f>SUPV_DETAILED_COST_WKSHT!D520</f>
        <v>Personnel Category 4</v>
      </c>
      <c r="E2274" s="115">
        <f>IF(DD_LVL2_ACTV_14_Currency_Selected=2,SUPV_DETAILED_COST_WKSHT!$F520*SUPV_DETAILED_COST_WKSHT!G520,SUPV_DETAILED_COST_WKSHT!$F520*(SUPV_DETAILED_COST_WKSHT!G520*LVL2_ACTV_14_Exchange_Rate))</f>
        <v>0</v>
      </c>
      <c r="F2274" s="115">
        <f>IF(DD_LVL2_ACTV_14_Currency_Selected=2,SUPV_DETAILED_COST_WKSHT!$F520*SUPV_DETAILED_COST_WKSHT!H520,SUPV_DETAILED_COST_WKSHT!$F520*(SUPV_DETAILED_COST_WKSHT!H520*LVL2_ACTV_14_Exchange_Rate))</f>
        <v>0</v>
      </c>
      <c r="G2274" s="116">
        <f t="shared" si="216"/>
        <v>0</v>
      </c>
      <c r="H2274" s="116">
        <f t="shared" si="217"/>
        <v>0</v>
      </c>
    </row>
    <row r="2275" spans="4:8" s="10" customFormat="1" outlineLevel="1" x14ac:dyDescent="0.2">
      <c r="D2275" s="49" t="str">
        <f>SUPV_DETAILED_COST_WKSHT!D521</f>
        <v>Personnel Category 5</v>
      </c>
      <c r="E2275" s="115">
        <f>IF(DD_LVL2_ACTV_14_Currency_Selected=2,SUPV_DETAILED_COST_WKSHT!$F521*SUPV_DETAILED_COST_WKSHT!G521,SUPV_DETAILED_COST_WKSHT!$F521*(SUPV_DETAILED_COST_WKSHT!G521*LVL2_ACTV_14_Exchange_Rate))</f>
        <v>0</v>
      </c>
      <c r="F2275" s="115">
        <f>IF(DD_LVL2_ACTV_14_Currency_Selected=2,SUPV_DETAILED_COST_WKSHT!$F521*SUPV_DETAILED_COST_WKSHT!H521,SUPV_DETAILED_COST_WKSHT!$F521*(SUPV_DETAILED_COST_WKSHT!H521*LVL2_ACTV_14_Exchange_Rate))</f>
        <v>0</v>
      </c>
      <c r="G2275" s="116">
        <f t="shared" si="216"/>
        <v>0</v>
      </c>
      <c r="H2275" s="116">
        <f t="shared" si="217"/>
        <v>0</v>
      </c>
    </row>
    <row r="2276" spans="4:8" s="10" customFormat="1" outlineLevel="1" x14ac:dyDescent="0.2">
      <c r="D2276" s="49" t="str">
        <f>SUPV_DETAILED_COST_WKSHT!D522</f>
        <v>Personnel Category 6</v>
      </c>
      <c r="E2276" s="115">
        <f>IF(DD_LVL2_ACTV_14_Currency_Selected=2,SUPV_DETAILED_COST_WKSHT!$F522*SUPV_DETAILED_COST_WKSHT!G522,SUPV_DETAILED_COST_WKSHT!$F522*(SUPV_DETAILED_COST_WKSHT!G522*LVL2_ACTV_14_Exchange_Rate))</f>
        <v>0</v>
      </c>
      <c r="F2276" s="115">
        <f>IF(DD_LVL2_ACTV_14_Currency_Selected=2,SUPV_DETAILED_COST_WKSHT!$F522*SUPV_DETAILED_COST_WKSHT!H522,SUPV_DETAILED_COST_WKSHT!$F522*(SUPV_DETAILED_COST_WKSHT!H522*LVL2_ACTV_14_Exchange_Rate))</f>
        <v>0</v>
      </c>
      <c r="G2276" s="116">
        <f t="shared" si="216"/>
        <v>0</v>
      </c>
      <c r="H2276" s="116">
        <f t="shared" si="217"/>
        <v>0</v>
      </c>
    </row>
    <row r="2277" spans="4:8" s="10" customFormat="1" outlineLevel="1" x14ac:dyDescent="0.2">
      <c r="D2277" s="49" t="str">
        <f>SUPV_DETAILED_COST_WKSHT!D523</f>
        <v>Personnel Category 7</v>
      </c>
      <c r="E2277" s="115">
        <f>IF(DD_LVL2_ACTV_14_Currency_Selected=2,SUPV_DETAILED_COST_WKSHT!$F523*SUPV_DETAILED_COST_WKSHT!G523,SUPV_DETAILED_COST_WKSHT!$F523*(SUPV_DETAILED_COST_WKSHT!G523*LVL2_ACTV_14_Exchange_Rate))</f>
        <v>0</v>
      </c>
      <c r="F2277" s="115">
        <f>IF(DD_LVL2_ACTV_14_Currency_Selected=2,SUPV_DETAILED_COST_WKSHT!$F523*SUPV_DETAILED_COST_WKSHT!H523,SUPV_DETAILED_COST_WKSHT!$F523*(SUPV_DETAILED_COST_WKSHT!H523*LVL2_ACTV_14_Exchange_Rate))</f>
        <v>0</v>
      </c>
      <c r="G2277" s="116">
        <f t="shared" si="216"/>
        <v>0</v>
      </c>
      <c r="H2277" s="116">
        <f t="shared" si="217"/>
        <v>0</v>
      </c>
    </row>
    <row r="2278" spans="4:8" s="10" customFormat="1" outlineLevel="1" x14ac:dyDescent="0.2">
      <c r="D2278" s="49" t="str">
        <f>SUPV_DETAILED_COST_WKSHT!D524</f>
        <v>Personnel Category 8</v>
      </c>
      <c r="E2278" s="115">
        <f>IF(DD_LVL2_ACTV_14_Currency_Selected=2,SUPV_DETAILED_COST_WKSHT!$F524*SUPV_DETAILED_COST_WKSHT!G524,SUPV_DETAILED_COST_WKSHT!$F524*(SUPV_DETAILED_COST_WKSHT!G524*LVL2_ACTV_14_Exchange_Rate))</f>
        <v>0</v>
      </c>
      <c r="F2278" s="115">
        <f>IF(DD_LVL2_ACTV_14_Currency_Selected=2,SUPV_DETAILED_COST_WKSHT!$F524*SUPV_DETAILED_COST_WKSHT!H524,SUPV_DETAILED_COST_WKSHT!$F524*(SUPV_DETAILED_COST_WKSHT!H524*LVL2_ACTV_14_Exchange_Rate))</f>
        <v>0</v>
      </c>
      <c r="G2278" s="116">
        <f t="shared" si="216"/>
        <v>0</v>
      </c>
      <c r="H2278" s="116">
        <f t="shared" si="217"/>
        <v>0</v>
      </c>
    </row>
    <row r="2279" spans="4:8" s="10" customFormat="1" outlineLevel="1" x14ac:dyDescent="0.2">
      <c r="D2279" s="49" t="str">
        <f>SUPV_DETAILED_COST_WKSHT!D525</f>
        <v>Personnel Category 9</v>
      </c>
      <c r="E2279" s="115">
        <f>IF(DD_LVL2_ACTV_14_Currency_Selected=2,SUPV_DETAILED_COST_WKSHT!$F525*SUPV_DETAILED_COST_WKSHT!G525,SUPV_DETAILED_COST_WKSHT!$F525*(SUPV_DETAILED_COST_WKSHT!G525*LVL2_ACTV_14_Exchange_Rate))</f>
        <v>0</v>
      </c>
      <c r="F2279" s="115">
        <f>IF(DD_LVL2_ACTV_14_Currency_Selected=2,SUPV_DETAILED_COST_WKSHT!$F525*SUPV_DETAILED_COST_WKSHT!H525,SUPV_DETAILED_COST_WKSHT!$F525*(SUPV_DETAILED_COST_WKSHT!H525*LVL2_ACTV_14_Exchange_Rate))</f>
        <v>0</v>
      </c>
      <c r="G2279" s="116">
        <f t="shared" si="216"/>
        <v>0</v>
      </c>
      <c r="H2279" s="116">
        <f t="shared" si="217"/>
        <v>0</v>
      </c>
    </row>
    <row r="2280" spans="4:8" s="10" customFormat="1" outlineLevel="1" x14ac:dyDescent="0.2">
      <c r="D2280" s="49" t="str">
        <f>SUPV_DETAILED_COST_WKSHT!D526</f>
        <v>Personnel Category 10</v>
      </c>
      <c r="E2280" s="115">
        <f>IF(DD_LVL2_ACTV_14_Currency_Selected=2,SUPV_DETAILED_COST_WKSHT!$F526*SUPV_DETAILED_COST_WKSHT!G526,SUPV_DETAILED_COST_WKSHT!$F526*(SUPV_DETAILED_COST_WKSHT!G526*LVL2_ACTV_14_Exchange_Rate))</f>
        <v>0</v>
      </c>
      <c r="F2280" s="115">
        <f>IF(DD_LVL2_ACTV_14_Currency_Selected=2,SUPV_DETAILED_COST_WKSHT!$F526*SUPV_DETAILED_COST_WKSHT!H526,SUPV_DETAILED_COST_WKSHT!$F526*(SUPV_DETAILED_COST_WKSHT!H526*LVL2_ACTV_14_Exchange_Rate))</f>
        <v>0</v>
      </c>
      <c r="G2280" s="116">
        <f t="shared" si="216"/>
        <v>0</v>
      </c>
      <c r="H2280" s="116">
        <f t="shared" si="217"/>
        <v>0</v>
      </c>
    </row>
    <row r="2281" spans="4:8" s="10" customFormat="1" outlineLevel="1" x14ac:dyDescent="0.2">
      <c r="D2281" s="49" t="str">
        <f>SUPV_DETAILED_COST_WKSHT!D527</f>
        <v>Personnel Category 11</v>
      </c>
      <c r="E2281" s="115">
        <f>IF(DD_LVL2_ACTV_14_Currency_Selected=2,SUPV_DETAILED_COST_WKSHT!$F527*SUPV_DETAILED_COST_WKSHT!G527,SUPV_DETAILED_COST_WKSHT!$F527*(SUPV_DETAILED_COST_WKSHT!G527*LVL2_ACTV_14_Exchange_Rate))</f>
        <v>0</v>
      </c>
      <c r="F2281" s="115">
        <f>IF(DD_LVL2_ACTV_14_Currency_Selected=2,SUPV_DETAILED_COST_WKSHT!$F527*SUPV_DETAILED_COST_WKSHT!H527,SUPV_DETAILED_COST_WKSHT!$F527*(SUPV_DETAILED_COST_WKSHT!H527*LVL2_ACTV_14_Exchange_Rate))</f>
        <v>0</v>
      </c>
      <c r="G2281" s="116">
        <f t="shared" si="216"/>
        <v>0</v>
      </c>
      <c r="H2281" s="116">
        <f t="shared" si="217"/>
        <v>0</v>
      </c>
    </row>
    <row r="2282" spans="4:8" s="10" customFormat="1" outlineLevel="1" x14ac:dyDescent="0.2">
      <c r="D2282" s="49" t="str">
        <f>SUPV_DETAILED_COST_WKSHT!D528</f>
        <v>Personnel Category 12</v>
      </c>
      <c r="E2282" s="115">
        <f>IF(DD_LVL2_ACTV_14_Currency_Selected=2,SUPV_DETAILED_COST_WKSHT!$F528*SUPV_DETAILED_COST_WKSHT!G528,SUPV_DETAILED_COST_WKSHT!$F528*(SUPV_DETAILED_COST_WKSHT!G528*LVL2_ACTV_14_Exchange_Rate))</f>
        <v>0</v>
      </c>
      <c r="F2282" s="115">
        <f>IF(DD_LVL2_ACTV_14_Currency_Selected=2,SUPV_DETAILED_COST_WKSHT!$F528*SUPV_DETAILED_COST_WKSHT!H528,SUPV_DETAILED_COST_WKSHT!$F528*(SUPV_DETAILED_COST_WKSHT!H528*LVL2_ACTV_14_Exchange_Rate))</f>
        <v>0</v>
      </c>
      <c r="G2282" s="116">
        <f t="shared" si="216"/>
        <v>0</v>
      </c>
      <c r="H2282" s="116">
        <f t="shared" si="217"/>
        <v>0</v>
      </c>
    </row>
    <row r="2283" spans="4:8" s="10" customFormat="1" outlineLevel="1" x14ac:dyDescent="0.2">
      <c r="D2283" s="49" t="str">
        <f>SUPV_DETAILED_COST_WKSHT!D529</f>
        <v>Personnel Category 13</v>
      </c>
      <c r="E2283" s="115">
        <f>IF(DD_LVL2_ACTV_14_Currency_Selected=2,SUPV_DETAILED_COST_WKSHT!$F529*SUPV_DETAILED_COST_WKSHT!G529,SUPV_DETAILED_COST_WKSHT!$F529*(SUPV_DETAILED_COST_WKSHT!G529*LVL2_ACTV_14_Exchange_Rate))</f>
        <v>0</v>
      </c>
      <c r="F2283" s="115">
        <f>IF(DD_LVL2_ACTV_14_Currency_Selected=2,SUPV_DETAILED_COST_WKSHT!$F529*SUPV_DETAILED_COST_WKSHT!H529,SUPV_DETAILED_COST_WKSHT!$F529*(SUPV_DETAILED_COST_WKSHT!H529*LVL2_ACTV_14_Exchange_Rate))</f>
        <v>0</v>
      </c>
      <c r="G2283" s="116">
        <f t="shared" si="216"/>
        <v>0</v>
      </c>
      <c r="H2283" s="116">
        <f t="shared" si="217"/>
        <v>0</v>
      </c>
    </row>
    <row r="2284" spans="4:8" s="10" customFormat="1" outlineLevel="1" x14ac:dyDescent="0.2">
      <c r="D2284" s="49" t="str">
        <f>SUPV_DETAILED_COST_WKSHT!D530</f>
        <v>Personnel Category 14</v>
      </c>
      <c r="E2284" s="115">
        <f>IF(DD_LVL2_ACTV_14_Currency_Selected=2,SUPV_DETAILED_COST_WKSHT!$F530*SUPV_DETAILED_COST_WKSHT!G530,SUPV_DETAILED_COST_WKSHT!$F530*(SUPV_DETAILED_COST_WKSHT!G530*LVL2_ACTV_14_Exchange_Rate))</f>
        <v>0</v>
      </c>
      <c r="F2284" s="115">
        <f>IF(DD_LVL2_ACTV_14_Currency_Selected=2,SUPV_DETAILED_COST_WKSHT!$F530*SUPV_DETAILED_COST_WKSHT!H530,SUPV_DETAILED_COST_WKSHT!$F530*(SUPV_DETAILED_COST_WKSHT!H530*LVL2_ACTV_14_Exchange_Rate))</f>
        <v>0</v>
      </c>
      <c r="G2284" s="116">
        <f t="shared" si="216"/>
        <v>0</v>
      </c>
      <c r="H2284" s="116">
        <f t="shared" si="217"/>
        <v>0</v>
      </c>
    </row>
    <row r="2285" spans="4:8" s="10" customFormat="1" outlineLevel="1" x14ac:dyDescent="0.2">
      <c r="D2285" s="49" t="str">
        <f>SUPV_DETAILED_COST_WKSHT!D531</f>
        <v>Personnel Category 15</v>
      </c>
      <c r="E2285" s="115">
        <f>IF(DD_LVL2_ACTV_14_Currency_Selected=2,SUPV_DETAILED_COST_WKSHT!$F531*SUPV_DETAILED_COST_WKSHT!G531,SUPV_DETAILED_COST_WKSHT!$F531*(SUPV_DETAILED_COST_WKSHT!G531*LVL2_ACTV_14_Exchange_Rate))</f>
        <v>0</v>
      </c>
      <c r="F2285" s="115">
        <f>IF(DD_LVL2_ACTV_14_Currency_Selected=2,SUPV_DETAILED_COST_WKSHT!$F531*SUPV_DETAILED_COST_WKSHT!H531,SUPV_DETAILED_COST_WKSHT!$F531*(SUPV_DETAILED_COST_WKSHT!H531*LVL2_ACTV_14_Exchange_Rate))</f>
        <v>0</v>
      </c>
      <c r="G2285" s="116">
        <f t="shared" si="216"/>
        <v>0</v>
      </c>
      <c r="H2285" s="116">
        <f t="shared" si="217"/>
        <v>0</v>
      </c>
    </row>
    <row r="2286" spans="4:8" s="10" customFormat="1" outlineLevel="1" x14ac:dyDescent="0.2">
      <c r="D2286" s="48" t="str">
        <f>Lang_Personnel</f>
        <v>Personnel</v>
      </c>
      <c r="E2286" s="120">
        <f>SUM(E2271:E2285)</f>
        <v>0</v>
      </c>
      <c r="F2286" s="120">
        <f>SUM(F2271:F2285)</f>
        <v>0</v>
      </c>
      <c r="G2286" s="121">
        <f>SUM(G2271:G2285)</f>
        <v>0</v>
      </c>
      <c r="H2286" s="121">
        <f>SUM(H2271:H2285)</f>
        <v>0</v>
      </c>
    </row>
    <row r="2287" spans="4:8" s="10" customFormat="1" outlineLevel="1" x14ac:dyDescent="0.2"/>
    <row r="2288" spans="4:8" s="10" customFormat="1" outlineLevel="1" x14ac:dyDescent="0.2"/>
    <row r="2289" spans="1:8" s="10" customFormat="1" outlineLevel="1" x14ac:dyDescent="0.2">
      <c r="D2289" s="76" t="str">
        <f>Lang_GoTo&amp;" "&amp;HL_LVL2_ACTV_14_Personnel_Assumptions</f>
        <v>Go to SME Activity #6 (Not in Use) - Detailed Personnel Cost Assumptions</v>
      </c>
    </row>
    <row r="2290" spans="1:8" s="10" customFormat="1" outlineLevel="1" x14ac:dyDescent="0.2">
      <c r="D2290" s="76" t="str">
        <f>Lang_GoTo&amp;" "&amp;HL_LVL2_ACTV_14_Cost_Summary_Output</f>
        <v>Go to SME Activity #6 (Not in Use) Detailed Cost Summary</v>
      </c>
    </row>
    <row r="2291" spans="1:8" s="10" customFormat="1" x14ac:dyDescent="0.2"/>
    <row r="2292" spans="1:8" s="13" customFormat="1" x14ac:dyDescent="0.2">
      <c r="A2292" s="12" t="s">
        <v>127</v>
      </c>
      <c r="B2292" s="13" t="str">
        <f>C2294&amp;" "&amp;Lang_Allowances_Outputs</f>
        <v>SME Activity #6 (Not in Use) Allowances - Outputs</v>
      </c>
    </row>
    <row r="2293" spans="1:8" s="10" customFormat="1" outlineLevel="1" x14ac:dyDescent="0.2"/>
    <row r="2294" spans="1:8" s="10" customFormat="1" outlineLevel="1" x14ac:dyDescent="0.2">
      <c r="C2294" s="114" t="str">
        <f>HL_LVL2_ACTV_14_Name</f>
        <v>SME Activity #6 (Not in Use)</v>
      </c>
    </row>
    <row r="2295" spans="1:8" s="10" customFormat="1" outlineLevel="1" x14ac:dyDescent="0.2">
      <c r="E2295" s="86" t="str">
        <f>SUPV_Lu!$D$207&amp;" "&amp;Lang_Cost&amp;" ("&amp;SUPV_Lu!$D$188&amp;")"</f>
        <v>Financial Cost (LCU)</v>
      </c>
      <c r="F2295" s="86" t="str">
        <f>SUPV_Lu!$D$208&amp;" "&amp;Lang_Cost&amp;" ("&amp;SUPV_Lu!$D$188&amp;")"</f>
        <v>Economic Cost (LCU)</v>
      </c>
      <c r="G2295" s="86" t="str">
        <f>SUPV_Lu!$D$207&amp;" "&amp;Lang_Cost&amp;" ("&amp;SUPV_Lu!$D$187&amp;")"</f>
        <v>Financial Cost (USD)</v>
      </c>
      <c r="H2295" s="86" t="str">
        <f>SUPV_Lu!$D$208&amp;" "&amp;Lang_Cost&amp;" ("&amp;SUPV_Lu!$D$187&amp;")"</f>
        <v>Economic Cost (USD)</v>
      </c>
    </row>
    <row r="2296" spans="1:8" s="10" customFormat="1" outlineLevel="1" x14ac:dyDescent="0.2">
      <c r="D2296" s="49" t="str">
        <f>SUPV_DETAILED_COST_WKSHT!D540</f>
        <v>Allowances Category 1</v>
      </c>
      <c r="E2296" s="115">
        <f>IF(DD_LVL2_ACTV_14_Currency_Selected=2,SUPV_DETAILED_COST_WKSHT!$F540*SUPV_DETAILED_COST_WKSHT!G540,SUPV_DETAILED_COST_WKSHT!$F540*(SUPV_DETAILED_COST_WKSHT!G540*LVL2_ACTV_14_Exchange_Rate))</f>
        <v>0</v>
      </c>
      <c r="F2296" s="115">
        <f>IF(DD_LVL2_ACTV_14_Currency_Selected=2,SUPV_DETAILED_COST_WKSHT!$F540*SUPV_DETAILED_COST_WKSHT!H540,SUPV_DETAILED_COST_WKSHT!$F540*(SUPV_DETAILED_COST_WKSHT!H540*LVL2_ACTV_14_Exchange_Rate))</f>
        <v>0</v>
      </c>
      <c r="G2296" s="116">
        <f t="shared" ref="G2296:G2305" si="218">E2296/LVL2_ACTV_14_Exchange_Rate</f>
        <v>0</v>
      </c>
      <c r="H2296" s="116">
        <f t="shared" ref="H2296:H2305" si="219">F2296/LVL2_ACTV_14_Exchange_Rate</f>
        <v>0</v>
      </c>
    </row>
    <row r="2297" spans="1:8" s="10" customFormat="1" outlineLevel="1" x14ac:dyDescent="0.2">
      <c r="D2297" s="49" t="str">
        <f>SUPV_DETAILED_COST_WKSHT!D541</f>
        <v>Allowances Category 2</v>
      </c>
      <c r="E2297" s="115">
        <f>IF(DD_LVL2_ACTV_14_Currency_Selected=2,SUPV_DETAILED_COST_WKSHT!$F541*SUPV_DETAILED_COST_WKSHT!G541,SUPV_DETAILED_COST_WKSHT!$F541*(SUPV_DETAILED_COST_WKSHT!G541*LVL2_ACTV_14_Exchange_Rate))</f>
        <v>0</v>
      </c>
      <c r="F2297" s="115">
        <f>IF(DD_LVL2_ACTV_14_Currency_Selected=2,SUPV_DETAILED_COST_WKSHT!$F541*SUPV_DETAILED_COST_WKSHT!H541,SUPV_DETAILED_COST_WKSHT!$F541*(SUPV_DETAILED_COST_WKSHT!H541*LVL2_ACTV_14_Exchange_Rate))</f>
        <v>0</v>
      </c>
      <c r="G2297" s="116">
        <f t="shared" si="218"/>
        <v>0</v>
      </c>
      <c r="H2297" s="116">
        <f t="shared" si="219"/>
        <v>0</v>
      </c>
    </row>
    <row r="2298" spans="1:8" s="10" customFormat="1" outlineLevel="1" x14ac:dyDescent="0.2">
      <c r="D2298" s="49" t="str">
        <f>SUPV_DETAILED_COST_WKSHT!D542</f>
        <v>Allowances Category 3</v>
      </c>
      <c r="E2298" s="115">
        <f>IF(DD_LVL2_ACTV_14_Currency_Selected=2,SUPV_DETAILED_COST_WKSHT!$F542*SUPV_DETAILED_COST_WKSHT!G542,SUPV_DETAILED_COST_WKSHT!$F542*(SUPV_DETAILED_COST_WKSHT!G542*LVL2_ACTV_14_Exchange_Rate))</f>
        <v>0</v>
      </c>
      <c r="F2298" s="115">
        <f>IF(DD_LVL2_ACTV_14_Currency_Selected=2,SUPV_DETAILED_COST_WKSHT!$F542*SUPV_DETAILED_COST_WKSHT!H542,SUPV_DETAILED_COST_WKSHT!$F542*(SUPV_DETAILED_COST_WKSHT!H542*LVL2_ACTV_14_Exchange_Rate))</f>
        <v>0</v>
      </c>
      <c r="G2298" s="116">
        <f t="shared" si="218"/>
        <v>0</v>
      </c>
      <c r="H2298" s="116">
        <f t="shared" si="219"/>
        <v>0</v>
      </c>
    </row>
    <row r="2299" spans="1:8" s="10" customFormat="1" outlineLevel="1" x14ac:dyDescent="0.2">
      <c r="D2299" s="49" t="str">
        <f>SUPV_DETAILED_COST_WKSHT!D543</f>
        <v>Allowances Category 4</v>
      </c>
      <c r="E2299" s="115">
        <f>IF(DD_LVL2_ACTV_14_Currency_Selected=2,SUPV_DETAILED_COST_WKSHT!$F543*SUPV_DETAILED_COST_WKSHT!G543,SUPV_DETAILED_COST_WKSHT!$F543*(SUPV_DETAILED_COST_WKSHT!G543*LVL2_ACTV_14_Exchange_Rate))</f>
        <v>0</v>
      </c>
      <c r="F2299" s="115">
        <f>IF(DD_LVL2_ACTV_14_Currency_Selected=2,SUPV_DETAILED_COST_WKSHT!$F543*SUPV_DETAILED_COST_WKSHT!H543,SUPV_DETAILED_COST_WKSHT!$F543*(SUPV_DETAILED_COST_WKSHT!H543*LVL2_ACTV_14_Exchange_Rate))</f>
        <v>0</v>
      </c>
      <c r="G2299" s="116">
        <f t="shared" si="218"/>
        <v>0</v>
      </c>
      <c r="H2299" s="116">
        <f t="shared" si="219"/>
        <v>0</v>
      </c>
    </row>
    <row r="2300" spans="1:8" s="10" customFormat="1" outlineLevel="1" x14ac:dyDescent="0.2">
      <c r="D2300" s="49" t="str">
        <f>SUPV_DETAILED_COST_WKSHT!D544</f>
        <v>Allowances Category 5</v>
      </c>
      <c r="E2300" s="115">
        <f>IF(DD_LVL2_ACTV_14_Currency_Selected=2,SUPV_DETAILED_COST_WKSHT!$F544*SUPV_DETAILED_COST_WKSHT!G544,SUPV_DETAILED_COST_WKSHT!$F544*(SUPV_DETAILED_COST_WKSHT!G544*LVL2_ACTV_14_Exchange_Rate))</f>
        <v>0</v>
      </c>
      <c r="F2300" s="115">
        <f>IF(DD_LVL2_ACTV_14_Currency_Selected=2,SUPV_DETAILED_COST_WKSHT!$F544*SUPV_DETAILED_COST_WKSHT!H544,SUPV_DETAILED_COST_WKSHT!$F544*(SUPV_DETAILED_COST_WKSHT!H544*LVL2_ACTV_14_Exchange_Rate))</f>
        <v>0</v>
      </c>
      <c r="G2300" s="116">
        <f t="shared" si="218"/>
        <v>0</v>
      </c>
      <c r="H2300" s="116">
        <f t="shared" si="219"/>
        <v>0</v>
      </c>
    </row>
    <row r="2301" spans="1:8" s="10" customFormat="1" outlineLevel="1" x14ac:dyDescent="0.2">
      <c r="D2301" s="49" t="str">
        <f>SUPV_DETAILED_COST_WKSHT!D545</f>
        <v>Allowances Category 6</v>
      </c>
      <c r="E2301" s="115">
        <f>IF(DD_LVL2_ACTV_14_Currency_Selected=2,SUPV_DETAILED_COST_WKSHT!$F545*SUPV_DETAILED_COST_WKSHT!G545,SUPV_DETAILED_COST_WKSHT!$F545*(SUPV_DETAILED_COST_WKSHT!G545*LVL2_ACTV_14_Exchange_Rate))</f>
        <v>0</v>
      </c>
      <c r="F2301" s="115">
        <f>IF(DD_LVL2_ACTV_14_Currency_Selected=2,SUPV_DETAILED_COST_WKSHT!$F545*SUPV_DETAILED_COST_WKSHT!H545,SUPV_DETAILED_COST_WKSHT!$F545*(SUPV_DETAILED_COST_WKSHT!H545*LVL2_ACTV_14_Exchange_Rate))</f>
        <v>0</v>
      </c>
      <c r="G2301" s="116">
        <f t="shared" si="218"/>
        <v>0</v>
      </c>
      <c r="H2301" s="116">
        <f t="shared" si="219"/>
        <v>0</v>
      </c>
    </row>
    <row r="2302" spans="1:8" s="10" customFormat="1" outlineLevel="1" x14ac:dyDescent="0.2">
      <c r="D2302" s="49" t="str">
        <f>SUPV_DETAILED_COST_WKSHT!D546</f>
        <v>Allowances Category 7</v>
      </c>
      <c r="E2302" s="115">
        <f>IF(DD_LVL2_ACTV_14_Currency_Selected=2,SUPV_DETAILED_COST_WKSHT!$F546*SUPV_DETAILED_COST_WKSHT!G546,SUPV_DETAILED_COST_WKSHT!$F546*(SUPV_DETAILED_COST_WKSHT!G546*LVL2_ACTV_14_Exchange_Rate))</f>
        <v>0</v>
      </c>
      <c r="F2302" s="115">
        <f>IF(DD_LVL2_ACTV_14_Currency_Selected=2,SUPV_DETAILED_COST_WKSHT!$F546*SUPV_DETAILED_COST_WKSHT!H546,SUPV_DETAILED_COST_WKSHT!$F546*(SUPV_DETAILED_COST_WKSHT!H546*LVL2_ACTV_14_Exchange_Rate))</f>
        <v>0</v>
      </c>
      <c r="G2302" s="116">
        <f t="shared" si="218"/>
        <v>0</v>
      </c>
      <c r="H2302" s="116">
        <f t="shared" si="219"/>
        <v>0</v>
      </c>
    </row>
    <row r="2303" spans="1:8" s="10" customFormat="1" outlineLevel="1" x14ac:dyDescent="0.2">
      <c r="D2303" s="49" t="str">
        <f>SUPV_DETAILED_COST_WKSHT!D547</f>
        <v>Allowances Category 8</v>
      </c>
      <c r="E2303" s="115">
        <f>IF(DD_LVL2_ACTV_14_Currency_Selected=2,SUPV_DETAILED_COST_WKSHT!$F547*SUPV_DETAILED_COST_WKSHT!G547,SUPV_DETAILED_COST_WKSHT!$F547*(SUPV_DETAILED_COST_WKSHT!G547*LVL2_ACTV_14_Exchange_Rate))</f>
        <v>0</v>
      </c>
      <c r="F2303" s="115">
        <f>IF(DD_LVL2_ACTV_14_Currency_Selected=2,SUPV_DETAILED_COST_WKSHT!$F547*SUPV_DETAILED_COST_WKSHT!H547,SUPV_DETAILED_COST_WKSHT!$F547*(SUPV_DETAILED_COST_WKSHT!H547*LVL2_ACTV_14_Exchange_Rate))</f>
        <v>0</v>
      </c>
      <c r="G2303" s="116">
        <f t="shared" si="218"/>
        <v>0</v>
      </c>
      <c r="H2303" s="116">
        <f t="shared" si="219"/>
        <v>0</v>
      </c>
    </row>
    <row r="2304" spans="1:8" s="10" customFormat="1" outlineLevel="1" x14ac:dyDescent="0.2">
      <c r="D2304" s="49" t="str">
        <f>SUPV_DETAILED_COST_WKSHT!D548</f>
        <v>Allowances Category 9</v>
      </c>
      <c r="E2304" s="115">
        <f>IF(DD_LVL2_ACTV_14_Currency_Selected=2,SUPV_DETAILED_COST_WKSHT!$F548*SUPV_DETAILED_COST_WKSHT!G548,SUPV_DETAILED_COST_WKSHT!$F548*(SUPV_DETAILED_COST_WKSHT!G548*LVL2_ACTV_14_Exchange_Rate))</f>
        <v>0</v>
      </c>
      <c r="F2304" s="115">
        <f>IF(DD_LVL2_ACTV_14_Currency_Selected=2,SUPV_DETAILED_COST_WKSHT!$F548*SUPV_DETAILED_COST_WKSHT!H548,SUPV_DETAILED_COST_WKSHT!$F548*(SUPV_DETAILED_COST_WKSHT!H548*LVL2_ACTV_14_Exchange_Rate))</f>
        <v>0</v>
      </c>
      <c r="G2304" s="116">
        <f t="shared" si="218"/>
        <v>0</v>
      </c>
      <c r="H2304" s="116">
        <f t="shared" si="219"/>
        <v>0</v>
      </c>
    </row>
    <row r="2305" spans="1:8" s="10" customFormat="1" outlineLevel="1" x14ac:dyDescent="0.2">
      <c r="D2305" s="49" t="str">
        <f>SUPV_DETAILED_COST_WKSHT!D549</f>
        <v>Allowances Category 10</v>
      </c>
      <c r="E2305" s="115">
        <f>IF(DD_LVL2_ACTV_14_Currency_Selected=2,SUPV_DETAILED_COST_WKSHT!$F549*SUPV_DETAILED_COST_WKSHT!G549,SUPV_DETAILED_COST_WKSHT!$F549*(SUPV_DETAILED_COST_WKSHT!G549*LVL2_ACTV_14_Exchange_Rate))</f>
        <v>0</v>
      </c>
      <c r="F2305" s="115">
        <f>IF(DD_LVL2_ACTV_14_Currency_Selected=2,SUPV_DETAILED_COST_WKSHT!$F549*SUPV_DETAILED_COST_WKSHT!H549,SUPV_DETAILED_COST_WKSHT!$F549*(SUPV_DETAILED_COST_WKSHT!H549*LVL2_ACTV_14_Exchange_Rate))</f>
        <v>0</v>
      </c>
      <c r="G2305" s="116">
        <f t="shared" si="218"/>
        <v>0</v>
      </c>
      <c r="H2305" s="116">
        <f t="shared" si="219"/>
        <v>0</v>
      </c>
    </row>
    <row r="2306" spans="1:8" s="10" customFormat="1" outlineLevel="1" x14ac:dyDescent="0.2">
      <c r="D2306" s="48" t="str">
        <f>Lang_Allowances</f>
        <v>Allowances</v>
      </c>
      <c r="E2306" s="120">
        <f>SUM(E2296:E2305)</f>
        <v>0</v>
      </c>
      <c r="F2306" s="120">
        <f>SUM(F2296:F2305)</f>
        <v>0</v>
      </c>
      <c r="G2306" s="121">
        <f>SUM(G2296:G2305)</f>
        <v>0</v>
      </c>
      <c r="H2306" s="121">
        <f>SUM(H2296:H2305)</f>
        <v>0</v>
      </c>
    </row>
    <row r="2307" spans="1:8" s="10" customFormat="1" outlineLevel="1" x14ac:dyDescent="0.2"/>
    <row r="2308" spans="1:8" s="10" customFormat="1" outlineLevel="1" x14ac:dyDescent="0.2"/>
    <row r="2309" spans="1:8" s="10" customFormat="1" outlineLevel="1" x14ac:dyDescent="0.2">
      <c r="D2309" s="76" t="str">
        <f>Lang_GoTo&amp;" "&amp;HL_LVL2_ACTV_14_Ass_A</f>
        <v>Go to SME Activity #6 (Not in Use) - Detailed Allowance Cost Assumptions</v>
      </c>
    </row>
    <row r="2310" spans="1:8" s="10" customFormat="1" outlineLevel="1" x14ac:dyDescent="0.2">
      <c r="D2310" s="76" t="str">
        <f>Lang_GoTo&amp;" "&amp;HL_LVL2_ACTV_14_Cost_Summary_Output</f>
        <v>Go to SME Activity #6 (Not in Use) Detailed Cost Summary</v>
      </c>
    </row>
    <row r="2311" spans="1:8" s="10" customFormat="1" x14ac:dyDescent="0.2"/>
    <row r="2312" spans="1:8" s="13" customFormat="1" x14ac:dyDescent="0.2">
      <c r="A2312" s="12" t="s">
        <v>127</v>
      </c>
      <c r="B2312" s="13" t="str">
        <f>C2314&amp;" "&amp;Lang_Supplies_And_Materials_Outputs</f>
        <v>SME Activity #6 (Not in Use) Supplies and Materials - Outputs</v>
      </c>
    </row>
    <row r="2313" spans="1:8" s="10" customFormat="1" outlineLevel="1" x14ac:dyDescent="0.2"/>
    <row r="2314" spans="1:8" s="10" customFormat="1" outlineLevel="1" x14ac:dyDescent="0.2">
      <c r="C2314" s="114" t="str">
        <f>HL_LVL2_ACTV_14_Name</f>
        <v>SME Activity #6 (Not in Use)</v>
      </c>
    </row>
    <row r="2315" spans="1:8" s="10" customFormat="1" outlineLevel="1" x14ac:dyDescent="0.2">
      <c r="E2315" s="86" t="str">
        <f>SUPV_Lu!$D$207&amp;" "&amp;Lang_Cost&amp;" ("&amp;SUPV_Lu!$D$188&amp;")"</f>
        <v>Financial Cost (LCU)</v>
      </c>
      <c r="F2315" s="86" t="str">
        <f>SUPV_Lu!$D$208&amp;" "&amp;Lang_Cost&amp;" ("&amp;SUPV_Lu!$D$188&amp;")"</f>
        <v>Economic Cost (LCU)</v>
      </c>
      <c r="G2315" s="86" t="str">
        <f>SUPV_Lu!$D$207&amp;" "&amp;Lang_Cost&amp;" ("&amp;SUPV_Lu!$D$187&amp;")"</f>
        <v>Financial Cost (USD)</v>
      </c>
      <c r="H2315" s="86" t="str">
        <f>SUPV_Lu!$D$208&amp;" "&amp;Lang_Cost&amp;" ("&amp;SUPV_Lu!$D$187&amp;")"</f>
        <v>Economic Cost (USD)</v>
      </c>
    </row>
    <row r="2316" spans="1:8" s="10" customFormat="1" outlineLevel="1" x14ac:dyDescent="0.2">
      <c r="D2316" s="49" t="str">
        <f>SUPV_DETAILED_COST_WKSHT!D558</f>
        <v>Supplies and Materials Category 1</v>
      </c>
      <c r="E2316" s="115">
        <f>IF(DD_LVL2_ACTV_14_Currency_Selected=2,SUPV_DETAILED_COST_WKSHT!$F558*SUPV_DETAILED_COST_WKSHT!G558,SUPV_DETAILED_COST_WKSHT!$F558*(SUPV_DETAILED_COST_WKSHT!G558*LVL2_ACTV_14_Exchange_Rate))</f>
        <v>0</v>
      </c>
      <c r="F2316" s="115">
        <f>IF(DD_LVL2_ACTV_14_Currency_Selected=2,SUPV_DETAILED_COST_WKSHT!$F558*SUPV_DETAILED_COST_WKSHT!H558,SUPV_DETAILED_COST_WKSHT!$F558*(SUPV_DETAILED_COST_WKSHT!H558*LVL2_ACTV_14_Exchange_Rate))</f>
        <v>0</v>
      </c>
      <c r="G2316" s="116">
        <f t="shared" ref="G2316:G2325" si="220">E2316/LVL2_ACTV_14_Exchange_Rate</f>
        <v>0</v>
      </c>
      <c r="H2316" s="116">
        <f t="shared" ref="H2316:H2325" si="221">F2316/LVL2_ACTV_14_Exchange_Rate</f>
        <v>0</v>
      </c>
    </row>
    <row r="2317" spans="1:8" s="10" customFormat="1" outlineLevel="1" x14ac:dyDescent="0.2">
      <c r="D2317" s="49" t="str">
        <f>SUPV_DETAILED_COST_WKSHT!D559</f>
        <v>Supplies and Materials Category 2</v>
      </c>
      <c r="E2317" s="115">
        <f>IF(DD_LVL2_ACTV_14_Currency_Selected=2,SUPV_DETAILED_COST_WKSHT!$F559*SUPV_DETAILED_COST_WKSHT!G559,SUPV_DETAILED_COST_WKSHT!$F559*(SUPV_DETAILED_COST_WKSHT!G559*LVL2_ACTV_14_Exchange_Rate))</f>
        <v>0</v>
      </c>
      <c r="F2317" s="115">
        <f>IF(DD_LVL2_ACTV_14_Currency_Selected=2,SUPV_DETAILED_COST_WKSHT!$F559*SUPV_DETAILED_COST_WKSHT!H559,SUPV_DETAILED_COST_WKSHT!$F559*(SUPV_DETAILED_COST_WKSHT!H559*LVL2_ACTV_14_Exchange_Rate))</f>
        <v>0</v>
      </c>
      <c r="G2317" s="116">
        <f t="shared" si="220"/>
        <v>0</v>
      </c>
      <c r="H2317" s="116">
        <f t="shared" si="221"/>
        <v>0</v>
      </c>
    </row>
    <row r="2318" spans="1:8" s="10" customFormat="1" outlineLevel="1" x14ac:dyDescent="0.2">
      <c r="D2318" s="49" t="str">
        <f>SUPV_DETAILED_COST_WKSHT!D560</f>
        <v>Supplies and Materials Category 3</v>
      </c>
      <c r="E2318" s="115">
        <f>IF(DD_LVL2_ACTV_14_Currency_Selected=2,SUPV_DETAILED_COST_WKSHT!$F560*SUPV_DETAILED_COST_WKSHT!G560,SUPV_DETAILED_COST_WKSHT!$F560*(SUPV_DETAILED_COST_WKSHT!G560*LVL2_ACTV_14_Exchange_Rate))</f>
        <v>0</v>
      </c>
      <c r="F2318" s="115">
        <f>IF(DD_LVL2_ACTV_14_Currency_Selected=2,SUPV_DETAILED_COST_WKSHT!$F560*SUPV_DETAILED_COST_WKSHT!H560,SUPV_DETAILED_COST_WKSHT!$F560*(SUPV_DETAILED_COST_WKSHT!H560*LVL2_ACTV_14_Exchange_Rate))</f>
        <v>0</v>
      </c>
      <c r="G2318" s="116">
        <f t="shared" si="220"/>
        <v>0</v>
      </c>
      <c r="H2318" s="116">
        <f t="shared" si="221"/>
        <v>0</v>
      </c>
    </row>
    <row r="2319" spans="1:8" s="10" customFormat="1" outlineLevel="1" x14ac:dyDescent="0.2">
      <c r="D2319" s="49" t="str">
        <f>SUPV_DETAILED_COST_WKSHT!D561</f>
        <v>Supplies and Materials Category 4</v>
      </c>
      <c r="E2319" s="115">
        <f>IF(DD_LVL2_ACTV_14_Currency_Selected=2,SUPV_DETAILED_COST_WKSHT!$F561*SUPV_DETAILED_COST_WKSHT!G561,SUPV_DETAILED_COST_WKSHT!$F561*(SUPV_DETAILED_COST_WKSHT!G561*LVL2_ACTV_14_Exchange_Rate))</f>
        <v>0</v>
      </c>
      <c r="F2319" s="115">
        <f>IF(DD_LVL2_ACTV_14_Currency_Selected=2,SUPV_DETAILED_COST_WKSHT!$F561*SUPV_DETAILED_COST_WKSHT!H561,SUPV_DETAILED_COST_WKSHT!$F561*(SUPV_DETAILED_COST_WKSHT!H561*LVL2_ACTV_14_Exchange_Rate))</f>
        <v>0</v>
      </c>
      <c r="G2319" s="116">
        <f t="shared" si="220"/>
        <v>0</v>
      </c>
      <c r="H2319" s="116">
        <f t="shared" si="221"/>
        <v>0</v>
      </c>
    </row>
    <row r="2320" spans="1:8" s="10" customFormat="1" outlineLevel="1" x14ac:dyDescent="0.2">
      <c r="D2320" s="49" t="str">
        <f>SUPV_DETAILED_COST_WKSHT!D562</f>
        <v>Supplies and Materials Category 5</v>
      </c>
      <c r="E2320" s="115">
        <f>IF(DD_LVL2_ACTV_14_Currency_Selected=2,SUPV_DETAILED_COST_WKSHT!$F562*SUPV_DETAILED_COST_WKSHT!G562,SUPV_DETAILED_COST_WKSHT!$F562*(SUPV_DETAILED_COST_WKSHT!G562*LVL2_ACTV_14_Exchange_Rate))</f>
        <v>0</v>
      </c>
      <c r="F2320" s="115">
        <f>IF(DD_LVL2_ACTV_14_Currency_Selected=2,SUPV_DETAILED_COST_WKSHT!$F562*SUPV_DETAILED_COST_WKSHT!H562,SUPV_DETAILED_COST_WKSHT!$F562*(SUPV_DETAILED_COST_WKSHT!H562*LVL2_ACTV_14_Exchange_Rate))</f>
        <v>0</v>
      </c>
      <c r="G2320" s="116">
        <f t="shared" si="220"/>
        <v>0</v>
      </c>
      <c r="H2320" s="116">
        <f t="shared" si="221"/>
        <v>0</v>
      </c>
    </row>
    <row r="2321" spans="1:8" s="10" customFormat="1" outlineLevel="1" x14ac:dyDescent="0.2">
      <c r="D2321" s="49" t="str">
        <f>SUPV_DETAILED_COST_WKSHT!D563</f>
        <v>Supplies and Materials Category 6</v>
      </c>
      <c r="E2321" s="115">
        <f>IF(DD_LVL2_ACTV_14_Currency_Selected=2,SUPV_DETAILED_COST_WKSHT!$F563*SUPV_DETAILED_COST_WKSHT!G563,SUPV_DETAILED_COST_WKSHT!$F563*(SUPV_DETAILED_COST_WKSHT!G563*LVL2_ACTV_14_Exchange_Rate))</f>
        <v>0</v>
      </c>
      <c r="F2321" s="115">
        <f>IF(DD_LVL2_ACTV_14_Currency_Selected=2,SUPV_DETAILED_COST_WKSHT!$F563*SUPV_DETAILED_COST_WKSHT!H563,SUPV_DETAILED_COST_WKSHT!$F563*(SUPV_DETAILED_COST_WKSHT!H563*LVL2_ACTV_14_Exchange_Rate))</f>
        <v>0</v>
      </c>
      <c r="G2321" s="116">
        <f t="shared" si="220"/>
        <v>0</v>
      </c>
      <c r="H2321" s="116">
        <f t="shared" si="221"/>
        <v>0</v>
      </c>
    </row>
    <row r="2322" spans="1:8" s="10" customFormat="1" outlineLevel="1" x14ac:dyDescent="0.2">
      <c r="D2322" s="49" t="str">
        <f>SUPV_DETAILED_COST_WKSHT!D564</f>
        <v>Supplies and Materials Category 7</v>
      </c>
      <c r="E2322" s="115">
        <f>IF(DD_LVL2_ACTV_14_Currency_Selected=2,SUPV_DETAILED_COST_WKSHT!$F564*SUPV_DETAILED_COST_WKSHT!G564,SUPV_DETAILED_COST_WKSHT!$F564*(SUPV_DETAILED_COST_WKSHT!G564*LVL2_ACTV_14_Exchange_Rate))</f>
        <v>0</v>
      </c>
      <c r="F2322" s="115">
        <f>IF(DD_LVL2_ACTV_14_Currency_Selected=2,SUPV_DETAILED_COST_WKSHT!$F564*SUPV_DETAILED_COST_WKSHT!H564,SUPV_DETAILED_COST_WKSHT!$F564*(SUPV_DETAILED_COST_WKSHT!H564*LVL2_ACTV_14_Exchange_Rate))</f>
        <v>0</v>
      </c>
      <c r="G2322" s="116">
        <f t="shared" si="220"/>
        <v>0</v>
      </c>
      <c r="H2322" s="116">
        <f t="shared" si="221"/>
        <v>0</v>
      </c>
    </row>
    <row r="2323" spans="1:8" s="10" customFormat="1" outlineLevel="1" x14ac:dyDescent="0.2">
      <c r="D2323" s="49" t="str">
        <f>SUPV_DETAILED_COST_WKSHT!D565</f>
        <v>Supplies and Materials Category 8</v>
      </c>
      <c r="E2323" s="115">
        <f>IF(DD_LVL2_ACTV_14_Currency_Selected=2,SUPV_DETAILED_COST_WKSHT!$F565*SUPV_DETAILED_COST_WKSHT!G565,SUPV_DETAILED_COST_WKSHT!$F565*(SUPV_DETAILED_COST_WKSHT!G565*LVL2_ACTV_14_Exchange_Rate))</f>
        <v>0</v>
      </c>
      <c r="F2323" s="115">
        <f>IF(DD_LVL2_ACTV_14_Currency_Selected=2,SUPV_DETAILED_COST_WKSHT!$F565*SUPV_DETAILED_COST_WKSHT!H565,SUPV_DETAILED_COST_WKSHT!$F565*(SUPV_DETAILED_COST_WKSHT!H565*LVL2_ACTV_14_Exchange_Rate))</f>
        <v>0</v>
      </c>
      <c r="G2323" s="116">
        <f t="shared" si="220"/>
        <v>0</v>
      </c>
      <c r="H2323" s="116">
        <f t="shared" si="221"/>
        <v>0</v>
      </c>
    </row>
    <row r="2324" spans="1:8" s="10" customFormat="1" outlineLevel="1" x14ac:dyDescent="0.2">
      <c r="D2324" s="49" t="str">
        <f>SUPV_DETAILED_COST_WKSHT!D566</f>
        <v>Supplies and Materials Category 9</v>
      </c>
      <c r="E2324" s="115">
        <f>IF(DD_LVL2_ACTV_14_Currency_Selected=2,SUPV_DETAILED_COST_WKSHT!$F566*SUPV_DETAILED_COST_WKSHT!G566,SUPV_DETAILED_COST_WKSHT!$F566*(SUPV_DETAILED_COST_WKSHT!G566*LVL2_ACTV_14_Exchange_Rate))</f>
        <v>0</v>
      </c>
      <c r="F2324" s="115">
        <f>IF(DD_LVL2_ACTV_14_Currency_Selected=2,SUPV_DETAILED_COST_WKSHT!$F566*SUPV_DETAILED_COST_WKSHT!H566,SUPV_DETAILED_COST_WKSHT!$F566*(SUPV_DETAILED_COST_WKSHT!H566*LVL2_ACTV_14_Exchange_Rate))</f>
        <v>0</v>
      </c>
      <c r="G2324" s="116">
        <f t="shared" si="220"/>
        <v>0</v>
      </c>
      <c r="H2324" s="116">
        <f t="shared" si="221"/>
        <v>0</v>
      </c>
    </row>
    <row r="2325" spans="1:8" s="10" customFormat="1" outlineLevel="1" x14ac:dyDescent="0.2">
      <c r="D2325" s="49" t="str">
        <f>SUPV_DETAILED_COST_WKSHT!D567</f>
        <v>Supplies and Materials Category 10</v>
      </c>
      <c r="E2325" s="115">
        <f>IF(DD_LVL2_ACTV_14_Currency_Selected=2,SUPV_DETAILED_COST_WKSHT!$F567*SUPV_DETAILED_COST_WKSHT!G567,SUPV_DETAILED_COST_WKSHT!$F567*(SUPV_DETAILED_COST_WKSHT!G567*LVL2_ACTV_14_Exchange_Rate))</f>
        <v>0</v>
      </c>
      <c r="F2325" s="115">
        <f>IF(DD_LVL2_ACTV_14_Currency_Selected=2,SUPV_DETAILED_COST_WKSHT!$F567*SUPV_DETAILED_COST_WKSHT!H567,SUPV_DETAILED_COST_WKSHT!$F567*(SUPV_DETAILED_COST_WKSHT!H567*LVL2_ACTV_14_Exchange_Rate))</f>
        <v>0</v>
      </c>
      <c r="G2325" s="116">
        <f t="shared" si="220"/>
        <v>0</v>
      </c>
      <c r="H2325" s="116">
        <f t="shared" si="221"/>
        <v>0</v>
      </c>
    </row>
    <row r="2326" spans="1:8" s="10" customFormat="1" outlineLevel="1" x14ac:dyDescent="0.2">
      <c r="D2326" s="48" t="str">
        <f>Lang_Supplies_And_Materials</f>
        <v>Supplies and Materials</v>
      </c>
      <c r="E2326" s="120">
        <f>SUM(E2316:E2325)</f>
        <v>0</v>
      </c>
      <c r="F2326" s="120">
        <f>SUM(F2316:F2325)</f>
        <v>0</v>
      </c>
      <c r="G2326" s="121">
        <f>SUM(G2316:G2325)</f>
        <v>0</v>
      </c>
      <c r="H2326" s="121">
        <f>SUM(H2316:H2325)</f>
        <v>0</v>
      </c>
    </row>
    <row r="2327" spans="1:8" s="10" customFormat="1" outlineLevel="1" x14ac:dyDescent="0.2"/>
    <row r="2328" spans="1:8" s="10" customFormat="1" outlineLevel="1" x14ac:dyDescent="0.2"/>
    <row r="2329" spans="1:8" s="10" customFormat="1" outlineLevel="1" x14ac:dyDescent="0.2">
      <c r="D2329" s="76" t="str">
        <f>Lang_GoTo&amp;" "&amp;HL_LVL2_ACTV_14_Supplies_and_Materials</f>
        <v>Go to SME Activity #6 (Not in Use) - Detailed Supply and Material Cost Assumptions</v>
      </c>
    </row>
    <row r="2330" spans="1:8" s="10" customFormat="1" outlineLevel="1" x14ac:dyDescent="0.2">
      <c r="D2330" s="76" t="str">
        <f>Lang_GoTo&amp;" "&amp;HL_LVL2_ACTV_14_Cost_Summary_Output</f>
        <v>Go to SME Activity #6 (Not in Use) Detailed Cost Summary</v>
      </c>
    </row>
    <row r="2331" spans="1:8" s="10" customFormat="1" x14ac:dyDescent="0.2"/>
    <row r="2332" spans="1:8" s="13" customFormat="1" x14ac:dyDescent="0.2">
      <c r="A2332" s="12" t="s">
        <v>127</v>
      </c>
      <c r="B2332" s="13" t="str">
        <f>C2334&amp;" "&amp;Lang_Other_Direct_Costs_Outputs</f>
        <v>SME Activity #6 (Not in Use) Other Direct Costs - Outputs</v>
      </c>
    </row>
    <row r="2333" spans="1:8" s="10" customFormat="1" outlineLevel="1" x14ac:dyDescent="0.2"/>
    <row r="2334" spans="1:8" s="10" customFormat="1" outlineLevel="1" x14ac:dyDescent="0.2">
      <c r="C2334" s="114" t="str">
        <f>HL_LVL2_ACTV_14_Name</f>
        <v>SME Activity #6 (Not in Use)</v>
      </c>
    </row>
    <row r="2335" spans="1:8" s="10" customFormat="1" outlineLevel="1" x14ac:dyDescent="0.2">
      <c r="E2335" s="86" t="str">
        <f>SUPV_Lu!$D$207&amp;" "&amp;Lang_Cost&amp;" ("&amp;SUPV_Lu!$D$188&amp;")"</f>
        <v>Financial Cost (LCU)</v>
      </c>
      <c r="F2335" s="86" t="str">
        <f>SUPV_Lu!$D$208&amp;" "&amp;Lang_Cost&amp;" ("&amp;SUPV_Lu!$D$188&amp;")"</f>
        <v>Economic Cost (LCU)</v>
      </c>
      <c r="G2335" s="86" t="str">
        <f>SUPV_Lu!$D$207&amp;" "&amp;Lang_Cost&amp;" ("&amp;SUPV_Lu!$D$187&amp;")"</f>
        <v>Financial Cost (USD)</v>
      </c>
      <c r="H2335" s="86" t="str">
        <f>SUPV_Lu!$D$208&amp;" "&amp;Lang_Cost&amp;" ("&amp;SUPV_Lu!$D$187&amp;")"</f>
        <v>Economic Cost (USD)</v>
      </c>
    </row>
    <row r="2336" spans="1:8" s="10" customFormat="1" outlineLevel="1" x14ac:dyDescent="0.2">
      <c r="D2336" s="49" t="str">
        <f>SUPV_DETAILED_COST_WKSHT!D576</f>
        <v>Other Direct Costs (ODC) Category 1</v>
      </c>
      <c r="E2336" s="115">
        <f>IF(DD_LVL2_ACTV_14_Currency_Selected=2,SUPV_DETAILED_COST_WKSHT!$F576*SUPV_DETAILED_COST_WKSHT!G576,SUPV_DETAILED_COST_WKSHT!$F576*(SUPV_DETAILED_COST_WKSHT!G576*LVL2_ACTV_14_Exchange_Rate))</f>
        <v>0</v>
      </c>
      <c r="F2336" s="115">
        <f>IF(DD_LVL2_ACTV_14_Currency_Selected=2,SUPV_DETAILED_COST_WKSHT!$F576*SUPV_DETAILED_COST_WKSHT!H576,SUPV_DETAILED_COST_WKSHT!$F576*(SUPV_DETAILED_COST_WKSHT!H576*LVL2_ACTV_14_Exchange_Rate))</f>
        <v>0</v>
      </c>
      <c r="G2336" s="116">
        <f t="shared" ref="G2336:G2345" si="222">E2336/LVL2_ACTV_14_Exchange_Rate</f>
        <v>0</v>
      </c>
      <c r="H2336" s="116">
        <f t="shared" ref="H2336:H2345" si="223">F2336/LVL2_ACTV_14_Exchange_Rate</f>
        <v>0</v>
      </c>
    </row>
    <row r="2337" spans="1:8" s="10" customFormat="1" outlineLevel="1" x14ac:dyDescent="0.2">
      <c r="D2337" s="49" t="str">
        <f>SUPV_DETAILED_COST_WKSHT!D577</f>
        <v>Other Direct Costs (ODC) Category 2</v>
      </c>
      <c r="E2337" s="115">
        <f>IF(DD_LVL2_ACTV_14_Currency_Selected=2,SUPV_DETAILED_COST_WKSHT!$F577*SUPV_DETAILED_COST_WKSHT!G577,SUPV_DETAILED_COST_WKSHT!$F577*(SUPV_DETAILED_COST_WKSHT!G577*LVL2_ACTV_14_Exchange_Rate))</f>
        <v>0</v>
      </c>
      <c r="F2337" s="115">
        <f>IF(DD_LVL2_ACTV_14_Currency_Selected=2,SUPV_DETAILED_COST_WKSHT!$F577*SUPV_DETAILED_COST_WKSHT!H577,SUPV_DETAILED_COST_WKSHT!$F577*(SUPV_DETAILED_COST_WKSHT!H577*LVL2_ACTV_14_Exchange_Rate))</f>
        <v>0</v>
      </c>
      <c r="G2337" s="116">
        <f t="shared" si="222"/>
        <v>0</v>
      </c>
      <c r="H2337" s="116">
        <f t="shared" si="223"/>
        <v>0</v>
      </c>
    </row>
    <row r="2338" spans="1:8" s="10" customFormat="1" outlineLevel="1" x14ac:dyDescent="0.2">
      <c r="D2338" s="49" t="str">
        <f>SUPV_DETAILED_COST_WKSHT!D578</f>
        <v>Other Direct Costs (ODC) Category 3</v>
      </c>
      <c r="E2338" s="115">
        <f>IF(DD_LVL2_ACTV_14_Currency_Selected=2,SUPV_DETAILED_COST_WKSHT!$F578*SUPV_DETAILED_COST_WKSHT!G578,SUPV_DETAILED_COST_WKSHT!$F578*(SUPV_DETAILED_COST_WKSHT!G578*LVL2_ACTV_14_Exchange_Rate))</f>
        <v>0</v>
      </c>
      <c r="F2338" s="115">
        <f>IF(DD_LVL2_ACTV_14_Currency_Selected=2,SUPV_DETAILED_COST_WKSHT!$F578*SUPV_DETAILED_COST_WKSHT!H578,SUPV_DETAILED_COST_WKSHT!$F578*(SUPV_DETAILED_COST_WKSHT!H578*LVL2_ACTV_14_Exchange_Rate))</f>
        <v>0</v>
      </c>
      <c r="G2338" s="116">
        <f t="shared" si="222"/>
        <v>0</v>
      </c>
      <c r="H2338" s="116">
        <f t="shared" si="223"/>
        <v>0</v>
      </c>
    </row>
    <row r="2339" spans="1:8" s="10" customFormat="1" outlineLevel="1" x14ac:dyDescent="0.2">
      <c r="D2339" s="49" t="str">
        <f>SUPV_DETAILED_COST_WKSHT!D579</f>
        <v>Other Direct Costs (ODC) Category 4</v>
      </c>
      <c r="E2339" s="115">
        <f>IF(DD_LVL2_ACTV_14_Currency_Selected=2,SUPV_DETAILED_COST_WKSHT!$F579*SUPV_DETAILED_COST_WKSHT!G579,SUPV_DETAILED_COST_WKSHT!$F579*(SUPV_DETAILED_COST_WKSHT!G579*LVL2_ACTV_14_Exchange_Rate))</f>
        <v>0</v>
      </c>
      <c r="F2339" s="115">
        <f>IF(DD_LVL2_ACTV_14_Currency_Selected=2,SUPV_DETAILED_COST_WKSHT!$F579*SUPV_DETAILED_COST_WKSHT!H579,SUPV_DETAILED_COST_WKSHT!$F579*(SUPV_DETAILED_COST_WKSHT!H579*LVL2_ACTV_14_Exchange_Rate))</f>
        <v>0</v>
      </c>
      <c r="G2339" s="116">
        <f t="shared" si="222"/>
        <v>0</v>
      </c>
      <c r="H2339" s="116">
        <f t="shared" si="223"/>
        <v>0</v>
      </c>
    </row>
    <row r="2340" spans="1:8" s="10" customFormat="1" outlineLevel="1" x14ac:dyDescent="0.2">
      <c r="D2340" s="49" t="str">
        <f>SUPV_DETAILED_COST_WKSHT!D580</f>
        <v>Other Direct Costs (ODC) Category 5</v>
      </c>
      <c r="E2340" s="115">
        <f>IF(DD_LVL2_ACTV_14_Currency_Selected=2,SUPV_DETAILED_COST_WKSHT!$F580*SUPV_DETAILED_COST_WKSHT!G580,SUPV_DETAILED_COST_WKSHT!$F580*(SUPV_DETAILED_COST_WKSHT!G580*LVL2_ACTV_14_Exchange_Rate))</f>
        <v>0</v>
      </c>
      <c r="F2340" s="115">
        <f>IF(DD_LVL2_ACTV_14_Currency_Selected=2,SUPV_DETAILED_COST_WKSHT!$F580*SUPV_DETAILED_COST_WKSHT!H580,SUPV_DETAILED_COST_WKSHT!$F580*(SUPV_DETAILED_COST_WKSHT!H580*LVL2_ACTV_14_Exchange_Rate))</f>
        <v>0</v>
      </c>
      <c r="G2340" s="116">
        <f t="shared" si="222"/>
        <v>0</v>
      </c>
      <c r="H2340" s="116">
        <f t="shared" si="223"/>
        <v>0</v>
      </c>
    </row>
    <row r="2341" spans="1:8" s="10" customFormat="1" outlineLevel="1" x14ac:dyDescent="0.2">
      <c r="D2341" s="49" t="str">
        <f>SUPV_DETAILED_COST_WKSHT!D581</f>
        <v>Other Direct Costs (ODC) Category 6</v>
      </c>
      <c r="E2341" s="115">
        <f>IF(DD_LVL2_ACTV_14_Currency_Selected=2,SUPV_DETAILED_COST_WKSHT!$F581*SUPV_DETAILED_COST_WKSHT!G581,SUPV_DETAILED_COST_WKSHT!$F581*(SUPV_DETAILED_COST_WKSHT!G581*LVL2_ACTV_14_Exchange_Rate))</f>
        <v>0</v>
      </c>
      <c r="F2341" s="115">
        <f>IF(DD_LVL2_ACTV_14_Currency_Selected=2,SUPV_DETAILED_COST_WKSHT!$F581*SUPV_DETAILED_COST_WKSHT!H581,SUPV_DETAILED_COST_WKSHT!$F581*(SUPV_DETAILED_COST_WKSHT!H581*LVL2_ACTV_14_Exchange_Rate))</f>
        <v>0</v>
      </c>
      <c r="G2341" s="116">
        <f t="shared" si="222"/>
        <v>0</v>
      </c>
      <c r="H2341" s="116">
        <f t="shared" si="223"/>
        <v>0</v>
      </c>
    </row>
    <row r="2342" spans="1:8" s="10" customFormat="1" outlineLevel="1" x14ac:dyDescent="0.2">
      <c r="D2342" s="49" t="str">
        <f>SUPV_DETAILED_COST_WKSHT!D582</f>
        <v>Other Direct Costs (ODC) Category 7</v>
      </c>
      <c r="E2342" s="115">
        <f>IF(DD_LVL2_ACTV_14_Currency_Selected=2,SUPV_DETAILED_COST_WKSHT!$F582*SUPV_DETAILED_COST_WKSHT!G582,SUPV_DETAILED_COST_WKSHT!$F582*(SUPV_DETAILED_COST_WKSHT!G582*LVL2_ACTV_14_Exchange_Rate))</f>
        <v>0</v>
      </c>
      <c r="F2342" s="115">
        <f>IF(DD_LVL2_ACTV_14_Currency_Selected=2,SUPV_DETAILED_COST_WKSHT!$F582*SUPV_DETAILED_COST_WKSHT!H582,SUPV_DETAILED_COST_WKSHT!$F582*(SUPV_DETAILED_COST_WKSHT!H582*LVL2_ACTV_14_Exchange_Rate))</f>
        <v>0</v>
      </c>
      <c r="G2342" s="116">
        <f t="shared" si="222"/>
        <v>0</v>
      </c>
      <c r="H2342" s="116">
        <f t="shared" si="223"/>
        <v>0</v>
      </c>
    </row>
    <row r="2343" spans="1:8" s="10" customFormat="1" outlineLevel="1" x14ac:dyDescent="0.2">
      <c r="D2343" s="49" t="str">
        <f>SUPV_DETAILED_COST_WKSHT!D583</f>
        <v>Other Direct Costs (ODC) Category 8</v>
      </c>
      <c r="E2343" s="115">
        <f>IF(DD_LVL2_ACTV_14_Currency_Selected=2,SUPV_DETAILED_COST_WKSHT!$F583*SUPV_DETAILED_COST_WKSHT!G583,SUPV_DETAILED_COST_WKSHT!$F583*(SUPV_DETAILED_COST_WKSHT!G583*LVL2_ACTV_14_Exchange_Rate))</f>
        <v>0</v>
      </c>
      <c r="F2343" s="115">
        <f>IF(DD_LVL2_ACTV_14_Currency_Selected=2,SUPV_DETAILED_COST_WKSHT!$F583*SUPV_DETAILED_COST_WKSHT!H583,SUPV_DETAILED_COST_WKSHT!$F583*(SUPV_DETAILED_COST_WKSHT!H583*LVL2_ACTV_14_Exchange_Rate))</f>
        <v>0</v>
      </c>
      <c r="G2343" s="116">
        <f t="shared" si="222"/>
        <v>0</v>
      </c>
      <c r="H2343" s="116">
        <f t="shared" si="223"/>
        <v>0</v>
      </c>
    </row>
    <row r="2344" spans="1:8" s="10" customFormat="1" outlineLevel="1" x14ac:dyDescent="0.2">
      <c r="D2344" s="49" t="str">
        <f>SUPV_DETAILED_COST_WKSHT!D584</f>
        <v>Other Direct Costs (ODC) Category 9</v>
      </c>
      <c r="E2344" s="115">
        <f>IF(DD_LVL2_ACTV_14_Currency_Selected=2,SUPV_DETAILED_COST_WKSHT!$F584*SUPV_DETAILED_COST_WKSHT!G584,SUPV_DETAILED_COST_WKSHT!$F584*(SUPV_DETAILED_COST_WKSHT!G584*LVL2_ACTV_14_Exchange_Rate))</f>
        <v>0</v>
      </c>
      <c r="F2344" s="115">
        <f>IF(DD_LVL2_ACTV_14_Currency_Selected=2,SUPV_DETAILED_COST_WKSHT!$F584*SUPV_DETAILED_COST_WKSHT!H584,SUPV_DETAILED_COST_WKSHT!$F584*(SUPV_DETAILED_COST_WKSHT!H584*LVL2_ACTV_14_Exchange_Rate))</f>
        <v>0</v>
      </c>
      <c r="G2344" s="116">
        <f t="shared" si="222"/>
        <v>0</v>
      </c>
      <c r="H2344" s="116">
        <f t="shared" si="223"/>
        <v>0</v>
      </c>
    </row>
    <row r="2345" spans="1:8" s="10" customFormat="1" outlineLevel="1" x14ac:dyDescent="0.2">
      <c r="D2345" s="49" t="str">
        <f>SUPV_DETAILED_COST_WKSHT!D585</f>
        <v>Other Direct Costs (ODC) Category 10</v>
      </c>
      <c r="E2345" s="115">
        <f>IF(DD_LVL2_ACTV_14_Currency_Selected=2,SUPV_DETAILED_COST_WKSHT!$F585*SUPV_DETAILED_COST_WKSHT!G585,SUPV_DETAILED_COST_WKSHT!$F585*(SUPV_DETAILED_COST_WKSHT!G585*LVL2_ACTV_14_Exchange_Rate))</f>
        <v>0</v>
      </c>
      <c r="F2345" s="115">
        <f>IF(DD_LVL2_ACTV_14_Currency_Selected=2,SUPV_DETAILED_COST_WKSHT!$F585*SUPV_DETAILED_COST_WKSHT!H585,SUPV_DETAILED_COST_WKSHT!$F585*(SUPV_DETAILED_COST_WKSHT!H585*LVL2_ACTV_14_Exchange_Rate))</f>
        <v>0</v>
      </c>
      <c r="G2345" s="116">
        <f t="shared" si="222"/>
        <v>0</v>
      </c>
      <c r="H2345" s="116">
        <f t="shared" si="223"/>
        <v>0</v>
      </c>
    </row>
    <row r="2346" spans="1:8" s="10" customFormat="1" outlineLevel="1" x14ac:dyDescent="0.2">
      <c r="D2346" s="48" t="str">
        <f>Lang_Other_Direct_Costs</f>
        <v>Other Direct Costs</v>
      </c>
      <c r="E2346" s="120">
        <f>SUM(E2336:E2345)</f>
        <v>0</v>
      </c>
      <c r="F2346" s="120">
        <f>SUM(F2336:F2345)</f>
        <v>0</v>
      </c>
      <c r="G2346" s="121">
        <f>SUM(G2336:G2345)</f>
        <v>0</v>
      </c>
      <c r="H2346" s="121">
        <f>SUM(H2336:H2345)</f>
        <v>0</v>
      </c>
    </row>
    <row r="2347" spans="1:8" s="10" customFormat="1" outlineLevel="1" x14ac:dyDescent="0.2"/>
    <row r="2348" spans="1:8" s="10" customFormat="1" outlineLevel="1" x14ac:dyDescent="0.2">
      <c r="D2348" s="76" t="str">
        <f>Lang_GoTo&amp;" "&amp;HL_LVL2_ACTV_14_Other_Direct_Costs</f>
        <v>Go to SME Activity #6 (Not in Use) - Detailed Other Direct Cost Assumptions</v>
      </c>
    </row>
    <row r="2349" spans="1:8" s="10" customFormat="1" outlineLevel="1" x14ac:dyDescent="0.2">
      <c r="D2349" s="76" t="str">
        <f>Lang_GoTo&amp;" "&amp;HL_LVL2_ACTV_14_Cost_Summary_Output</f>
        <v>Go to SME Activity #6 (Not in Use) Detailed Cost Summary</v>
      </c>
    </row>
    <row r="2350" spans="1:8" s="10" customFormat="1" x14ac:dyDescent="0.2"/>
    <row r="2351" spans="1:8" s="13" customFormat="1" x14ac:dyDescent="0.2">
      <c r="A2351" s="12" t="s">
        <v>127</v>
      </c>
      <c r="B2351" s="13" t="str">
        <f>C2353&amp;" "&amp;Lang_Personnel_Outputs</f>
        <v>SME Activity #7 (Not in Use) Personnel - Outputs</v>
      </c>
    </row>
    <row r="2352" spans="1:8" s="10" customFormat="1" outlineLevel="1" x14ac:dyDescent="0.2"/>
    <row r="2353" spans="3:8" s="10" customFormat="1" outlineLevel="1" x14ac:dyDescent="0.2">
      <c r="C2353" s="114" t="str">
        <f>HL_LVL2_ACTV_15_Name</f>
        <v>SME Activity #7 (Not in Use)</v>
      </c>
    </row>
    <row r="2354" spans="3:8" s="10" customFormat="1" outlineLevel="1" x14ac:dyDescent="0.2">
      <c r="E2354" s="86" t="str">
        <f>SUPV_Lu!$D$242&amp;" "&amp;Lang_Cost&amp;" ("&amp;SUPV_Lu!$D$223&amp;")"</f>
        <v>Financial Cost (LCU)</v>
      </c>
      <c r="F2354" s="86" t="str">
        <f>SUPV_Lu!$D$243&amp;" "&amp;Lang_Cost&amp;" ("&amp;SUPV_Lu!$D$223&amp;")"</f>
        <v>Economic Cost (LCU)</v>
      </c>
      <c r="G2354" s="86" t="str">
        <f>SUPV_Lu!$D$242&amp;" "&amp;Lang_Cost&amp;" ("&amp;SUPV_Lu!$D$222&amp;")"</f>
        <v>Financial Cost (USD)</v>
      </c>
      <c r="H2354" s="86" t="str">
        <f>SUPV_Lu!$D$243&amp;" "&amp;Lang_Cost&amp;" ("&amp;SUPV_Lu!$D$222&amp;")"</f>
        <v>Economic Cost (USD)</v>
      </c>
    </row>
    <row r="2355" spans="3:8" s="10" customFormat="1" outlineLevel="1" x14ac:dyDescent="0.2">
      <c r="D2355" s="49" t="str">
        <f>SUPV_DETAILED_COST_WKSHT!D616</f>
        <v>Personnel Category 1</v>
      </c>
      <c r="E2355" s="115">
        <f>IF(DD_LVL2_ACTV_15_Currency_Selected=2,SUPV_DETAILED_COST_WKSHT!$F616*SUPV_DETAILED_COST_WKSHT!G616,SUPV_DETAILED_COST_WKSHT!$F616*(SUPV_DETAILED_COST_WKSHT!G616*LVL2_ACTV_15_Exchange_Rate))</f>
        <v>0</v>
      </c>
      <c r="F2355" s="115">
        <f>IF(DD_LVL2_ACTV_15_Currency_Selected=2,SUPV_DETAILED_COST_WKSHT!$F616*SUPV_DETAILED_COST_WKSHT!H616,SUPV_DETAILED_COST_WKSHT!$F616*(SUPV_DETAILED_COST_WKSHT!H616*LVL2_ACTV_15_Exchange_Rate))</f>
        <v>0</v>
      </c>
      <c r="G2355" s="116">
        <f t="shared" ref="G2355:G2369" si="224">IFERROR(E2355/LVL2_ACTV_15_Exchange_Rate,0)</f>
        <v>0</v>
      </c>
      <c r="H2355" s="116">
        <f t="shared" ref="H2355:H2369" si="225">IFERROR(F2355/LVL2_ACTV_15_Exchange_Rate,0)</f>
        <v>0</v>
      </c>
    </row>
    <row r="2356" spans="3:8" s="10" customFormat="1" outlineLevel="1" x14ac:dyDescent="0.2">
      <c r="D2356" s="49" t="str">
        <f>SUPV_DETAILED_COST_WKSHT!D617</f>
        <v>Personnel Category 2</v>
      </c>
      <c r="E2356" s="115">
        <f>IF(DD_LVL2_ACTV_15_Currency_Selected=2,SUPV_DETAILED_COST_WKSHT!$F617*SUPV_DETAILED_COST_WKSHT!G617,SUPV_DETAILED_COST_WKSHT!$F617*(SUPV_DETAILED_COST_WKSHT!G617*LVL2_ACTV_15_Exchange_Rate))</f>
        <v>0</v>
      </c>
      <c r="F2356" s="115">
        <f>IF(DD_LVL2_ACTV_15_Currency_Selected=2,SUPV_DETAILED_COST_WKSHT!$F617*SUPV_DETAILED_COST_WKSHT!H617,SUPV_DETAILED_COST_WKSHT!$F617*(SUPV_DETAILED_COST_WKSHT!H617*LVL2_ACTV_15_Exchange_Rate))</f>
        <v>0</v>
      </c>
      <c r="G2356" s="116">
        <f t="shared" si="224"/>
        <v>0</v>
      </c>
      <c r="H2356" s="116">
        <f t="shared" si="225"/>
        <v>0</v>
      </c>
    </row>
    <row r="2357" spans="3:8" s="10" customFormat="1" outlineLevel="1" x14ac:dyDescent="0.2">
      <c r="D2357" s="49" t="str">
        <f>SUPV_DETAILED_COST_WKSHT!D618</f>
        <v>Personnel Category 3</v>
      </c>
      <c r="E2357" s="115">
        <f>IF(DD_LVL2_ACTV_15_Currency_Selected=2,SUPV_DETAILED_COST_WKSHT!$F618*SUPV_DETAILED_COST_WKSHT!G618,SUPV_DETAILED_COST_WKSHT!$F618*(SUPV_DETAILED_COST_WKSHT!G618*LVL2_ACTV_15_Exchange_Rate))</f>
        <v>0</v>
      </c>
      <c r="F2357" s="115">
        <f>IF(DD_LVL2_ACTV_15_Currency_Selected=2,SUPV_DETAILED_COST_WKSHT!$F618*SUPV_DETAILED_COST_WKSHT!H618,SUPV_DETAILED_COST_WKSHT!$F618*(SUPV_DETAILED_COST_WKSHT!H618*LVL2_ACTV_15_Exchange_Rate))</f>
        <v>0</v>
      </c>
      <c r="G2357" s="116">
        <f t="shared" si="224"/>
        <v>0</v>
      </c>
      <c r="H2357" s="116">
        <f t="shared" si="225"/>
        <v>0</v>
      </c>
    </row>
    <row r="2358" spans="3:8" s="10" customFormat="1" outlineLevel="1" x14ac:dyDescent="0.2">
      <c r="D2358" s="49" t="str">
        <f>SUPV_DETAILED_COST_WKSHT!D619</f>
        <v>Personnel Category 4</v>
      </c>
      <c r="E2358" s="115">
        <f>IF(DD_LVL2_ACTV_15_Currency_Selected=2,SUPV_DETAILED_COST_WKSHT!$F619*SUPV_DETAILED_COST_WKSHT!G619,SUPV_DETAILED_COST_WKSHT!$F619*(SUPV_DETAILED_COST_WKSHT!G619*LVL2_ACTV_15_Exchange_Rate))</f>
        <v>0</v>
      </c>
      <c r="F2358" s="115">
        <f>IF(DD_LVL2_ACTV_15_Currency_Selected=2,SUPV_DETAILED_COST_WKSHT!$F619*SUPV_DETAILED_COST_WKSHT!H619,SUPV_DETAILED_COST_WKSHT!$F619*(SUPV_DETAILED_COST_WKSHT!H619*LVL2_ACTV_15_Exchange_Rate))</f>
        <v>0</v>
      </c>
      <c r="G2358" s="116">
        <f t="shared" si="224"/>
        <v>0</v>
      </c>
      <c r="H2358" s="116">
        <f t="shared" si="225"/>
        <v>0</v>
      </c>
    </row>
    <row r="2359" spans="3:8" s="10" customFormat="1" outlineLevel="1" x14ac:dyDescent="0.2">
      <c r="D2359" s="49" t="str">
        <f>SUPV_DETAILED_COST_WKSHT!D620</f>
        <v>Personnel Category 5</v>
      </c>
      <c r="E2359" s="115">
        <f>IF(DD_LVL2_ACTV_15_Currency_Selected=2,SUPV_DETAILED_COST_WKSHT!$F620*SUPV_DETAILED_COST_WKSHT!G620,SUPV_DETAILED_COST_WKSHT!$F620*(SUPV_DETAILED_COST_WKSHT!G620*LVL2_ACTV_15_Exchange_Rate))</f>
        <v>0</v>
      </c>
      <c r="F2359" s="115">
        <f>IF(DD_LVL2_ACTV_15_Currency_Selected=2,SUPV_DETAILED_COST_WKSHT!$F620*SUPV_DETAILED_COST_WKSHT!H620,SUPV_DETAILED_COST_WKSHT!$F620*(SUPV_DETAILED_COST_WKSHT!H620*LVL2_ACTV_15_Exchange_Rate))</f>
        <v>0</v>
      </c>
      <c r="G2359" s="116">
        <f t="shared" si="224"/>
        <v>0</v>
      </c>
      <c r="H2359" s="116">
        <f t="shared" si="225"/>
        <v>0</v>
      </c>
    </row>
    <row r="2360" spans="3:8" s="10" customFormat="1" outlineLevel="1" x14ac:dyDescent="0.2">
      <c r="D2360" s="49" t="str">
        <f>SUPV_DETAILED_COST_WKSHT!D621</f>
        <v>Personnel Category 6</v>
      </c>
      <c r="E2360" s="115">
        <f>IF(DD_LVL2_ACTV_15_Currency_Selected=2,SUPV_DETAILED_COST_WKSHT!$F621*SUPV_DETAILED_COST_WKSHT!G621,SUPV_DETAILED_COST_WKSHT!$F621*(SUPV_DETAILED_COST_WKSHT!G621*LVL2_ACTV_15_Exchange_Rate))</f>
        <v>0</v>
      </c>
      <c r="F2360" s="115">
        <f>IF(DD_LVL2_ACTV_15_Currency_Selected=2,SUPV_DETAILED_COST_WKSHT!$F621*SUPV_DETAILED_COST_WKSHT!H621,SUPV_DETAILED_COST_WKSHT!$F621*(SUPV_DETAILED_COST_WKSHT!H621*LVL2_ACTV_15_Exchange_Rate))</f>
        <v>0</v>
      </c>
      <c r="G2360" s="116">
        <f t="shared" si="224"/>
        <v>0</v>
      </c>
      <c r="H2360" s="116">
        <f t="shared" si="225"/>
        <v>0</v>
      </c>
    </row>
    <row r="2361" spans="3:8" s="10" customFormat="1" outlineLevel="1" x14ac:dyDescent="0.2">
      <c r="D2361" s="49" t="str">
        <f>SUPV_DETAILED_COST_WKSHT!D622</f>
        <v>Personnel Category 7</v>
      </c>
      <c r="E2361" s="115">
        <f>IF(DD_LVL2_ACTV_15_Currency_Selected=2,SUPV_DETAILED_COST_WKSHT!$F622*SUPV_DETAILED_COST_WKSHT!G622,SUPV_DETAILED_COST_WKSHT!$F622*(SUPV_DETAILED_COST_WKSHT!G622*LVL2_ACTV_15_Exchange_Rate))</f>
        <v>0</v>
      </c>
      <c r="F2361" s="115">
        <f>IF(DD_LVL2_ACTV_15_Currency_Selected=2,SUPV_DETAILED_COST_WKSHT!$F622*SUPV_DETAILED_COST_WKSHT!H622,SUPV_DETAILED_COST_WKSHT!$F622*(SUPV_DETAILED_COST_WKSHT!H622*LVL2_ACTV_15_Exchange_Rate))</f>
        <v>0</v>
      </c>
      <c r="G2361" s="116">
        <f t="shared" si="224"/>
        <v>0</v>
      </c>
      <c r="H2361" s="116">
        <f t="shared" si="225"/>
        <v>0</v>
      </c>
    </row>
    <row r="2362" spans="3:8" s="10" customFormat="1" outlineLevel="1" x14ac:dyDescent="0.2">
      <c r="D2362" s="49" t="str">
        <f>SUPV_DETAILED_COST_WKSHT!D623</f>
        <v>Personnel Category 8</v>
      </c>
      <c r="E2362" s="115">
        <f>IF(DD_LVL2_ACTV_15_Currency_Selected=2,SUPV_DETAILED_COST_WKSHT!$F623*SUPV_DETAILED_COST_WKSHT!G623,SUPV_DETAILED_COST_WKSHT!$F623*(SUPV_DETAILED_COST_WKSHT!G623*LVL2_ACTV_15_Exchange_Rate))</f>
        <v>0</v>
      </c>
      <c r="F2362" s="115">
        <f>IF(DD_LVL2_ACTV_15_Currency_Selected=2,SUPV_DETAILED_COST_WKSHT!$F623*SUPV_DETAILED_COST_WKSHT!H623,SUPV_DETAILED_COST_WKSHT!$F623*(SUPV_DETAILED_COST_WKSHT!H623*LVL2_ACTV_15_Exchange_Rate))</f>
        <v>0</v>
      </c>
      <c r="G2362" s="116">
        <f t="shared" si="224"/>
        <v>0</v>
      </c>
      <c r="H2362" s="116">
        <f t="shared" si="225"/>
        <v>0</v>
      </c>
    </row>
    <row r="2363" spans="3:8" s="10" customFormat="1" outlineLevel="1" x14ac:dyDescent="0.2">
      <c r="D2363" s="49" t="str">
        <f>SUPV_DETAILED_COST_WKSHT!D624</f>
        <v>Personnel Category 9</v>
      </c>
      <c r="E2363" s="115">
        <f>IF(DD_LVL2_ACTV_15_Currency_Selected=2,SUPV_DETAILED_COST_WKSHT!$F624*SUPV_DETAILED_COST_WKSHT!G624,SUPV_DETAILED_COST_WKSHT!$F624*(SUPV_DETAILED_COST_WKSHT!G624*LVL2_ACTV_15_Exchange_Rate))</f>
        <v>0</v>
      </c>
      <c r="F2363" s="115">
        <f>IF(DD_LVL2_ACTV_15_Currency_Selected=2,SUPV_DETAILED_COST_WKSHT!$F624*SUPV_DETAILED_COST_WKSHT!H624,SUPV_DETAILED_COST_WKSHT!$F624*(SUPV_DETAILED_COST_WKSHT!H624*LVL2_ACTV_15_Exchange_Rate))</f>
        <v>0</v>
      </c>
      <c r="G2363" s="116">
        <f t="shared" si="224"/>
        <v>0</v>
      </c>
      <c r="H2363" s="116">
        <f t="shared" si="225"/>
        <v>0</v>
      </c>
    </row>
    <row r="2364" spans="3:8" s="10" customFormat="1" outlineLevel="1" x14ac:dyDescent="0.2">
      <c r="D2364" s="49" t="str">
        <f>SUPV_DETAILED_COST_WKSHT!D625</f>
        <v>Personnel Category 10</v>
      </c>
      <c r="E2364" s="115">
        <f>IF(DD_LVL2_ACTV_15_Currency_Selected=2,SUPV_DETAILED_COST_WKSHT!$F625*SUPV_DETAILED_COST_WKSHT!G625,SUPV_DETAILED_COST_WKSHT!$F625*(SUPV_DETAILED_COST_WKSHT!G625*LVL2_ACTV_15_Exchange_Rate))</f>
        <v>0</v>
      </c>
      <c r="F2364" s="115">
        <f>IF(DD_LVL2_ACTV_15_Currency_Selected=2,SUPV_DETAILED_COST_WKSHT!$F625*SUPV_DETAILED_COST_WKSHT!H625,SUPV_DETAILED_COST_WKSHT!$F625*(SUPV_DETAILED_COST_WKSHT!H625*LVL2_ACTV_15_Exchange_Rate))</f>
        <v>0</v>
      </c>
      <c r="G2364" s="116">
        <f t="shared" si="224"/>
        <v>0</v>
      </c>
      <c r="H2364" s="116">
        <f t="shared" si="225"/>
        <v>0</v>
      </c>
    </row>
    <row r="2365" spans="3:8" s="10" customFormat="1" outlineLevel="1" x14ac:dyDescent="0.2">
      <c r="D2365" s="49" t="str">
        <f>SUPV_DETAILED_COST_WKSHT!D626</f>
        <v>Personnel Category 11</v>
      </c>
      <c r="E2365" s="115">
        <f>IF(DD_LVL2_ACTV_15_Currency_Selected=2,SUPV_DETAILED_COST_WKSHT!$F626*SUPV_DETAILED_COST_WKSHT!G626,SUPV_DETAILED_COST_WKSHT!$F626*(SUPV_DETAILED_COST_WKSHT!G626*LVL2_ACTV_15_Exchange_Rate))</f>
        <v>0</v>
      </c>
      <c r="F2365" s="115">
        <f>IF(DD_LVL2_ACTV_15_Currency_Selected=2,SUPV_DETAILED_COST_WKSHT!$F626*SUPV_DETAILED_COST_WKSHT!H626,SUPV_DETAILED_COST_WKSHT!$F626*(SUPV_DETAILED_COST_WKSHT!H626*LVL2_ACTV_15_Exchange_Rate))</f>
        <v>0</v>
      </c>
      <c r="G2365" s="116">
        <f t="shared" si="224"/>
        <v>0</v>
      </c>
      <c r="H2365" s="116">
        <f t="shared" si="225"/>
        <v>0</v>
      </c>
    </row>
    <row r="2366" spans="3:8" s="10" customFormat="1" outlineLevel="1" x14ac:dyDescent="0.2">
      <c r="D2366" s="49" t="str">
        <f>SUPV_DETAILED_COST_WKSHT!D627</f>
        <v>Personnel Category 12</v>
      </c>
      <c r="E2366" s="115">
        <f>IF(DD_LVL2_ACTV_15_Currency_Selected=2,SUPV_DETAILED_COST_WKSHT!$F627*SUPV_DETAILED_COST_WKSHT!G627,SUPV_DETAILED_COST_WKSHT!$F627*(SUPV_DETAILED_COST_WKSHT!G627*LVL2_ACTV_15_Exchange_Rate))</f>
        <v>0</v>
      </c>
      <c r="F2366" s="115">
        <f>IF(DD_LVL2_ACTV_15_Currency_Selected=2,SUPV_DETAILED_COST_WKSHT!$F627*SUPV_DETAILED_COST_WKSHT!H627,SUPV_DETAILED_COST_WKSHT!$F627*(SUPV_DETAILED_COST_WKSHT!H627*LVL2_ACTV_15_Exchange_Rate))</f>
        <v>0</v>
      </c>
      <c r="G2366" s="116">
        <f t="shared" si="224"/>
        <v>0</v>
      </c>
      <c r="H2366" s="116">
        <f t="shared" si="225"/>
        <v>0</v>
      </c>
    </row>
    <row r="2367" spans="3:8" s="10" customFormat="1" outlineLevel="1" x14ac:dyDescent="0.2">
      <c r="D2367" s="49" t="str">
        <f>SUPV_DETAILED_COST_WKSHT!D628</f>
        <v>Personnel Category 13</v>
      </c>
      <c r="E2367" s="115">
        <f>IF(DD_LVL2_ACTV_15_Currency_Selected=2,SUPV_DETAILED_COST_WKSHT!$F628*SUPV_DETAILED_COST_WKSHT!G628,SUPV_DETAILED_COST_WKSHT!$F628*(SUPV_DETAILED_COST_WKSHT!G628*LVL2_ACTV_15_Exchange_Rate))</f>
        <v>0</v>
      </c>
      <c r="F2367" s="115">
        <f>IF(DD_LVL2_ACTV_15_Currency_Selected=2,SUPV_DETAILED_COST_WKSHT!$F628*SUPV_DETAILED_COST_WKSHT!H628,SUPV_DETAILED_COST_WKSHT!$F628*(SUPV_DETAILED_COST_WKSHT!H628*LVL2_ACTV_15_Exchange_Rate))</f>
        <v>0</v>
      </c>
      <c r="G2367" s="116">
        <f t="shared" si="224"/>
        <v>0</v>
      </c>
      <c r="H2367" s="116">
        <f t="shared" si="225"/>
        <v>0</v>
      </c>
    </row>
    <row r="2368" spans="3:8" s="10" customFormat="1" outlineLevel="1" x14ac:dyDescent="0.2">
      <c r="D2368" s="49" t="str">
        <f>SUPV_DETAILED_COST_WKSHT!D629</f>
        <v>Personnel Category 14</v>
      </c>
      <c r="E2368" s="115">
        <f>IF(DD_LVL2_ACTV_15_Currency_Selected=2,SUPV_DETAILED_COST_WKSHT!$F629*SUPV_DETAILED_COST_WKSHT!G629,SUPV_DETAILED_COST_WKSHT!$F629*(SUPV_DETAILED_COST_WKSHT!G629*LVL2_ACTV_15_Exchange_Rate))</f>
        <v>0</v>
      </c>
      <c r="F2368" s="115">
        <f>IF(DD_LVL2_ACTV_15_Currency_Selected=2,SUPV_DETAILED_COST_WKSHT!$F629*SUPV_DETAILED_COST_WKSHT!H629,SUPV_DETAILED_COST_WKSHT!$F629*(SUPV_DETAILED_COST_WKSHT!H629*LVL2_ACTV_15_Exchange_Rate))</f>
        <v>0</v>
      </c>
      <c r="G2368" s="116">
        <f t="shared" si="224"/>
        <v>0</v>
      </c>
      <c r="H2368" s="116">
        <f t="shared" si="225"/>
        <v>0</v>
      </c>
    </row>
    <row r="2369" spans="1:8" s="10" customFormat="1" outlineLevel="1" x14ac:dyDescent="0.2">
      <c r="D2369" s="49" t="str">
        <f>SUPV_DETAILED_COST_WKSHT!D630</f>
        <v>Personnel Category 15</v>
      </c>
      <c r="E2369" s="115">
        <f>IF(DD_LVL2_ACTV_15_Currency_Selected=2,SUPV_DETAILED_COST_WKSHT!$F630*SUPV_DETAILED_COST_WKSHT!G630,SUPV_DETAILED_COST_WKSHT!$F630*(SUPV_DETAILED_COST_WKSHT!G630*LVL2_ACTV_15_Exchange_Rate))</f>
        <v>0</v>
      </c>
      <c r="F2369" s="115">
        <f>IF(DD_LVL2_ACTV_15_Currency_Selected=2,SUPV_DETAILED_COST_WKSHT!$F630*SUPV_DETAILED_COST_WKSHT!H630,SUPV_DETAILED_COST_WKSHT!$F630*(SUPV_DETAILED_COST_WKSHT!H630*LVL2_ACTV_15_Exchange_Rate))</f>
        <v>0</v>
      </c>
      <c r="G2369" s="116">
        <f t="shared" si="224"/>
        <v>0</v>
      </c>
      <c r="H2369" s="116">
        <f t="shared" si="225"/>
        <v>0</v>
      </c>
    </row>
    <row r="2370" spans="1:8" s="10" customFormat="1" outlineLevel="1" x14ac:dyDescent="0.2">
      <c r="D2370" s="48" t="str">
        <f>Lang_Personnel</f>
        <v>Personnel</v>
      </c>
      <c r="E2370" s="120">
        <f>SUM(E2355:E2369)</f>
        <v>0</v>
      </c>
      <c r="F2370" s="120">
        <f>SUM(F2355:F2369)</f>
        <v>0</v>
      </c>
      <c r="G2370" s="121">
        <f>SUM(G2355:G2369)</f>
        <v>0</v>
      </c>
      <c r="H2370" s="121">
        <f>SUM(H2355:H2369)</f>
        <v>0</v>
      </c>
    </row>
    <row r="2371" spans="1:8" s="10" customFormat="1" outlineLevel="1" x14ac:dyDescent="0.2"/>
    <row r="2372" spans="1:8" s="10" customFormat="1" outlineLevel="1" x14ac:dyDescent="0.2"/>
    <row r="2373" spans="1:8" s="10" customFormat="1" outlineLevel="1" x14ac:dyDescent="0.2">
      <c r="D2373" s="76" t="str">
        <f>Lang_GoTo&amp;" "&amp;HL_LVL2_ACTV_15_Personnel_Assumptions</f>
        <v>Go to SME Activity #7 (Not in Use) - Detailed Personnel Cost Assumptions</v>
      </c>
    </row>
    <row r="2374" spans="1:8" s="10" customFormat="1" outlineLevel="1" x14ac:dyDescent="0.2">
      <c r="D2374" s="76" t="str">
        <f>Lang_GoTo&amp;" "&amp;HL_LVL2_ACTV_15_Cost_Summary_Output</f>
        <v>Go to SME Activity #7 (Not in Use) Detailed Cost Summary</v>
      </c>
    </row>
    <row r="2375" spans="1:8" s="10" customFormat="1" x14ac:dyDescent="0.2"/>
    <row r="2376" spans="1:8" s="13" customFormat="1" x14ac:dyDescent="0.2">
      <c r="A2376" s="12" t="s">
        <v>127</v>
      </c>
      <c r="B2376" s="13" t="str">
        <f>C2378&amp;" "&amp;Lang_Allowances_Outputs</f>
        <v>SME Activity #7 (Not in Use) Allowances - Outputs</v>
      </c>
    </row>
    <row r="2377" spans="1:8" s="10" customFormat="1" outlineLevel="1" x14ac:dyDescent="0.2"/>
    <row r="2378" spans="1:8" s="10" customFormat="1" outlineLevel="1" x14ac:dyDescent="0.2">
      <c r="C2378" s="114" t="str">
        <f>HL_LVL2_ACTV_15_Name</f>
        <v>SME Activity #7 (Not in Use)</v>
      </c>
    </row>
    <row r="2379" spans="1:8" s="10" customFormat="1" outlineLevel="1" x14ac:dyDescent="0.2">
      <c r="E2379" s="86" t="str">
        <f>SUPV_Lu!$D$242&amp;" "&amp;Lang_Cost&amp;" ("&amp;SUPV_Lu!$D$223&amp;")"</f>
        <v>Financial Cost (LCU)</v>
      </c>
      <c r="F2379" s="86" t="str">
        <f>SUPV_Lu!$D$243&amp;" "&amp;Lang_Cost&amp;" ("&amp;SUPV_Lu!$D$223&amp;")"</f>
        <v>Economic Cost (LCU)</v>
      </c>
      <c r="G2379" s="86" t="str">
        <f>SUPV_Lu!$D$242&amp;" "&amp;Lang_Cost&amp;" ("&amp;SUPV_Lu!$D$222&amp;")"</f>
        <v>Financial Cost (USD)</v>
      </c>
      <c r="H2379" s="86" t="str">
        <f>SUPV_Lu!$D$243&amp;" "&amp;Lang_Cost&amp;" ("&amp;SUPV_Lu!$D$222&amp;")"</f>
        <v>Economic Cost (USD)</v>
      </c>
    </row>
    <row r="2380" spans="1:8" s="10" customFormat="1" outlineLevel="1" x14ac:dyDescent="0.2">
      <c r="D2380" s="49" t="str">
        <f>SUPV_DETAILED_COST_WKSHT!D639</f>
        <v>Allowances Category 1</v>
      </c>
      <c r="E2380" s="115">
        <f>IF(DD_LVL2_ACTV_15_Currency_Selected=2,SUPV_DETAILED_COST_WKSHT!$F639*SUPV_DETAILED_COST_WKSHT!G639,SUPV_DETAILED_COST_WKSHT!$F639*(SUPV_DETAILED_COST_WKSHT!G639*LVL2_ACTV_15_Exchange_Rate))</f>
        <v>0</v>
      </c>
      <c r="F2380" s="115">
        <f>IF(DD_LVL2_ACTV_15_Currency_Selected=2,SUPV_DETAILED_COST_WKSHT!$F639*SUPV_DETAILED_COST_WKSHT!H639,SUPV_DETAILED_COST_WKSHT!$F639*(SUPV_DETAILED_COST_WKSHT!H639*LVL2_ACTV_15_Exchange_Rate))</f>
        <v>0</v>
      </c>
      <c r="G2380" s="116">
        <f t="shared" ref="G2380:G2389" si="226">E2380/LVL2_ACTV_15_Exchange_Rate</f>
        <v>0</v>
      </c>
      <c r="H2380" s="116">
        <f t="shared" ref="H2380:H2389" si="227">F2380/LVL2_ACTV_15_Exchange_Rate</f>
        <v>0</v>
      </c>
    </row>
    <row r="2381" spans="1:8" s="10" customFormat="1" outlineLevel="1" x14ac:dyDescent="0.2">
      <c r="D2381" s="49" t="str">
        <f>SUPV_DETAILED_COST_WKSHT!D640</f>
        <v>Allowances Category 2</v>
      </c>
      <c r="E2381" s="115">
        <f>IF(DD_LVL2_ACTV_15_Currency_Selected=2,SUPV_DETAILED_COST_WKSHT!$F640*SUPV_DETAILED_COST_WKSHT!G640,SUPV_DETAILED_COST_WKSHT!$F640*(SUPV_DETAILED_COST_WKSHT!G640*LVL2_ACTV_15_Exchange_Rate))</f>
        <v>0</v>
      </c>
      <c r="F2381" s="115">
        <f>IF(DD_LVL2_ACTV_15_Currency_Selected=2,SUPV_DETAILED_COST_WKSHT!$F640*SUPV_DETAILED_COST_WKSHT!H640,SUPV_DETAILED_COST_WKSHT!$F640*(SUPV_DETAILED_COST_WKSHT!H640*LVL2_ACTV_15_Exchange_Rate))</f>
        <v>0</v>
      </c>
      <c r="G2381" s="116">
        <f t="shared" si="226"/>
        <v>0</v>
      </c>
      <c r="H2381" s="116">
        <f t="shared" si="227"/>
        <v>0</v>
      </c>
    </row>
    <row r="2382" spans="1:8" s="10" customFormat="1" outlineLevel="1" x14ac:dyDescent="0.2">
      <c r="D2382" s="49" t="str">
        <f>SUPV_DETAILED_COST_WKSHT!D641</f>
        <v>Allowances Category 3</v>
      </c>
      <c r="E2382" s="115">
        <f>IF(DD_LVL2_ACTV_15_Currency_Selected=2,SUPV_DETAILED_COST_WKSHT!$F641*SUPV_DETAILED_COST_WKSHT!G641,SUPV_DETAILED_COST_WKSHT!$F641*(SUPV_DETAILED_COST_WKSHT!G641*LVL2_ACTV_15_Exchange_Rate))</f>
        <v>0</v>
      </c>
      <c r="F2382" s="115">
        <f>IF(DD_LVL2_ACTV_15_Currency_Selected=2,SUPV_DETAILED_COST_WKSHT!$F641*SUPV_DETAILED_COST_WKSHT!H641,SUPV_DETAILED_COST_WKSHT!$F641*(SUPV_DETAILED_COST_WKSHT!H641*LVL2_ACTV_15_Exchange_Rate))</f>
        <v>0</v>
      </c>
      <c r="G2382" s="116">
        <f t="shared" si="226"/>
        <v>0</v>
      </c>
      <c r="H2382" s="116">
        <f t="shared" si="227"/>
        <v>0</v>
      </c>
    </row>
    <row r="2383" spans="1:8" s="10" customFormat="1" outlineLevel="1" x14ac:dyDescent="0.2">
      <c r="D2383" s="49" t="str">
        <f>SUPV_DETAILED_COST_WKSHT!D642</f>
        <v>Allowances Category 4</v>
      </c>
      <c r="E2383" s="115">
        <f>IF(DD_LVL2_ACTV_15_Currency_Selected=2,SUPV_DETAILED_COST_WKSHT!$F642*SUPV_DETAILED_COST_WKSHT!G642,SUPV_DETAILED_COST_WKSHT!$F642*(SUPV_DETAILED_COST_WKSHT!G642*LVL2_ACTV_15_Exchange_Rate))</f>
        <v>0</v>
      </c>
      <c r="F2383" s="115">
        <f>IF(DD_LVL2_ACTV_15_Currency_Selected=2,SUPV_DETAILED_COST_WKSHT!$F642*SUPV_DETAILED_COST_WKSHT!H642,SUPV_DETAILED_COST_WKSHT!$F642*(SUPV_DETAILED_COST_WKSHT!H642*LVL2_ACTV_15_Exchange_Rate))</f>
        <v>0</v>
      </c>
      <c r="G2383" s="116">
        <f t="shared" si="226"/>
        <v>0</v>
      </c>
      <c r="H2383" s="116">
        <f t="shared" si="227"/>
        <v>0</v>
      </c>
    </row>
    <row r="2384" spans="1:8" s="10" customFormat="1" outlineLevel="1" x14ac:dyDescent="0.2">
      <c r="D2384" s="49" t="str">
        <f>SUPV_DETAILED_COST_WKSHT!D643</f>
        <v>Allowances Category 5</v>
      </c>
      <c r="E2384" s="115">
        <f>IF(DD_LVL2_ACTV_15_Currency_Selected=2,SUPV_DETAILED_COST_WKSHT!$F643*SUPV_DETAILED_COST_WKSHT!G643,SUPV_DETAILED_COST_WKSHT!$F643*(SUPV_DETAILED_COST_WKSHT!G643*LVL2_ACTV_15_Exchange_Rate))</f>
        <v>0</v>
      </c>
      <c r="F2384" s="115">
        <f>IF(DD_LVL2_ACTV_15_Currency_Selected=2,SUPV_DETAILED_COST_WKSHT!$F643*SUPV_DETAILED_COST_WKSHT!H643,SUPV_DETAILED_COST_WKSHT!$F643*(SUPV_DETAILED_COST_WKSHT!H643*LVL2_ACTV_15_Exchange_Rate))</f>
        <v>0</v>
      </c>
      <c r="G2384" s="116">
        <f t="shared" si="226"/>
        <v>0</v>
      </c>
      <c r="H2384" s="116">
        <f t="shared" si="227"/>
        <v>0</v>
      </c>
    </row>
    <row r="2385" spans="1:8" s="10" customFormat="1" outlineLevel="1" x14ac:dyDescent="0.2">
      <c r="D2385" s="49" t="str">
        <f>SUPV_DETAILED_COST_WKSHT!D644</f>
        <v>Allowances Category 6</v>
      </c>
      <c r="E2385" s="115">
        <f>IF(DD_LVL2_ACTV_15_Currency_Selected=2,SUPV_DETAILED_COST_WKSHT!$F644*SUPV_DETAILED_COST_WKSHT!G644,SUPV_DETAILED_COST_WKSHT!$F644*(SUPV_DETAILED_COST_WKSHT!G644*LVL2_ACTV_15_Exchange_Rate))</f>
        <v>0</v>
      </c>
      <c r="F2385" s="115">
        <f>IF(DD_LVL2_ACTV_15_Currency_Selected=2,SUPV_DETAILED_COST_WKSHT!$F644*SUPV_DETAILED_COST_WKSHT!H644,SUPV_DETAILED_COST_WKSHT!$F644*(SUPV_DETAILED_COST_WKSHT!H644*LVL2_ACTV_15_Exchange_Rate))</f>
        <v>0</v>
      </c>
      <c r="G2385" s="116">
        <f t="shared" si="226"/>
        <v>0</v>
      </c>
      <c r="H2385" s="116">
        <f t="shared" si="227"/>
        <v>0</v>
      </c>
    </row>
    <row r="2386" spans="1:8" s="10" customFormat="1" outlineLevel="1" x14ac:dyDescent="0.2">
      <c r="D2386" s="49" t="str">
        <f>SUPV_DETAILED_COST_WKSHT!D645</f>
        <v>Allowances Category 7</v>
      </c>
      <c r="E2386" s="115">
        <f>IF(DD_LVL2_ACTV_15_Currency_Selected=2,SUPV_DETAILED_COST_WKSHT!$F645*SUPV_DETAILED_COST_WKSHT!G645,SUPV_DETAILED_COST_WKSHT!$F645*(SUPV_DETAILED_COST_WKSHT!G645*LVL2_ACTV_15_Exchange_Rate))</f>
        <v>0</v>
      </c>
      <c r="F2386" s="115">
        <f>IF(DD_LVL2_ACTV_15_Currency_Selected=2,SUPV_DETAILED_COST_WKSHT!$F645*SUPV_DETAILED_COST_WKSHT!H645,SUPV_DETAILED_COST_WKSHT!$F645*(SUPV_DETAILED_COST_WKSHT!H645*LVL2_ACTV_15_Exchange_Rate))</f>
        <v>0</v>
      </c>
      <c r="G2386" s="116">
        <f t="shared" si="226"/>
        <v>0</v>
      </c>
      <c r="H2386" s="116">
        <f t="shared" si="227"/>
        <v>0</v>
      </c>
    </row>
    <row r="2387" spans="1:8" s="10" customFormat="1" outlineLevel="1" x14ac:dyDescent="0.2">
      <c r="D2387" s="49" t="str">
        <f>SUPV_DETAILED_COST_WKSHT!D646</f>
        <v>Allowances Category 8</v>
      </c>
      <c r="E2387" s="115">
        <f>IF(DD_LVL2_ACTV_15_Currency_Selected=2,SUPV_DETAILED_COST_WKSHT!$F646*SUPV_DETAILED_COST_WKSHT!G646,SUPV_DETAILED_COST_WKSHT!$F646*(SUPV_DETAILED_COST_WKSHT!G646*LVL2_ACTV_15_Exchange_Rate))</f>
        <v>0</v>
      </c>
      <c r="F2387" s="115">
        <f>IF(DD_LVL2_ACTV_15_Currency_Selected=2,SUPV_DETAILED_COST_WKSHT!$F646*SUPV_DETAILED_COST_WKSHT!H646,SUPV_DETAILED_COST_WKSHT!$F646*(SUPV_DETAILED_COST_WKSHT!H646*LVL2_ACTV_15_Exchange_Rate))</f>
        <v>0</v>
      </c>
      <c r="G2387" s="116">
        <f t="shared" si="226"/>
        <v>0</v>
      </c>
      <c r="H2387" s="116">
        <f t="shared" si="227"/>
        <v>0</v>
      </c>
    </row>
    <row r="2388" spans="1:8" s="10" customFormat="1" outlineLevel="1" x14ac:dyDescent="0.2">
      <c r="D2388" s="49" t="str">
        <f>SUPV_DETAILED_COST_WKSHT!D647</f>
        <v>Allowances Category 9</v>
      </c>
      <c r="E2388" s="115">
        <f>IF(DD_LVL2_ACTV_15_Currency_Selected=2,SUPV_DETAILED_COST_WKSHT!$F647*SUPV_DETAILED_COST_WKSHT!G647,SUPV_DETAILED_COST_WKSHT!$F647*(SUPV_DETAILED_COST_WKSHT!G647*LVL2_ACTV_15_Exchange_Rate))</f>
        <v>0</v>
      </c>
      <c r="F2388" s="115">
        <f>IF(DD_LVL2_ACTV_15_Currency_Selected=2,SUPV_DETAILED_COST_WKSHT!$F647*SUPV_DETAILED_COST_WKSHT!H647,SUPV_DETAILED_COST_WKSHT!$F647*(SUPV_DETAILED_COST_WKSHT!H647*LVL2_ACTV_15_Exchange_Rate))</f>
        <v>0</v>
      </c>
      <c r="G2388" s="116">
        <f t="shared" si="226"/>
        <v>0</v>
      </c>
      <c r="H2388" s="116">
        <f t="shared" si="227"/>
        <v>0</v>
      </c>
    </row>
    <row r="2389" spans="1:8" s="10" customFormat="1" outlineLevel="1" x14ac:dyDescent="0.2">
      <c r="D2389" s="49" t="str">
        <f>SUPV_DETAILED_COST_WKSHT!D648</f>
        <v>Allowances Category 10</v>
      </c>
      <c r="E2389" s="115">
        <f>IF(DD_LVL2_ACTV_15_Currency_Selected=2,SUPV_DETAILED_COST_WKSHT!$F648*SUPV_DETAILED_COST_WKSHT!G648,SUPV_DETAILED_COST_WKSHT!$F648*(SUPV_DETAILED_COST_WKSHT!G648*LVL2_ACTV_15_Exchange_Rate))</f>
        <v>0</v>
      </c>
      <c r="F2389" s="115">
        <f>IF(DD_LVL2_ACTV_15_Currency_Selected=2,SUPV_DETAILED_COST_WKSHT!$F648*SUPV_DETAILED_COST_WKSHT!H648,SUPV_DETAILED_COST_WKSHT!$F648*(SUPV_DETAILED_COST_WKSHT!H648*LVL2_ACTV_15_Exchange_Rate))</f>
        <v>0</v>
      </c>
      <c r="G2389" s="116">
        <f t="shared" si="226"/>
        <v>0</v>
      </c>
      <c r="H2389" s="116">
        <f t="shared" si="227"/>
        <v>0</v>
      </c>
    </row>
    <row r="2390" spans="1:8" s="10" customFormat="1" outlineLevel="1" x14ac:dyDescent="0.2">
      <c r="D2390" s="48" t="str">
        <f>Lang_Allowances</f>
        <v>Allowances</v>
      </c>
      <c r="E2390" s="120">
        <f>SUM(E2380:E2389)</f>
        <v>0</v>
      </c>
      <c r="F2390" s="120">
        <f>SUM(F2380:F2389)</f>
        <v>0</v>
      </c>
      <c r="G2390" s="121">
        <f>SUM(G2380:G2389)</f>
        <v>0</v>
      </c>
      <c r="H2390" s="121">
        <f>SUM(H2380:H2389)</f>
        <v>0</v>
      </c>
    </row>
    <row r="2391" spans="1:8" s="10" customFormat="1" outlineLevel="1" x14ac:dyDescent="0.2"/>
    <row r="2392" spans="1:8" s="10" customFormat="1" outlineLevel="1" x14ac:dyDescent="0.2"/>
    <row r="2393" spans="1:8" s="10" customFormat="1" outlineLevel="1" x14ac:dyDescent="0.2">
      <c r="D2393" s="76" t="str">
        <f>Lang_GoTo&amp;" "&amp;HL_LVL2_ACTV_15_Ass_A</f>
        <v>Go to SME Activity #7 (Not in Use) - Detailed Allowance Cost Assumptions</v>
      </c>
    </row>
    <row r="2394" spans="1:8" s="10" customFormat="1" outlineLevel="1" x14ac:dyDescent="0.2">
      <c r="D2394" s="76" t="str">
        <f>Lang_GoTo&amp;" "&amp;HL_LVL2_ACTV_15_Cost_Summary_Output</f>
        <v>Go to SME Activity #7 (Not in Use) Detailed Cost Summary</v>
      </c>
    </row>
    <row r="2395" spans="1:8" s="10" customFormat="1" x14ac:dyDescent="0.2"/>
    <row r="2396" spans="1:8" s="13" customFormat="1" x14ac:dyDescent="0.2">
      <c r="A2396" s="12" t="s">
        <v>127</v>
      </c>
      <c r="B2396" s="13" t="str">
        <f>C2398&amp;" "&amp;Lang_Supplies_And_Materials_Outputs</f>
        <v>SME Activity #7 (Not in Use) Supplies and Materials - Outputs</v>
      </c>
    </row>
    <row r="2397" spans="1:8" s="10" customFormat="1" outlineLevel="1" x14ac:dyDescent="0.2"/>
    <row r="2398" spans="1:8" s="10" customFormat="1" outlineLevel="1" x14ac:dyDescent="0.2">
      <c r="C2398" s="114" t="str">
        <f>HL_LVL2_ACTV_15_Name</f>
        <v>SME Activity #7 (Not in Use)</v>
      </c>
    </row>
    <row r="2399" spans="1:8" s="10" customFormat="1" outlineLevel="1" x14ac:dyDescent="0.2">
      <c r="E2399" s="86" t="str">
        <f>SUPV_Lu!$D$242&amp;" "&amp;Lang_Cost&amp;" ("&amp;SUPV_Lu!$D$223&amp;")"</f>
        <v>Financial Cost (LCU)</v>
      </c>
      <c r="F2399" s="86" t="str">
        <f>SUPV_Lu!$D$243&amp;" "&amp;Lang_Cost&amp;" ("&amp;SUPV_Lu!$D$223&amp;")"</f>
        <v>Economic Cost (LCU)</v>
      </c>
      <c r="G2399" s="86" t="str">
        <f>SUPV_Lu!$D$242&amp;" "&amp;Lang_Cost&amp;" ("&amp;SUPV_Lu!$D$222&amp;")"</f>
        <v>Financial Cost (USD)</v>
      </c>
      <c r="H2399" s="86" t="str">
        <f>SUPV_Lu!$D$243&amp;" "&amp;Lang_Cost&amp;" ("&amp;SUPV_Lu!$D$222&amp;")"</f>
        <v>Economic Cost (USD)</v>
      </c>
    </row>
    <row r="2400" spans="1:8" s="10" customFormat="1" outlineLevel="1" x14ac:dyDescent="0.2">
      <c r="D2400" s="49" t="str">
        <f>SUPV_DETAILED_COST_WKSHT!D657</f>
        <v>Supplies and Materials Category 1</v>
      </c>
      <c r="E2400" s="115">
        <f>IF(DD_LVL2_ACTV_15_Currency_Selected=2,SUPV_DETAILED_COST_WKSHT!$F657*SUPV_DETAILED_COST_WKSHT!G657,SUPV_DETAILED_COST_WKSHT!$F657*(SUPV_DETAILED_COST_WKSHT!G657*LVL2_ACTV_15_Exchange_Rate))</f>
        <v>0</v>
      </c>
      <c r="F2400" s="115">
        <f>IF(DD_LVL2_ACTV_15_Currency_Selected=2,SUPV_DETAILED_COST_WKSHT!$F657*SUPV_DETAILED_COST_WKSHT!H657,SUPV_DETAILED_COST_WKSHT!$F657*(SUPV_DETAILED_COST_WKSHT!H657*LVL2_ACTV_15_Exchange_Rate))</f>
        <v>0</v>
      </c>
      <c r="G2400" s="116">
        <f t="shared" ref="G2400:G2409" si="228">E2400/LVL2_ACTV_15_Exchange_Rate</f>
        <v>0</v>
      </c>
      <c r="H2400" s="116">
        <f t="shared" ref="H2400:H2409" si="229">F2400/LVL2_ACTV_15_Exchange_Rate</f>
        <v>0</v>
      </c>
    </row>
    <row r="2401" spans="1:8" s="10" customFormat="1" outlineLevel="1" x14ac:dyDescent="0.2">
      <c r="D2401" s="49" t="str">
        <f>SUPV_DETAILED_COST_WKSHT!D658</f>
        <v>Supplies and Materials Category 2</v>
      </c>
      <c r="E2401" s="115">
        <f>IF(DD_LVL2_ACTV_15_Currency_Selected=2,SUPV_DETAILED_COST_WKSHT!$F658*SUPV_DETAILED_COST_WKSHT!G658,SUPV_DETAILED_COST_WKSHT!$F658*(SUPV_DETAILED_COST_WKSHT!G658*LVL2_ACTV_15_Exchange_Rate))</f>
        <v>0</v>
      </c>
      <c r="F2401" s="115">
        <f>IF(DD_LVL2_ACTV_15_Currency_Selected=2,SUPV_DETAILED_COST_WKSHT!$F658*SUPV_DETAILED_COST_WKSHT!H658,SUPV_DETAILED_COST_WKSHT!$F658*(SUPV_DETAILED_COST_WKSHT!H658*LVL2_ACTV_15_Exchange_Rate))</f>
        <v>0</v>
      </c>
      <c r="G2401" s="116">
        <f t="shared" si="228"/>
        <v>0</v>
      </c>
      <c r="H2401" s="116">
        <f t="shared" si="229"/>
        <v>0</v>
      </c>
    </row>
    <row r="2402" spans="1:8" s="10" customFormat="1" outlineLevel="1" x14ac:dyDescent="0.2">
      <c r="D2402" s="49" t="str">
        <f>SUPV_DETAILED_COST_WKSHT!D659</f>
        <v>Supplies and Materials Category 3</v>
      </c>
      <c r="E2402" s="115">
        <f>IF(DD_LVL2_ACTV_15_Currency_Selected=2,SUPV_DETAILED_COST_WKSHT!$F659*SUPV_DETAILED_COST_WKSHT!G659,SUPV_DETAILED_COST_WKSHT!$F659*(SUPV_DETAILED_COST_WKSHT!G659*LVL2_ACTV_15_Exchange_Rate))</f>
        <v>0</v>
      </c>
      <c r="F2402" s="115">
        <f>IF(DD_LVL2_ACTV_15_Currency_Selected=2,SUPV_DETAILED_COST_WKSHT!$F659*SUPV_DETAILED_COST_WKSHT!H659,SUPV_DETAILED_COST_WKSHT!$F659*(SUPV_DETAILED_COST_WKSHT!H659*LVL2_ACTV_15_Exchange_Rate))</f>
        <v>0</v>
      </c>
      <c r="G2402" s="116">
        <f t="shared" si="228"/>
        <v>0</v>
      </c>
      <c r="H2402" s="116">
        <f t="shared" si="229"/>
        <v>0</v>
      </c>
    </row>
    <row r="2403" spans="1:8" s="10" customFormat="1" outlineLevel="1" x14ac:dyDescent="0.2">
      <c r="D2403" s="49" t="str">
        <f>SUPV_DETAILED_COST_WKSHT!D660</f>
        <v>Supplies and Materials Category 4</v>
      </c>
      <c r="E2403" s="115">
        <f>IF(DD_LVL2_ACTV_15_Currency_Selected=2,SUPV_DETAILED_COST_WKSHT!$F660*SUPV_DETAILED_COST_WKSHT!G660,SUPV_DETAILED_COST_WKSHT!$F660*(SUPV_DETAILED_COST_WKSHT!G660*LVL2_ACTV_15_Exchange_Rate))</f>
        <v>0</v>
      </c>
      <c r="F2403" s="115">
        <f>IF(DD_LVL2_ACTV_15_Currency_Selected=2,SUPV_DETAILED_COST_WKSHT!$F660*SUPV_DETAILED_COST_WKSHT!H660,SUPV_DETAILED_COST_WKSHT!$F660*(SUPV_DETAILED_COST_WKSHT!H660*LVL2_ACTV_15_Exchange_Rate))</f>
        <v>0</v>
      </c>
      <c r="G2403" s="116">
        <f t="shared" si="228"/>
        <v>0</v>
      </c>
      <c r="H2403" s="116">
        <f t="shared" si="229"/>
        <v>0</v>
      </c>
    </row>
    <row r="2404" spans="1:8" s="10" customFormat="1" outlineLevel="1" x14ac:dyDescent="0.2">
      <c r="D2404" s="49" t="str">
        <f>SUPV_DETAILED_COST_WKSHT!D661</f>
        <v>Supplies and Materials Category 5</v>
      </c>
      <c r="E2404" s="115">
        <f>IF(DD_LVL2_ACTV_15_Currency_Selected=2,SUPV_DETAILED_COST_WKSHT!$F661*SUPV_DETAILED_COST_WKSHT!G661,SUPV_DETAILED_COST_WKSHT!$F661*(SUPV_DETAILED_COST_WKSHT!G661*LVL2_ACTV_15_Exchange_Rate))</f>
        <v>0</v>
      </c>
      <c r="F2404" s="115">
        <f>IF(DD_LVL2_ACTV_15_Currency_Selected=2,SUPV_DETAILED_COST_WKSHT!$F661*SUPV_DETAILED_COST_WKSHT!H661,SUPV_DETAILED_COST_WKSHT!$F661*(SUPV_DETAILED_COST_WKSHT!H661*LVL2_ACTV_15_Exchange_Rate))</f>
        <v>0</v>
      </c>
      <c r="G2404" s="116">
        <f t="shared" si="228"/>
        <v>0</v>
      </c>
      <c r="H2404" s="116">
        <f t="shared" si="229"/>
        <v>0</v>
      </c>
    </row>
    <row r="2405" spans="1:8" s="10" customFormat="1" outlineLevel="1" x14ac:dyDescent="0.2">
      <c r="D2405" s="49" t="str">
        <f>SUPV_DETAILED_COST_WKSHT!D662</f>
        <v>Supplies and Materials Category 6</v>
      </c>
      <c r="E2405" s="115">
        <f>IF(DD_LVL2_ACTV_15_Currency_Selected=2,SUPV_DETAILED_COST_WKSHT!$F662*SUPV_DETAILED_COST_WKSHT!G662,SUPV_DETAILED_COST_WKSHT!$F662*(SUPV_DETAILED_COST_WKSHT!G662*LVL2_ACTV_15_Exchange_Rate))</f>
        <v>0</v>
      </c>
      <c r="F2405" s="115">
        <f>IF(DD_LVL2_ACTV_15_Currency_Selected=2,SUPV_DETAILED_COST_WKSHT!$F662*SUPV_DETAILED_COST_WKSHT!H662,SUPV_DETAILED_COST_WKSHT!$F662*(SUPV_DETAILED_COST_WKSHT!H662*LVL2_ACTV_15_Exchange_Rate))</f>
        <v>0</v>
      </c>
      <c r="G2405" s="116">
        <f t="shared" si="228"/>
        <v>0</v>
      </c>
      <c r="H2405" s="116">
        <f t="shared" si="229"/>
        <v>0</v>
      </c>
    </row>
    <row r="2406" spans="1:8" s="10" customFormat="1" outlineLevel="1" x14ac:dyDescent="0.2">
      <c r="D2406" s="49" t="str">
        <f>SUPV_DETAILED_COST_WKSHT!D663</f>
        <v>Supplies and Materials Category 7</v>
      </c>
      <c r="E2406" s="115">
        <f>IF(DD_LVL2_ACTV_15_Currency_Selected=2,SUPV_DETAILED_COST_WKSHT!$F663*SUPV_DETAILED_COST_WKSHT!G663,SUPV_DETAILED_COST_WKSHT!$F663*(SUPV_DETAILED_COST_WKSHT!G663*LVL2_ACTV_15_Exchange_Rate))</f>
        <v>0</v>
      </c>
      <c r="F2406" s="115">
        <f>IF(DD_LVL2_ACTV_15_Currency_Selected=2,SUPV_DETAILED_COST_WKSHT!$F663*SUPV_DETAILED_COST_WKSHT!H663,SUPV_DETAILED_COST_WKSHT!$F663*(SUPV_DETAILED_COST_WKSHT!H663*LVL2_ACTV_15_Exchange_Rate))</f>
        <v>0</v>
      </c>
      <c r="G2406" s="116">
        <f t="shared" si="228"/>
        <v>0</v>
      </c>
      <c r="H2406" s="116">
        <f t="shared" si="229"/>
        <v>0</v>
      </c>
    </row>
    <row r="2407" spans="1:8" s="10" customFormat="1" outlineLevel="1" x14ac:dyDescent="0.2">
      <c r="D2407" s="49" t="str">
        <f>SUPV_DETAILED_COST_WKSHT!D664</f>
        <v>Supplies and Materials Category 8</v>
      </c>
      <c r="E2407" s="115">
        <f>IF(DD_LVL2_ACTV_15_Currency_Selected=2,SUPV_DETAILED_COST_WKSHT!$F664*SUPV_DETAILED_COST_WKSHT!G664,SUPV_DETAILED_COST_WKSHT!$F664*(SUPV_DETAILED_COST_WKSHT!G664*LVL2_ACTV_15_Exchange_Rate))</f>
        <v>0</v>
      </c>
      <c r="F2407" s="115">
        <f>IF(DD_LVL2_ACTV_15_Currency_Selected=2,SUPV_DETAILED_COST_WKSHT!$F664*SUPV_DETAILED_COST_WKSHT!H664,SUPV_DETAILED_COST_WKSHT!$F664*(SUPV_DETAILED_COST_WKSHT!H664*LVL2_ACTV_15_Exchange_Rate))</f>
        <v>0</v>
      </c>
      <c r="G2407" s="116">
        <f t="shared" si="228"/>
        <v>0</v>
      </c>
      <c r="H2407" s="116">
        <f t="shared" si="229"/>
        <v>0</v>
      </c>
    </row>
    <row r="2408" spans="1:8" s="10" customFormat="1" outlineLevel="1" x14ac:dyDescent="0.2">
      <c r="D2408" s="49" t="str">
        <f>SUPV_DETAILED_COST_WKSHT!D665</f>
        <v>Supplies and Materials Category 9</v>
      </c>
      <c r="E2408" s="115">
        <f>IF(DD_LVL2_ACTV_15_Currency_Selected=2,SUPV_DETAILED_COST_WKSHT!$F665*SUPV_DETAILED_COST_WKSHT!G665,SUPV_DETAILED_COST_WKSHT!$F665*(SUPV_DETAILED_COST_WKSHT!G665*LVL2_ACTV_15_Exchange_Rate))</f>
        <v>0</v>
      </c>
      <c r="F2408" s="115">
        <f>IF(DD_LVL2_ACTV_15_Currency_Selected=2,SUPV_DETAILED_COST_WKSHT!$F665*SUPV_DETAILED_COST_WKSHT!H665,SUPV_DETAILED_COST_WKSHT!$F665*(SUPV_DETAILED_COST_WKSHT!H665*LVL2_ACTV_15_Exchange_Rate))</f>
        <v>0</v>
      </c>
      <c r="G2408" s="116">
        <f t="shared" si="228"/>
        <v>0</v>
      </c>
      <c r="H2408" s="116">
        <f t="shared" si="229"/>
        <v>0</v>
      </c>
    </row>
    <row r="2409" spans="1:8" s="10" customFormat="1" outlineLevel="1" x14ac:dyDescent="0.2">
      <c r="D2409" s="49" t="str">
        <f>SUPV_DETAILED_COST_WKSHT!D666</f>
        <v>Supplies and Materials Category 10</v>
      </c>
      <c r="E2409" s="115">
        <f>IF(DD_LVL2_ACTV_15_Currency_Selected=2,SUPV_DETAILED_COST_WKSHT!$F666*SUPV_DETAILED_COST_WKSHT!G666,SUPV_DETAILED_COST_WKSHT!$F666*(SUPV_DETAILED_COST_WKSHT!G666*LVL2_ACTV_15_Exchange_Rate))</f>
        <v>0</v>
      </c>
      <c r="F2409" s="115">
        <f>IF(DD_LVL2_ACTV_15_Currency_Selected=2,SUPV_DETAILED_COST_WKSHT!$F666*SUPV_DETAILED_COST_WKSHT!H666,SUPV_DETAILED_COST_WKSHT!$F666*(SUPV_DETAILED_COST_WKSHT!H666*LVL2_ACTV_15_Exchange_Rate))</f>
        <v>0</v>
      </c>
      <c r="G2409" s="116">
        <f t="shared" si="228"/>
        <v>0</v>
      </c>
      <c r="H2409" s="116">
        <f t="shared" si="229"/>
        <v>0</v>
      </c>
    </row>
    <row r="2410" spans="1:8" s="10" customFormat="1" outlineLevel="1" x14ac:dyDescent="0.2">
      <c r="D2410" s="48" t="str">
        <f>Lang_Supplies_And_Materials</f>
        <v>Supplies and Materials</v>
      </c>
      <c r="E2410" s="120">
        <f>SUM(E2400:E2409)</f>
        <v>0</v>
      </c>
      <c r="F2410" s="120">
        <f>SUM(F2400:F2409)</f>
        <v>0</v>
      </c>
      <c r="G2410" s="121">
        <f>SUM(G2400:G2409)</f>
        <v>0</v>
      </c>
      <c r="H2410" s="121">
        <f>SUM(H2400:H2409)</f>
        <v>0</v>
      </c>
    </row>
    <row r="2411" spans="1:8" s="10" customFormat="1" outlineLevel="1" x14ac:dyDescent="0.2"/>
    <row r="2412" spans="1:8" s="10" customFormat="1" outlineLevel="1" x14ac:dyDescent="0.2"/>
    <row r="2413" spans="1:8" s="10" customFormat="1" outlineLevel="1" x14ac:dyDescent="0.2">
      <c r="D2413" s="76" t="str">
        <f>Lang_GoTo&amp;" "&amp;HL_LVL2_ACTV_15_Supplies_and_Materials</f>
        <v>Go to SME Activity #7 (Not in Use) - Detailed Supply and Material Cost Assumptions</v>
      </c>
    </row>
    <row r="2414" spans="1:8" s="10" customFormat="1" outlineLevel="1" x14ac:dyDescent="0.2">
      <c r="D2414" s="76" t="str">
        <f>Lang_GoTo&amp;" "&amp;HL_LVL2_ACTV_15_Cost_Summary_Output</f>
        <v>Go to SME Activity #7 (Not in Use) Detailed Cost Summary</v>
      </c>
    </row>
    <row r="2415" spans="1:8" s="10" customFormat="1" x14ac:dyDescent="0.2"/>
    <row r="2416" spans="1:8" s="13" customFormat="1" x14ac:dyDescent="0.2">
      <c r="A2416" s="12" t="s">
        <v>127</v>
      </c>
      <c r="B2416" s="13" t="str">
        <f>C2418&amp;" "&amp;Lang_Other_Direct_Costs_Outputs</f>
        <v>SME Activity #7 (Not in Use) Other Direct Costs - Outputs</v>
      </c>
    </row>
    <row r="2417" spans="3:8" s="10" customFormat="1" outlineLevel="1" x14ac:dyDescent="0.2"/>
    <row r="2418" spans="3:8" s="10" customFormat="1" outlineLevel="1" x14ac:dyDescent="0.2">
      <c r="C2418" s="114" t="str">
        <f>HL_LVL2_ACTV_15_Name</f>
        <v>SME Activity #7 (Not in Use)</v>
      </c>
    </row>
    <row r="2419" spans="3:8" s="10" customFormat="1" outlineLevel="1" x14ac:dyDescent="0.2">
      <c r="E2419" s="86" t="str">
        <f>SUPV_Lu!$D$242&amp;" "&amp;Lang_Cost&amp;" ("&amp;SUPV_Lu!$D$223&amp;")"</f>
        <v>Financial Cost (LCU)</v>
      </c>
      <c r="F2419" s="86" t="str">
        <f>SUPV_Lu!$D$243&amp;" "&amp;Lang_Cost&amp;" ("&amp;SUPV_Lu!$D$223&amp;")"</f>
        <v>Economic Cost (LCU)</v>
      </c>
      <c r="G2419" s="86" t="str">
        <f>SUPV_Lu!$D$242&amp;" "&amp;Lang_Cost&amp;" ("&amp;SUPV_Lu!$D$222&amp;")"</f>
        <v>Financial Cost (USD)</v>
      </c>
      <c r="H2419" s="86" t="str">
        <f>SUPV_Lu!$D$243&amp;" "&amp;Lang_Cost&amp;" ("&amp;SUPV_Lu!$D$222&amp;")"</f>
        <v>Economic Cost (USD)</v>
      </c>
    </row>
    <row r="2420" spans="3:8" s="10" customFormat="1" outlineLevel="1" x14ac:dyDescent="0.2">
      <c r="D2420" s="49" t="str">
        <f>SUPV_DETAILED_COST_WKSHT!D675</f>
        <v>Other Direct Costs (ODC) Category 1</v>
      </c>
      <c r="E2420" s="115">
        <f>IF(DD_LVL2_ACTV_15_Currency_Selected=2,SUPV_DETAILED_COST_WKSHT!$F675*SUPV_DETAILED_COST_WKSHT!G675,SUPV_DETAILED_COST_WKSHT!$F675*(SUPV_DETAILED_COST_WKSHT!G675*LVL2_ACTV_15_Exchange_Rate))</f>
        <v>0</v>
      </c>
      <c r="F2420" s="115">
        <f>IF(DD_LVL2_ACTV_15_Currency_Selected=2,SUPV_DETAILED_COST_WKSHT!$F675*SUPV_DETAILED_COST_WKSHT!H675,SUPV_DETAILED_COST_WKSHT!$F675*(SUPV_DETAILED_COST_WKSHT!H675*LVL2_ACTV_15_Exchange_Rate))</f>
        <v>0</v>
      </c>
      <c r="G2420" s="116">
        <f t="shared" ref="G2420:G2429" si="230">E2420/LVL2_ACTV_15_Exchange_Rate</f>
        <v>0</v>
      </c>
      <c r="H2420" s="116">
        <f t="shared" ref="H2420:H2429" si="231">F2420/LVL2_ACTV_15_Exchange_Rate</f>
        <v>0</v>
      </c>
    </row>
    <row r="2421" spans="3:8" s="10" customFormat="1" outlineLevel="1" x14ac:dyDescent="0.2">
      <c r="D2421" s="49" t="str">
        <f>SUPV_DETAILED_COST_WKSHT!D676</f>
        <v>Other Direct Costs (ODC) Category 2</v>
      </c>
      <c r="E2421" s="115">
        <f>IF(DD_LVL2_ACTV_15_Currency_Selected=2,SUPV_DETAILED_COST_WKSHT!$F676*SUPV_DETAILED_COST_WKSHT!G676,SUPV_DETAILED_COST_WKSHT!$F676*(SUPV_DETAILED_COST_WKSHT!G676*LVL2_ACTV_15_Exchange_Rate))</f>
        <v>0</v>
      </c>
      <c r="F2421" s="115">
        <f>IF(DD_LVL2_ACTV_15_Currency_Selected=2,SUPV_DETAILED_COST_WKSHT!$F676*SUPV_DETAILED_COST_WKSHT!H676,SUPV_DETAILED_COST_WKSHT!$F676*(SUPV_DETAILED_COST_WKSHT!H676*LVL2_ACTV_15_Exchange_Rate))</f>
        <v>0</v>
      </c>
      <c r="G2421" s="116">
        <f t="shared" si="230"/>
        <v>0</v>
      </c>
      <c r="H2421" s="116">
        <f t="shared" si="231"/>
        <v>0</v>
      </c>
    </row>
    <row r="2422" spans="3:8" s="10" customFormat="1" outlineLevel="1" x14ac:dyDescent="0.2">
      <c r="D2422" s="49" t="str">
        <f>SUPV_DETAILED_COST_WKSHT!D677</f>
        <v>Other Direct Costs (ODC) Category 3</v>
      </c>
      <c r="E2422" s="115">
        <f>IF(DD_LVL2_ACTV_15_Currency_Selected=2,SUPV_DETAILED_COST_WKSHT!$F677*SUPV_DETAILED_COST_WKSHT!G677,SUPV_DETAILED_COST_WKSHT!$F677*(SUPV_DETAILED_COST_WKSHT!G677*LVL2_ACTV_15_Exchange_Rate))</f>
        <v>0</v>
      </c>
      <c r="F2422" s="115">
        <f>IF(DD_LVL2_ACTV_15_Currency_Selected=2,SUPV_DETAILED_COST_WKSHT!$F677*SUPV_DETAILED_COST_WKSHT!H677,SUPV_DETAILED_COST_WKSHT!$F677*(SUPV_DETAILED_COST_WKSHT!H677*LVL2_ACTV_15_Exchange_Rate))</f>
        <v>0</v>
      </c>
      <c r="G2422" s="116">
        <f t="shared" si="230"/>
        <v>0</v>
      </c>
      <c r="H2422" s="116">
        <f t="shared" si="231"/>
        <v>0</v>
      </c>
    </row>
    <row r="2423" spans="3:8" s="10" customFormat="1" outlineLevel="1" x14ac:dyDescent="0.2">
      <c r="D2423" s="49" t="str">
        <f>SUPV_DETAILED_COST_WKSHT!D678</f>
        <v>Other Direct Costs (ODC) Category 4</v>
      </c>
      <c r="E2423" s="115">
        <f>IF(DD_LVL2_ACTV_15_Currency_Selected=2,SUPV_DETAILED_COST_WKSHT!$F678*SUPV_DETAILED_COST_WKSHT!G678,SUPV_DETAILED_COST_WKSHT!$F678*(SUPV_DETAILED_COST_WKSHT!G678*LVL2_ACTV_15_Exchange_Rate))</f>
        <v>0</v>
      </c>
      <c r="F2423" s="115">
        <f>IF(DD_LVL2_ACTV_15_Currency_Selected=2,SUPV_DETAILED_COST_WKSHT!$F678*SUPV_DETAILED_COST_WKSHT!H678,SUPV_DETAILED_COST_WKSHT!$F678*(SUPV_DETAILED_COST_WKSHT!H678*LVL2_ACTV_15_Exchange_Rate))</f>
        <v>0</v>
      </c>
      <c r="G2423" s="116">
        <f t="shared" si="230"/>
        <v>0</v>
      </c>
      <c r="H2423" s="116">
        <f t="shared" si="231"/>
        <v>0</v>
      </c>
    </row>
    <row r="2424" spans="3:8" s="10" customFormat="1" outlineLevel="1" x14ac:dyDescent="0.2">
      <c r="D2424" s="49" t="str">
        <f>SUPV_DETAILED_COST_WKSHT!D679</f>
        <v>Other Direct Costs (ODC) Category 5</v>
      </c>
      <c r="E2424" s="115">
        <f>IF(DD_LVL2_ACTV_15_Currency_Selected=2,SUPV_DETAILED_COST_WKSHT!$F679*SUPV_DETAILED_COST_WKSHT!G679,SUPV_DETAILED_COST_WKSHT!$F679*(SUPV_DETAILED_COST_WKSHT!G679*LVL2_ACTV_15_Exchange_Rate))</f>
        <v>0</v>
      </c>
      <c r="F2424" s="115">
        <f>IF(DD_LVL2_ACTV_15_Currency_Selected=2,SUPV_DETAILED_COST_WKSHT!$F679*SUPV_DETAILED_COST_WKSHT!H679,SUPV_DETAILED_COST_WKSHT!$F679*(SUPV_DETAILED_COST_WKSHT!H679*LVL2_ACTV_15_Exchange_Rate))</f>
        <v>0</v>
      </c>
      <c r="G2424" s="116">
        <f t="shared" si="230"/>
        <v>0</v>
      </c>
      <c r="H2424" s="116">
        <f t="shared" si="231"/>
        <v>0</v>
      </c>
    </row>
    <row r="2425" spans="3:8" s="10" customFormat="1" outlineLevel="1" x14ac:dyDescent="0.2">
      <c r="D2425" s="49" t="str">
        <f>SUPV_DETAILED_COST_WKSHT!D680</f>
        <v>Other Direct Costs (ODC) Category 6</v>
      </c>
      <c r="E2425" s="115">
        <f>IF(DD_LVL2_ACTV_15_Currency_Selected=2,SUPV_DETAILED_COST_WKSHT!$F680*SUPV_DETAILED_COST_WKSHT!G680,SUPV_DETAILED_COST_WKSHT!$F680*(SUPV_DETAILED_COST_WKSHT!G680*LVL2_ACTV_15_Exchange_Rate))</f>
        <v>0</v>
      </c>
      <c r="F2425" s="115">
        <f>IF(DD_LVL2_ACTV_15_Currency_Selected=2,SUPV_DETAILED_COST_WKSHT!$F680*SUPV_DETAILED_COST_WKSHT!H680,SUPV_DETAILED_COST_WKSHT!$F680*(SUPV_DETAILED_COST_WKSHT!H680*LVL2_ACTV_15_Exchange_Rate))</f>
        <v>0</v>
      </c>
      <c r="G2425" s="116">
        <f t="shared" si="230"/>
        <v>0</v>
      </c>
      <c r="H2425" s="116">
        <f t="shared" si="231"/>
        <v>0</v>
      </c>
    </row>
    <row r="2426" spans="3:8" s="10" customFormat="1" outlineLevel="1" x14ac:dyDescent="0.2">
      <c r="D2426" s="49" t="str">
        <f>SUPV_DETAILED_COST_WKSHT!D681</f>
        <v>Other Direct Costs (ODC) Category 7</v>
      </c>
      <c r="E2426" s="115">
        <f>IF(DD_LVL2_ACTV_15_Currency_Selected=2,SUPV_DETAILED_COST_WKSHT!$F681*SUPV_DETAILED_COST_WKSHT!G681,SUPV_DETAILED_COST_WKSHT!$F681*(SUPV_DETAILED_COST_WKSHT!G681*LVL2_ACTV_15_Exchange_Rate))</f>
        <v>0</v>
      </c>
      <c r="F2426" s="115">
        <f>IF(DD_LVL2_ACTV_15_Currency_Selected=2,SUPV_DETAILED_COST_WKSHT!$F681*SUPV_DETAILED_COST_WKSHT!H681,SUPV_DETAILED_COST_WKSHT!$F681*(SUPV_DETAILED_COST_WKSHT!H681*LVL2_ACTV_15_Exchange_Rate))</f>
        <v>0</v>
      </c>
      <c r="G2426" s="116">
        <f t="shared" si="230"/>
        <v>0</v>
      </c>
      <c r="H2426" s="116">
        <f t="shared" si="231"/>
        <v>0</v>
      </c>
    </row>
    <row r="2427" spans="3:8" s="10" customFormat="1" outlineLevel="1" x14ac:dyDescent="0.2">
      <c r="D2427" s="49" t="str">
        <f>SUPV_DETAILED_COST_WKSHT!D682</f>
        <v>Other Direct Costs (ODC) Category 8</v>
      </c>
      <c r="E2427" s="115">
        <f>IF(DD_LVL2_ACTV_15_Currency_Selected=2,SUPV_DETAILED_COST_WKSHT!$F682*SUPV_DETAILED_COST_WKSHT!G682,SUPV_DETAILED_COST_WKSHT!$F682*(SUPV_DETAILED_COST_WKSHT!G682*LVL2_ACTV_15_Exchange_Rate))</f>
        <v>0</v>
      </c>
      <c r="F2427" s="115">
        <f>IF(DD_LVL2_ACTV_15_Currency_Selected=2,SUPV_DETAILED_COST_WKSHT!$F682*SUPV_DETAILED_COST_WKSHT!H682,SUPV_DETAILED_COST_WKSHT!$F682*(SUPV_DETAILED_COST_WKSHT!H682*LVL2_ACTV_15_Exchange_Rate))</f>
        <v>0</v>
      </c>
      <c r="G2427" s="116">
        <f t="shared" si="230"/>
        <v>0</v>
      </c>
      <c r="H2427" s="116">
        <f t="shared" si="231"/>
        <v>0</v>
      </c>
    </row>
    <row r="2428" spans="3:8" s="10" customFormat="1" outlineLevel="1" x14ac:dyDescent="0.2">
      <c r="D2428" s="49" t="str">
        <f>SUPV_DETAILED_COST_WKSHT!D683</f>
        <v>Other Direct Costs (ODC) Category 9</v>
      </c>
      <c r="E2428" s="115">
        <f>IF(DD_LVL2_ACTV_15_Currency_Selected=2,SUPV_DETAILED_COST_WKSHT!$F683*SUPV_DETAILED_COST_WKSHT!G683,SUPV_DETAILED_COST_WKSHT!$F683*(SUPV_DETAILED_COST_WKSHT!G683*LVL2_ACTV_15_Exchange_Rate))</f>
        <v>0</v>
      </c>
      <c r="F2428" s="115">
        <f>IF(DD_LVL2_ACTV_15_Currency_Selected=2,SUPV_DETAILED_COST_WKSHT!$F683*SUPV_DETAILED_COST_WKSHT!H683,SUPV_DETAILED_COST_WKSHT!$F683*(SUPV_DETAILED_COST_WKSHT!H683*LVL2_ACTV_15_Exchange_Rate))</f>
        <v>0</v>
      </c>
      <c r="G2428" s="116">
        <f t="shared" si="230"/>
        <v>0</v>
      </c>
      <c r="H2428" s="116">
        <f t="shared" si="231"/>
        <v>0</v>
      </c>
    </row>
    <row r="2429" spans="3:8" s="10" customFormat="1" outlineLevel="1" x14ac:dyDescent="0.2">
      <c r="D2429" s="49" t="str">
        <f>SUPV_DETAILED_COST_WKSHT!D684</f>
        <v>Other Direct Costs (ODC) Category 10</v>
      </c>
      <c r="E2429" s="115">
        <f>IF(DD_LVL2_ACTV_15_Currency_Selected=2,SUPV_DETAILED_COST_WKSHT!$F684*SUPV_DETAILED_COST_WKSHT!G684,SUPV_DETAILED_COST_WKSHT!$F684*(SUPV_DETAILED_COST_WKSHT!G684*LVL2_ACTV_15_Exchange_Rate))</f>
        <v>0</v>
      </c>
      <c r="F2429" s="115">
        <f>IF(DD_LVL2_ACTV_15_Currency_Selected=2,SUPV_DETAILED_COST_WKSHT!$F684*SUPV_DETAILED_COST_WKSHT!H684,SUPV_DETAILED_COST_WKSHT!$F684*(SUPV_DETAILED_COST_WKSHT!H684*LVL2_ACTV_15_Exchange_Rate))</f>
        <v>0</v>
      </c>
      <c r="G2429" s="116">
        <f t="shared" si="230"/>
        <v>0</v>
      </c>
      <c r="H2429" s="116">
        <f t="shared" si="231"/>
        <v>0</v>
      </c>
    </row>
    <row r="2430" spans="3:8" s="10" customFormat="1" outlineLevel="1" x14ac:dyDescent="0.2">
      <c r="D2430" s="48" t="str">
        <f>Lang_Other_Direct_Costs</f>
        <v>Other Direct Costs</v>
      </c>
      <c r="E2430" s="120">
        <f>SUM(E2420:E2429)</f>
        <v>0</v>
      </c>
      <c r="F2430" s="120">
        <f>SUM(F2420:F2429)</f>
        <v>0</v>
      </c>
      <c r="G2430" s="121">
        <f>SUM(G2420:G2429)</f>
        <v>0</v>
      </c>
      <c r="H2430" s="121">
        <f>SUM(H2420:H2429)</f>
        <v>0</v>
      </c>
    </row>
    <row r="2431" spans="3:8" s="10" customFormat="1" outlineLevel="1" x14ac:dyDescent="0.2"/>
    <row r="2432" spans="3:8" s="10" customFormat="1" outlineLevel="1" x14ac:dyDescent="0.2">
      <c r="D2432" s="76" t="str">
        <f>Lang_GoTo&amp;" "&amp;HL_LVL2_ACTV_15_Other_Direct_Costs</f>
        <v>Go to SME Activity #7 (Not in Use) - Detailed Other Direct Cost Assumptions</v>
      </c>
    </row>
    <row r="2433" spans="1:8" s="10" customFormat="1" outlineLevel="1" x14ac:dyDescent="0.2">
      <c r="D2433" s="76" t="str">
        <f>Lang_GoTo&amp;" "&amp;HL_LVL2_ACTV_15_Cost_Summary_Output</f>
        <v>Go to SME Activity #7 (Not in Use) Detailed Cost Summary</v>
      </c>
    </row>
    <row r="2434" spans="1:8" s="10" customFormat="1" x14ac:dyDescent="0.2"/>
    <row r="2435" spans="1:8" s="13" customFormat="1" x14ac:dyDescent="0.2">
      <c r="A2435" s="12" t="s">
        <v>127</v>
      </c>
      <c r="B2435" s="13" t="str">
        <f>HL_TOP_ACTV_6_Name&amp;" "&amp;Lang_Personnel_Outputs</f>
        <v>Other Activity #1 - (Recurrent Costs Only) (Not in Use) Personnel - Outputs</v>
      </c>
    </row>
    <row r="2436" spans="1:8" s="10" customFormat="1" outlineLevel="1" x14ac:dyDescent="0.2"/>
    <row r="2437" spans="1:8" s="10" customFormat="1" outlineLevel="1" x14ac:dyDescent="0.2">
      <c r="C2437" s="114" t="str">
        <f>HL_TOP_ACTV_6_Name</f>
        <v>Other Activity #1 - (Recurrent Costs Only) (Not in Use)</v>
      </c>
    </row>
    <row r="2438" spans="1:8" s="10" customFormat="1" outlineLevel="1" x14ac:dyDescent="0.2">
      <c r="E2438" s="86" t="str">
        <f>OTHER_Lu!$D$32&amp;" "&amp;Lang_Cost&amp;" ("&amp;OTHER_Lu!$D$13&amp;")"</f>
        <v>Financial Cost (LCU)</v>
      </c>
      <c r="F2438" s="86" t="str">
        <f>OTHER_Lu!$D$33&amp;" "&amp;Lang_Cost&amp;" ("&amp;OTHER_Lu!$D$13&amp;")"</f>
        <v>Economic Cost (LCU)</v>
      </c>
      <c r="G2438" s="86" t="str">
        <f>OTHER_Lu!$D$32&amp;" "&amp;Lang_Cost&amp;" ("&amp;OTHER_Lu!$D$12&amp;")"</f>
        <v>Financial Cost (USD)</v>
      </c>
      <c r="H2438" s="86" t="str">
        <f>OTHER_Lu!$D$33&amp;" "&amp;Lang_Cost&amp;" ("&amp;OTHER_Lu!$D$12&amp;")"</f>
        <v>Economic Cost (USD)</v>
      </c>
    </row>
    <row r="2439" spans="1:8" s="10" customFormat="1" outlineLevel="1" x14ac:dyDescent="0.2">
      <c r="D2439" s="49" t="str">
        <f>OTHER_DETAILED_COST_WKSHT!D28</f>
        <v>Personnel Category 1</v>
      </c>
      <c r="E2439" s="115">
        <f>IF(DD_TOP_ACTV_6_Detailed_Currency_Used=2,OTHER_DETAILED_COST_WKSHT!$F28*OTHER_DETAILED_COST_WKSHT!G28,OTHER_DETAILED_COST_WKSHT!$F28*(OTHER_DETAILED_COST_WKSHT!G28*TOP_ACTV_6_Exchange_Rate))</f>
        <v>0</v>
      </c>
      <c r="F2439" s="115">
        <f>IF(DD_TOP_ACTV_6_Detailed_Currency_Used=2,OTHER_DETAILED_COST_WKSHT!$F28*OTHER_DETAILED_COST_WKSHT!H28,OTHER_DETAILED_COST_WKSHT!$F28*(OTHER_DETAILED_COST_WKSHT!H28*TOP_ACTV_6_Exchange_Rate))</f>
        <v>0</v>
      </c>
      <c r="G2439" s="116">
        <f t="shared" ref="G2439:G2453" si="232">IFERROR(E2439/TOP_ACTV_6_Exchange_Rate,0)</f>
        <v>0</v>
      </c>
      <c r="H2439" s="116">
        <f t="shared" ref="H2439:H2453" si="233">IFERROR(F2439/TOP_ACTV_6_Exchange_Rate,0)</f>
        <v>0</v>
      </c>
    </row>
    <row r="2440" spans="1:8" s="10" customFormat="1" outlineLevel="1" x14ac:dyDescent="0.2">
      <c r="D2440" s="49" t="str">
        <f>OTHER_DETAILED_COST_WKSHT!D29</f>
        <v>Personnel Category 2</v>
      </c>
      <c r="E2440" s="115">
        <f>IF(DD_TOP_ACTV_6_Detailed_Currency_Used=2,OTHER_DETAILED_COST_WKSHT!$F29*OTHER_DETAILED_COST_WKSHT!G29,OTHER_DETAILED_COST_WKSHT!$F29*(OTHER_DETAILED_COST_WKSHT!G29*TOP_ACTV_6_Exchange_Rate))</f>
        <v>0</v>
      </c>
      <c r="F2440" s="115">
        <f>IF(DD_TOP_ACTV_6_Detailed_Currency_Used=2,OTHER_DETAILED_COST_WKSHT!$F29*OTHER_DETAILED_COST_WKSHT!H29,OTHER_DETAILED_COST_WKSHT!$F29*(OTHER_DETAILED_COST_WKSHT!H29*TOP_ACTV_6_Exchange_Rate))</f>
        <v>0</v>
      </c>
      <c r="G2440" s="116">
        <f t="shared" si="232"/>
        <v>0</v>
      </c>
      <c r="H2440" s="116">
        <f t="shared" si="233"/>
        <v>0</v>
      </c>
    </row>
    <row r="2441" spans="1:8" s="10" customFormat="1" outlineLevel="1" x14ac:dyDescent="0.2">
      <c r="D2441" s="49" t="str">
        <f>OTHER_DETAILED_COST_WKSHT!D30</f>
        <v>Personnel Category 3</v>
      </c>
      <c r="E2441" s="115">
        <f>IF(DD_TOP_ACTV_6_Detailed_Currency_Used=2,OTHER_DETAILED_COST_WKSHT!$F30*OTHER_DETAILED_COST_WKSHT!G30,OTHER_DETAILED_COST_WKSHT!$F30*(OTHER_DETAILED_COST_WKSHT!G30*TOP_ACTV_6_Exchange_Rate))</f>
        <v>0</v>
      </c>
      <c r="F2441" s="115">
        <f>IF(DD_TOP_ACTV_6_Detailed_Currency_Used=2,OTHER_DETAILED_COST_WKSHT!$F30*OTHER_DETAILED_COST_WKSHT!H30,OTHER_DETAILED_COST_WKSHT!$F30*(OTHER_DETAILED_COST_WKSHT!H30*TOP_ACTV_6_Exchange_Rate))</f>
        <v>0</v>
      </c>
      <c r="G2441" s="116">
        <f t="shared" si="232"/>
        <v>0</v>
      </c>
      <c r="H2441" s="116">
        <f t="shared" si="233"/>
        <v>0</v>
      </c>
    </row>
    <row r="2442" spans="1:8" s="10" customFormat="1" outlineLevel="1" x14ac:dyDescent="0.2">
      <c r="D2442" s="49" t="str">
        <f>OTHER_DETAILED_COST_WKSHT!D31</f>
        <v>Personnel Category 4</v>
      </c>
      <c r="E2442" s="115">
        <f>IF(DD_TOP_ACTV_6_Detailed_Currency_Used=2,OTHER_DETAILED_COST_WKSHT!$F31*OTHER_DETAILED_COST_WKSHT!G31,OTHER_DETAILED_COST_WKSHT!$F31*(OTHER_DETAILED_COST_WKSHT!G31*TOP_ACTV_6_Exchange_Rate))</f>
        <v>0</v>
      </c>
      <c r="F2442" s="115">
        <f>IF(DD_TOP_ACTV_6_Detailed_Currency_Used=2,OTHER_DETAILED_COST_WKSHT!$F31*OTHER_DETAILED_COST_WKSHT!H31,OTHER_DETAILED_COST_WKSHT!$F31*(OTHER_DETAILED_COST_WKSHT!H31*TOP_ACTV_6_Exchange_Rate))</f>
        <v>0</v>
      </c>
      <c r="G2442" s="116">
        <f t="shared" si="232"/>
        <v>0</v>
      </c>
      <c r="H2442" s="116">
        <f t="shared" si="233"/>
        <v>0</v>
      </c>
    </row>
    <row r="2443" spans="1:8" s="10" customFormat="1" outlineLevel="1" x14ac:dyDescent="0.2">
      <c r="D2443" s="49" t="str">
        <f>OTHER_DETAILED_COST_WKSHT!D32</f>
        <v>Personnel Category 5</v>
      </c>
      <c r="E2443" s="115">
        <f>IF(DD_TOP_ACTV_6_Detailed_Currency_Used=2,OTHER_DETAILED_COST_WKSHT!$F32*OTHER_DETAILED_COST_WKSHT!G32,OTHER_DETAILED_COST_WKSHT!$F32*(OTHER_DETAILED_COST_WKSHT!G32*TOP_ACTV_6_Exchange_Rate))</f>
        <v>0</v>
      </c>
      <c r="F2443" s="115">
        <f>IF(DD_TOP_ACTV_6_Detailed_Currency_Used=2,OTHER_DETAILED_COST_WKSHT!$F32*OTHER_DETAILED_COST_WKSHT!H32,OTHER_DETAILED_COST_WKSHT!$F32*(OTHER_DETAILED_COST_WKSHT!H32*TOP_ACTV_6_Exchange_Rate))</f>
        <v>0</v>
      </c>
      <c r="G2443" s="116">
        <f t="shared" si="232"/>
        <v>0</v>
      </c>
      <c r="H2443" s="116">
        <f t="shared" si="233"/>
        <v>0</v>
      </c>
    </row>
    <row r="2444" spans="1:8" s="10" customFormat="1" outlineLevel="1" x14ac:dyDescent="0.2">
      <c r="D2444" s="49" t="str">
        <f>OTHER_DETAILED_COST_WKSHT!D33</f>
        <v>Personnel Category 6</v>
      </c>
      <c r="E2444" s="115">
        <f>IF(DD_TOP_ACTV_6_Detailed_Currency_Used=2,OTHER_DETAILED_COST_WKSHT!$F33*OTHER_DETAILED_COST_WKSHT!G33,OTHER_DETAILED_COST_WKSHT!$F33*(OTHER_DETAILED_COST_WKSHT!G33*TOP_ACTV_6_Exchange_Rate))</f>
        <v>0</v>
      </c>
      <c r="F2444" s="115">
        <f>IF(DD_TOP_ACTV_6_Detailed_Currency_Used=2,OTHER_DETAILED_COST_WKSHT!$F33*OTHER_DETAILED_COST_WKSHT!H33,OTHER_DETAILED_COST_WKSHT!$F33*(OTHER_DETAILED_COST_WKSHT!H33*TOP_ACTV_6_Exchange_Rate))</f>
        <v>0</v>
      </c>
      <c r="G2444" s="116">
        <f t="shared" si="232"/>
        <v>0</v>
      </c>
      <c r="H2444" s="116">
        <f t="shared" si="233"/>
        <v>0</v>
      </c>
    </row>
    <row r="2445" spans="1:8" s="10" customFormat="1" outlineLevel="1" x14ac:dyDescent="0.2">
      <c r="D2445" s="49" t="str">
        <f>OTHER_DETAILED_COST_WKSHT!D34</f>
        <v>Personnel Category 7</v>
      </c>
      <c r="E2445" s="115">
        <f>IF(DD_TOP_ACTV_6_Detailed_Currency_Used=2,OTHER_DETAILED_COST_WKSHT!$F34*OTHER_DETAILED_COST_WKSHT!G34,OTHER_DETAILED_COST_WKSHT!$F34*(OTHER_DETAILED_COST_WKSHT!G34*TOP_ACTV_6_Exchange_Rate))</f>
        <v>0</v>
      </c>
      <c r="F2445" s="115">
        <f>IF(DD_TOP_ACTV_6_Detailed_Currency_Used=2,OTHER_DETAILED_COST_WKSHT!$F34*OTHER_DETAILED_COST_WKSHT!H34,OTHER_DETAILED_COST_WKSHT!$F34*(OTHER_DETAILED_COST_WKSHT!H34*TOP_ACTV_6_Exchange_Rate))</f>
        <v>0</v>
      </c>
      <c r="G2445" s="116">
        <f t="shared" si="232"/>
        <v>0</v>
      </c>
      <c r="H2445" s="116">
        <f t="shared" si="233"/>
        <v>0</v>
      </c>
    </row>
    <row r="2446" spans="1:8" s="10" customFormat="1" outlineLevel="1" x14ac:dyDescent="0.2">
      <c r="D2446" s="49" t="str">
        <f>OTHER_DETAILED_COST_WKSHT!D35</f>
        <v>Personnel Category 8</v>
      </c>
      <c r="E2446" s="115">
        <f>IF(DD_TOP_ACTV_6_Detailed_Currency_Used=2,OTHER_DETAILED_COST_WKSHT!$F35*OTHER_DETAILED_COST_WKSHT!G35,OTHER_DETAILED_COST_WKSHT!$F35*(OTHER_DETAILED_COST_WKSHT!G35*TOP_ACTV_6_Exchange_Rate))</f>
        <v>0</v>
      </c>
      <c r="F2446" s="115">
        <f>IF(DD_TOP_ACTV_6_Detailed_Currency_Used=2,OTHER_DETAILED_COST_WKSHT!$F35*OTHER_DETAILED_COST_WKSHT!H35,OTHER_DETAILED_COST_WKSHT!$F35*(OTHER_DETAILED_COST_WKSHT!H35*TOP_ACTV_6_Exchange_Rate))</f>
        <v>0</v>
      </c>
      <c r="G2446" s="116">
        <f t="shared" si="232"/>
        <v>0</v>
      </c>
      <c r="H2446" s="116">
        <f t="shared" si="233"/>
        <v>0</v>
      </c>
    </row>
    <row r="2447" spans="1:8" s="10" customFormat="1" outlineLevel="1" x14ac:dyDescent="0.2">
      <c r="D2447" s="49" t="str">
        <f>OTHER_DETAILED_COST_WKSHT!D36</f>
        <v>Personnel Category 9</v>
      </c>
      <c r="E2447" s="115">
        <f>IF(DD_TOP_ACTV_6_Detailed_Currency_Used=2,OTHER_DETAILED_COST_WKSHT!$F36*OTHER_DETAILED_COST_WKSHT!G36,OTHER_DETAILED_COST_WKSHT!$F36*(OTHER_DETAILED_COST_WKSHT!G36*TOP_ACTV_6_Exchange_Rate))</f>
        <v>0</v>
      </c>
      <c r="F2447" s="115">
        <f>IF(DD_TOP_ACTV_6_Detailed_Currency_Used=2,OTHER_DETAILED_COST_WKSHT!$F36*OTHER_DETAILED_COST_WKSHT!H36,OTHER_DETAILED_COST_WKSHT!$F36*(OTHER_DETAILED_COST_WKSHT!H36*TOP_ACTV_6_Exchange_Rate))</f>
        <v>0</v>
      </c>
      <c r="G2447" s="116">
        <f t="shared" si="232"/>
        <v>0</v>
      </c>
      <c r="H2447" s="116">
        <f t="shared" si="233"/>
        <v>0</v>
      </c>
    </row>
    <row r="2448" spans="1:8" s="10" customFormat="1" outlineLevel="1" x14ac:dyDescent="0.2">
      <c r="D2448" s="49" t="str">
        <f>OTHER_DETAILED_COST_WKSHT!D37</f>
        <v>Personnel Category 10</v>
      </c>
      <c r="E2448" s="115">
        <f>IF(DD_TOP_ACTV_6_Detailed_Currency_Used=2,OTHER_DETAILED_COST_WKSHT!$F37*OTHER_DETAILED_COST_WKSHT!G37,OTHER_DETAILED_COST_WKSHT!$F37*(OTHER_DETAILED_COST_WKSHT!G37*TOP_ACTV_6_Exchange_Rate))</f>
        <v>0</v>
      </c>
      <c r="F2448" s="115">
        <f>IF(DD_TOP_ACTV_6_Detailed_Currency_Used=2,OTHER_DETAILED_COST_WKSHT!$F37*OTHER_DETAILED_COST_WKSHT!H37,OTHER_DETAILED_COST_WKSHT!$F37*(OTHER_DETAILED_COST_WKSHT!H37*TOP_ACTV_6_Exchange_Rate))</f>
        <v>0</v>
      </c>
      <c r="G2448" s="116">
        <f t="shared" si="232"/>
        <v>0</v>
      </c>
      <c r="H2448" s="116">
        <f t="shared" si="233"/>
        <v>0</v>
      </c>
    </row>
    <row r="2449" spans="1:8" s="10" customFormat="1" outlineLevel="1" x14ac:dyDescent="0.2">
      <c r="D2449" s="49" t="str">
        <f>OTHER_DETAILED_COST_WKSHT!D38</f>
        <v>Personnel Category 11</v>
      </c>
      <c r="E2449" s="115">
        <f>IF(DD_TOP_ACTV_6_Detailed_Currency_Used=2,OTHER_DETAILED_COST_WKSHT!$F38*OTHER_DETAILED_COST_WKSHT!G38,OTHER_DETAILED_COST_WKSHT!$F38*(OTHER_DETAILED_COST_WKSHT!G38*TOP_ACTV_6_Exchange_Rate))</f>
        <v>0</v>
      </c>
      <c r="F2449" s="115">
        <f>IF(DD_TOP_ACTV_6_Detailed_Currency_Used=2,OTHER_DETAILED_COST_WKSHT!$F38*OTHER_DETAILED_COST_WKSHT!H38,OTHER_DETAILED_COST_WKSHT!$F38*(OTHER_DETAILED_COST_WKSHT!H38*TOP_ACTV_6_Exchange_Rate))</f>
        <v>0</v>
      </c>
      <c r="G2449" s="116">
        <f t="shared" si="232"/>
        <v>0</v>
      </c>
      <c r="H2449" s="116">
        <f t="shared" si="233"/>
        <v>0</v>
      </c>
    </row>
    <row r="2450" spans="1:8" s="10" customFormat="1" outlineLevel="1" x14ac:dyDescent="0.2">
      <c r="D2450" s="49" t="str">
        <f>OTHER_DETAILED_COST_WKSHT!D39</f>
        <v>Personnel Category 12</v>
      </c>
      <c r="E2450" s="115">
        <f>IF(DD_TOP_ACTV_6_Detailed_Currency_Used=2,OTHER_DETAILED_COST_WKSHT!$F39*OTHER_DETAILED_COST_WKSHT!G39,OTHER_DETAILED_COST_WKSHT!$F39*(OTHER_DETAILED_COST_WKSHT!G39*TOP_ACTV_6_Exchange_Rate))</f>
        <v>0</v>
      </c>
      <c r="F2450" s="115">
        <f>IF(DD_TOP_ACTV_6_Detailed_Currency_Used=2,OTHER_DETAILED_COST_WKSHT!$F39*OTHER_DETAILED_COST_WKSHT!H39,OTHER_DETAILED_COST_WKSHT!$F39*(OTHER_DETAILED_COST_WKSHT!H39*TOP_ACTV_6_Exchange_Rate))</f>
        <v>0</v>
      </c>
      <c r="G2450" s="116">
        <f t="shared" si="232"/>
        <v>0</v>
      </c>
      <c r="H2450" s="116">
        <f t="shared" si="233"/>
        <v>0</v>
      </c>
    </row>
    <row r="2451" spans="1:8" s="10" customFormat="1" outlineLevel="1" x14ac:dyDescent="0.2">
      <c r="D2451" s="49" t="str">
        <f>OTHER_DETAILED_COST_WKSHT!D40</f>
        <v>Personnel Category 13</v>
      </c>
      <c r="E2451" s="115">
        <f>IF(DD_TOP_ACTV_6_Detailed_Currency_Used=2,OTHER_DETAILED_COST_WKSHT!$F40*OTHER_DETAILED_COST_WKSHT!G40,OTHER_DETAILED_COST_WKSHT!$F40*(OTHER_DETAILED_COST_WKSHT!G40*TOP_ACTV_6_Exchange_Rate))</f>
        <v>0</v>
      </c>
      <c r="F2451" s="115">
        <f>IF(DD_TOP_ACTV_6_Detailed_Currency_Used=2,OTHER_DETAILED_COST_WKSHT!$F40*OTHER_DETAILED_COST_WKSHT!H40,OTHER_DETAILED_COST_WKSHT!$F40*(OTHER_DETAILED_COST_WKSHT!H40*TOP_ACTV_6_Exchange_Rate))</f>
        <v>0</v>
      </c>
      <c r="G2451" s="116">
        <f t="shared" si="232"/>
        <v>0</v>
      </c>
      <c r="H2451" s="116">
        <f t="shared" si="233"/>
        <v>0</v>
      </c>
    </row>
    <row r="2452" spans="1:8" s="10" customFormat="1" outlineLevel="1" x14ac:dyDescent="0.2">
      <c r="D2452" s="49" t="str">
        <f>OTHER_DETAILED_COST_WKSHT!D41</f>
        <v>Personnel Category 14</v>
      </c>
      <c r="E2452" s="115">
        <f>IF(DD_TOP_ACTV_6_Detailed_Currency_Used=2,OTHER_DETAILED_COST_WKSHT!$F41*OTHER_DETAILED_COST_WKSHT!G41,OTHER_DETAILED_COST_WKSHT!$F41*(OTHER_DETAILED_COST_WKSHT!G41*TOP_ACTV_6_Exchange_Rate))</f>
        <v>0</v>
      </c>
      <c r="F2452" s="115">
        <f>IF(DD_TOP_ACTV_6_Detailed_Currency_Used=2,OTHER_DETAILED_COST_WKSHT!$F41*OTHER_DETAILED_COST_WKSHT!H41,OTHER_DETAILED_COST_WKSHT!$F41*(OTHER_DETAILED_COST_WKSHT!H41*TOP_ACTV_6_Exchange_Rate))</f>
        <v>0</v>
      </c>
      <c r="G2452" s="116">
        <f t="shared" si="232"/>
        <v>0</v>
      </c>
      <c r="H2452" s="116">
        <f t="shared" si="233"/>
        <v>0</v>
      </c>
    </row>
    <row r="2453" spans="1:8" s="10" customFormat="1" outlineLevel="1" x14ac:dyDescent="0.2">
      <c r="D2453" s="49" t="str">
        <f>OTHER_DETAILED_COST_WKSHT!D42</f>
        <v>Personnel Category 15</v>
      </c>
      <c r="E2453" s="115">
        <f>IF(DD_TOP_ACTV_6_Detailed_Currency_Used=2,OTHER_DETAILED_COST_WKSHT!$F42*OTHER_DETAILED_COST_WKSHT!G42,OTHER_DETAILED_COST_WKSHT!$F42*(OTHER_DETAILED_COST_WKSHT!G42*TOP_ACTV_6_Exchange_Rate))</f>
        <v>0</v>
      </c>
      <c r="F2453" s="115">
        <f>IF(DD_TOP_ACTV_6_Detailed_Currency_Used=2,OTHER_DETAILED_COST_WKSHT!$F42*OTHER_DETAILED_COST_WKSHT!H42,OTHER_DETAILED_COST_WKSHT!$F42*(OTHER_DETAILED_COST_WKSHT!H42*TOP_ACTV_6_Exchange_Rate))</f>
        <v>0</v>
      </c>
      <c r="G2453" s="116">
        <f t="shared" si="232"/>
        <v>0</v>
      </c>
      <c r="H2453" s="116">
        <f t="shared" si="233"/>
        <v>0</v>
      </c>
    </row>
    <row r="2454" spans="1:8" s="10" customFormat="1" outlineLevel="1" x14ac:dyDescent="0.2">
      <c r="D2454" s="48" t="str">
        <f>Lang_Personnel</f>
        <v>Personnel</v>
      </c>
      <c r="E2454" s="120">
        <f>SUM(E2439:E2453)</f>
        <v>0</v>
      </c>
      <c r="F2454" s="120">
        <f>SUM(F2439:F2453)</f>
        <v>0</v>
      </c>
      <c r="G2454" s="121">
        <f>SUM(G2439:G2453)</f>
        <v>0</v>
      </c>
      <c r="H2454" s="121">
        <f>SUM(H2439:H2453)</f>
        <v>0</v>
      </c>
    </row>
    <row r="2455" spans="1:8" s="10" customFormat="1" outlineLevel="1" x14ac:dyDescent="0.2"/>
    <row r="2456" spans="1:8" s="10" customFormat="1" outlineLevel="1" x14ac:dyDescent="0.2"/>
    <row r="2457" spans="1:8" s="10" customFormat="1" outlineLevel="1" x14ac:dyDescent="0.2">
      <c r="D2457" s="76" t="str">
        <f>Lang_GoTo&amp;" "&amp;HL_TOP_ACTV_6_Personnel_Assumptions</f>
        <v>Go to Other Activity #1 - (Recurrent Costs Only) (Not in Use) - Detailed Personnel Cost Assumptions</v>
      </c>
    </row>
    <row r="2458" spans="1:8" s="10" customFormat="1" outlineLevel="1" x14ac:dyDescent="0.2">
      <c r="D2458" s="76" t="str">
        <f>Lang_GoTo&amp;" "&amp;HL_TOP_ACTV_6_Cost_Summary_Output</f>
        <v>Go to Other Activity #1 - (Recurrent Costs Only) (Not in Use) Detailed Cost Summary</v>
      </c>
    </row>
    <row r="2459" spans="1:8" s="10" customFormat="1" x14ac:dyDescent="0.2"/>
    <row r="2460" spans="1:8" s="13" customFormat="1" x14ac:dyDescent="0.2">
      <c r="A2460" s="12" t="s">
        <v>127</v>
      </c>
      <c r="B2460" s="13" t="str">
        <f>HL_TOP_ACTV_6_Name&amp;" "&amp;Lang_Allowances_Outputs</f>
        <v>Other Activity #1 - (Recurrent Costs Only) (Not in Use) Allowances - Outputs</v>
      </c>
    </row>
    <row r="2461" spans="1:8" s="10" customFormat="1" outlineLevel="1" x14ac:dyDescent="0.2"/>
    <row r="2462" spans="1:8" s="10" customFormat="1" outlineLevel="1" x14ac:dyDescent="0.2">
      <c r="C2462" s="114" t="str">
        <f>HL_TOP_ACTV_6_Name</f>
        <v>Other Activity #1 - (Recurrent Costs Only) (Not in Use)</v>
      </c>
    </row>
    <row r="2463" spans="1:8" s="10" customFormat="1" outlineLevel="1" x14ac:dyDescent="0.2">
      <c r="E2463" s="86" t="str">
        <f>OTHER_Lu!$D$32&amp;" "&amp;Lang_Cost&amp;" ("&amp;OTHER_Lu!$D$13&amp;")"</f>
        <v>Financial Cost (LCU)</v>
      </c>
      <c r="F2463" s="86" t="str">
        <f>OTHER_Lu!$D$33&amp;" "&amp;Lang_Cost&amp;" ("&amp;OTHER_Lu!$D$13&amp;")"</f>
        <v>Economic Cost (LCU)</v>
      </c>
      <c r="G2463" s="86" t="str">
        <f>OTHER_Lu!$D$32&amp;" "&amp;Lang_Cost&amp;" ("&amp;OTHER_Lu!$D$12&amp;")"</f>
        <v>Financial Cost (USD)</v>
      </c>
      <c r="H2463" s="86" t="str">
        <f>OTHER_Lu!$D$33&amp;" "&amp;Lang_Cost&amp;" ("&amp;OTHER_Lu!$D$12&amp;")"</f>
        <v>Economic Cost (USD)</v>
      </c>
    </row>
    <row r="2464" spans="1:8" s="10" customFormat="1" outlineLevel="1" x14ac:dyDescent="0.2">
      <c r="D2464" s="49" t="str">
        <f>OTHER_DETAILED_COST_WKSHT!D51</f>
        <v>Allowances Category 1</v>
      </c>
      <c r="E2464" s="115">
        <f>IF(DD_TOP_ACTV_6_Detailed_Currency_Used=2,OTHER_DETAILED_COST_WKSHT!$F51*OTHER_DETAILED_COST_WKSHT!G51,OTHER_DETAILED_COST_WKSHT!$F51*(OTHER_DETAILED_COST_WKSHT!G51*TOP_ACTV_6_Exchange_Rate))</f>
        <v>0</v>
      </c>
      <c r="F2464" s="115">
        <f>IF(DD_TOP_ACTV_6_Detailed_Currency_Used=2,OTHER_DETAILED_COST_WKSHT!$F51*OTHER_DETAILED_COST_WKSHT!H51,OTHER_DETAILED_COST_WKSHT!$F51*(OTHER_DETAILED_COST_WKSHT!H51*TOP_ACTV_6_Exchange_Rate))</f>
        <v>0</v>
      </c>
      <c r="G2464" s="116">
        <f t="shared" ref="G2464:G2473" si="234">E2464/TOP_ACTV_6_Exchange_Rate</f>
        <v>0</v>
      </c>
      <c r="H2464" s="116">
        <f t="shared" ref="H2464:H2473" si="235">F2464/TOP_ACTV_6_Exchange_Rate</f>
        <v>0</v>
      </c>
    </row>
    <row r="2465" spans="1:8" s="10" customFormat="1" outlineLevel="1" x14ac:dyDescent="0.2">
      <c r="D2465" s="49" t="str">
        <f>OTHER_DETAILED_COST_WKSHT!D52</f>
        <v>Allowances Category 2</v>
      </c>
      <c r="E2465" s="115">
        <f>IF(DD_TOP_ACTV_6_Detailed_Currency_Used=2,OTHER_DETAILED_COST_WKSHT!$F52*OTHER_DETAILED_COST_WKSHT!G52,OTHER_DETAILED_COST_WKSHT!$F52*(OTHER_DETAILED_COST_WKSHT!G52*TOP_ACTV_6_Exchange_Rate))</f>
        <v>0</v>
      </c>
      <c r="F2465" s="115">
        <f>IF(DD_TOP_ACTV_6_Detailed_Currency_Used=2,OTHER_DETAILED_COST_WKSHT!$F52*OTHER_DETAILED_COST_WKSHT!H52,OTHER_DETAILED_COST_WKSHT!$F52*(OTHER_DETAILED_COST_WKSHT!H52*TOP_ACTV_6_Exchange_Rate))</f>
        <v>0</v>
      </c>
      <c r="G2465" s="116">
        <f t="shared" si="234"/>
        <v>0</v>
      </c>
      <c r="H2465" s="116">
        <f t="shared" si="235"/>
        <v>0</v>
      </c>
    </row>
    <row r="2466" spans="1:8" s="10" customFormat="1" outlineLevel="1" x14ac:dyDescent="0.2">
      <c r="D2466" s="49" t="str">
        <f>OTHER_DETAILED_COST_WKSHT!D53</f>
        <v>Allowances Category 3</v>
      </c>
      <c r="E2466" s="115">
        <f>IF(DD_TOP_ACTV_6_Detailed_Currency_Used=2,OTHER_DETAILED_COST_WKSHT!$F53*OTHER_DETAILED_COST_WKSHT!G53,OTHER_DETAILED_COST_WKSHT!$F53*(OTHER_DETAILED_COST_WKSHT!G53*TOP_ACTV_6_Exchange_Rate))</f>
        <v>0</v>
      </c>
      <c r="F2466" s="115">
        <f>IF(DD_TOP_ACTV_6_Detailed_Currency_Used=2,OTHER_DETAILED_COST_WKSHT!$F53*OTHER_DETAILED_COST_WKSHT!H53,OTHER_DETAILED_COST_WKSHT!$F53*(OTHER_DETAILED_COST_WKSHT!H53*TOP_ACTV_6_Exchange_Rate))</f>
        <v>0</v>
      </c>
      <c r="G2466" s="116">
        <f t="shared" si="234"/>
        <v>0</v>
      </c>
      <c r="H2466" s="116">
        <f t="shared" si="235"/>
        <v>0</v>
      </c>
    </row>
    <row r="2467" spans="1:8" s="10" customFormat="1" outlineLevel="1" x14ac:dyDescent="0.2">
      <c r="D2467" s="49" t="str">
        <f>OTHER_DETAILED_COST_WKSHT!D54</f>
        <v>Allowances Category 4</v>
      </c>
      <c r="E2467" s="115">
        <f>IF(DD_TOP_ACTV_6_Detailed_Currency_Used=2,OTHER_DETAILED_COST_WKSHT!$F54*OTHER_DETAILED_COST_WKSHT!G54,OTHER_DETAILED_COST_WKSHT!$F54*(OTHER_DETAILED_COST_WKSHT!G54*TOP_ACTV_6_Exchange_Rate))</f>
        <v>0</v>
      </c>
      <c r="F2467" s="115">
        <f>IF(DD_TOP_ACTV_6_Detailed_Currency_Used=2,OTHER_DETAILED_COST_WKSHT!$F54*OTHER_DETAILED_COST_WKSHT!H54,OTHER_DETAILED_COST_WKSHT!$F54*(OTHER_DETAILED_COST_WKSHT!H54*TOP_ACTV_6_Exchange_Rate))</f>
        <v>0</v>
      </c>
      <c r="G2467" s="116">
        <f t="shared" si="234"/>
        <v>0</v>
      </c>
      <c r="H2467" s="116">
        <f t="shared" si="235"/>
        <v>0</v>
      </c>
    </row>
    <row r="2468" spans="1:8" s="10" customFormat="1" outlineLevel="1" x14ac:dyDescent="0.2">
      <c r="D2468" s="49" t="str">
        <f>OTHER_DETAILED_COST_WKSHT!D55</f>
        <v>Allowances Category 5</v>
      </c>
      <c r="E2468" s="115">
        <f>IF(DD_TOP_ACTV_6_Detailed_Currency_Used=2,OTHER_DETAILED_COST_WKSHT!$F55*OTHER_DETAILED_COST_WKSHT!G55,OTHER_DETAILED_COST_WKSHT!$F55*(OTHER_DETAILED_COST_WKSHT!G55*TOP_ACTV_6_Exchange_Rate))</f>
        <v>0</v>
      </c>
      <c r="F2468" s="115">
        <f>IF(DD_TOP_ACTV_6_Detailed_Currency_Used=2,OTHER_DETAILED_COST_WKSHT!$F55*OTHER_DETAILED_COST_WKSHT!H55,OTHER_DETAILED_COST_WKSHT!$F55*(OTHER_DETAILED_COST_WKSHT!H55*TOP_ACTV_6_Exchange_Rate))</f>
        <v>0</v>
      </c>
      <c r="G2468" s="116">
        <f t="shared" si="234"/>
        <v>0</v>
      </c>
      <c r="H2468" s="116">
        <f t="shared" si="235"/>
        <v>0</v>
      </c>
    </row>
    <row r="2469" spans="1:8" s="10" customFormat="1" outlineLevel="1" x14ac:dyDescent="0.2">
      <c r="D2469" s="49" t="str">
        <f>OTHER_DETAILED_COST_WKSHT!D56</f>
        <v>Allowances Category 6</v>
      </c>
      <c r="E2469" s="115">
        <f>IF(DD_TOP_ACTV_6_Detailed_Currency_Used=2,OTHER_DETAILED_COST_WKSHT!$F56*OTHER_DETAILED_COST_WKSHT!G56,OTHER_DETAILED_COST_WKSHT!$F56*(OTHER_DETAILED_COST_WKSHT!G56*TOP_ACTV_6_Exchange_Rate))</f>
        <v>0</v>
      </c>
      <c r="F2469" s="115">
        <f>IF(DD_TOP_ACTV_6_Detailed_Currency_Used=2,OTHER_DETAILED_COST_WKSHT!$F56*OTHER_DETAILED_COST_WKSHT!H56,OTHER_DETAILED_COST_WKSHT!$F56*(OTHER_DETAILED_COST_WKSHT!H56*TOP_ACTV_6_Exchange_Rate))</f>
        <v>0</v>
      </c>
      <c r="G2469" s="116">
        <f t="shared" si="234"/>
        <v>0</v>
      </c>
      <c r="H2469" s="116">
        <f t="shared" si="235"/>
        <v>0</v>
      </c>
    </row>
    <row r="2470" spans="1:8" s="10" customFormat="1" outlineLevel="1" x14ac:dyDescent="0.2">
      <c r="D2470" s="49" t="str">
        <f>OTHER_DETAILED_COST_WKSHT!D57</f>
        <v>Allowances Category 7</v>
      </c>
      <c r="E2470" s="115">
        <f>IF(DD_TOP_ACTV_6_Detailed_Currency_Used=2,OTHER_DETAILED_COST_WKSHT!$F57*OTHER_DETAILED_COST_WKSHT!G57,OTHER_DETAILED_COST_WKSHT!$F57*(OTHER_DETAILED_COST_WKSHT!G57*TOP_ACTV_6_Exchange_Rate))</f>
        <v>0</v>
      </c>
      <c r="F2470" s="115">
        <f>IF(DD_TOP_ACTV_6_Detailed_Currency_Used=2,OTHER_DETAILED_COST_WKSHT!$F57*OTHER_DETAILED_COST_WKSHT!H57,OTHER_DETAILED_COST_WKSHT!$F57*(OTHER_DETAILED_COST_WKSHT!H57*TOP_ACTV_6_Exchange_Rate))</f>
        <v>0</v>
      </c>
      <c r="G2470" s="116">
        <f t="shared" si="234"/>
        <v>0</v>
      </c>
      <c r="H2470" s="116">
        <f t="shared" si="235"/>
        <v>0</v>
      </c>
    </row>
    <row r="2471" spans="1:8" s="10" customFormat="1" outlineLevel="1" x14ac:dyDescent="0.2">
      <c r="D2471" s="49" t="str">
        <f>OTHER_DETAILED_COST_WKSHT!D58</f>
        <v>Allowances Category 8</v>
      </c>
      <c r="E2471" s="115">
        <f>IF(DD_TOP_ACTV_6_Detailed_Currency_Used=2,OTHER_DETAILED_COST_WKSHT!$F58*OTHER_DETAILED_COST_WKSHT!G58,OTHER_DETAILED_COST_WKSHT!$F58*(OTHER_DETAILED_COST_WKSHT!G58*TOP_ACTV_6_Exchange_Rate))</f>
        <v>0</v>
      </c>
      <c r="F2471" s="115">
        <f>IF(DD_TOP_ACTV_6_Detailed_Currency_Used=2,OTHER_DETAILED_COST_WKSHT!$F58*OTHER_DETAILED_COST_WKSHT!H58,OTHER_DETAILED_COST_WKSHT!$F58*(OTHER_DETAILED_COST_WKSHT!H58*TOP_ACTV_6_Exchange_Rate))</f>
        <v>0</v>
      </c>
      <c r="G2471" s="116">
        <f t="shared" si="234"/>
        <v>0</v>
      </c>
      <c r="H2471" s="116">
        <f t="shared" si="235"/>
        <v>0</v>
      </c>
    </row>
    <row r="2472" spans="1:8" s="10" customFormat="1" outlineLevel="1" x14ac:dyDescent="0.2">
      <c r="D2472" s="49" t="str">
        <f>OTHER_DETAILED_COST_WKSHT!D59</f>
        <v>Allowances Category 9</v>
      </c>
      <c r="E2472" s="115">
        <f>IF(DD_TOP_ACTV_6_Detailed_Currency_Used=2,OTHER_DETAILED_COST_WKSHT!$F59*OTHER_DETAILED_COST_WKSHT!G59,OTHER_DETAILED_COST_WKSHT!$F59*(OTHER_DETAILED_COST_WKSHT!G59*TOP_ACTV_6_Exchange_Rate))</f>
        <v>0</v>
      </c>
      <c r="F2472" s="115">
        <f>IF(DD_TOP_ACTV_6_Detailed_Currency_Used=2,OTHER_DETAILED_COST_WKSHT!$F59*OTHER_DETAILED_COST_WKSHT!H59,OTHER_DETAILED_COST_WKSHT!$F59*(OTHER_DETAILED_COST_WKSHT!H59*TOP_ACTV_6_Exchange_Rate))</f>
        <v>0</v>
      </c>
      <c r="G2472" s="116">
        <f t="shared" si="234"/>
        <v>0</v>
      </c>
      <c r="H2472" s="116">
        <f t="shared" si="235"/>
        <v>0</v>
      </c>
    </row>
    <row r="2473" spans="1:8" s="10" customFormat="1" outlineLevel="1" x14ac:dyDescent="0.2">
      <c r="D2473" s="49" t="str">
        <f>OTHER_DETAILED_COST_WKSHT!D60</f>
        <v>Allowances Category 10</v>
      </c>
      <c r="E2473" s="115">
        <f>IF(DD_TOP_ACTV_6_Detailed_Currency_Used=2,OTHER_DETAILED_COST_WKSHT!$F60*OTHER_DETAILED_COST_WKSHT!G60,OTHER_DETAILED_COST_WKSHT!$F60*(OTHER_DETAILED_COST_WKSHT!G60*TOP_ACTV_6_Exchange_Rate))</f>
        <v>0</v>
      </c>
      <c r="F2473" s="115">
        <f>IF(DD_TOP_ACTV_6_Detailed_Currency_Used=2,OTHER_DETAILED_COST_WKSHT!$F60*OTHER_DETAILED_COST_WKSHT!H60,OTHER_DETAILED_COST_WKSHT!$F60*(OTHER_DETAILED_COST_WKSHT!H60*TOP_ACTV_6_Exchange_Rate))</f>
        <v>0</v>
      </c>
      <c r="G2473" s="116">
        <f t="shared" si="234"/>
        <v>0</v>
      </c>
      <c r="H2473" s="116">
        <f t="shared" si="235"/>
        <v>0</v>
      </c>
    </row>
    <row r="2474" spans="1:8" s="10" customFormat="1" outlineLevel="1" x14ac:dyDescent="0.2">
      <c r="D2474" s="48" t="str">
        <f>Lang_Allowances</f>
        <v>Allowances</v>
      </c>
      <c r="E2474" s="120">
        <f>SUM(E2464:E2473)</f>
        <v>0</v>
      </c>
      <c r="F2474" s="120">
        <f>SUM(F2464:F2473)</f>
        <v>0</v>
      </c>
      <c r="G2474" s="121">
        <f>SUM(G2464:G2473)</f>
        <v>0</v>
      </c>
      <c r="H2474" s="121">
        <f>SUM(H2464:H2473)</f>
        <v>0</v>
      </c>
    </row>
    <row r="2475" spans="1:8" s="10" customFormat="1" outlineLevel="1" x14ac:dyDescent="0.2"/>
    <row r="2476" spans="1:8" s="10" customFormat="1" outlineLevel="1" x14ac:dyDescent="0.2"/>
    <row r="2477" spans="1:8" s="10" customFormat="1" outlineLevel="1" x14ac:dyDescent="0.2">
      <c r="D2477" s="76" t="str">
        <f>Lang_GoTo&amp;" "&amp;HL_TOP_ACTV_6_Ass_A</f>
        <v>Go to Other Activity #1 - (Recurrent Costs Only) (Not in Use) - Detailed Allowance Cost Assumptions</v>
      </c>
    </row>
    <row r="2478" spans="1:8" s="10" customFormat="1" outlineLevel="1" x14ac:dyDescent="0.2">
      <c r="D2478" s="76" t="str">
        <f>Lang_GoTo&amp;" "&amp;HL_TOP_ACTV_6_Cost_Summary_Output</f>
        <v>Go to Other Activity #1 - (Recurrent Costs Only) (Not in Use) Detailed Cost Summary</v>
      </c>
    </row>
    <row r="2479" spans="1:8" s="10" customFormat="1" x14ac:dyDescent="0.2"/>
    <row r="2480" spans="1:8" s="13" customFormat="1" x14ac:dyDescent="0.2">
      <c r="A2480" s="12" t="s">
        <v>127</v>
      </c>
      <c r="B2480" s="13" t="str">
        <f>HL_TOP_ACTV_6_Name&amp;" "&amp;Lang_Supplies_And_Materials_Outputs</f>
        <v>Other Activity #1 - (Recurrent Costs Only) (Not in Use) Supplies and Materials - Outputs</v>
      </c>
    </row>
    <row r="2481" spans="3:8" s="10" customFormat="1" outlineLevel="1" x14ac:dyDescent="0.2"/>
    <row r="2482" spans="3:8" s="10" customFormat="1" outlineLevel="1" x14ac:dyDescent="0.2">
      <c r="C2482" s="114" t="str">
        <f>HL_TOP_ACTV_6_Name</f>
        <v>Other Activity #1 - (Recurrent Costs Only) (Not in Use)</v>
      </c>
    </row>
    <row r="2483" spans="3:8" s="10" customFormat="1" outlineLevel="1" x14ac:dyDescent="0.2">
      <c r="E2483" s="86" t="str">
        <f>OTHER_Lu!$D$32&amp;" "&amp;Lang_Cost&amp;" ("&amp;OTHER_Lu!$D$13&amp;")"</f>
        <v>Financial Cost (LCU)</v>
      </c>
      <c r="F2483" s="86" t="str">
        <f>OTHER_Lu!$D$33&amp;" "&amp;Lang_Cost&amp;" ("&amp;OTHER_Lu!$D$13&amp;")"</f>
        <v>Economic Cost (LCU)</v>
      </c>
      <c r="G2483" s="86" t="str">
        <f>OTHER_Lu!$D$32&amp;" "&amp;Lang_Cost&amp;" ("&amp;OTHER_Lu!$D$12&amp;")"</f>
        <v>Financial Cost (USD)</v>
      </c>
      <c r="H2483" s="86" t="str">
        <f>OTHER_Lu!$D$33&amp;" "&amp;Lang_Cost&amp;" ("&amp;OTHER_Lu!$D$12&amp;")"</f>
        <v>Economic Cost (USD)</v>
      </c>
    </row>
    <row r="2484" spans="3:8" s="10" customFormat="1" outlineLevel="1" x14ac:dyDescent="0.2">
      <c r="D2484" s="49" t="str">
        <f>OTHER_DETAILED_COST_WKSHT!D69</f>
        <v>Supplies and Materials Category 1</v>
      </c>
      <c r="E2484" s="115">
        <f>IF(DD_TOP_ACTV_6_Detailed_Currency_Used=2,OTHER_DETAILED_COST_WKSHT!$F69*OTHER_DETAILED_COST_WKSHT!G69,OTHER_DETAILED_COST_WKSHT!$F69*(OTHER_DETAILED_COST_WKSHT!G69*TOP_ACTV_6_Exchange_Rate))</f>
        <v>0</v>
      </c>
      <c r="F2484" s="115">
        <f>IF(DD_TOP_ACTV_6_Detailed_Currency_Used=2,OTHER_DETAILED_COST_WKSHT!$F69*OTHER_DETAILED_COST_WKSHT!H69,OTHER_DETAILED_COST_WKSHT!$F69*(OTHER_DETAILED_COST_WKSHT!H69*TOP_ACTV_6_Exchange_Rate))</f>
        <v>0</v>
      </c>
      <c r="G2484" s="116">
        <f t="shared" ref="G2484:G2493" si="236">E2484/TOP_ACTV_6_Exchange_Rate</f>
        <v>0</v>
      </c>
      <c r="H2484" s="116">
        <f t="shared" ref="H2484:H2493" si="237">F2484/TOP_ACTV_6_Exchange_Rate</f>
        <v>0</v>
      </c>
    </row>
    <row r="2485" spans="3:8" s="10" customFormat="1" outlineLevel="1" x14ac:dyDescent="0.2">
      <c r="D2485" s="49" t="str">
        <f>OTHER_DETAILED_COST_WKSHT!D70</f>
        <v>Supplies and Materials Category 2</v>
      </c>
      <c r="E2485" s="115">
        <f>IF(DD_TOP_ACTV_6_Detailed_Currency_Used=2,OTHER_DETAILED_COST_WKSHT!$F70*OTHER_DETAILED_COST_WKSHT!G70,OTHER_DETAILED_COST_WKSHT!$F70*(OTHER_DETAILED_COST_WKSHT!G70*TOP_ACTV_6_Exchange_Rate))</f>
        <v>0</v>
      </c>
      <c r="F2485" s="115">
        <f>IF(DD_TOP_ACTV_6_Detailed_Currency_Used=2,OTHER_DETAILED_COST_WKSHT!$F70*OTHER_DETAILED_COST_WKSHT!H70,OTHER_DETAILED_COST_WKSHT!$F70*(OTHER_DETAILED_COST_WKSHT!H70*TOP_ACTV_6_Exchange_Rate))</f>
        <v>0</v>
      </c>
      <c r="G2485" s="116">
        <f t="shared" si="236"/>
        <v>0</v>
      </c>
      <c r="H2485" s="116">
        <f t="shared" si="237"/>
        <v>0</v>
      </c>
    </row>
    <row r="2486" spans="3:8" s="10" customFormat="1" outlineLevel="1" x14ac:dyDescent="0.2">
      <c r="D2486" s="49" t="str">
        <f>OTHER_DETAILED_COST_WKSHT!D71</f>
        <v>Supplies and Materials Category 3</v>
      </c>
      <c r="E2486" s="115">
        <f>IF(DD_TOP_ACTV_6_Detailed_Currency_Used=2,OTHER_DETAILED_COST_WKSHT!$F71*OTHER_DETAILED_COST_WKSHT!G71,OTHER_DETAILED_COST_WKSHT!$F71*(OTHER_DETAILED_COST_WKSHT!G71*TOP_ACTV_6_Exchange_Rate))</f>
        <v>0</v>
      </c>
      <c r="F2486" s="115">
        <f>IF(DD_TOP_ACTV_6_Detailed_Currency_Used=2,OTHER_DETAILED_COST_WKSHT!$F71*OTHER_DETAILED_COST_WKSHT!H71,OTHER_DETAILED_COST_WKSHT!$F71*(OTHER_DETAILED_COST_WKSHT!H71*TOP_ACTV_6_Exchange_Rate))</f>
        <v>0</v>
      </c>
      <c r="G2486" s="116">
        <f t="shared" si="236"/>
        <v>0</v>
      </c>
      <c r="H2486" s="116">
        <f t="shared" si="237"/>
        <v>0</v>
      </c>
    </row>
    <row r="2487" spans="3:8" s="10" customFormat="1" outlineLevel="1" x14ac:dyDescent="0.2">
      <c r="D2487" s="49" t="str">
        <f>OTHER_DETAILED_COST_WKSHT!D72</f>
        <v>Supplies and Materials Category 4</v>
      </c>
      <c r="E2487" s="115">
        <f>IF(DD_TOP_ACTV_6_Detailed_Currency_Used=2,OTHER_DETAILED_COST_WKSHT!$F72*OTHER_DETAILED_COST_WKSHT!G72,OTHER_DETAILED_COST_WKSHT!$F72*(OTHER_DETAILED_COST_WKSHT!G72*TOP_ACTV_6_Exchange_Rate))</f>
        <v>0</v>
      </c>
      <c r="F2487" s="115">
        <f>IF(DD_TOP_ACTV_6_Detailed_Currency_Used=2,OTHER_DETAILED_COST_WKSHT!$F72*OTHER_DETAILED_COST_WKSHT!H72,OTHER_DETAILED_COST_WKSHT!$F72*(OTHER_DETAILED_COST_WKSHT!H72*TOP_ACTV_6_Exchange_Rate))</f>
        <v>0</v>
      </c>
      <c r="G2487" s="116">
        <f t="shared" si="236"/>
        <v>0</v>
      </c>
      <c r="H2487" s="116">
        <f t="shared" si="237"/>
        <v>0</v>
      </c>
    </row>
    <row r="2488" spans="3:8" s="10" customFormat="1" outlineLevel="1" x14ac:dyDescent="0.2">
      <c r="D2488" s="49" t="str">
        <f>OTHER_DETAILED_COST_WKSHT!D73</f>
        <v>Supplies and Materials Category 5</v>
      </c>
      <c r="E2488" s="115">
        <f>IF(DD_TOP_ACTV_6_Detailed_Currency_Used=2,OTHER_DETAILED_COST_WKSHT!$F73*OTHER_DETAILED_COST_WKSHT!G73,OTHER_DETAILED_COST_WKSHT!$F73*(OTHER_DETAILED_COST_WKSHT!G73*TOP_ACTV_6_Exchange_Rate))</f>
        <v>0</v>
      </c>
      <c r="F2488" s="115">
        <f>IF(DD_TOP_ACTV_6_Detailed_Currency_Used=2,OTHER_DETAILED_COST_WKSHT!$F73*OTHER_DETAILED_COST_WKSHT!H73,OTHER_DETAILED_COST_WKSHT!$F73*(OTHER_DETAILED_COST_WKSHT!H73*TOP_ACTV_6_Exchange_Rate))</f>
        <v>0</v>
      </c>
      <c r="G2488" s="116">
        <f t="shared" si="236"/>
        <v>0</v>
      </c>
      <c r="H2488" s="116">
        <f t="shared" si="237"/>
        <v>0</v>
      </c>
    </row>
    <row r="2489" spans="3:8" s="10" customFormat="1" outlineLevel="1" x14ac:dyDescent="0.2">
      <c r="D2489" s="49" t="str">
        <f>OTHER_DETAILED_COST_WKSHT!D74</f>
        <v>Supplies and Materials Category 6</v>
      </c>
      <c r="E2489" s="115">
        <f>IF(DD_TOP_ACTV_6_Detailed_Currency_Used=2,OTHER_DETAILED_COST_WKSHT!$F74*OTHER_DETAILED_COST_WKSHT!G74,OTHER_DETAILED_COST_WKSHT!$F74*(OTHER_DETAILED_COST_WKSHT!G74*TOP_ACTV_6_Exchange_Rate))</f>
        <v>0</v>
      </c>
      <c r="F2489" s="115">
        <f>IF(DD_TOP_ACTV_6_Detailed_Currency_Used=2,OTHER_DETAILED_COST_WKSHT!$F74*OTHER_DETAILED_COST_WKSHT!H74,OTHER_DETAILED_COST_WKSHT!$F74*(OTHER_DETAILED_COST_WKSHT!H74*TOP_ACTV_6_Exchange_Rate))</f>
        <v>0</v>
      </c>
      <c r="G2489" s="116">
        <f t="shared" si="236"/>
        <v>0</v>
      </c>
      <c r="H2489" s="116">
        <f t="shared" si="237"/>
        <v>0</v>
      </c>
    </row>
    <row r="2490" spans="3:8" s="10" customFormat="1" outlineLevel="1" x14ac:dyDescent="0.2">
      <c r="D2490" s="49" t="str">
        <f>OTHER_DETAILED_COST_WKSHT!D75</f>
        <v>Supplies and Materials Category 7</v>
      </c>
      <c r="E2490" s="115">
        <f>IF(DD_TOP_ACTV_6_Detailed_Currency_Used=2,OTHER_DETAILED_COST_WKSHT!$F75*OTHER_DETAILED_COST_WKSHT!G75,OTHER_DETAILED_COST_WKSHT!$F75*(OTHER_DETAILED_COST_WKSHT!G75*TOP_ACTV_6_Exchange_Rate))</f>
        <v>0</v>
      </c>
      <c r="F2490" s="115">
        <f>IF(DD_TOP_ACTV_6_Detailed_Currency_Used=2,OTHER_DETAILED_COST_WKSHT!$F75*OTHER_DETAILED_COST_WKSHT!H75,OTHER_DETAILED_COST_WKSHT!$F75*(OTHER_DETAILED_COST_WKSHT!H75*TOP_ACTV_6_Exchange_Rate))</f>
        <v>0</v>
      </c>
      <c r="G2490" s="116">
        <f t="shared" si="236"/>
        <v>0</v>
      </c>
      <c r="H2490" s="116">
        <f t="shared" si="237"/>
        <v>0</v>
      </c>
    </row>
    <row r="2491" spans="3:8" s="10" customFormat="1" outlineLevel="1" x14ac:dyDescent="0.2">
      <c r="D2491" s="49" t="str">
        <f>OTHER_DETAILED_COST_WKSHT!D76</f>
        <v>Supplies and Materials Category 8</v>
      </c>
      <c r="E2491" s="115">
        <f>IF(DD_TOP_ACTV_6_Detailed_Currency_Used=2,OTHER_DETAILED_COST_WKSHT!$F76*OTHER_DETAILED_COST_WKSHT!G76,OTHER_DETAILED_COST_WKSHT!$F76*(OTHER_DETAILED_COST_WKSHT!G76*TOP_ACTV_6_Exchange_Rate))</f>
        <v>0</v>
      </c>
      <c r="F2491" s="115">
        <f>IF(DD_TOP_ACTV_6_Detailed_Currency_Used=2,OTHER_DETAILED_COST_WKSHT!$F76*OTHER_DETAILED_COST_WKSHT!H76,OTHER_DETAILED_COST_WKSHT!$F76*(OTHER_DETAILED_COST_WKSHT!H76*TOP_ACTV_6_Exchange_Rate))</f>
        <v>0</v>
      </c>
      <c r="G2491" s="116">
        <f t="shared" si="236"/>
        <v>0</v>
      </c>
      <c r="H2491" s="116">
        <f t="shared" si="237"/>
        <v>0</v>
      </c>
    </row>
    <row r="2492" spans="3:8" s="10" customFormat="1" outlineLevel="1" x14ac:dyDescent="0.2">
      <c r="D2492" s="49" t="str">
        <f>OTHER_DETAILED_COST_WKSHT!D77</f>
        <v>Supplies and Materials Category 9</v>
      </c>
      <c r="E2492" s="115">
        <f>IF(DD_TOP_ACTV_6_Detailed_Currency_Used=2,OTHER_DETAILED_COST_WKSHT!$F77*OTHER_DETAILED_COST_WKSHT!G77,OTHER_DETAILED_COST_WKSHT!$F77*(OTHER_DETAILED_COST_WKSHT!G77*TOP_ACTV_6_Exchange_Rate))</f>
        <v>0</v>
      </c>
      <c r="F2492" s="115">
        <f>IF(DD_TOP_ACTV_6_Detailed_Currency_Used=2,OTHER_DETAILED_COST_WKSHT!$F77*OTHER_DETAILED_COST_WKSHT!H77,OTHER_DETAILED_COST_WKSHT!$F77*(OTHER_DETAILED_COST_WKSHT!H77*TOP_ACTV_6_Exchange_Rate))</f>
        <v>0</v>
      </c>
      <c r="G2492" s="116">
        <f t="shared" si="236"/>
        <v>0</v>
      </c>
      <c r="H2492" s="116">
        <f t="shared" si="237"/>
        <v>0</v>
      </c>
    </row>
    <row r="2493" spans="3:8" s="10" customFormat="1" outlineLevel="1" x14ac:dyDescent="0.2">
      <c r="D2493" s="49" t="str">
        <f>OTHER_DETAILED_COST_WKSHT!D78</f>
        <v>Supplies and Materials Category 10</v>
      </c>
      <c r="E2493" s="115">
        <f>IF(DD_TOP_ACTV_6_Detailed_Currency_Used=2,OTHER_DETAILED_COST_WKSHT!$F78*OTHER_DETAILED_COST_WKSHT!G78,OTHER_DETAILED_COST_WKSHT!$F78*(OTHER_DETAILED_COST_WKSHT!G78*TOP_ACTV_6_Exchange_Rate))</f>
        <v>0</v>
      </c>
      <c r="F2493" s="115">
        <f>IF(DD_TOP_ACTV_6_Detailed_Currency_Used=2,OTHER_DETAILED_COST_WKSHT!$F78*OTHER_DETAILED_COST_WKSHT!H78,OTHER_DETAILED_COST_WKSHT!$F78*(OTHER_DETAILED_COST_WKSHT!H78*TOP_ACTV_6_Exchange_Rate))</f>
        <v>0</v>
      </c>
      <c r="G2493" s="116">
        <f t="shared" si="236"/>
        <v>0</v>
      </c>
      <c r="H2493" s="116">
        <f t="shared" si="237"/>
        <v>0</v>
      </c>
    </row>
    <row r="2494" spans="3:8" s="10" customFormat="1" outlineLevel="1" x14ac:dyDescent="0.2">
      <c r="D2494" s="48" t="str">
        <f>Lang_Supplies_And_Materials</f>
        <v>Supplies and Materials</v>
      </c>
      <c r="E2494" s="120">
        <f>SUM(E2484:E2493)</f>
        <v>0</v>
      </c>
      <c r="F2494" s="120">
        <f>SUM(F2484:F2493)</f>
        <v>0</v>
      </c>
      <c r="G2494" s="121">
        <f>SUM(G2484:G2493)</f>
        <v>0</v>
      </c>
      <c r="H2494" s="121">
        <f>SUM(H2484:H2493)</f>
        <v>0</v>
      </c>
    </row>
    <row r="2495" spans="3:8" s="10" customFormat="1" outlineLevel="1" x14ac:dyDescent="0.2"/>
    <row r="2496" spans="3:8" s="10" customFormat="1" outlineLevel="1" x14ac:dyDescent="0.2"/>
    <row r="2497" spans="1:8" s="10" customFormat="1" outlineLevel="1" x14ac:dyDescent="0.2">
      <c r="D2497" s="76" t="str">
        <f>Lang_GoTo&amp;" "&amp;HL_TOP_ACTV_6_Supplies_and_Materials</f>
        <v>Go to Other Activity #1 - (Recurrent Costs Only) (Not in Use) - Detailed Supply and Material Cost Assumptions</v>
      </c>
    </row>
    <row r="2498" spans="1:8" s="10" customFormat="1" outlineLevel="1" x14ac:dyDescent="0.2">
      <c r="D2498" s="76" t="str">
        <f>Lang_GoTo&amp;" "&amp;HL_TOP_ACTV_6_Cost_Summary_Output</f>
        <v>Go to Other Activity #1 - (Recurrent Costs Only) (Not in Use) Detailed Cost Summary</v>
      </c>
    </row>
    <row r="2499" spans="1:8" s="10" customFormat="1" x14ac:dyDescent="0.2"/>
    <row r="2500" spans="1:8" s="13" customFormat="1" x14ac:dyDescent="0.2">
      <c r="A2500" s="12" t="s">
        <v>127</v>
      </c>
      <c r="B2500" s="13" t="str">
        <f>HL_TOP_ACTV_6_Name&amp;" "&amp;Lang_Other_Direct_Costs_Outputs</f>
        <v>Other Activity #1 - (Recurrent Costs Only) (Not in Use) Other Direct Costs - Outputs</v>
      </c>
    </row>
    <row r="2501" spans="1:8" s="10" customFormat="1" outlineLevel="1" x14ac:dyDescent="0.2"/>
    <row r="2502" spans="1:8" s="10" customFormat="1" outlineLevel="1" x14ac:dyDescent="0.2">
      <c r="C2502" s="114" t="str">
        <f>HL_TOP_ACTV_6_Name</f>
        <v>Other Activity #1 - (Recurrent Costs Only) (Not in Use)</v>
      </c>
    </row>
    <row r="2503" spans="1:8" s="10" customFormat="1" outlineLevel="1" x14ac:dyDescent="0.2">
      <c r="E2503" s="86" t="str">
        <f>OTHER_Lu!$D$32&amp;" "&amp;Lang_Cost&amp;" ("&amp;OTHER_Lu!$D$13&amp;")"</f>
        <v>Financial Cost (LCU)</v>
      </c>
      <c r="F2503" s="86" t="str">
        <f>OTHER_Lu!$D$33&amp;" "&amp;Lang_Cost&amp;" ("&amp;OTHER_Lu!$D$13&amp;")"</f>
        <v>Economic Cost (LCU)</v>
      </c>
      <c r="G2503" s="86" t="str">
        <f>OTHER_Lu!$D$32&amp;" "&amp;Lang_Cost&amp;" ("&amp;OTHER_Lu!$D$12&amp;")"</f>
        <v>Financial Cost (USD)</v>
      </c>
      <c r="H2503" s="86" t="str">
        <f>OTHER_Lu!$D$33&amp;" "&amp;Lang_Cost&amp;" ("&amp;OTHER_Lu!$D$12&amp;")"</f>
        <v>Economic Cost (USD)</v>
      </c>
    </row>
    <row r="2504" spans="1:8" s="10" customFormat="1" outlineLevel="1" x14ac:dyDescent="0.2">
      <c r="D2504" s="49" t="str">
        <f>OTHER_DETAILED_COST_WKSHT!D87</f>
        <v>Other Direct Costs (ODC) Category 1</v>
      </c>
      <c r="E2504" s="115">
        <f>IF(DD_TOP_ACTV_6_Detailed_Currency_Used=2,OTHER_DETAILED_COST_WKSHT!$F87*OTHER_DETAILED_COST_WKSHT!G87,OTHER_DETAILED_COST_WKSHT!$F87*(OTHER_DETAILED_COST_WKSHT!G87*TOP_ACTV_6_Exchange_Rate))</f>
        <v>0</v>
      </c>
      <c r="F2504" s="115">
        <f>IF(DD_TOP_ACTV_6_Detailed_Currency_Used=2,OTHER_DETAILED_COST_WKSHT!$F87*OTHER_DETAILED_COST_WKSHT!H87,OTHER_DETAILED_COST_WKSHT!$F87*(OTHER_DETAILED_COST_WKSHT!H87*TOP_ACTV_6_Exchange_Rate))</f>
        <v>0</v>
      </c>
      <c r="G2504" s="116">
        <f t="shared" ref="G2504:G2513" si="238">E2504/TOP_ACTV_6_Exchange_Rate</f>
        <v>0</v>
      </c>
      <c r="H2504" s="116">
        <f t="shared" ref="H2504:H2513" si="239">F2504/TOP_ACTV_6_Exchange_Rate</f>
        <v>0</v>
      </c>
    </row>
    <row r="2505" spans="1:8" s="10" customFormat="1" outlineLevel="1" x14ac:dyDescent="0.2">
      <c r="D2505" s="49" t="str">
        <f>OTHER_DETAILED_COST_WKSHT!D88</f>
        <v>Other Direct Costs (ODC) Category 2</v>
      </c>
      <c r="E2505" s="115">
        <f>IF(DD_TOP_ACTV_6_Detailed_Currency_Used=2,OTHER_DETAILED_COST_WKSHT!$F88*OTHER_DETAILED_COST_WKSHT!G88,OTHER_DETAILED_COST_WKSHT!$F88*(OTHER_DETAILED_COST_WKSHT!G88*TOP_ACTV_6_Exchange_Rate))</f>
        <v>0</v>
      </c>
      <c r="F2505" s="115">
        <f>IF(DD_TOP_ACTV_6_Detailed_Currency_Used=2,OTHER_DETAILED_COST_WKSHT!$F88*OTHER_DETAILED_COST_WKSHT!H88,OTHER_DETAILED_COST_WKSHT!$F88*(OTHER_DETAILED_COST_WKSHT!H88*TOP_ACTV_6_Exchange_Rate))</f>
        <v>0</v>
      </c>
      <c r="G2505" s="116">
        <f t="shared" si="238"/>
        <v>0</v>
      </c>
      <c r="H2505" s="116">
        <f t="shared" si="239"/>
        <v>0</v>
      </c>
    </row>
    <row r="2506" spans="1:8" s="10" customFormat="1" outlineLevel="1" x14ac:dyDescent="0.2">
      <c r="D2506" s="49" t="str">
        <f>OTHER_DETAILED_COST_WKSHT!D89</f>
        <v>Other Direct Costs (ODC) Category 3</v>
      </c>
      <c r="E2506" s="115">
        <f>IF(DD_TOP_ACTV_6_Detailed_Currency_Used=2,OTHER_DETAILED_COST_WKSHT!$F89*OTHER_DETAILED_COST_WKSHT!G89,OTHER_DETAILED_COST_WKSHT!$F89*(OTHER_DETAILED_COST_WKSHT!G89*TOP_ACTV_6_Exchange_Rate))</f>
        <v>0</v>
      </c>
      <c r="F2506" s="115">
        <f>IF(DD_TOP_ACTV_6_Detailed_Currency_Used=2,OTHER_DETAILED_COST_WKSHT!$F89*OTHER_DETAILED_COST_WKSHT!H89,OTHER_DETAILED_COST_WKSHT!$F89*(OTHER_DETAILED_COST_WKSHT!H89*TOP_ACTV_6_Exchange_Rate))</f>
        <v>0</v>
      </c>
      <c r="G2506" s="116">
        <f t="shared" si="238"/>
        <v>0</v>
      </c>
      <c r="H2506" s="116">
        <f t="shared" si="239"/>
        <v>0</v>
      </c>
    </row>
    <row r="2507" spans="1:8" s="10" customFormat="1" outlineLevel="1" x14ac:dyDescent="0.2">
      <c r="D2507" s="49" t="str">
        <f>OTHER_DETAILED_COST_WKSHT!D90</f>
        <v>Other Direct Costs (ODC) Category 4</v>
      </c>
      <c r="E2507" s="115">
        <f>IF(DD_TOP_ACTV_6_Detailed_Currency_Used=2,OTHER_DETAILED_COST_WKSHT!$F90*OTHER_DETAILED_COST_WKSHT!G90,OTHER_DETAILED_COST_WKSHT!$F90*(OTHER_DETAILED_COST_WKSHT!G90*TOP_ACTV_6_Exchange_Rate))</f>
        <v>0</v>
      </c>
      <c r="F2507" s="115">
        <f>IF(DD_TOP_ACTV_6_Detailed_Currency_Used=2,OTHER_DETAILED_COST_WKSHT!$F90*OTHER_DETAILED_COST_WKSHT!H90,OTHER_DETAILED_COST_WKSHT!$F90*(OTHER_DETAILED_COST_WKSHT!H90*TOP_ACTV_6_Exchange_Rate))</f>
        <v>0</v>
      </c>
      <c r="G2507" s="116">
        <f t="shared" si="238"/>
        <v>0</v>
      </c>
      <c r="H2507" s="116">
        <f t="shared" si="239"/>
        <v>0</v>
      </c>
    </row>
    <row r="2508" spans="1:8" s="10" customFormat="1" outlineLevel="1" x14ac:dyDescent="0.2">
      <c r="D2508" s="49" t="str">
        <f>OTHER_DETAILED_COST_WKSHT!D91</f>
        <v>Other Direct Costs (ODC) Category 5</v>
      </c>
      <c r="E2508" s="115">
        <f>IF(DD_TOP_ACTV_6_Detailed_Currency_Used=2,OTHER_DETAILED_COST_WKSHT!$F91*OTHER_DETAILED_COST_WKSHT!G91,OTHER_DETAILED_COST_WKSHT!$F91*(OTHER_DETAILED_COST_WKSHT!G91*TOP_ACTV_6_Exchange_Rate))</f>
        <v>0</v>
      </c>
      <c r="F2508" s="115">
        <f>IF(DD_TOP_ACTV_6_Detailed_Currency_Used=2,OTHER_DETAILED_COST_WKSHT!$F91*OTHER_DETAILED_COST_WKSHT!H91,OTHER_DETAILED_COST_WKSHT!$F91*(OTHER_DETAILED_COST_WKSHT!H91*TOP_ACTV_6_Exchange_Rate))</f>
        <v>0</v>
      </c>
      <c r="G2508" s="116">
        <f t="shared" si="238"/>
        <v>0</v>
      </c>
      <c r="H2508" s="116">
        <f t="shared" si="239"/>
        <v>0</v>
      </c>
    </row>
    <row r="2509" spans="1:8" s="10" customFormat="1" outlineLevel="1" x14ac:dyDescent="0.2">
      <c r="D2509" s="49" t="str">
        <f>OTHER_DETAILED_COST_WKSHT!D92</f>
        <v>Other Direct Costs (ODC) Category 6</v>
      </c>
      <c r="E2509" s="115">
        <f>IF(DD_TOP_ACTV_6_Detailed_Currency_Used=2,OTHER_DETAILED_COST_WKSHT!$F92*OTHER_DETAILED_COST_WKSHT!G92,OTHER_DETAILED_COST_WKSHT!$F92*(OTHER_DETAILED_COST_WKSHT!G92*TOP_ACTV_6_Exchange_Rate))</f>
        <v>0</v>
      </c>
      <c r="F2509" s="115">
        <f>IF(DD_TOP_ACTV_6_Detailed_Currency_Used=2,OTHER_DETAILED_COST_WKSHT!$F92*OTHER_DETAILED_COST_WKSHT!H92,OTHER_DETAILED_COST_WKSHT!$F92*(OTHER_DETAILED_COST_WKSHT!H92*TOP_ACTV_6_Exchange_Rate))</f>
        <v>0</v>
      </c>
      <c r="G2509" s="116">
        <f t="shared" si="238"/>
        <v>0</v>
      </c>
      <c r="H2509" s="116">
        <f t="shared" si="239"/>
        <v>0</v>
      </c>
    </row>
    <row r="2510" spans="1:8" s="10" customFormat="1" outlineLevel="1" x14ac:dyDescent="0.2">
      <c r="D2510" s="49" t="str">
        <f>OTHER_DETAILED_COST_WKSHT!D93</f>
        <v>Other Direct Costs (ODC) Category 7</v>
      </c>
      <c r="E2510" s="115">
        <f>IF(DD_TOP_ACTV_6_Detailed_Currency_Used=2,OTHER_DETAILED_COST_WKSHT!$F93*OTHER_DETAILED_COST_WKSHT!G93,OTHER_DETAILED_COST_WKSHT!$F93*(OTHER_DETAILED_COST_WKSHT!G93*TOP_ACTV_6_Exchange_Rate))</f>
        <v>0</v>
      </c>
      <c r="F2510" s="115">
        <f>IF(DD_TOP_ACTV_6_Detailed_Currency_Used=2,OTHER_DETAILED_COST_WKSHT!$F93*OTHER_DETAILED_COST_WKSHT!H93,OTHER_DETAILED_COST_WKSHT!$F93*(OTHER_DETAILED_COST_WKSHT!H93*TOP_ACTV_6_Exchange_Rate))</f>
        <v>0</v>
      </c>
      <c r="G2510" s="116">
        <f t="shared" si="238"/>
        <v>0</v>
      </c>
      <c r="H2510" s="116">
        <f t="shared" si="239"/>
        <v>0</v>
      </c>
    </row>
    <row r="2511" spans="1:8" s="10" customFormat="1" outlineLevel="1" x14ac:dyDescent="0.2">
      <c r="D2511" s="49" t="str">
        <f>OTHER_DETAILED_COST_WKSHT!D94</f>
        <v>Other Direct Costs (ODC) Category 8</v>
      </c>
      <c r="E2511" s="115">
        <f>IF(DD_TOP_ACTV_6_Detailed_Currency_Used=2,OTHER_DETAILED_COST_WKSHT!$F94*OTHER_DETAILED_COST_WKSHT!G94,OTHER_DETAILED_COST_WKSHT!$F94*(OTHER_DETAILED_COST_WKSHT!G94*TOP_ACTV_6_Exchange_Rate))</f>
        <v>0</v>
      </c>
      <c r="F2511" s="115">
        <f>IF(DD_TOP_ACTV_6_Detailed_Currency_Used=2,OTHER_DETAILED_COST_WKSHT!$F94*OTHER_DETAILED_COST_WKSHT!H94,OTHER_DETAILED_COST_WKSHT!$F94*(OTHER_DETAILED_COST_WKSHT!H94*TOP_ACTV_6_Exchange_Rate))</f>
        <v>0</v>
      </c>
      <c r="G2511" s="116">
        <f t="shared" si="238"/>
        <v>0</v>
      </c>
      <c r="H2511" s="116">
        <f t="shared" si="239"/>
        <v>0</v>
      </c>
    </row>
    <row r="2512" spans="1:8" s="10" customFormat="1" outlineLevel="1" x14ac:dyDescent="0.2">
      <c r="D2512" s="49" t="str">
        <f>OTHER_DETAILED_COST_WKSHT!D95</f>
        <v>Other Direct Costs (ODC) Category 9</v>
      </c>
      <c r="E2512" s="115">
        <f>IF(DD_TOP_ACTV_6_Detailed_Currency_Used=2,OTHER_DETAILED_COST_WKSHT!$F95*OTHER_DETAILED_COST_WKSHT!G95,OTHER_DETAILED_COST_WKSHT!$F95*(OTHER_DETAILED_COST_WKSHT!G95*TOP_ACTV_6_Exchange_Rate))</f>
        <v>0</v>
      </c>
      <c r="F2512" s="115">
        <f>IF(DD_TOP_ACTV_6_Detailed_Currency_Used=2,OTHER_DETAILED_COST_WKSHT!$F95*OTHER_DETAILED_COST_WKSHT!H95,OTHER_DETAILED_COST_WKSHT!$F95*(OTHER_DETAILED_COST_WKSHT!H95*TOP_ACTV_6_Exchange_Rate))</f>
        <v>0</v>
      </c>
      <c r="G2512" s="116">
        <f t="shared" si="238"/>
        <v>0</v>
      </c>
      <c r="H2512" s="116">
        <f t="shared" si="239"/>
        <v>0</v>
      </c>
    </row>
    <row r="2513" spans="1:8" s="10" customFormat="1" outlineLevel="1" x14ac:dyDescent="0.2">
      <c r="D2513" s="49" t="str">
        <f>OTHER_DETAILED_COST_WKSHT!D96</f>
        <v>Other Direct Costs (ODC) Category 10</v>
      </c>
      <c r="E2513" s="115">
        <f>IF(DD_TOP_ACTV_6_Detailed_Currency_Used=2,OTHER_DETAILED_COST_WKSHT!$F96*OTHER_DETAILED_COST_WKSHT!G96,OTHER_DETAILED_COST_WKSHT!$F96*(OTHER_DETAILED_COST_WKSHT!G96*TOP_ACTV_6_Exchange_Rate))</f>
        <v>0</v>
      </c>
      <c r="F2513" s="115">
        <f>IF(DD_TOP_ACTV_6_Detailed_Currency_Used=2,OTHER_DETAILED_COST_WKSHT!$F96*OTHER_DETAILED_COST_WKSHT!H96,OTHER_DETAILED_COST_WKSHT!$F96*(OTHER_DETAILED_COST_WKSHT!H96*TOP_ACTV_6_Exchange_Rate))</f>
        <v>0</v>
      </c>
      <c r="G2513" s="116">
        <f t="shared" si="238"/>
        <v>0</v>
      </c>
      <c r="H2513" s="116">
        <f t="shared" si="239"/>
        <v>0</v>
      </c>
    </row>
    <row r="2514" spans="1:8" s="10" customFormat="1" outlineLevel="1" x14ac:dyDescent="0.2">
      <c r="D2514" s="48" t="str">
        <f>Lang_Other_Direct_Costs</f>
        <v>Other Direct Costs</v>
      </c>
      <c r="E2514" s="120">
        <f>SUM(E2504:E2513)</f>
        <v>0</v>
      </c>
      <c r="F2514" s="120">
        <f>SUM(F2504:F2513)</f>
        <v>0</v>
      </c>
      <c r="G2514" s="121">
        <f>SUM(G2504:G2513)</f>
        <v>0</v>
      </c>
      <c r="H2514" s="121">
        <f>SUM(H2504:H2513)</f>
        <v>0</v>
      </c>
    </row>
    <row r="2515" spans="1:8" s="10" customFormat="1" outlineLevel="1" x14ac:dyDescent="0.2"/>
    <row r="2516" spans="1:8" s="10" customFormat="1" outlineLevel="1" x14ac:dyDescent="0.2">
      <c r="D2516" s="76" t="str">
        <f>Lang_GoTo&amp;" "&amp;HL_TOP_ACTV_6_Other_Direct_Costs</f>
        <v>Go to Other Activity #1 - (Recurrent Costs Only) (Not in Use) - Detailed Other Direct Cost Assumptions</v>
      </c>
    </row>
    <row r="2517" spans="1:8" s="10" customFormat="1" outlineLevel="1" x14ac:dyDescent="0.2">
      <c r="D2517" s="76" t="str">
        <f>Lang_GoTo&amp;" "&amp;HL_TOP_ACTV_6_Cost_Summary_Output</f>
        <v>Go to Other Activity #1 - (Recurrent Costs Only) (Not in Use) Detailed Cost Summary</v>
      </c>
    </row>
    <row r="2518" spans="1:8" s="10" customFormat="1" x14ac:dyDescent="0.2"/>
    <row r="2519" spans="1:8" s="13" customFormat="1" x14ac:dyDescent="0.2">
      <c r="A2519" s="12" t="s">
        <v>127</v>
      </c>
      <c r="B2519" s="13" t="str">
        <f>HL_TOP_ACTV_20_Name&amp;" "&amp;Lang_Personnel_Outputs</f>
        <v>Other Activity #2 - (Recurrent Costs Only) (Not in Use) Personnel - Outputs</v>
      </c>
    </row>
    <row r="2520" spans="1:8" s="10" customFormat="1" outlineLevel="1" x14ac:dyDescent="0.2"/>
    <row r="2521" spans="1:8" s="10" customFormat="1" outlineLevel="1" x14ac:dyDescent="0.2">
      <c r="C2521" s="114" t="str">
        <f>HL_TOP_ACTV_20_Name</f>
        <v>Other Activity #2 - (Recurrent Costs Only) (Not in Use)</v>
      </c>
    </row>
    <row r="2522" spans="1:8" s="10" customFormat="1" outlineLevel="1" x14ac:dyDescent="0.2">
      <c r="E2522" s="86" t="str">
        <f>OTHER_Lu!$D$67&amp;" "&amp;Lang_Cost&amp;" ("&amp;OTHER_Lu!$D$48&amp;")"</f>
        <v>Financial Cost (LCU)</v>
      </c>
      <c r="F2522" s="86" t="str">
        <f>OTHER_Lu!$D$68&amp;" "&amp;Lang_Cost&amp;" ("&amp;OTHER_Lu!$D$48&amp;")"</f>
        <v>Economic Cost (LCU)</v>
      </c>
      <c r="G2522" s="86" t="str">
        <f>OTHER_Lu!$D$67&amp;" "&amp;Lang_Cost&amp;" ("&amp;OTHER_Lu!$D$47&amp;")"</f>
        <v>Financial Cost (USD)</v>
      </c>
      <c r="H2522" s="86" t="str">
        <f>OTHER_Lu!$D$68&amp;" "&amp;Lang_Cost&amp;" ("&amp;OTHER_Lu!$D$47&amp;")"</f>
        <v>Economic Cost (USD)</v>
      </c>
    </row>
    <row r="2523" spans="1:8" s="10" customFormat="1" outlineLevel="1" x14ac:dyDescent="0.2">
      <c r="D2523" s="49" t="str">
        <f>OTHER_DETAILED_COST_WKSHT!D125</f>
        <v>Personnel Category 1</v>
      </c>
      <c r="E2523" s="115">
        <f>IF(DD_TOP_ACTV_20_Detailed_Currency_Used=2,OTHER_DETAILED_COST_WKSHT!$F125*OTHER_DETAILED_COST_WKSHT!G125,OTHER_DETAILED_COST_WKSHT!$F125*(OTHER_DETAILED_COST_WKSHT!G125*TOP_ACTV_20_Exchange_Rate))</f>
        <v>0</v>
      </c>
      <c r="F2523" s="115">
        <f>IF(DD_TOP_ACTV_20_Detailed_Currency_Used=2,OTHER_DETAILED_COST_WKSHT!$F125*OTHER_DETAILED_COST_WKSHT!H125,OTHER_DETAILED_COST_WKSHT!$F125*(OTHER_DETAILED_COST_WKSHT!H125*TOP_ACTV_20_Exchange_Rate))</f>
        <v>0</v>
      </c>
      <c r="G2523" s="116">
        <f t="shared" ref="G2523:G2537" si="240">IFERROR(E2523/TOP_ACTV_20_Exchange_Rate,0)</f>
        <v>0</v>
      </c>
      <c r="H2523" s="116">
        <f t="shared" ref="H2523:H2537" si="241">IFERROR(F2523/TOP_ACTV_20_Exchange_Rate,0)</f>
        <v>0</v>
      </c>
    </row>
    <row r="2524" spans="1:8" s="10" customFormat="1" outlineLevel="1" x14ac:dyDescent="0.2">
      <c r="D2524" s="49" t="str">
        <f>OTHER_DETAILED_COST_WKSHT!D126</f>
        <v>Personnel Category 2</v>
      </c>
      <c r="E2524" s="115">
        <f>IF(DD_TOP_ACTV_20_Detailed_Currency_Used=2,OTHER_DETAILED_COST_WKSHT!$F126*OTHER_DETAILED_COST_WKSHT!G126,OTHER_DETAILED_COST_WKSHT!$F126*(OTHER_DETAILED_COST_WKSHT!G126*TOP_ACTV_20_Exchange_Rate))</f>
        <v>0</v>
      </c>
      <c r="F2524" s="115">
        <f>IF(DD_TOP_ACTV_20_Detailed_Currency_Used=2,OTHER_DETAILED_COST_WKSHT!$F126*OTHER_DETAILED_COST_WKSHT!H126,OTHER_DETAILED_COST_WKSHT!$F126*(OTHER_DETAILED_COST_WKSHT!H126*TOP_ACTV_20_Exchange_Rate))</f>
        <v>0</v>
      </c>
      <c r="G2524" s="116">
        <f t="shared" si="240"/>
        <v>0</v>
      </c>
      <c r="H2524" s="116">
        <f t="shared" si="241"/>
        <v>0</v>
      </c>
    </row>
    <row r="2525" spans="1:8" s="10" customFormat="1" outlineLevel="1" x14ac:dyDescent="0.2">
      <c r="D2525" s="49" t="str">
        <f>OTHER_DETAILED_COST_WKSHT!D127</f>
        <v>Personnel Category 3</v>
      </c>
      <c r="E2525" s="115">
        <f>IF(DD_TOP_ACTV_20_Detailed_Currency_Used=2,OTHER_DETAILED_COST_WKSHT!$F127*OTHER_DETAILED_COST_WKSHT!G127,OTHER_DETAILED_COST_WKSHT!$F127*(OTHER_DETAILED_COST_WKSHT!G127*TOP_ACTV_20_Exchange_Rate))</f>
        <v>0</v>
      </c>
      <c r="F2525" s="115">
        <f>IF(DD_TOP_ACTV_20_Detailed_Currency_Used=2,OTHER_DETAILED_COST_WKSHT!$F127*OTHER_DETAILED_COST_WKSHT!H127,OTHER_DETAILED_COST_WKSHT!$F127*(OTHER_DETAILED_COST_WKSHT!H127*TOP_ACTV_20_Exchange_Rate))</f>
        <v>0</v>
      </c>
      <c r="G2525" s="116">
        <f t="shared" si="240"/>
        <v>0</v>
      </c>
      <c r="H2525" s="116">
        <f t="shared" si="241"/>
        <v>0</v>
      </c>
    </row>
    <row r="2526" spans="1:8" s="10" customFormat="1" outlineLevel="1" x14ac:dyDescent="0.2">
      <c r="D2526" s="49" t="str">
        <f>OTHER_DETAILED_COST_WKSHT!D128</f>
        <v>Personnel Category 4</v>
      </c>
      <c r="E2526" s="115">
        <f>IF(DD_TOP_ACTV_20_Detailed_Currency_Used=2,OTHER_DETAILED_COST_WKSHT!$F128*OTHER_DETAILED_COST_WKSHT!G128,OTHER_DETAILED_COST_WKSHT!$F128*(OTHER_DETAILED_COST_WKSHT!G128*TOP_ACTV_20_Exchange_Rate))</f>
        <v>0</v>
      </c>
      <c r="F2526" s="115">
        <f>IF(DD_TOP_ACTV_20_Detailed_Currency_Used=2,OTHER_DETAILED_COST_WKSHT!$F128*OTHER_DETAILED_COST_WKSHT!H128,OTHER_DETAILED_COST_WKSHT!$F128*(OTHER_DETAILED_COST_WKSHT!H128*TOP_ACTV_20_Exchange_Rate))</f>
        <v>0</v>
      </c>
      <c r="G2526" s="116">
        <f t="shared" si="240"/>
        <v>0</v>
      </c>
      <c r="H2526" s="116">
        <f t="shared" si="241"/>
        <v>0</v>
      </c>
    </row>
    <row r="2527" spans="1:8" s="10" customFormat="1" outlineLevel="1" x14ac:dyDescent="0.2">
      <c r="D2527" s="49" t="str">
        <f>OTHER_DETAILED_COST_WKSHT!D129</f>
        <v>Personnel Category 5</v>
      </c>
      <c r="E2527" s="115">
        <f>IF(DD_TOP_ACTV_20_Detailed_Currency_Used=2,OTHER_DETAILED_COST_WKSHT!$F129*OTHER_DETAILED_COST_WKSHT!G129,OTHER_DETAILED_COST_WKSHT!$F129*(OTHER_DETAILED_COST_WKSHT!G129*TOP_ACTV_20_Exchange_Rate))</f>
        <v>0</v>
      </c>
      <c r="F2527" s="115">
        <f>IF(DD_TOP_ACTV_20_Detailed_Currency_Used=2,OTHER_DETAILED_COST_WKSHT!$F129*OTHER_DETAILED_COST_WKSHT!H129,OTHER_DETAILED_COST_WKSHT!$F129*(OTHER_DETAILED_COST_WKSHT!H129*TOP_ACTV_20_Exchange_Rate))</f>
        <v>0</v>
      </c>
      <c r="G2527" s="116">
        <f t="shared" si="240"/>
        <v>0</v>
      </c>
      <c r="H2527" s="116">
        <f t="shared" si="241"/>
        <v>0</v>
      </c>
    </row>
    <row r="2528" spans="1:8" s="10" customFormat="1" outlineLevel="1" x14ac:dyDescent="0.2">
      <c r="D2528" s="49" t="str">
        <f>OTHER_DETAILED_COST_WKSHT!D130</f>
        <v>Personnel Category 6</v>
      </c>
      <c r="E2528" s="115">
        <f>IF(DD_TOP_ACTV_20_Detailed_Currency_Used=2,OTHER_DETAILED_COST_WKSHT!$F130*OTHER_DETAILED_COST_WKSHT!G130,OTHER_DETAILED_COST_WKSHT!$F130*(OTHER_DETAILED_COST_WKSHT!G130*TOP_ACTV_20_Exchange_Rate))</f>
        <v>0</v>
      </c>
      <c r="F2528" s="115">
        <f>IF(DD_TOP_ACTV_20_Detailed_Currency_Used=2,OTHER_DETAILED_COST_WKSHT!$F130*OTHER_DETAILED_COST_WKSHT!H130,OTHER_DETAILED_COST_WKSHT!$F130*(OTHER_DETAILED_COST_WKSHT!H130*TOP_ACTV_20_Exchange_Rate))</f>
        <v>0</v>
      </c>
      <c r="G2528" s="116">
        <f t="shared" si="240"/>
        <v>0</v>
      </c>
      <c r="H2528" s="116">
        <f t="shared" si="241"/>
        <v>0</v>
      </c>
    </row>
    <row r="2529" spans="1:8" s="10" customFormat="1" outlineLevel="1" x14ac:dyDescent="0.2">
      <c r="D2529" s="49" t="str">
        <f>OTHER_DETAILED_COST_WKSHT!D131</f>
        <v>Personnel Category 7</v>
      </c>
      <c r="E2529" s="115">
        <f>IF(DD_TOP_ACTV_20_Detailed_Currency_Used=2,OTHER_DETAILED_COST_WKSHT!$F131*OTHER_DETAILED_COST_WKSHT!G131,OTHER_DETAILED_COST_WKSHT!$F131*(OTHER_DETAILED_COST_WKSHT!G131*TOP_ACTV_20_Exchange_Rate))</f>
        <v>0</v>
      </c>
      <c r="F2529" s="115">
        <f>IF(DD_TOP_ACTV_20_Detailed_Currency_Used=2,OTHER_DETAILED_COST_WKSHT!$F131*OTHER_DETAILED_COST_WKSHT!H131,OTHER_DETAILED_COST_WKSHT!$F131*(OTHER_DETAILED_COST_WKSHT!H131*TOP_ACTV_20_Exchange_Rate))</f>
        <v>0</v>
      </c>
      <c r="G2529" s="116">
        <f t="shared" si="240"/>
        <v>0</v>
      </c>
      <c r="H2529" s="116">
        <f t="shared" si="241"/>
        <v>0</v>
      </c>
    </row>
    <row r="2530" spans="1:8" s="10" customFormat="1" outlineLevel="1" x14ac:dyDescent="0.2">
      <c r="D2530" s="49" t="str">
        <f>OTHER_DETAILED_COST_WKSHT!D132</f>
        <v>Personnel Category 8</v>
      </c>
      <c r="E2530" s="115">
        <f>IF(DD_TOP_ACTV_20_Detailed_Currency_Used=2,OTHER_DETAILED_COST_WKSHT!$F132*OTHER_DETAILED_COST_WKSHT!G132,OTHER_DETAILED_COST_WKSHT!$F132*(OTHER_DETAILED_COST_WKSHT!G132*TOP_ACTV_20_Exchange_Rate))</f>
        <v>0</v>
      </c>
      <c r="F2530" s="115">
        <f>IF(DD_TOP_ACTV_20_Detailed_Currency_Used=2,OTHER_DETAILED_COST_WKSHT!$F132*OTHER_DETAILED_COST_WKSHT!H132,OTHER_DETAILED_COST_WKSHT!$F132*(OTHER_DETAILED_COST_WKSHT!H132*TOP_ACTV_20_Exchange_Rate))</f>
        <v>0</v>
      </c>
      <c r="G2530" s="116">
        <f t="shared" si="240"/>
        <v>0</v>
      </c>
      <c r="H2530" s="116">
        <f t="shared" si="241"/>
        <v>0</v>
      </c>
    </row>
    <row r="2531" spans="1:8" s="10" customFormat="1" outlineLevel="1" x14ac:dyDescent="0.2">
      <c r="D2531" s="49" t="str">
        <f>OTHER_DETAILED_COST_WKSHT!D133</f>
        <v>Personnel Category 9</v>
      </c>
      <c r="E2531" s="115">
        <f>IF(DD_TOP_ACTV_20_Detailed_Currency_Used=2,OTHER_DETAILED_COST_WKSHT!$F133*OTHER_DETAILED_COST_WKSHT!G133,OTHER_DETAILED_COST_WKSHT!$F133*(OTHER_DETAILED_COST_WKSHT!G133*TOP_ACTV_20_Exchange_Rate))</f>
        <v>0</v>
      </c>
      <c r="F2531" s="115">
        <f>IF(DD_TOP_ACTV_20_Detailed_Currency_Used=2,OTHER_DETAILED_COST_WKSHT!$F133*OTHER_DETAILED_COST_WKSHT!H133,OTHER_DETAILED_COST_WKSHT!$F133*(OTHER_DETAILED_COST_WKSHT!H133*TOP_ACTV_20_Exchange_Rate))</f>
        <v>0</v>
      </c>
      <c r="G2531" s="116">
        <f t="shared" si="240"/>
        <v>0</v>
      </c>
      <c r="H2531" s="116">
        <f t="shared" si="241"/>
        <v>0</v>
      </c>
    </row>
    <row r="2532" spans="1:8" s="10" customFormat="1" outlineLevel="1" x14ac:dyDescent="0.2">
      <c r="D2532" s="49" t="str">
        <f>OTHER_DETAILED_COST_WKSHT!D134</f>
        <v>Personnel Category 10</v>
      </c>
      <c r="E2532" s="115">
        <f>IF(DD_TOP_ACTV_20_Detailed_Currency_Used=2,OTHER_DETAILED_COST_WKSHT!$F134*OTHER_DETAILED_COST_WKSHT!G134,OTHER_DETAILED_COST_WKSHT!$F134*(OTHER_DETAILED_COST_WKSHT!G134*TOP_ACTV_20_Exchange_Rate))</f>
        <v>0</v>
      </c>
      <c r="F2532" s="115">
        <f>IF(DD_TOP_ACTV_20_Detailed_Currency_Used=2,OTHER_DETAILED_COST_WKSHT!$F134*OTHER_DETAILED_COST_WKSHT!H134,OTHER_DETAILED_COST_WKSHT!$F134*(OTHER_DETAILED_COST_WKSHT!H134*TOP_ACTV_20_Exchange_Rate))</f>
        <v>0</v>
      </c>
      <c r="G2532" s="116">
        <f t="shared" si="240"/>
        <v>0</v>
      </c>
      <c r="H2532" s="116">
        <f t="shared" si="241"/>
        <v>0</v>
      </c>
    </row>
    <row r="2533" spans="1:8" s="10" customFormat="1" outlineLevel="1" x14ac:dyDescent="0.2">
      <c r="D2533" s="49" t="str">
        <f>OTHER_DETAILED_COST_WKSHT!D135</f>
        <v>Personnel Category 11</v>
      </c>
      <c r="E2533" s="115">
        <f>IF(DD_TOP_ACTV_20_Detailed_Currency_Used=2,OTHER_DETAILED_COST_WKSHT!$F135*OTHER_DETAILED_COST_WKSHT!G135,OTHER_DETAILED_COST_WKSHT!$F135*(OTHER_DETAILED_COST_WKSHT!G135*TOP_ACTV_20_Exchange_Rate))</f>
        <v>0</v>
      </c>
      <c r="F2533" s="115">
        <f>IF(DD_TOP_ACTV_20_Detailed_Currency_Used=2,OTHER_DETAILED_COST_WKSHT!$F135*OTHER_DETAILED_COST_WKSHT!H135,OTHER_DETAILED_COST_WKSHT!$F135*(OTHER_DETAILED_COST_WKSHT!H135*TOP_ACTV_20_Exchange_Rate))</f>
        <v>0</v>
      </c>
      <c r="G2533" s="116">
        <f t="shared" si="240"/>
        <v>0</v>
      </c>
      <c r="H2533" s="116">
        <f t="shared" si="241"/>
        <v>0</v>
      </c>
    </row>
    <row r="2534" spans="1:8" s="10" customFormat="1" outlineLevel="1" x14ac:dyDescent="0.2">
      <c r="D2534" s="49" t="str">
        <f>OTHER_DETAILED_COST_WKSHT!D136</f>
        <v>Personnel Category 12</v>
      </c>
      <c r="E2534" s="115">
        <f>IF(DD_TOP_ACTV_20_Detailed_Currency_Used=2,OTHER_DETAILED_COST_WKSHT!$F136*OTHER_DETAILED_COST_WKSHT!G136,OTHER_DETAILED_COST_WKSHT!$F136*(OTHER_DETAILED_COST_WKSHT!G136*TOP_ACTV_20_Exchange_Rate))</f>
        <v>0</v>
      </c>
      <c r="F2534" s="115">
        <f>IF(DD_TOP_ACTV_20_Detailed_Currency_Used=2,OTHER_DETAILED_COST_WKSHT!$F136*OTHER_DETAILED_COST_WKSHT!H136,OTHER_DETAILED_COST_WKSHT!$F136*(OTHER_DETAILED_COST_WKSHT!H136*TOP_ACTV_20_Exchange_Rate))</f>
        <v>0</v>
      </c>
      <c r="G2534" s="116">
        <f t="shared" si="240"/>
        <v>0</v>
      </c>
      <c r="H2534" s="116">
        <f t="shared" si="241"/>
        <v>0</v>
      </c>
    </row>
    <row r="2535" spans="1:8" s="10" customFormat="1" outlineLevel="1" x14ac:dyDescent="0.2">
      <c r="D2535" s="49" t="str">
        <f>OTHER_DETAILED_COST_WKSHT!D137</f>
        <v>Personnel Category 13</v>
      </c>
      <c r="E2535" s="115">
        <f>IF(DD_TOP_ACTV_20_Detailed_Currency_Used=2,OTHER_DETAILED_COST_WKSHT!$F137*OTHER_DETAILED_COST_WKSHT!G137,OTHER_DETAILED_COST_WKSHT!$F137*(OTHER_DETAILED_COST_WKSHT!G137*TOP_ACTV_20_Exchange_Rate))</f>
        <v>0</v>
      </c>
      <c r="F2535" s="115">
        <f>IF(DD_TOP_ACTV_20_Detailed_Currency_Used=2,OTHER_DETAILED_COST_WKSHT!$F137*OTHER_DETAILED_COST_WKSHT!H137,OTHER_DETAILED_COST_WKSHT!$F137*(OTHER_DETAILED_COST_WKSHT!H137*TOP_ACTV_20_Exchange_Rate))</f>
        <v>0</v>
      </c>
      <c r="G2535" s="116">
        <f t="shared" si="240"/>
        <v>0</v>
      </c>
      <c r="H2535" s="116">
        <f t="shared" si="241"/>
        <v>0</v>
      </c>
    </row>
    <row r="2536" spans="1:8" s="10" customFormat="1" outlineLevel="1" x14ac:dyDescent="0.2">
      <c r="D2536" s="49" t="str">
        <f>OTHER_DETAILED_COST_WKSHT!D138</f>
        <v>Personnel Category 14</v>
      </c>
      <c r="E2536" s="115">
        <f>IF(DD_TOP_ACTV_20_Detailed_Currency_Used=2,OTHER_DETAILED_COST_WKSHT!$F138*OTHER_DETAILED_COST_WKSHT!G138,OTHER_DETAILED_COST_WKSHT!$F138*(OTHER_DETAILED_COST_WKSHT!G138*TOP_ACTV_20_Exchange_Rate))</f>
        <v>0</v>
      </c>
      <c r="F2536" s="115">
        <f>IF(DD_TOP_ACTV_20_Detailed_Currency_Used=2,OTHER_DETAILED_COST_WKSHT!$F138*OTHER_DETAILED_COST_WKSHT!H138,OTHER_DETAILED_COST_WKSHT!$F138*(OTHER_DETAILED_COST_WKSHT!H138*TOP_ACTV_20_Exchange_Rate))</f>
        <v>0</v>
      </c>
      <c r="G2536" s="116">
        <f t="shared" si="240"/>
        <v>0</v>
      </c>
      <c r="H2536" s="116">
        <f t="shared" si="241"/>
        <v>0</v>
      </c>
    </row>
    <row r="2537" spans="1:8" s="10" customFormat="1" outlineLevel="1" x14ac:dyDescent="0.2">
      <c r="D2537" s="49" t="str">
        <f>OTHER_DETAILED_COST_WKSHT!D139</f>
        <v>Personnel Category 15</v>
      </c>
      <c r="E2537" s="115">
        <f>IF(DD_TOP_ACTV_20_Detailed_Currency_Used=2,OTHER_DETAILED_COST_WKSHT!$F139*OTHER_DETAILED_COST_WKSHT!G139,OTHER_DETAILED_COST_WKSHT!$F139*(OTHER_DETAILED_COST_WKSHT!G139*TOP_ACTV_20_Exchange_Rate))</f>
        <v>0</v>
      </c>
      <c r="F2537" s="115">
        <f>IF(DD_TOP_ACTV_20_Detailed_Currency_Used=2,OTHER_DETAILED_COST_WKSHT!$F139*OTHER_DETAILED_COST_WKSHT!H139,OTHER_DETAILED_COST_WKSHT!$F139*(OTHER_DETAILED_COST_WKSHT!H139*TOP_ACTV_20_Exchange_Rate))</f>
        <v>0</v>
      </c>
      <c r="G2537" s="116">
        <f t="shared" si="240"/>
        <v>0</v>
      </c>
      <c r="H2537" s="116">
        <f t="shared" si="241"/>
        <v>0</v>
      </c>
    </row>
    <row r="2538" spans="1:8" s="10" customFormat="1" outlineLevel="1" x14ac:dyDescent="0.2">
      <c r="D2538" s="48" t="str">
        <f>Lang_Personnel</f>
        <v>Personnel</v>
      </c>
      <c r="E2538" s="120">
        <f>SUM(E2523:E2537)</f>
        <v>0</v>
      </c>
      <c r="F2538" s="120">
        <f>SUM(F2523:F2537)</f>
        <v>0</v>
      </c>
      <c r="G2538" s="121">
        <f>SUM(G2523:G2537)</f>
        <v>0</v>
      </c>
      <c r="H2538" s="121">
        <f>SUM(H2523:H2537)</f>
        <v>0</v>
      </c>
    </row>
    <row r="2539" spans="1:8" s="10" customFormat="1" outlineLevel="1" x14ac:dyDescent="0.2"/>
    <row r="2540" spans="1:8" s="10" customFormat="1" outlineLevel="1" x14ac:dyDescent="0.2"/>
    <row r="2541" spans="1:8" s="10" customFormat="1" outlineLevel="1" x14ac:dyDescent="0.2">
      <c r="D2541" s="76" t="str">
        <f>Lang_GoTo&amp;" "&amp;HL_TOP_ACTV_20_Personnel_Assumptions</f>
        <v>Go to Other Activity #2 - (Recurrent Costs Only) (Not in Use) - Detailed Personnel Cost Assumptions</v>
      </c>
    </row>
    <row r="2542" spans="1:8" s="10" customFormat="1" outlineLevel="1" x14ac:dyDescent="0.2">
      <c r="D2542" s="76" t="str">
        <f>Lang_GoTo&amp;" "&amp;HL_TOP_ACTV_20_Cost_Summary_Output</f>
        <v>Go to Other Activity #2 - (Recurrent Costs Only) (Not in Use) Detailed Cost Summary</v>
      </c>
    </row>
    <row r="2543" spans="1:8" s="10" customFormat="1" x14ac:dyDescent="0.2"/>
    <row r="2544" spans="1:8" s="13" customFormat="1" x14ac:dyDescent="0.2">
      <c r="A2544" s="12" t="s">
        <v>127</v>
      </c>
      <c r="B2544" s="13" t="str">
        <f>HL_TOP_ACTV_20_Name&amp;" "&amp;Lang_Allowances_Outputs</f>
        <v>Other Activity #2 - (Recurrent Costs Only) (Not in Use) Allowances - Outputs</v>
      </c>
    </row>
    <row r="2545" spans="3:8" s="10" customFormat="1" outlineLevel="1" x14ac:dyDescent="0.2"/>
    <row r="2546" spans="3:8" s="10" customFormat="1" outlineLevel="1" x14ac:dyDescent="0.2">
      <c r="C2546" s="114" t="str">
        <f>HL_TOP_ACTV_20_Name</f>
        <v>Other Activity #2 - (Recurrent Costs Only) (Not in Use)</v>
      </c>
    </row>
    <row r="2547" spans="3:8" s="10" customFormat="1" outlineLevel="1" x14ac:dyDescent="0.2">
      <c r="E2547" s="86" t="str">
        <f>OTHER_Lu!$D$67&amp;" "&amp;Lang_Cost&amp;" ("&amp;OTHER_Lu!$D$48&amp;")"</f>
        <v>Financial Cost (LCU)</v>
      </c>
      <c r="F2547" s="86" t="str">
        <f>OTHER_Lu!$D$68&amp;" "&amp;Lang_Cost&amp;" ("&amp;OTHER_Lu!$D$48&amp;")"</f>
        <v>Economic Cost (LCU)</v>
      </c>
      <c r="G2547" s="86" t="str">
        <f>OTHER_Lu!$D$67&amp;" "&amp;Lang_Cost&amp;" ("&amp;OTHER_Lu!$D$47&amp;")"</f>
        <v>Financial Cost (USD)</v>
      </c>
      <c r="H2547" s="86" t="str">
        <f>OTHER_Lu!$D$68&amp;" "&amp;Lang_Cost&amp;" ("&amp;OTHER_Lu!$D$47&amp;")"</f>
        <v>Economic Cost (USD)</v>
      </c>
    </row>
    <row r="2548" spans="3:8" s="10" customFormat="1" outlineLevel="1" x14ac:dyDescent="0.2">
      <c r="D2548" s="49" t="str">
        <f>OTHER_DETAILED_COST_WKSHT!D148</f>
        <v>Allowances Category 1</v>
      </c>
      <c r="E2548" s="115">
        <f>IF(DD_TOP_ACTV_20_Detailed_Currency_Used=2,OTHER_DETAILED_COST_WKSHT!$F148*OTHER_DETAILED_COST_WKSHT!G148,OTHER_DETAILED_COST_WKSHT!$F148*(OTHER_DETAILED_COST_WKSHT!G148*TOP_ACTV_20_Exchange_Rate))</f>
        <v>0</v>
      </c>
      <c r="F2548" s="115">
        <f>IF(DD_TOP_ACTV_20_Detailed_Currency_Used=2,OTHER_DETAILED_COST_WKSHT!$F148*OTHER_DETAILED_COST_WKSHT!H148,OTHER_DETAILED_COST_WKSHT!$F148*(OTHER_DETAILED_COST_WKSHT!H148*TOP_ACTV_20_Exchange_Rate))</f>
        <v>0</v>
      </c>
      <c r="G2548" s="116">
        <f t="shared" ref="G2548:G2557" si="242">E2548/TOP_ACTV_20_Exchange_Rate</f>
        <v>0</v>
      </c>
      <c r="H2548" s="116">
        <f t="shared" ref="H2548:H2557" si="243">F2548/TOP_ACTV_20_Exchange_Rate</f>
        <v>0</v>
      </c>
    </row>
    <row r="2549" spans="3:8" s="10" customFormat="1" outlineLevel="1" x14ac:dyDescent="0.2">
      <c r="D2549" s="49" t="str">
        <f>OTHER_DETAILED_COST_WKSHT!D149</f>
        <v>Allowances Category 2</v>
      </c>
      <c r="E2549" s="115">
        <f>IF(DD_TOP_ACTV_20_Detailed_Currency_Used=2,OTHER_DETAILED_COST_WKSHT!$F149*OTHER_DETAILED_COST_WKSHT!G149,OTHER_DETAILED_COST_WKSHT!$F149*(OTHER_DETAILED_COST_WKSHT!G149*TOP_ACTV_20_Exchange_Rate))</f>
        <v>0</v>
      </c>
      <c r="F2549" s="115">
        <f>IF(DD_TOP_ACTV_20_Detailed_Currency_Used=2,OTHER_DETAILED_COST_WKSHT!$F149*OTHER_DETAILED_COST_WKSHT!H149,OTHER_DETAILED_COST_WKSHT!$F149*(OTHER_DETAILED_COST_WKSHT!H149*TOP_ACTV_20_Exchange_Rate))</f>
        <v>0</v>
      </c>
      <c r="G2549" s="116">
        <f t="shared" si="242"/>
        <v>0</v>
      </c>
      <c r="H2549" s="116">
        <f t="shared" si="243"/>
        <v>0</v>
      </c>
    </row>
    <row r="2550" spans="3:8" s="10" customFormat="1" outlineLevel="1" x14ac:dyDescent="0.2">
      <c r="D2550" s="49" t="str">
        <f>OTHER_DETAILED_COST_WKSHT!D150</f>
        <v>Allowances Category 3</v>
      </c>
      <c r="E2550" s="115">
        <f>IF(DD_TOP_ACTV_20_Detailed_Currency_Used=2,OTHER_DETAILED_COST_WKSHT!$F150*OTHER_DETAILED_COST_WKSHT!G150,OTHER_DETAILED_COST_WKSHT!$F150*(OTHER_DETAILED_COST_WKSHT!G150*TOP_ACTV_20_Exchange_Rate))</f>
        <v>0</v>
      </c>
      <c r="F2550" s="115">
        <f>IF(DD_TOP_ACTV_20_Detailed_Currency_Used=2,OTHER_DETAILED_COST_WKSHT!$F150*OTHER_DETAILED_COST_WKSHT!H150,OTHER_DETAILED_COST_WKSHT!$F150*(OTHER_DETAILED_COST_WKSHT!H150*TOP_ACTV_20_Exchange_Rate))</f>
        <v>0</v>
      </c>
      <c r="G2550" s="116">
        <f t="shared" si="242"/>
        <v>0</v>
      </c>
      <c r="H2550" s="116">
        <f t="shared" si="243"/>
        <v>0</v>
      </c>
    </row>
    <row r="2551" spans="3:8" s="10" customFormat="1" outlineLevel="1" x14ac:dyDescent="0.2">
      <c r="D2551" s="49" t="str">
        <f>OTHER_DETAILED_COST_WKSHT!D151</f>
        <v>Allowances Category 4</v>
      </c>
      <c r="E2551" s="115">
        <f>IF(DD_TOP_ACTV_20_Detailed_Currency_Used=2,OTHER_DETAILED_COST_WKSHT!$F151*OTHER_DETAILED_COST_WKSHT!G151,OTHER_DETAILED_COST_WKSHT!$F151*(OTHER_DETAILED_COST_WKSHT!G151*TOP_ACTV_20_Exchange_Rate))</f>
        <v>0</v>
      </c>
      <c r="F2551" s="115">
        <f>IF(DD_TOP_ACTV_20_Detailed_Currency_Used=2,OTHER_DETAILED_COST_WKSHT!$F151*OTHER_DETAILED_COST_WKSHT!H151,OTHER_DETAILED_COST_WKSHT!$F151*(OTHER_DETAILED_COST_WKSHT!H151*TOP_ACTV_20_Exchange_Rate))</f>
        <v>0</v>
      </c>
      <c r="G2551" s="116">
        <f t="shared" si="242"/>
        <v>0</v>
      </c>
      <c r="H2551" s="116">
        <f t="shared" si="243"/>
        <v>0</v>
      </c>
    </row>
    <row r="2552" spans="3:8" s="10" customFormat="1" outlineLevel="1" x14ac:dyDescent="0.2">
      <c r="D2552" s="49" t="str">
        <f>OTHER_DETAILED_COST_WKSHT!D152</f>
        <v>Allowances Category 5</v>
      </c>
      <c r="E2552" s="115">
        <f>IF(DD_TOP_ACTV_20_Detailed_Currency_Used=2,OTHER_DETAILED_COST_WKSHT!$F152*OTHER_DETAILED_COST_WKSHT!G152,OTHER_DETAILED_COST_WKSHT!$F152*(OTHER_DETAILED_COST_WKSHT!G152*TOP_ACTV_20_Exchange_Rate))</f>
        <v>0</v>
      </c>
      <c r="F2552" s="115">
        <f>IF(DD_TOP_ACTV_20_Detailed_Currency_Used=2,OTHER_DETAILED_COST_WKSHT!$F152*OTHER_DETAILED_COST_WKSHT!H152,OTHER_DETAILED_COST_WKSHT!$F152*(OTHER_DETAILED_COST_WKSHT!H152*TOP_ACTV_20_Exchange_Rate))</f>
        <v>0</v>
      </c>
      <c r="G2552" s="116">
        <f t="shared" si="242"/>
        <v>0</v>
      </c>
      <c r="H2552" s="116">
        <f t="shared" si="243"/>
        <v>0</v>
      </c>
    </row>
    <row r="2553" spans="3:8" s="10" customFormat="1" outlineLevel="1" x14ac:dyDescent="0.2">
      <c r="D2553" s="49" t="str">
        <f>OTHER_DETAILED_COST_WKSHT!D153</f>
        <v>Allowances Category 6</v>
      </c>
      <c r="E2553" s="115">
        <f>IF(DD_TOP_ACTV_20_Detailed_Currency_Used=2,OTHER_DETAILED_COST_WKSHT!$F153*OTHER_DETAILED_COST_WKSHT!G153,OTHER_DETAILED_COST_WKSHT!$F153*(OTHER_DETAILED_COST_WKSHT!G153*TOP_ACTV_20_Exchange_Rate))</f>
        <v>0</v>
      </c>
      <c r="F2553" s="115">
        <f>IF(DD_TOP_ACTV_20_Detailed_Currency_Used=2,OTHER_DETAILED_COST_WKSHT!$F153*OTHER_DETAILED_COST_WKSHT!H153,OTHER_DETAILED_COST_WKSHT!$F153*(OTHER_DETAILED_COST_WKSHT!H153*TOP_ACTV_20_Exchange_Rate))</f>
        <v>0</v>
      </c>
      <c r="G2553" s="116">
        <f t="shared" si="242"/>
        <v>0</v>
      </c>
      <c r="H2553" s="116">
        <f t="shared" si="243"/>
        <v>0</v>
      </c>
    </row>
    <row r="2554" spans="3:8" s="10" customFormat="1" outlineLevel="1" x14ac:dyDescent="0.2">
      <c r="D2554" s="49" t="str">
        <f>OTHER_DETAILED_COST_WKSHT!D154</f>
        <v>Allowances Category 7</v>
      </c>
      <c r="E2554" s="115">
        <f>IF(DD_TOP_ACTV_20_Detailed_Currency_Used=2,OTHER_DETAILED_COST_WKSHT!$F154*OTHER_DETAILED_COST_WKSHT!G154,OTHER_DETAILED_COST_WKSHT!$F154*(OTHER_DETAILED_COST_WKSHT!G154*TOP_ACTV_20_Exchange_Rate))</f>
        <v>0</v>
      </c>
      <c r="F2554" s="115">
        <f>IF(DD_TOP_ACTV_20_Detailed_Currency_Used=2,OTHER_DETAILED_COST_WKSHT!$F154*OTHER_DETAILED_COST_WKSHT!H154,OTHER_DETAILED_COST_WKSHT!$F154*(OTHER_DETAILED_COST_WKSHT!H154*TOP_ACTV_20_Exchange_Rate))</f>
        <v>0</v>
      </c>
      <c r="G2554" s="116">
        <f t="shared" si="242"/>
        <v>0</v>
      </c>
      <c r="H2554" s="116">
        <f t="shared" si="243"/>
        <v>0</v>
      </c>
    </row>
    <row r="2555" spans="3:8" s="10" customFormat="1" outlineLevel="1" x14ac:dyDescent="0.2">
      <c r="D2555" s="49" t="str">
        <f>OTHER_DETAILED_COST_WKSHT!D155</f>
        <v>Allowances Category 8</v>
      </c>
      <c r="E2555" s="115">
        <f>IF(DD_TOP_ACTV_20_Detailed_Currency_Used=2,OTHER_DETAILED_COST_WKSHT!$F155*OTHER_DETAILED_COST_WKSHT!G155,OTHER_DETAILED_COST_WKSHT!$F155*(OTHER_DETAILED_COST_WKSHT!G155*TOP_ACTV_20_Exchange_Rate))</f>
        <v>0</v>
      </c>
      <c r="F2555" s="115">
        <f>IF(DD_TOP_ACTV_20_Detailed_Currency_Used=2,OTHER_DETAILED_COST_WKSHT!$F155*OTHER_DETAILED_COST_WKSHT!H155,OTHER_DETAILED_COST_WKSHT!$F155*(OTHER_DETAILED_COST_WKSHT!H155*TOP_ACTV_20_Exchange_Rate))</f>
        <v>0</v>
      </c>
      <c r="G2555" s="116">
        <f t="shared" si="242"/>
        <v>0</v>
      </c>
      <c r="H2555" s="116">
        <f t="shared" si="243"/>
        <v>0</v>
      </c>
    </row>
    <row r="2556" spans="3:8" s="10" customFormat="1" outlineLevel="1" x14ac:dyDescent="0.2">
      <c r="D2556" s="49" t="str">
        <f>OTHER_DETAILED_COST_WKSHT!D156</f>
        <v>Allowances Category 9</v>
      </c>
      <c r="E2556" s="115">
        <f>IF(DD_TOP_ACTV_20_Detailed_Currency_Used=2,OTHER_DETAILED_COST_WKSHT!$F156*OTHER_DETAILED_COST_WKSHT!G156,OTHER_DETAILED_COST_WKSHT!$F156*(OTHER_DETAILED_COST_WKSHT!G156*TOP_ACTV_20_Exchange_Rate))</f>
        <v>0</v>
      </c>
      <c r="F2556" s="115">
        <f>IF(DD_TOP_ACTV_20_Detailed_Currency_Used=2,OTHER_DETAILED_COST_WKSHT!$F156*OTHER_DETAILED_COST_WKSHT!H156,OTHER_DETAILED_COST_WKSHT!$F156*(OTHER_DETAILED_COST_WKSHT!H156*TOP_ACTV_20_Exchange_Rate))</f>
        <v>0</v>
      </c>
      <c r="G2556" s="116">
        <f t="shared" si="242"/>
        <v>0</v>
      </c>
      <c r="H2556" s="116">
        <f t="shared" si="243"/>
        <v>0</v>
      </c>
    </row>
    <row r="2557" spans="3:8" s="10" customFormat="1" outlineLevel="1" x14ac:dyDescent="0.2">
      <c r="D2557" s="49" t="str">
        <f>OTHER_DETAILED_COST_WKSHT!D157</f>
        <v>Allowances Category 10</v>
      </c>
      <c r="E2557" s="115">
        <f>IF(DD_TOP_ACTV_20_Detailed_Currency_Used=2,OTHER_DETAILED_COST_WKSHT!$F157*OTHER_DETAILED_COST_WKSHT!G157,OTHER_DETAILED_COST_WKSHT!$F157*(OTHER_DETAILED_COST_WKSHT!G157*TOP_ACTV_20_Exchange_Rate))</f>
        <v>0</v>
      </c>
      <c r="F2557" s="115">
        <f>IF(DD_TOP_ACTV_20_Detailed_Currency_Used=2,OTHER_DETAILED_COST_WKSHT!$F157*OTHER_DETAILED_COST_WKSHT!H157,OTHER_DETAILED_COST_WKSHT!$F157*(OTHER_DETAILED_COST_WKSHT!H157*TOP_ACTV_20_Exchange_Rate))</f>
        <v>0</v>
      </c>
      <c r="G2557" s="116">
        <f t="shared" si="242"/>
        <v>0</v>
      </c>
      <c r="H2557" s="116">
        <f t="shared" si="243"/>
        <v>0</v>
      </c>
    </row>
    <row r="2558" spans="3:8" s="10" customFormat="1" outlineLevel="1" x14ac:dyDescent="0.2">
      <c r="D2558" s="48" t="str">
        <f>Lang_Allowances</f>
        <v>Allowances</v>
      </c>
      <c r="E2558" s="120">
        <f>SUM(E2548:E2557)</f>
        <v>0</v>
      </c>
      <c r="F2558" s="120">
        <f>SUM(F2548:F2557)</f>
        <v>0</v>
      </c>
      <c r="G2558" s="121">
        <f>SUM(G2548:G2557)</f>
        <v>0</v>
      </c>
      <c r="H2558" s="121">
        <f>SUM(H2548:H2557)</f>
        <v>0</v>
      </c>
    </row>
    <row r="2559" spans="3:8" s="10" customFormat="1" outlineLevel="1" x14ac:dyDescent="0.2"/>
    <row r="2560" spans="3:8" s="10" customFormat="1" outlineLevel="1" x14ac:dyDescent="0.2"/>
    <row r="2561" spans="1:8" s="10" customFormat="1" outlineLevel="1" x14ac:dyDescent="0.2">
      <c r="D2561" s="76" t="str">
        <f>Lang_GoTo&amp;" "&amp;HL_TOP_ACTV_20_Ass_A</f>
        <v>Go to Other Activity #2 - (Recurrent Costs Only) (Not in Use) - Detailed Allowance Cost Assumptions</v>
      </c>
    </row>
    <row r="2562" spans="1:8" s="10" customFormat="1" outlineLevel="1" x14ac:dyDescent="0.2">
      <c r="D2562" s="76" t="str">
        <f>Lang_GoTo&amp;" "&amp;HL_TOP_ACTV_20_Cost_Summary_Output</f>
        <v>Go to Other Activity #2 - (Recurrent Costs Only) (Not in Use) Detailed Cost Summary</v>
      </c>
    </row>
    <row r="2563" spans="1:8" s="10" customFormat="1" x14ac:dyDescent="0.2"/>
    <row r="2564" spans="1:8" s="13" customFormat="1" x14ac:dyDescent="0.2">
      <c r="A2564" s="12" t="s">
        <v>127</v>
      </c>
      <c r="B2564" s="13" t="str">
        <f>HL_TOP_ACTV_20_Name&amp;" "&amp;Lang_Supplies_And_Materials_Outputs</f>
        <v>Other Activity #2 - (Recurrent Costs Only) (Not in Use) Supplies and Materials - Outputs</v>
      </c>
    </row>
    <row r="2565" spans="1:8" s="10" customFormat="1" outlineLevel="1" x14ac:dyDescent="0.2"/>
    <row r="2566" spans="1:8" s="10" customFormat="1" outlineLevel="1" x14ac:dyDescent="0.2">
      <c r="C2566" s="114" t="str">
        <f>HL_TOP_ACTV_20_Name</f>
        <v>Other Activity #2 - (Recurrent Costs Only) (Not in Use)</v>
      </c>
    </row>
    <row r="2567" spans="1:8" s="10" customFormat="1" outlineLevel="1" x14ac:dyDescent="0.2">
      <c r="E2567" s="86" t="str">
        <f>OTHER_Lu!$D$67&amp;" "&amp;Lang_Cost&amp;" ("&amp;OTHER_Lu!$D$48&amp;")"</f>
        <v>Financial Cost (LCU)</v>
      </c>
      <c r="F2567" s="86" t="str">
        <f>OTHER_Lu!$D$68&amp;" "&amp;Lang_Cost&amp;" ("&amp;OTHER_Lu!$D$48&amp;")"</f>
        <v>Economic Cost (LCU)</v>
      </c>
      <c r="G2567" s="86" t="str">
        <f>OTHER_Lu!$D$67&amp;" "&amp;Lang_Cost&amp;" ("&amp;OTHER_Lu!$D$47&amp;")"</f>
        <v>Financial Cost (USD)</v>
      </c>
      <c r="H2567" s="86" t="str">
        <f>OTHER_Lu!$D$68&amp;" "&amp;Lang_Cost&amp;" ("&amp;OTHER_Lu!$D$47&amp;")"</f>
        <v>Economic Cost (USD)</v>
      </c>
    </row>
    <row r="2568" spans="1:8" s="10" customFormat="1" outlineLevel="1" x14ac:dyDescent="0.2">
      <c r="D2568" s="49" t="str">
        <f>OTHER_DETAILED_COST_WKSHT!D166</f>
        <v>Supplies and Materials Category 1</v>
      </c>
      <c r="E2568" s="115">
        <f>IF(DD_TOP_ACTV_20_Detailed_Currency_Used=2,OTHER_DETAILED_COST_WKSHT!$F166*OTHER_DETAILED_COST_WKSHT!G166,OTHER_DETAILED_COST_WKSHT!$F166*(OTHER_DETAILED_COST_WKSHT!G166*TOP_ACTV_20_Exchange_Rate))</f>
        <v>0</v>
      </c>
      <c r="F2568" s="115">
        <f>IF(DD_TOP_ACTV_20_Detailed_Currency_Used=2,OTHER_DETAILED_COST_WKSHT!$F166*OTHER_DETAILED_COST_WKSHT!H166,OTHER_DETAILED_COST_WKSHT!$F166*(OTHER_DETAILED_COST_WKSHT!H166*TOP_ACTV_20_Exchange_Rate))</f>
        <v>0</v>
      </c>
      <c r="G2568" s="116">
        <f t="shared" ref="G2568:G2577" si="244">E2568/TOP_ACTV_20_Exchange_Rate</f>
        <v>0</v>
      </c>
      <c r="H2568" s="116">
        <f t="shared" ref="H2568:H2577" si="245">F2568/TOP_ACTV_20_Exchange_Rate</f>
        <v>0</v>
      </c>
    </row>
    <row r="2569" spans="1:8" s="10" customFormat="1" outlineLevel="1" x14ac:dyDescent="0.2">
      <c r="D2569" s="49" t="str">
        <f>OTHER_DETAILED_COST_WKSHT!D167</f>
        <v>Supplies and Materials Category 2</v>
      </c>
      <c r="E2569" s="115">
        <f>IF(DD_TOP_ACTV_20_Detailed_Currency_Used=2,OTHER_DETAILED_COST_WKSHT!$F167*OTHER_DETAILED_COST_WKSHT!G167,OTHER_DETAILED_COST_WKSHT!$F167*(OTHER_DETAILED_COST_WKSHT!G167*TOP_ACTV_20_Exchange_Rate))</f>
        <v>0</v>
      </c>
      <c r="F2569" s="115">
        <f>IF(DD_TOP_ACTV_20_Detailed_Currency_Used=2,OTHER_DETAILED_COST_WKSHT!$F167*OTHER_DETAILED_COST_WKSHT!H167,OTHER_DETAILED_COST_WKSHT!$F167*(OTHER_DETAILED_COST_WKSHT!H167*TOP_ACTV_20_Exchange_Rate))</f>
        <v>0</v>
      </c>
      <c r="G2569" s="116">
        <f t="shared" si="244"/>
        <v>0</v>
      </c>
      <c r="H2569" s="116">
        <f t="shared" si="245"/>
        <v>0</v>
      </c>
    </row>
    <row r="2570" spans="1:8" s="10" customFormat="1" outlineLevel="1" x14ac:dyDescent="0.2">
      <c r="D2570" s="49" t="str">
        <f>OTHER_DETAILED_COST_WKSHT!D168</f>
        <v>Supplies and Materials Category 3</v>
      </c>
      <c r="E2570" s="115">
        <f>IF(DD_TOP_ACTV_20_Detailed_Currency_Used=2,OTHER_DETAILED_COST_WKSHT!$F168*OTHER_DETAILED_COST_WKSHT!G168,OTHER_DETAILED_COST_WKSHT!$F168*(OTHER_DETAILED_COST_WKSHT!G168*TOP_ACTV_20_Exchange_Rate))</f>
        <v>0</v>
      </c>
      <c r="F2570" s="115">
        <f>IF(DD_TOP_ACTV_20_Detailed_Currency_Used=2,OTHER_DETAILED_COST_WKSHT!$F168*OTHER_DETAILED_COST_WKSHT!H168,OTHER_DETAILED_COST_WKSHT!$F168*(OTHER_DETAILED_COST_WKSHT!H168*TOP_ACTV_20_Exchange_Rate))</f>
        <v>0</v>
      </c>
      <c r="G2570" s="116">
        <f t="shared" si="244"/>
        <v>0</v>
      </c>
      <c r="H2570" s="116">
        <f t="shared" si="245"/>
        <v>0</v>
      </c>
    </row>
    <row r="2571" spans="1:8" s="10" customFormat="1" outlineLevel="1" x14ac:dyDescent="0.2">
      <c r="D2571" s="49" t="str">
        <f>OTHER_DETAILED_COST_WKSHT!D169</f>
        <v>Supplies and Materials Category 4</v>
      </c>
      <c r="E2571" s="115">
        <f>IF(DD_TOP_ACTV_20_Detailed_Currency_Used=2,OTHER_DETAILED_COST_WKSHT!$F169*OTHER_DETAILED_COST_WKSHT!G169,OTHER_DETAILED_COST_WKSHT!$F169*(OTHER_DETAILED_COST_WKSHT!G169*TOP_ACTV_20_Exchange_Rate))</f>
        <v>0</v>
      </c>
      <c r="F2571" s="115">
        <f>IF(DD_TOP_ACTV_20_Detailed_Currency_Used=2,OTHER_DETAILED_COST_WKSHT!$F169*OTHER_DETAILED_COST_WKSHT!H169,OTHER_DETAILED_COST_WKSHT!$F169*(OTHER_DETAILED_COST_WKSHT!H169*TOP_ACTV_20_Exchange_Rate))</f>
        <v>0</v>
      </c>
      <c r="G2571" s="116">
        <f t="shared" si="244"/>
        <v>0</v>
      </c>
      <c r="H2571" s="116">
        <f t="shared" si="245"/>
        <v>0</v>
      </c>
    </row>
    <row r="2572" spans="1:8" s="10" customFormat="1" outlineLevel="1" x14ac:dyDescent="0.2">
      <c r="D2572" s="49" t="str">
        <f>OTHER_DETAILED_COST_WKSHT!D170</f>
        <v>Supplies and Materials Category 5</v>
      </c>
      <c r="E2572" s="115">
        <f>IF(DD_TOP_ACTV_20_Detailed_Currency_Used=2,OTHER_DETAILED_COST_WKSHT!$F170*OTHER_DETAILED_COST_WKSHT!G170,OTHER_DETAILED_COST_WKSHT!$F170*(OTHER_DETAILED_COST_WKSHT!G170*TOP_ACTV_20_Exchange_Rate))</f>
        <v>0</v>
      </c>
      <c r="F2572" s="115">
        <f>IF(DD_TOP_ACTV_20_Detailed_Currency_Used=2,OTHER_DETAILED_COST_WKSHT!$F170*OTHER_DETAILED_COST_WKSHT!H170,OTHER_DETAILED_COST_WKSHT!$F170*(OTHER_DETAILED_COST_WKSHT!H170*TOP_ACTV_20_Exchange_Rate))</f>
        <v>0</v>
      </c>
      <c r="G2572" s="116">
        <f t="shared" si="244"/>
        <v>0</v>
      </c>
      <c r="H2572" s="116">
        <f t="shared" si="245"/>
        <v>0</v>
      </c>
    </row>
    <row r="2573" spans="1:8" s="10" customFormat="1" outlineLevel="1" x14ac:dyDescent="0.2">
      <c r="D2573" s="49" t="str">
        <f>OTHER_DETAILED_COST_WKSHT!D171</f>
        <v>Supplies and Materials Category 6</v>
      </c>
      <c r="E2573" s="115">
        <f>IF(DD_TOP_ACTV_20_Detailed_Currency_Used=2,OTHER_DETAILED_COST_WKSHT!$F171*OTHER_DETAILED_COST_WKSHT!G171,OTHER_DETAILED_COST_WKSHT!$F171*(OTHER_DETAILED_COST_WKSHT!G171*TOP_ACTV_20_Exchange_Rate))</f>
        <v>0</v>
      </c>
      <c r="F2573" s="115">
        <f>IF(DD_TOP_ACTV_20_Detailed_Currency_Used=2,OTHER_DETAILED_COST_WKSHT!$F171*OTHER_DETAILED_COST_WKSHT!H171,OTHER_DETAILED_COST_WKSHT!$F171*(OTHER_DETAILED_COST_WKSHT!H171*TOP_ACTV_20_Exchange_Rate))</f>
        <v>0</v>
      </c>
      <c r="G2573" s="116">
        <f t="shared" si="244"/>
        <v>0</v>
      </c>
      <c r="H2573" s="116">
        <f t="shared" si="245"/>
        <v>0</v>
      </c>
    </row>
    <row r="2574" spans="1:8" s="10" customFormat="1" outlineLevel="1" x14ac:dyDescent="0.2">
      <c r="D2574" s="49" t="str">
        <f>OTHER_DETAILED_COST_WKSHT!D172</f>
        <v>Supplies and Materials Category 7</v>
      </c>
      <c r="E2574" s="115">
        <f>IF(DD_TOP_ACTV_20_Detailed_Currency_Used=2,OTHER_DETAILED_COST_WKSHT!$F172*OTHER_DETAILED_COST_WKSHT!G172,OTHER_DETAILED_COST_WKSHT!$F172*(OTHER_DETAILED_COST_WKSHT!G172*TOP_ACTV_20_Exchange_Rate))</f>
        <v>0</v>
      </c>
      <c r="F2574" s="115">
        <f>IF(DD_TOP_ACTV_20_Detailed_Currency_Used=2,OTHER_DETAILED_COST_WKSHT!$F172*OTHER_DETAILED_COST_WKSHT!H172,OTHER_DETAILED_COST_WKSHT!$F172*(OTHER_DETAILED_COST_WKSHT!H172*TOP_ACTV_20_Exchange_Rate))</f>
        <v>0</v>
      </c>
      <c r="G2574" s="116">
        <f t="shared" si="244"/>
        <v>0</v>
      </c>
      <c r="H2574" s="116">
        <f t="shared" si="245"/>
        <v>0</v>
      </c>
    </row>
    <row r="2575" spans="1:8" s="10" customFormat="1" outlineLevel="1" x14ac:dyDescent="0.2">
      <c r="D2575" s="49" t="str">
        <f>OTHER_DETAILED_COST_WKSHT!D173</f>
        <v>Supplies and Materials Category 8</v>
      </c>
      <c r="E2575" s="115">
        <f>IF(DD_TOP_ACTV_20_Detailed_Currency_Used=2,OTHER_DETAILED_COST_WKSHT!$F173*OTHER_DETAILED_COST_WKSHT!G173,OTHER_DETAILED_COST_WKSHT!$F173*(OTHER_DETAILED_COST_WKSHT!G173*TOP_ACTV_20_Exchange_Rate))</f>
        <v>0</v>
      </c>
      <c r="F2575" s="115">
        <f>IF(DD_TOP_ACTV_20_Detailed_Currency_Used=2,OTHER_DETAILED_COST_WKSHT!$F173*OTHER_DETAILED_COST_WKSHT!H173,OTHER_DETAILED_COST_WKSHT!$F173*(OTHER_DETAILED_COST_WKSHT!H173*TOP_ACTV_20_Exchange_Rate))</f>
        <v>0</v>
      </c>
      <c r="G2575" s="116">
        <f t="shared" si="244"/>
        <v>0</v>
      </c>
      <c r="H2575" s="116">
        <f t="shared" si="245"/>
        <v>0</v>
      </c>
    </row>
    <row r="2576" spans="1:8" s="10" customFormat="1" outlineLevel="1" x14ac:dyDescent="0.2">
      <c r="D2576" s="49" t="str">
        <f>OTHER_DETAILED_COST_WKSHT!D174</f>
        <v>Supplies and Materials Category 9</v>
      </c>
      <c r="E2576" s="115">
        <f>IF(DD_TOP_ACTV_20_Detailed_Currency_Used=2,OTHER_DETAILED_COST_WKSHT!$F174*OTHER_DETAILED_COST_WKSHT!G174,OTHER_DETAILED_COST_WKSHT!$F174*(OTHER_DETAILED_COST_WKSHT!G174*TOP_ACTV_20_Exchange_Rate))</f>
        <v>0</v>
      </c>
      <c r="F2576" s="115">
        <f>IF(DD_TOP_ACTV_20_Detailed_Currency_Used=2,OTHER_DETAILED_COST_WKSHT!$F174*OTHER_DETAILED_COST_WKSHT!H174,OTHER_DETAILED_COST_WKSHT!$F174*(OTHER_DETAILED_COST_WKSHT!H174*TOP_ACTV_20_Exchange_Rate))</f>
        <v>0</v>
      </c>
      <c r="G2576" s="116">
        <f t="shared" si="244"/>
        <v>0</v>
      </c>
      <c r="H2576" s="116">
        <f t="shared" si="245"/>
        <v>0</v>
      </c>
    </row>
    <row r="2577" spans="1:8" s="10" customFormat="1" outlineLevel="1" x14ac:dyDescent="0.2">
      <c r="D2577" s="49" t="str">
        <f>OTHER_DETAILED_COST_WKSHT!D175</f>
        <v>Supplies and Materials Category 10</v>
      </c>
      <c r="E2577" s="115">
        <f>IF(DD_TOP_ACTV_20_Detailed_Currency_Used=2,OTHER_DETAILED_COST_WKSHT!$F175*OTHER_DETAILED_COST_WKSHT!G175,OTHER_DETAILED_COST_WKSHT!$F175*(OTHER_DETAILED_COST_WKSHT!G175*TOP_ACTV_20_Exchange_Rate))</f>
        <v>0</v>
      </c>
      <c r="F2577" s="115">
        <f>IF(DD_TOP_ACTV_20_Detailed_Currency_Used=2,OTHER_DETAILED_COST_WKSHT!$F175*OTHER_DETAILED_COST_WKSHT!H175,OTHER_DETAILED_COST_WKSHT!$F175*(OTHER_DETAILED_COST_WKSHT!H175*TOP_ACTV_20_Exchange_Rate))</f>
        <v>0</v>
      </c>
      <c r="G2577" s="116">
        <f t="shared" si="244"/>
        <v>0</v>
      </c>
      <c r="H2577" s="116">
        <f t="shared" si="245"/>
        <v>0</v>
      </c>
    </row>
    <row r="2578" spans="1:8" s="10" customFormat="1" outlineLevel="1" x14ac:dyDescent="0.2">
      <c r="D2578" s="48" t="str">
        <f>Lang_Supplies_And_Materials</f>
        <v>Supplies and Materials</v>
      </c>
      <c r="E2578" s="120">
        <f>SUM(E2568:E2577)</f>
        <v>0</v>
      </c>
      <c r="F2578" s="120">
        <f>SUM(F2568:F2577)</f>
        <v>0</v>
      </c>
      <c r="G2578" s="121">
        <f>SUM(G2568:G2577)</f>
        <v>0</v>
      </c>
      <c r="H2578" s="121">
        <f>SUM(H2568:H2577)</f>
        <v>0</v>
      </c>
    </row>
    <row r="2579" spans="1:8" s="10" customFormat="1" outlineLevel="1" x14ac:dyDescent="0.2"/>
    <row r="2580" spans="1:8" s="10" customFormat="1" outlineLevel="1" x14ac:dyDescent="0.2"/>
    <row r="2581" spans="1:8" s="10" customFormat="1" outlineLevel="1" x14ac:dyDescent="0.2">
      <c r="D2581" s="76" t="str">
        <f>Lang_GoTo&amp;" "&amp;HL_TOP_ACTV_20_Supplies_and_Materials</f>
        <v>Go to Other Activity #2 - (Recurrent Costs Only) (Not in Use) - Detailed Supply and Material Cost Assumptions</v>
      </c>
    </row>
    <row r="2582" spans="1:8" s="10" customFormat="1" outlineLevel="1" x14ac:dyDescent="0.2">
      <c r="D2582" s="76" t="str">
        <f>Lang_GoTo&amp;" "&amp;HL_TOP_ACTV_20_Cost_Summary_Output</f>
        <v>Go to Other Activity #2 - (Recurrent Costs Only) (Not in Use) Detailed Cost Summary</v>
      </c>
    </row>
    <row r="2583" spans="1:8" s="10" customFormat="1" x14ac:dyDescent="0.2"/>
    <row r="2584" spans="1:8" s="13" customFormat="1" x14ac:dyDescent="0.2">
      <c r="A2584" s="12" t="s">
        <v>127</v>
      </c>
      <c r="B2584" s="13" t="str">
        <f>HL_TOP_ACTV_20_Name&amp;" "&amp;Lang_Other_Direct_Costs_Outputs</f>
        <v>Other Activity #2 - (Recurrent Costs Only) (Not in Use) Other Direct Costs - Outputs</v>
      </c>
    </row>
    <row r="2585" spans="1:8" s="10" customFormat="1" outlineLevel="1" x14ac:dyDescent="0.2"/>
    <row r="2586" spans="1:8" s="10" customFormat="1" outlineLevel="1" x14ac:dyDescent="0.2">
      <c r="C2586" s="114" t="str">
        <f>HL_TOP_ACTV_20_Name</f>
        <v>Other Activity #2 - (Recurrent Costs Only) (Not in Use)</v>
      </c>
    </row>
    <row r="2587" spans="1:8" s="10" customFormat="1" outlineLevel="1" x14ac:dyDescent="0.2">
      <c r="E2587" s="86" t="str">
        <f>OTHER_Lu!$D$67&amp;" "&amp;Lang_Cost&amp;" ("&amp;OTHER_Lu!$D$48&amp;")"</f>
        <v>Financial Cost (LCU)</v>
      </c>
      <c r="F2587" s="86" t="str">
        <f>OTHER_Lu!$D$68&amp;" "&amp;Lang_Cost&amp;" ("&amp;OTHER_Lu!$D$48&amp;")"</f>
        <v>Economic Cost (LCU)</v>
      </c>
      <c r="G2587" s="86" t="str">
        <f>OTHER_Lu!$D$67&amp;" "&amp;Lang_Cost&amp;" ("&amp;OTHER_Lu!$D$47&amp;")"</f>
        <v>Financial Cost (USD)</v>
      </c>
      <c r="H2587" s="86" t="str">
        <f>OTHER_Lu!$D$68&amp;" "&amp;Lang_Cost&amp;" ("&amp;OTHER_Lu!$D$47&amp;")"</f>
        <v>Economic Cost (USD)</v>
      </c>
    </row>
    <row r="2588" spans="1:8" s="10" customFormat="1" outlineLevel="1" x14ac:dyDescent="0.2">
      <c r="D2588" s="49" t="str">
        <f>OTHER_DETAILED_COST_WKSHT!D281</f>
        <v>Other Direct Costs (ODC) Category 1</v>
      </c>
      <c r="E2588" s="115">
        <f>IF(DD_TOP_ACTV_20_Detailed_Currency_Used=2,OTHER_DETAILED_COST_WKSHT!$F281*OTHER_DETAILED_COST_WKSHT!G281,OTHER_DETAILED_COST_WKSHT!$F281*(OTHER_DETAILED_COST_WKSHT!G281*TOP_ACTV_20_Exchange_Rate))</f>
        <v>0</v>
      </c>
      <c r="F2588" s="115">
        <f>IF(DD_TOP_ACTV_20_Detailed_Currency_Used=2,OTHER_DETAILED_COST_WKSHT!$F281*OTHER_DETAILED_COST_WKSHT!H281,OTHER_DETAILED_COST_WKSHT!$F281*(OTHER_DETAILED_COST_WKSHT!H281*TOP_ACTV_20_Exchange_Rate))</f>
        <v>0</v>
      </c>
      <c r="G2588" s="116">
        <f t="shared" ref="G2588:G2597" si="246">E2588/TOP_ACTV_20_Exchange_Rate</f>
        <v>0</v>
      </c>
      <c r="H2588" s="116">
        <f t="shared" ref="H2588:H2597" si="247">F2588/TOP_ACTV_20_Exchange_Rate</f>
        <v>0</v>
      </c>
    </row>
    <row r="2589" spans="1:8" s="10" customFormat="1" outlineLevel="1" x14ac:dyDescent="0.2">
      <c r="D2589" s="49" t="str">
        <f>OTHER_DETAILED_COST_WKSHT!D282</f>
        <v>Other Direct Costs (ODC) Category 2</v>
      </c>
      <c r="E2589" s="115">
        <f>IF(DD_TOP_ACTV_20_Detailed_Currency_Used=2,OTHER_DETAILED_COST_WKSHT!$F282*OTHER_DETAILED_COST_WKSHT!G282,OTHER_DETAILED_COST_WKSHT!$F282*(OTHER_DETAILED_COST_WKSHT!G282*TOP_ACTV_20_Exchange_Rate))</f>
        <v>0</v>
      </c>
      <c r="F2589" s="115">
        <f>IF(DD_TOP_ACTV_20_Detailed_Currency_Used=2,OTHER_DETAILED_COST_WKSHT!$F282*OTHER_DETAILED_COST_WKSHT!H282,OTHER_DETAILED_COST_WKSHT!$F282*(OTHER_DETAILED_COST_WKSHT!H282*TOP_ACTV_20_Exchange_Rate))</f>
        <v>0</v>
      </c>
      <c r="G2589" s="116">
        <f t="shared" si="246"/>
        <v>0</v>
      </c>
      <c r="H2589" s="116">
        <f t="shared" si="247"/>
        <v>0</v>
      </c>
    </row>
    <row r="2590" spans="1:8" s="10" customFormat="1" outlineLevel="1" x14ac:dyDescent="0.2">
      <c r="D2590" s="49" t="str">
        <f>OTHER_DETAILED_COST_WKSHT!D283</f>
        <v>Other Direct Costs (ODC) Category 3</v>
      </c>
      <c r="E2590" s="115">
        <f>IF(DD_TOP_ACTV_20_Detailed_Currency_Used=2,OTHER_DETAILED_COST_WKSHT!$F283*OTHER_DETAILED_COST_WKSHT!G283,OTHER_DETAILED_COST_WKSHT!$F283*(OTHER_DETAILED_COST_WKSHT!G283*TOP_ACTV_20_Exchange_Rate))</f>
        <v>0</v>
      </c>
      <c r="F2590" s="115">
        <f>IF(DD_TOP_ACTV_20_Detailed_Currency_Used=2,OTHER_DETAILED_COST_WKSHT!$F283*OTHER_DETAILED_COST_WKSHT!H283,OTHER_DETAILED_COST_WKSHT!$F283*(OTHER_DETAILED_COST_WKSHT!H283*TOP_ACTV_20_Exchange_Rate))</f>
        <v>0</v>
      </c>
      <c r="G2590" s="116">
        <f t="shared" si="246"/>
        <v>0</v>
      </c>
      <c r="H2590" s="116">
        <f t="shared" si="247"/>
        <v>0</v>
      </c>
    </row>
    <row r="2591" spans="1:8" s="10" customFormat="1" outlineLevel="1" x14ac:dyDescent="0.2">
      <c r="D2591" s="49" t="str">
        <f>OTHER_DETAILED_COST_WKSHT!D284</f>
        <v>Other Direct Costs (ODC) Category 4</v>
      </c>
      <c r="E2591" s="115">
        <f>IF(DD_TOP_ACTV_20_Detailed_Currency_Used=2,OTHER_DETAILED_COST_WKSHT!$F284*OTHER_DETAILED_COST_WKSHT!G284,OTHER_DETAILED_COST_WKSHT!$F284*(OTHER_DETAILED_COST_WKSHT!G284*TOP_ACTV_20_Exchange_Rate))</f>
        <v>0</v>
      </c>
      <c r="F2591" s="115">
        <f>IF(DD_TOP_ACTV_20_Detailed_Currency_Used=2,OTHER_DETAILED_COST_WKSHT!$F284*OTHER_DETAILED_COST_WKSHT!H284,OTHER_DETAILED_COST_WKSHT!$F284*(OTHER_DETAILED_COST_WKSHT!H284*TOP_ACTV_20_Exchange_Rate))</f>
        <v>0</v>
      </c>
      <c r="G2591" s="116">
        <f t="shared" si="246"/>
        <v>0</v>
      </c>
      <c r="H2591" s="116">
        <f t="shared" si="247"/>
        <v>0</v>
      </c>
    </row>
    <row r="2592" spans="1:8" s="10" customFormat="1" outlineLevel="1" x14ac:dyDescent="0.2">
      <c r="D2592" s="49" t="str">
        <f>OTHER_DETAILED_COST_WKSHT!D285</f>
        <v>Other Direct Costs (ODC) Category 5</v>
      </c>
      <c r="E2592" s="115">
        <f>IF(DD_TOP_ACTV_20_Detailed_Currency_Used=2,OTHER_DETAILED_COST_WKSHT!$F285*OTHER_DETAILED_COST_WKSHT!G285,OTHER_DETAILED_COST_WKSHT!$F285*(OTHER_DETAILED_COST_WKSHT!G285*TOP_ACTV_20_Exchange_Rate))</f>
        <v>0</v>
      </c>
      <c r="F2592" s="115">
        <f>IF(DD_TOP_ACTV_20_Detailed_Currency_Used=2,OTHER_DETAILED_COST_WKSHT!$F285*OTHER_DETAILED_COST_WKSHT!H285,OTHER_DETAILED_COST_WKSHT!$F285*(OTHER_DETAILED_COST_WKSHT!H285*TOP_ACTV_20_Exchange_Rate))</f>
        <v>0</v>
      </c>
      <c r="G2592" s="116">
        <f t="shared" si="246"/>
        <v>0</v>
      </c>
      <c r="H2592" s="116">
        <f t="shared" si="247"/>
        <v>0</v>
      </c>
    </row>
    <row r="2593" spans="1:8" s="10" customFormat="1" outlineLevel="1" x14ac:dyDescent="0.2">
      <c r="D2593" s="49" t="str">
        <f>OTHER_DETAILED_COST_WKSHT!D286</f>
        <v>Other Direct Costs (ODC) Category 6</v>
      </c>
      <c r="E2593" s="115">
        <f>IF(DD_TOP_ACTV_20_Detailed_Currency_Used=2,OTHER_DETAILED_COST_WKSHT!$F286*OTHER_DETAILED_COST_WKSHT!G286,OTHER_DETAILED_COST_WKSHT!$F286*(OTHER_DETAILED_COST_WKSHT!G286*TOP_ACTV_20_Exchange_Rate))</f>
        <v>0</v>
      </c>
      <c r="F2593" s="115">
        <f>IF(DD_TOP_ACTV_20_Detailed_Currency_Used=2,OTHER_DETAILED_COST_WKSHT!$F286*OTHER_DETAILED_COST_WKSHT!H286,OTHER_DETAILED_COST_WKSHT!$F286*(OTHER_DETAILED_COST_WKSHT!H286*TOP_ACTV_20_Exchange_Rate))</f>
        <v>0</v>
      </c>
      <c r="G2593" s="116">
        <f t="shared" si="246"/>
        <v>0</v>
      </c>
      <c r="H2593" s="116">
        <f t="shared" si="247"/>
        <v>0</v>
      </c>
    </row>
    <row r="2594" spans="1:8" s="10" customFormat="1" outlineLevel="1" x14ac:dyDescent="0.2">
      <c r="D2594" s="49" t="str">
        <f>OTHER_DETAILED_COST_WKSHT!D287</f>
        <v>Other Direct Costs (ODC) Category 7</v>
      </c>
      <c r="E2594" s="115">
        <f>IF(DD_TOP_ACTV_20_Detailed_Currency_Used=2,OTHER_DETAILED_COST_WKSHT!$F287*OTHER_DETAILED_COST_WKSHT!G287,OTHER_DETAILED_COST_WKSHT!$F287*(OTHER_DETAILED_COST_WKSHT!G287*TOP_ACTV_20_Exchange_Rate))</f>
        <v>0</v>
      </c>
      <c r="F2594" s="115">
        <f>IF(DD_TOP_ACTV_20_Detailed_Currency_Used=2,OTHER_DETAILED_COST_WKSHT!$F287*OTHER_DETAILED_COST_WKSHT!H287,OTHER_DETAILED_COST_WKSHT!$F287*(OTHER_DETAILED_COST_WKSHT!H287*TOP_ACTV_20_Exchange_Rate))</f>
        <v>0</v>
      </c>
      <c r="G2594" s="116">
        <f t="shared" si="246"/>
        <v>0</v>
      </c>
      <c r="H2594" s="116">
        <f t="shared" si="247"/>
        <v>0</v>
      </c>
    </row>
    <row r="2595" spans="1:8" s="10" customFormat="1" outlineLevel="1" x14ac:dyDescent="0.2">
      <c r="D2595" s="49" t="str">
        <f>OTHER_DETAILED_COST_WKSHT!D288</f>
        <v>Other Direct Costs (ODC) Category 8</v>
      </c>
      <c r="E2595" s="115">
        <f>IF(DD_TOP_ACTV_20_Detailed_Currency_Used=2,OTHER_DETAILED_COST_WKSHT!$F288*OTHER_DETAILED_COST_WKSHT!G288,OTHER_DETAILED_COST_WKSHT!$F288*(OTHER_DETAILED_COST_WKSHT!G288*TOP_ACTV_20_Exchange_Rate))</f>
        <v>0</v>
      </c>
      <c r="F2595" s="115">
        <f>IF(DD_TOP_ACTV_20_Detailed_Currency_Used=2,OTHER_DETAILED_COST_WKSHT!$F288*OTHER_DETAILED_COST_WKSHT!H288,OTHER_DETAILED_COST_WKSHT!$F288*(OTHER_DETAILED_COST_WKSHT!H288*TOP_ACTV_20_Exchange_Rate))</f>
        <v>0</v>
      </c>
      <c r="G2595" s="116">
        <f t="shared" si="246"/>
        <v>0</v>
      </c>
      <c r="H2595" s="116">
        <f t="shared" si="247"/>
        <v>0</v>
      </c>
    </row>
    <row r="2596" spans="1:8" s="10" customFormat="1" outlineLevel="1" x14ac:dyDescent="0.2">
      <c r="D2596" s="49" t="str">
        <f>OTHER_DETAILED_COST_WKSHT!D289</f>
        <v>Other Direct Costs (ODC) Category 9</v>
      </c>
      <c r="E2596" s="115">
        <f>IF(DD_TOP_ACTV_20_Detailed_Currency_Used=2,OTHER_DETAILED_COST_WKSHT!$F289*OTHER_DETAILED_COST_WKSHT!G289,OTHER_DETAILED_COST_WKSHT!$F289*(OTHER_DETAILED_COST_WKSHT!G289*TOP_ACTV_20_Exchange_Rate))</f>
        <v>0</v>
      </c>
      <c r="F2596" s="115">
        <f>IF(DD_TOP_ACTV_20_Detailed_Currency_Used=2,OTHER_DETAILED_COST_WKSHT!$F289*OTHER_DETAILED_COST_WKSHT!H289,OTHER_DETAILED_COST_WKSHT!$F289*(OTHER_DETAILED_COST_WKSHT!H289*TOP_ACTV_20_Exchange_Rate))</f>
        <v>0</v>
      </c>
      <c r="G2596" s="116">
        <f t="shared" si="246"/>
        <v>0</v>
      </c>
      <c r="H2596" s="116">
        <f t="shared" si="247"/>
        <v>0</v>
      </c>
    </row>
    <row r="2597" spans="1:8" s="10" customFormat="1" outlineLevel="1" x14ac:dyDescent="0.2">
      <c r="D2597" s="49" t="str">
        <f>OTHER_DETAILED_COST_WKSHT!D290</f>
        <v>Other Direct Costs (ODC) Category 10</v>
      </c>
      <c r="E2597" s="115">
        <f>IF(DD_TOP_ACTV_20_Detailed_Currency_Used=2,OTHER_DETAILED_COST_WKSHT!$F290*OTHER_DETAILED_COST_WKSHT!G290,OTHER_DETAILED_COST_WKSHT!$F290*(OTHER_DETAILED_COST_WKSHT!G290*TOP_ACTV_20_Exchange_Rate))</f>
        <v>0</v>
      </c>
      <c r="F2597" s="115">
        <f>IF(DD_TOP_ACTV_20_Detailed_Currency_Used=2,OTHER_DETAILED_COST_WKSHT!$F290*OTHER_DETAILED_COST_WKSHT!H290,OTHER_DETAILED_COST_WKSHT!$F290*(OTHER_DETAILED_COST_WKSHT!H290*TOP_ACTV_20_Exchange_Rate))</f>
        <v>0</v>
      </c>
      <c r="G2597" s="116">
        <f t="shared" si="246"/>
        <v>0</v>
      </c>
      <c r="H2597" s="116">
        <f t="shared" si="247"/>
        <v>0</v>
      </c>
    </row>
    <row r="2598" spans="1:8" s="10" customFormat="1" outlineLevel="1" x14ac:dyDescent="0.2">
      <c r="D2598" s="48" t="str">
        <f>Lang_Other_Direct_Costs</f>
        <v>Other Direct Costs</v>
      </c>
      <c r="E2598" s="120">
        <f>SUM(E2588:E2597)</f>
        <v>0</v>
      </c>
      <c r="F2598" s="120">
        <f>SUM(F2588:F2597)</f>
        <v>0</v>
      </c>
      <c r="G2598" s="121">
        <f>SUM(G2588:G2597)</f>
        <v>0</v>
      </c>
      <c r="H2598" s="121">
        <f>SUM(H2588:H2597)</f>
        <v>0</v>
      </c>
    </row>
    <row r="2599" spans="1:8" s="10" customFormat="1" outlineLevel="1" x14ac:dyDescent="0.2"/>
    <row r="2600" spans="1:8" s="10" customFormat="1" outlineLevel="1" x14ac:dyDescent="0.2">
      <c r="D2600" s="76" t="str">
        <f>Lang_GoTo&amp;" "&amp;HL_TOP_ACTV_20_Other_Direct_Costs</f>
        <v>Go to Other Activity #3 - (Recurrent Costs Only) (Not in Use) - Detailed Other Direct Cost Assumptions</v>
      </c>
    </row>
    <row r="2601" spans="1:8" s="10" customFormat="1" outlineLevel="1" x14ac:dyDescent="0.2">
      <c r="D2601" s="76" t="str">
        <f>Lang_GoTo&amp;" "&amp;HL_TOP_ACTV_20_Cost_Summary_Output</f>
        <v>Go to Other Activity #2 - (Recurrent Costs Only) (Not in Use) Detailed Cost Summary</v>
      </c>
    </row>
    <row r="2602" spans="1:8" s="10" customFormat="1" x14ac:dyDescent="0.2"/>
    <row r="2603" spans="1:8" s="13" customFormat="1" x14ac:dyDescent="0.2">
      <c r="A2603" s="12" t="s">
        <v>127</v>
      </c>
      <c r="B2603" s="13" t="str">
        <f>HL_TOP_ACTV_19_Name&amp;" "&amp;Lang_Personnel_Outputs</f>
        <v>Other Activity #3 - (Recurrent Costs Only) (Not in Use) Personnel - Outputs</v>
      </c>
    </row>
    <row r="2604" spans="1:8" s="10" customFormat="1" outlineLevel="1" x14ac:dyDescent="0.2"/>
    <row r="2605" spans="1:8" s="10" customFormat="1" outlineLevel="1" x14ac:dyDescent="0.2">
      <c r="C2605" s="114" t="str">
        <f>HL_TOP_ACTV_19_Name</f>
        <v>Other Activity #3 - (Recurrent Costs Only) (Not in Use)</v>
      </c>
    </row>
    <row r="2606" spans="1:8" s="10" customFormat="1" outlineLevel="1" x14ac:dyDescent="0.2">
      <c r="E2606" s="86" t="str">
        <f>OTHER_Lu!$D$102&amp;" "&amp;Lang_Cost&amp;" ("&amp;OTHER_Lu!$D$83&amp;")"</f>
        <v>Financial Cost (LCU)</v>
      </c>
      <c r="F2606" s="86" t="str">
        <f>OTHER_Lu!$D$103&amp;" "&amp;Lang_Cost&amp;" ("&amp;OTHER_Lu!$D$83&amp;")"</f>
        <v>Economic Cost (LCU)</v>
      </c>
      <c r="G2606" s="86" t="str">
        <f>OTHER_Lu!$D$102&amp;" "&amp;Lang_Cost&amp;" ("&amp;OTHER_Lu!$D$82&amp;")"</f>
        <v>Financial Cost (USD)</v>
      </c>
      <c r="H2606" s="86" t="str">
        <f>OTHER_Lu!$D$103&amp;" "&amp;Lang_Cost&amp;" ("&amp;OTHER_Lu!$D$82&amp;")"</f>
        <v>Economic Cost (USD)</v>
      </c>
    </row>
    <row r="2607" spans="1:8" s="10" customFormat="1" outlineLevel="1" x14ac:dyDescent="0.2">
      <c r="D2607" s="49" t="str">
        <f>OTHER_DETAILED_COST_WKSHT!D222</f>
        <v>Personnel Category 1</v>
      </c>
      <c r="E2607" s="115">
        <f>IF(DD_TOP_ACTV_19_Detailed_Currency_Used=2,OTHER_DETAILED_COST_WKSHT!$F222*OTHER_DETAILED_COST_WKSHT!G222,OTHER_DETAILED_COST_WKSHT!$F222*(OTHER_DETAILED_COST_WKSHT!G222*TOP_ACTV_19_Exchange_Rate))</f>
        <v>0</v>
      </c>
      <c r="F2607" s="115">
        <f>IF(DD_TOP_ACTV_19_Detailed_Currency_Used=2,OTHER_DETAILED_COST_WKSHT!$F222*OTHER_DETAILED_COST_WKSHT!H222,OTHER_DETAILED_COST_WKSHT!$F222*(OTHER_DETAILED_COST_WKSHT!H222*TOP_ACTV_19_Exchange_Rate))</f>
        <v>0</v>
      </c>
      <c r="G2607" s="116">
        <f t="shared" ref="G2607:G2621" si="248">IFERROR(E2607/TOP_ACTV_19_Exchange_Rate,0)</f>
        <v>0</v>
      </c>
      <c r="H2607" s="116">
        <f t="shared" ref="H2607:H2621" si="249">IFERROR(F2607/TOP_ACTV_19_Exchange_Rate,0)</f>
        <v>0</v>
      </c>
    </row>
    <row r="2608" spans="1:8" s="10" customFormat="1" outlineLevel="1" x14ac:dyDescent="0.2">
      <c r="D2608" s="49" t="str">
        <f>OTHER_DETAILED_COST_WKSHT!D223</f>
        <v>Personnel Category 2</v>
      </c>
      <c r="E2608" s="115">
        <f>IF(DD_TOP_ACTV_19_Detailed_Currency_Used=2,OTHER_DETAILED_COST_WKSHT!$F223*OTHER_DETAILED_COST_WKSHT!G223,OTHER_DETAILED_COST_WKSHT!$F223*(OTHER_DETAILED_COST_WKSHT!G223*TOP_ACTV_19_Exchange_Rate))</f>
        <v>0</v>
      </c>
      <c r="F2608" s="115">
        <f>IF(DD_TOP_ACTV_19_Detailed_Currency_Used=2,OTHER_DETAILED_COST_WKSHT!$F223*OTHER_DETAILED_COST_WKSHT!H223,OTHER_DETAILED_COST_WKSHT!$F223*(OTHER_DETAILED_COST_WKSHT!H223*TOP_ACTV_19_Exchange_Rate))</f>
        <v>0</v>
      </c>
      <c r="G2608" s="116">
        <f t="shared" si="248"/>
        <v>0</v>
      </c>
      <c r="H2608" s="116">
        <f t="shared" si="249"/>
        <v>0</v>
      </c>
    </row>
    <row r="2609" spans="4:8" s="10" customFormat="1" outlineLevel="1" x14ac:dyDescent="0.2">
      <c r="D2609" s="49" t="str">
        <f>OTHER_DETAILED_COST_WKSHT!D224</f>
        <v>Personnel Category 3</v>
      </c>
      <c r="E2609" s="115">
        <f>IF(DD_TOP_ACTV_19_Detailed_Currency_Used=2,OTHER_DETAILED_COST_WKSHT!$F224*OTHER_DETAILED_COST_WKSHT!G224,OTHER_DETAILED_COST_WKSHT!$F224*(OTHER_DETAILED_COST_WKSHT!G224*TOP_ACTV_19_Exchange_Rate))</f>
        <v>0</v>
      </c>
      <c r="F2609" s="115">
        <f>IF(DD_TOP_ACTV_19_Detailed_Currency_Used=2,OTHER_DETAILED_COST_WKSHT!$F224*OTHER_DETAILED_COST_WKSHT!H224,OTHER_DETAILED_COST_WKSHT!$F224*(OTHER_DETAILED_COST_WKSHT!H224*TOP_ACTV_19_Exchange_Rate))</f>
        <v>0</v>
      </c>
      <c r="G2609" s="116">
        <f t="shared" si="248"/>
        <v>0</v>
      </c>
      <c r="H2609" s="116">
        <f t="shared" si="249"/>
        <v>0</v>
      </c>
    </row>
    <row r="2610" spans="4:8" s="10" customFormat="1" outlineLevel="1" x14ac:dyDescent="0.2">
      <c r="D2610" s="49" t="str">
        <f>OTHER_DETAILED_COST_WKSHT!D225</f>
        <v>Personnel Category 4</v>
      </c>
      <c r="E2610" s="115">
        <f>IF(DD_TOP_ACTV_19_Detailed_Currency_Used=2,OTHER_DETAILED_COST_WKSHT!$F225*OTHER_DETAILED_COST_WKSHT!G225,OTHER_DETAILED_COST_WKSHT!$F225*(OTHER_DETAILED_COST_WKSHT!G225*TOP_ACTV_19_Exchange_Rate))</f>
        <v>0</v>
      </c>
      <c r="F2610" s="115">
        <f>IF(DD_TOP_ACTV_19_Detailed_Currency_Used=2,OTHER_DETAILED_COST_WKSHT!$F225*OTHER_DETAILED_COST_WKSHT!H225,OTHER_DETAILED_COST_WKSHT!$F225*(OTHER_DETAILED_COST_WKSHT!H225*TOP_ACTV_19_Exchange_Rate))</f>
        <v>0</v>
      </c>
      <c r="G2610" s="116">
        <f t="shared" si="248"/>
        <v>0</v>
      </c>
      <c r="H2610" s="116">
        <f t="shared" si="249"/>
        <v>0</v>
      </c>
    </row>
    <row r="2611" spans="4:8" s="10" customFormat="1" outlineLevel="1" x14ac:dyDescent="0.2">
      <c r="D2611" s="49" t="str">
        <f>OTHER_DETAILED_COST_WKSHT!D226</f>
        <v>Personnel Category 5</v>
      </c>
      <c r="E2611" s="115">
        <f>IF(DD_TOP_ACTV_19_Detailed_Currency_Used=2,OTHER_DETAILED_COST_WKSHT!$F226*OTHER_DETAILED_COST_WKSHT!G226,OTHER_DETAILED_COST_WKSHT!$F226*(OTHER_DETAILED_COST_WKSHT!G226*TOP_ACTV_19_Exchange_Rate))</f>
        <v>0</v>
      </c>
      <c r="F2611" s="115">
        <f>IF(DD_TOP_ACTV_19_Detailed_Currency_Used=2,OTHER_DETAILED_COST_WKSHT!$F226*OTHER_DETAILED_COST_WKSHT!H226,OTHER_DETAILED_COST_WKSHT!$F226*(OTHER_DETAILED_COST_WKSHT!H226*TOP_ACTV_19_Exchange_Rate))</f>
        <v>0</v>
      </c>
      <c r="G2611" s="116">
        <f t="shared" si="248"/>
        <v>0</v>
      </c>
      <c r="H2611" s="116">
        <f t="shared" si="249"/>
        <v>0</v>
      </c>
    </row>
    <row r="2612" spans="4:8" s="10" customFormat="1" outlineLevel="1" x14ac:dyDescent="0.2">
      <c r="D2612" s="49" t="str">
        <f>OTHER_DETAILED_COST_WKSHT!D227</f>
        <v>Personnel Category 6</v>
      </c>
      <c r="E2612" s="115">
        <f>IF(DD_TOP_ACTV_19_Detailed_Currency_Used=2,OTHER_DETAILED_COST_WKSHT!$F227*OTHER_DETAILED_COST_WKSHT!G227,OTHER_DETAILED_COST_WKSHT!$F227*(OTHER_DETAILED_COST_WKSHT!G227*TOP_ACTV_19_Exchange_Rate))</f>
        <v>0</v>
      </c>
      <c r="F2612" s="115">
        <f>IF(DD_TOP_ACTV_19_Detailed_Currency_Used=2,OTHER_DETAILED_COST_WKSHT!$F227*OTHER_DETAILED_COST_WKSHT!H227,OTHER_DETAILED_COST_WKSHT!$F227*(OTHER_DETAILED_COST_WKSHT!H227*TOP_ACTV_19_Exchange_Rate))</f>
        <v>0</v>
      </c>
      <c r="G2612" s="116">
        <f t="shared" si="248"/>
        <v>0</v>
      </c>
      <c r="H2612" s="116">
        <f t="shared" si="249"/>
        <v>0</v>
      </c>
    </row>
    <row r="2613" spans="4:8" s="10" customFormat="1" outlineLevel="1" x14ac:dyDescent="0.2">
      <c r="D2613" s="49" t="str">
        <f>OTHER_DETAILED_COST_WKSHT!D228</f>
        <v>Personnel Category 7</v>
      </c>
      <c r="E2613" s="115">
        <f>IF(DD_TOP_ACTV_19_Detailed_Currency_Used=2,OTHER_DETAILED_COST_WKSHT!$F228*OTHER_DETAILED_COST_WKSHT!G228,OTHER_DETAILED_COST_WKSHT!$F228*(OTHER_DETAILED_COST_WKSHT!G228*TOP_ACTV_19_Exchange_Rate))</f>
        <v>0</v>
      </c>
      <c r="F2613" s="115">
        <f>IF(DD_TOP_ACTV_19_Detailed_Currency_Used=2,OTHER_DETAILED_COST_WKSHT!$F228*OTHER_DETAILED_COST_WKSHT!H228,OTHER_DETAILED_COST_WKSHT!$F228*(OTHER_DETAILED_COST_WKSHT!H228*TOP_ACTV_19_Exchange_Rate))</f>
        <v>0</v>
      </c>
      <c r="G2613" s="116">
        <f t="shared" si="248"/>
        <v>0</v>
      </c>
      <c r="H2613" s="116">
        <f t="shared" si="249"/>
        <v>0</v>
      </c>
    </row>
    <row r="2614" spans="4:8" s="10" customFormat="1" outlineLevel="1" x14ac:dyDescent="0.2">
      <c r="D2614" s="49" t="str">
        <f>OTHER_DETAILED_COST_WKSHT!D229</f>
        <v>Personnel Category 8</v>
      </c>
      <c r="E2614" s="115">
        <f>IF(DD_TOP_ACTV_19_Detailed_Currency_Used=2,OTHER_DETAILED_COST_WKSHT!$F229*OTHER_DETAILED_COST_WKSHT!G229,OTHER_DETAILED_COST_WKSHT!$F229*(OTHER_DETAILED_COST_WKSHT!G229*TOP_ACTV_19_Exchange_Rate))</f>
        <v>0</v>
      </c>
      <c r="F2614" s="115">
        <f>IF(DD_TOP_ACTV_19_Detailed_Currency_Used=2,OTHER_DETAILED_COST_WKSHT!$F229*OTHER_DETAILED_COST_WKSHT!H229,OTHER_DETAILED_COST_WKSHT!$F229*(OTHER_DETAILED_COST_WKSHT!H229*TOP_ACTV_19_Exchange_Rate))</f>
        <v>0</v>
      </c>
      <c r="G2614" s="116">
        <f t="shared" si="248"/>
        <v>0</v>
      </c>
      <c r="H2614" s="116">
        <f t="shared" si="249"/>
        <v>0</v>
      </c>
    </row>
    <row r="2615" spans="4:8" s="10" customFormat="1" outlineLevel="1" x14ac:dyDescent="0.2">
      <c r="D2615" s="49" t="str">
        <f>OTHER_DETAILED_COST_WKSHT!D230</f>
        <v>Personnel Category 9</v>
      </c>
      <c r="E2615" s="115">
        <f>IF(DD_TOP_ACTV_19_Detailed_Currency_Used=2,OTHER_DETAILED_COST_WKSHT!$F230*OTHER_DETAILED_COST_WKSHT!G230,OTHER_DETAILED_COST_WKSHT!$F230*(OTHER_DETAILED_COST_WKSHT!G230*TOP_ACTV_19_Exchange_Rate))</f>
        <v>0</v>
      </c>
      <c r="F2615" s="115">
        <f>IF(DD_TOP_ACTV_19_Detailed_Currency_Used=2,OTHER_DETAILED_COST_WKSHT!$F230*OTHER_DETAILED_COST_WKSHT!H230,OTHER_DETAILED_COST_WKSHT!$F230*(OTHER_DETAILED_COST_WKSHT!H230*TOP_ACTV_19_Exchange_Rate))</f>
        <v>0</v>
      </c>
      <c r="G2615" s="116">
        <f t="shared" si="248"/>
        <v>0</v>
      </c>
      <c r="H2615" s="116">
        <f t="shared" si="249"/>
        <v>0</v>
      </c>
    </row>
    <row r="2616" spans="4:8" s="10" customFormat="1" outlineLevel="1" x14ac:dyDescent="0.2">
      <c r="D2616" s="49" t="str">
        <f>OTHER_DETAILED_COST_WKSHT!D231</f>
        <v>Personnel Category 10</v>
      </c>
      <c r="E2616" s="115">
        <f>IF(DD_TOP_ACTV_19_Detailed_Currency_Used=2,OTHER_DETAILED_COST_WKSHT!$F231*OTHER_DETAILED_COST_WKSHT!G231,OTHER_DETAILED_COST_WKSHT!$F231*(OTHER_DETAILED_COST_WKSHT!G231*TOP_ACTV_19_Exchange_Rate))</f>
        <v>0</v>
      </c>
      <c r="F2616" s="115">
        <f>IF(DD_TOP_ACTV_19_Detailed_Currency_Used=2,OTHER_DETAILED_COST_WKSHT!$F231*OTHER_DETAILED_COST_WKSHT!H231,OTHER_DETAILED_COST_WKSHT!$F231*(OTHER_DETAILED_COST_WKSHT!H231*TOP_ACTV_19_Exchange_Rate))</f>
        <v>0</v>
      </c>
      <c r="G2616" s="116">
        <f t="shared" si="248"/>
        <v>0</v>
      </c>
      <c r="H2616" s="116">
        <f t="shared" si="249"/>
        <v>0</v>
      </c>
    </row>
    <row r="2617" spans="4:8" s="10" customFormat="1" outlineLevel="1" x14ac:dyDescent="0.2">
      <c r="D2617" s="49" t="str">
        <f>OTHER_DETAILED_COST_WKSHT!D232</f>
        <v>Personnel Category 11</v>
      </c>
      <c r="E2617" s="115">
        <f>IF(DD_TOP_ACTV_19_Detailed_Currency_Used=2,OTHER_DETAILED_COST_WKSHT!$F232*OTHER_DETAILED_COST_WKSHT!G232,OTHER_DETAILED_COST_WKSHT!$F232*(OTHER_DETAILED_COST_WKSHT!G232*TOP_ACTV_19_Exchange_Rate))</f>
        <v>0</v>
      </c>
      <c r="F2617" s="115">
        <f>IF(DD_TOP_ACTV_19_Detailed_Currency_Used=2,OTHER_DETAILED_COST_WKSHT!$F232*OTHER_DETAILED_COST_WKSHT!H232,OTHER_DETAILED_COST_WKSHT!$F232*(OTHER_DETAILED_COST_WKSHT!H232*TOP_ACTV_19_Exchange_Rate))</f>
        <v>0</v>
      </c>
      <c r="G2617" s="116">
        <f t="shared" si="248"/>
        <v>0</v>
      </c>
      <c r="H2617" s="116">
        <f t="shared" si="249"/>
        <v>0</v>
      </c>
    </row>
    <row r="2618" spans="4:8" s="10" customFormat="1" outlineLevel="1" x14ac:dyDescent="0.2">
      <c r="D2618" s="49" t="str">
        <f>OTHER_DETAILED_COST_WKSHT!D233</f>
        <v>Personnel Category 12</v>
      </c>
      <c r="E2618" s="115">
        <f>IF(DD_TOP_ACTV_19_Detailed_Currency_Used=2,OTHER_DETAILED_COST_WKSHT!$F233*OTHER_DETAILED_COST_WKSHT!G233,OTHER_DETAILED_COST_WKSHT!$F233*(OTHER_DETAILED_COST_WKSHT!G233*TOP_ACTV_19_Exchange_Rate))</f>
        <v>0</v>
      </c>
      <c r="F2618" s="115">
        <f>IF(DD_TOP_ACTV_19_Detailed_Currency_Used=2,OTHER_DETAILED_COST_WKSHT!$F233*OTHER_DETAILED_COST_WKSHT!H233,OTHER_DETAILED_COST_WKSHT!$F233*(OTHER_DETAILED_COST_WKSHT!H233*TOP_ACTV_19_Exchange_Rate))</f>
        <v>0</v>
      </c>
      <c r="G2618" s="116">
        <f t="shared" si="248"/>
        <v>0</v>
      </c>
      <c r="H2618" s="116">
        <f t="shared" si="249"/>
        <v>0</v>
      </c>
    </row>
    <row r="2619" spans="4:8" s="10" customFormat="1" outlineLevel="1" x14ac:dyDescent="0.2">
      <c r="D2619" s="49" t="str">
        <f>OTHER_DETAILED_COST_WKSHT!D234</f>
        <v>Personnel Category 13</v>
      </c>
      <c r="E2619" s="115">
        <f>IF(DD_TOP_ACTV_19_Detailed_Currency_Used=2,OTHER_DETAILED_COST_WKSHT!$F234*OTHER_DETAILED_COST_WKSHT!G234,OTHER_DETAILED_COST_WKSHT!$F234*(OTHER_DETAILED_COST_WKSHT!G234*TOP_ACTV_19_Exchange_Rate))</f>
        <v>0</v>
      </c>
      <c r="F2619" s="115">
        <f>IF(DD_TOP_ACTV_19_Detailed_Currency_Used=2,OTHER_DETAILED_COST_WKSHT!$F234*OTHER_DETAILED_COST_WKSHT!H234,OTHER_DETAILED_COST_WKSHT!$F234*(OTHER_DETAILED_COST_WKSHT!H234*TOP_ACTV_19_Exchange_Rate))</f>
        <v>0</v>
      </c>
      <c r="G2619" s="116">
        <f t="shared" si="248"/>
        <v>0</v>
      </c>
      <c r="H2619" s="116">
        <f t="shared" si="249"/>
        <v>0</v>
      </c>
    </row>
    <row r="2620" spans="4:8" s="10" customFormat="1" outlineLevel="1" x14ac:dyDescent="0.2">
      <c r="D2620" s="49" t="str">
        <f>OTHER_DETAILED_COST_WKSHT!D235</f>
        <v>Personnel Category 14</v>
      </c>
      <c r="E2620" s="115">
        <f>IF(DD_TOP_ACTV_19_Detailed_Currency_Used=2,OTHER_DETAILED_COST_WKSHT!$F235*OTHER_DETAILED_COST_WKSHT!G235,OTHER_DETAILED_COST_WKSHT!$F235*(OTHER_DETAILED_COST_WKSHT!G235*TOP_ACTV_19_Exchange_Rate))</f>
        <v>0</v>
      </c>
      <c r="F2620" s="115">
        <f>IF(DD_TOP_ACTV_19_Detailed_Currency_Used=2,OTHER_DETAILED_COST_WKSHT!$F235*OTHER_DETAILED_COST_WKSHT!H235,OTHER_DETAILED_COST_WKSHT!$F235*(OTHER_DETAILED_COST_WKSHT!H235*TOP_ACTV_19_Exchange_Rate))</f>
        <v>0</v>
      </c>
      <c r="G2620" s="116">
        <f t="shared" si="248"/>
        <v>0</v>
      </c>
      <c r="H2620" s="116">
        <f t="shared" si="249"/>
        <v>0</v>
      </c>
    </row>
    <row r="2621" spans="4:8" s="10" customFormat="1" outlineLevel="1" x14ac:dyDescent="0.2">
      <c r="D2621" s="49" t="str">
        <f>OTHER_DETAILED_COST_WKSHT!D236</f>
        <v>Personnel Category 15</v>
      </c>
      <c r="E2621" s="115">
        <f>IF(DD_TOP_ACTV_19_Detailed_Currency_Used=2,OTHER_DETAILED_COST_WKSHT!$F236*OTHER_DETAILED_COST_WKSHT!G236,OTHER_DETAILED_COST_WKSHT!$F236*(OTHER_DETAILED_COST_WKSHT!G236*TOP_ACTV_19_Exchange_Rate))</f>
        <v>0</v>
      </c>
      <c r="F2621" s="115">
        <f>IF(DD_TOP_ACTV_19_Detailed_Currency_Used=2,OTHER_DETAILED_COST_WKSHT!$F236*OTHER_DETAILED_COST_WKSHT!H236,OTHER_DETAILED_COST_WKSHT!$F236*(OTHER_DETAILED_COST_WKSHT!H236*TOP_ACTV_19_Exchange_Rate))</f>
        <v>0</v>
      </c>
      <c r="G2621" s="116">
        <f t="shared" si="248"/>
        <v>0</v>
      </c>
      <c r="H2621" s="116">
        <f t="shared" si="249"/>
        <v>0</v>
      </c>
    </row>
    <row r="2622" spans="4:8" s="10" customFormat="1" outlineLevel="1" x14ac:dyDescent="0.2">
      <c r="D2622" s="48" t="str">
        <f>Lang_Personnel</f>
        <v>Personnel</v>
      </c>
      <c r="E2622" s="120">
        <f>SUM(E2607:E2621)</f>
        <v>0</v>
      </c>
      <c r="F2622" s="120">
        <f>SUM(F2607:F2621)</f>
        <v>0</v>
      </c>
      <c r="G2622" s="121">
        <f>SUM(G2607:G2621)</f>
        <v>0</v>
      </c>
      <c r="H2622" s="121">
        <f>SUM(H2607:H2621)</f>
        <v>0</v>
      </c>
    </row>
    <row r="2623" spans="4:8" s="10" customFormat="1" outlineLevel="1" x14ac:dyDescent="0.2"/>
    <row r="2624" spans="4:8" s="10" customFormat="1" outlineLevel="1" x14ac:dyDescent="0.2"/>
    <row r="2625" spans="1:8" s="10" customFormat="1" outlineLevel="1" x14ac:dyDescent="0.2">
      <c r="D2625" s="76" t="str">
        <f>Lang_GoTo&amp;" "&amp;HL_TOP_ACTV_19_Personnel_Assumptions</f>
        <v>Go to Other Activity #3 - (Recurrent Costs Only) (Not in Use) - Detailed Personnel Cost Assumptions</v>
      </c>
    </row>
    <row r="2626" spans="1:8" s="10" customFormat="1" outlineLevel="1" x14ac:dyDescent="0.2">
      <c r="D2626" s="76" t="str">
        <f>Lang_GoTo&amp;" "&amp;HL_TOP_ACTV_19_Cost_Summary_Output</f>
        <v>Go to Other Activity #3 - (Recurrent Costs Only) (Not in Use) Detailed Cost Summary</v>
      </c>
    </row>
    <row r="2627" spans="1:8" s="10" customFormat="1" x14ac:dyDescent="0.2"/>
    <row r="2628" spans="1:8" s="13" customFormat="1" x14ac:dyDescent="0.2">
      <c r="A2628" s="12" t="s">
        <v>127</v>
      </c>
      <c r="B2628" s="13" t="str">
        <f>HL_TOP_ACTV_19_Name&amp;" "&amp;Lang_Allowances_Outputs</f>
        <v>Other Activity #3 - (Recurrent Costs Only) (Not in Use) Allowances - Outputs</v>
      </c>
    </row>
    <row r="2629" spans="1:8" s="10" customFormat="1" outlineLevel="1" x14ac:dyDescent="0.2"/>
    <row r="2630" spans="1:8" s="10" customFormat="1" outlineLevel="1" x14ac:dyDescent="0.2">
      <c r="C2630" s="114" t="str">
        <f>HL_TOP_ACTV_19_Name</f>
        <v>Other Activity #3 - (Recurrent Costs Only) (Not in Use)</v>
      </c>
    </row>
    <row r="2631" spans="1:8" s="10" customFormat="1" outlineLevel="1" x14ac:dyDescent="0.2">
      <c r="E2631" s="86" t="str">
        <f>OTHER_Lu!$D$102&amp;" "&amp;Lang_Cost&amp;" ("&amp;OTHER_Lu!$D$83&amp;")"</f>
        <v>Financial Cost (LCU)</v>
      </c>
      <c r="F2631" s="86" t="str">
        <f>OTHER_Lu!$D$103&amp;" "&amp;Lang_Cost&amp;" ("&amp;OTHER_Lu!$D$83&amp;")"</f>
        <v>Economic Cost (LCU)</v>
      </c>
      <c r="G2631" s="86" t="str">
        <f>OTHER_Lu!$D$102&amp;" "&amp;Lang_Cost&amp;" ("&amp;OTHER_Lu!$D$82&amp;")"</f>
        <v>Financial Cost (USD)</v>
      </c>
      <c r="H2631" s="86" t="str">
        <f>OTHER_Lu!$D$103&amp;" "&amp;Lang_Cost&amp;" ("&amp;OTHER_Lu!$D$82&amp;")"</f>
        <v>Economic Cost (USD)</v>
      </c>
    </row>
    <row r="2632" spans="1:8" s="10" customFormat="1" outlineLevel="1" x14ac:dyDescent="0.2">
      <c r="D2632" s="49" t="str">
        <f>OTHER_DETAILED_COST_WKSHT!D245</f>
        <v>Allowances Category 1</v>
      </c>
      <c r="E2632" s="115">
        <f>IF(DD_TOP_ACTV_19_Detailed_Currency_Used=2,OTHER_DETAILED_COST_WKSHT!$F245*OTHER_DETAILED_COST_WKSHT!G245,OTHER_DETAILED_COST_WKSHT!$F245*(OTHER_DETAILED_COST_WKSHT!G245*TOP_ACTV_19_Exchange_Rate))</f>
        <v>0</v>
      </c>
      <c r="F2632" s="115">
        <f>IF(DD_TOP_ACTV_19_Detailed_Currency_Used=2,OTHER_DETAILED_COST_WKSHT!$F245*OTHER_DETAILED_COST_WKSHT!H245,OTHER_DETAILED_COST_WKSHT!$F245*(OTHER_DETAILED_COST_WKSHT!H245*TOP_ACTV_19_Exchange_Rate))</f>
        <v>0</v>
      </c>
      <c r="G2632" s="116">
        <f t="shared" ref="G2632:G2641" si="250">E2632/TOP_ACTV_19_Exchange_Rate</f>
        <v>0</v>
      </c>
      <c r="H2632" s="116">
        <f t="shared" ref="H2632:H2641" si="251">F2632/TOP_ACTV_19_Exchange_Rate</f>
        <v>0</v>
      </c>
    </row>
    <row r="2633" spans="1:8" s="10" customFormat="1" outlineLevel="1" x14ac:dyDescent="0.2">
      <c r="D2633" s="49" t="str">
        <f>OTHER_DETAILED_COST_WKSHT!D246</f>
        <v>Allowances Category 2</v>
      </c>
      <c r="E2633" s="115">
        <f>IF(DD_TOP_ACTV_19_Detailed_Currency_Used=2,OTHER_DETAILED_COST_WKSHT!$F246*OTHER_DETAILED_COST_WKSHT!G246,OTHER_DETAILED_COST_WKSHT!$F246*(OTHER_DETAILED_COST_WKSHT!G246*TOP_ACTV_19_Exchange_Rate))</f>
        <v>0</v>
      </c>
      <c r="F2633" s="115">
        <f>IF(DD_TOP_ACTV_19_Detailed_Currency_Used=2,OTHER_DETAILED_COST_WKSHT!$F246*OTHER_DETAILED_COST_WKSHT!H246,OTHER_DETAILED_COST_WKSHT!$F246*(OTHER_DETAILED_COST_WKSHT!H246*TOP_ACTV_19_Exchange_Rate))</f>
        <v>0</v>
      </c>
      <c r="G2633" s="116">
        <f t="shared" si="250"/>
        <v>0</v>
      </c>
      <c r="H2633" s="116">
        <f t="shared" si="251"/>
        <v>0</v>
      </c>
    </row>
    <row r="2634" spans="1:8" s="10" customFormat="1" outlineLevel="1" x14ac:dyDescent="0.2">
      <c r="D2634" s="49" t="str">
        <f>OTHER_DETAILED_COST_WKSHT!D247</f>
        <v>Allowances Category 3</v>
      </c>
      <c r="E2634" s="115">
        <f>IF(DD_TOP_ACTV_19_Detailed_Currency_Used=2,OTHER_DETAILED_COST_WKSHT!$F247*OTHER_DETAILED_COST_WKSHT!G247,OTHER_DETAILED_COST_WKSHT!$F247*(OTHER_DETAILED_COST_WKSHT!G247*TOP_ACTV_19_Exchange_Rate))</f>
        <v>0</v>
      </c>
      <c r="F2634" s="115">
        <f>IF(DD_TOP_ACTV_19_Detailed_Currency_Used=2,OTHER_DETAILED_COST_WKSHT!$F247*OTHER_DETAILED_COST_WKSHT!H247,OTHER_DETAILED_COST_WKSHT!$F247*(OTHER_DETAILED_COST_WKSHT!H247*TOP_ACTV_19_Exchange_Rate))</f>
        <v>0</v>
      </c>
      <c r="G2634" s="116">
        <f t="shared" si="250"/>
        <v>0</v>
      </c>
      <c r="H2634" s="116">
        <f t="shared" si="251"/>
        <v>0</v>
      </c>
    </row>
    <row r="2635" spans="1:8" s="10" customFormat="1" outlineLevel="1" x14ac:dyDescent="0.2">
      <c r="D2635" s="49" t="str">
        <f>OTHER_DETAILED_COST_WKSHT!D248</f>
        <v>Allowances Category 4</v>
      </c>
      <c r="E2635" s="115">
        <f>IF(DD_TOP_ACTV_19_Detailed_Currency_Used=2,OTHER_DETAILED_COST_WKSHT!$F248*OTHER_DETAILED_COST_WKSHT!G248,OTHER_DETAILED_COST_WKSHT!$F248*(OTHER_DETAILED_COST_WKSHT!G248*TOP_ACTV_19_Exchange_Rate))</f>
        <v>0</v>
      </c>
      <c r="F2635" s="115">
        <f>IF(DD_TOP_ACTV_19_Detailed_Currency_Used=2,OTHER_DETAILED_COST_WKSHT!$F248*OTHER_DETAILED_COST_WKSHT!H248,OTHER_DETAILED_COST_WKSHT!$F248*(OTHER_DETAILED_COST_WKSHT!H248*TOP_ACTV_19_Exchange_Rate))</f>
        <v>0</v>
      </c>
      <c r="G2635" s="116">
        <f t="shared" si="250"/>
        <v>0</v>
      </c>
      <c r="H2635" s="116">
        <f t="shared" si="251"/>
        <v>0</v>
      </c>
    </row>
    <row r="2636" spans="1:8" s="10" customFormat="1" outlineLevel="1" x14ac:dyDescent="0.2">
      <c r="D2636" s="49" t="str">
        <f>OTHER_DETAILED_COST_WKSHT!D249</f>
        <v>Allowances Category 5</v>
      </c>
      <c r="E2636" s="115">
        <f>IF(DD_TOP_ACTV_19_Detailed_Currency_Used=2,OTHER_DETAILED_COST_WKSHT!$F249*OTHER_DETAILED_COST_WKSHT!G249,OTHER_DETAILED_COST_WKSHT!$F249*(OTHER_DETAILED_COST_WKSHT!G249*TOP_ACTV_19_Exchange_Rate))</f>
        <v>0</v>
      </c>
      <c r="F2636" s="115">
        <f>IF(DD_TOP_ACTV_19_Detailed_Currency_Used=2,OTHER_DETAILED_COST_WKSHT!$F249*OTHER_DETAILED_COST_WKSHT!H249,OTHER_DETAILED_COST_WKSHT!$F249*(OTHER_DETAILED_COST_WKSHT!H249*TOP_ACTV_19_Exchange_Rate))</f>
        <v>0</v>
      </c>
      <c r="G2636" s="116">
        <f t="shared" si="250"/>
        <v>0</v>
      </c>
      <c r="H2636" s="116">
        <f t="shared" si="251"/>
        <v>0</v>
      </c>
    </row>
    <row r="2637" spans="1:8" s="10" customFormat="1" outlineLevel="1" x14ac:dyDescent="0.2">
      <c r="D2637" s="49" t="str">
        <f>OTHER_DETAILED_COST_WKSHT!D250</f>
        <v>Allowances Category 6</v>
      </c>
      <c r="E2637" s="115">
        <f>IF(DD_TOP_ACTV_19_Detailed_Currency_Used=2,OTHER_DETAILED_COST_WKSHT!$F250*OTHER_DETAILED_COST_WKSHT!G250,OTHER_DETAILED_COST_WKSHT!$F250*(OTHER_DETAILED_COST_WKSHT!G250*TOP_ACTV_19_Exchange_Rate))</f>
        <v>0</v>
      </c>
      <c r="F2637" s="115">
        <f>IF(DD_TOP_ACTV_19_Detailed_Currency_Used=2,OTHER_DETAILED_COST_WKSHT!$F250*OTHER_DETAILED_COST_WKSHT!H250,OTHER_DETAILED_COST_WKSHT!$F250*(OTHER_DETAILED_COST_WKSHT!H250*TOP_ACTV_19_Exchange_Rate))</f>
        <v>0</v>
      </c>
      <c r="G2637" s="116">
        <f t="shared" si="250"/>
        <v>0</v>
      </c>
      <c r="H2637" s="116">
        <f t="shared" si="251"/>
        <v>0</v>
      </c>
    </row>
    <row r="2638" spans="1:8" s="10" customFormat="1" outlineLevel="1" x14ac:dyDescent="0.2">
      <c r="D2638" s="49" t="str">
        <f>OTHER_DETAILED_COST_WKSHT!D251</f>
        <v>Allowances Category 7</v>
      </c>
      <c r="E2638" s="115">
        <f>IF(DD_TOP_ACTV_19_Detailed_Currency_Used=2,OTHER_DETAILED_COST_WKSHT!$F251*OTHER_DETAILED_COST_WKSHT!G251,OTHER_DETAILED_COST_WKSHT!$F251*(OTHER_DETAILED_COST_WKSHT!G251*TOP_ACTV_19_Exchange_Rate))</f>
        <v>0</v>
      </c>
      <c r="F2638" s="115">
        <f>IF(DD_TOP_ACTV_19_Detailed_Currency_Used=2,OTHER_DETAILED_COST_WKSHT!$F251*OTHER_DETAILED_COST_WKSHT!H251,OTHER_DETAILED_COST_WKSHT!$F251*(OTHER_DETAILED_COST_WKSHT!H251*TOP_ACTV_19_Exchange_Rate))</f>
        <v>0</v>
      </c>
      <c r="G2638" s="116">
        <f t="shared" si="250"/>
        <v>0</v>
      </c>
      <c r="H2638" s="116">
        <f t="shared" si="251"/>
        <v>0</v>
      </c>
    </row>
    <row r="2639" spans="1:8" s="10" customFormat="1" outlineLevel="1" x14ac:dyDescent="0.2">
      <c r="D2639" s="49" t="str">
        <f>OTHER_DETAILED_COST_WKSHT!D252</f>
        <v>Allowances Category 8</v>
      </c>
      <c r="E2639" s="115">
        <f>IF(DD_TOP_ACTV_19_Detailed_Currency_Used=2,OTHER_DETAILED_COST_WKSHT!$F252*OTHER_DETAILED_COST_WKSHT!G252,OTHER_DETAILED_COST_WKSHT!$F252*(OTHER_DETAILED_COST_WKSHT!G252*TOP_ACTV_19_Exchange_Rate))</f>
        <v>0</v>
      </c>
      <c r="F2639" s="115">
        <f>IF(DD_TOP_ACTV_19_Detailed_Currency_Used=2,OTHER_DETAILED_COST_WKSHT!$F252*OTHER_DETAILED_COST_WKSHT!H252,OTHER_DETAILED_COST_WKSHT!$F252*(OTHER_DETAILED_COST_WKSHT!H252*TOP_ACTV_19_Exchange_Rate))</f>
        <v>0</v>
      </c>
      <c r="G2639" s="116">
        <f t="shared" si="250"/>
        <v>0</v>
      </c>
      <c r="H2639" s="116">
        <f t="shared" si="251"/>
        <v>0</v>
      </c>
    </row>
    <row r="2640" spans="1:8" s="10" customFormat="1" outlineLevel="1" x14ac:dyDescent="0.2">
      <c r="D2640" s="49" t="str">
        <f>OTHER_DETAILED_COST_WKSHT!D253</f>
        <v>Allowances Category 9</v>
      </c>
      <c r="E2640" s="115">
        <f>IF(DD_TOP_ACTV_19_Detailed_Currency_Used=2,OTHER_DETAILED_COST_WKSHT!$F253*OTHER_DETAILED_COST_WKSHT!G253,OTHER_DETAILED_COST_WKSHT!$F253*(OTHER_DETAILED_COST_WKSHT!G253*TOP_ACTV_19_Exchange_Rate))</f>
        <v>0</v>
      </c>
      <c r="F2640" s="115">
        <f>IF(DD_TOP_ACTV_19_Detailed_Currency_Used=2,OTHER_DETAILED_COST_WKSHT!$F253*OTHER_DETAILED_COST_WKSHT!H253,OTHER_DETAILED_COST_WKSHT!$F253*(OTHER_DETAILED_COST_WKSHT!H253*TOP_ACTV_19_Exchange_Rate))</f>
        <v>0</v>
      </c>
      <c r="G2640" s="116">
        <f t="shared" si="250"/>
        <v>0</v>
      </c>
      <c r="H2640" s="116">
        <f t="shared" si="251"/>
        <v>0</v>
      </c>
    </row>
    <row r="2641" spans="1:8" s="10" customFormat="1" outlineLevel="1" x14ac:dyDescent="0.2">
      <c r="D2641" s="49" t="str">
        <f>OTHER_DETAILED_COST_WKSHT!D254</f>
        <v>Allowances Category 10</v>
      </c>
      <c r="E2641" s="115">
        <f>IF(DD_TOP_ACTV_19_Detailed_Currency_Used=2,OTHER_DETAILED_COST_WKSHT!$F254*OTHER_DETAILED_COST_WKSHT!G254,OTHER_DETAILED_COST_WKSHT!$F254*(OTHER_DETAILED_COST_WKSHT!G254*TOP_ACTV_19_Exchange_Rate))</f>
        <v>0</v>
      </c>
      <c r="F2641" s="115">
        <f>IF(DD_TOP_ACTV_19_Detailed_Currency_Used=2,OTHER_DETAILED_COST_WKSHT!$F254*OTHER_DETAILED_COST_WKSHT!H254,OTHER_DETAILED_COST_WKSHT!$F254*(OTHER_DETAILED_COST_WKSHT!H254*TOP_ACTV_19_Exchange_Rate))</f>
        <v>0</v>
      </c>
      <c r="G2641" s="116">
        <f t="shared" si="250"/>
        <v>0</v>
      </c>
      <c r="H2641" s="116">
        <f t="shared" si="251"/>
        <v>0</v>
      </c>
    </row>
    <row r="2642" spans="1:8" s="10" customFormat="1" outlineLevel="1" x14ac:dyDescent="0.2">
      <c r="D2642" s="48" t="str">
        <f>Lang_Allowances</f>
        <v>Allowances</v>
      </c>
      <c r="E2642" s="120">
        <f>SUM(E2632:E2641)</f>
        <v>0</v>
      </c>
      <c r="F2642" s="120">
        <f>SUM(F2632:F2641)</f>
        <v>0</v>
      </c>
      <c r="G2642" s="121">
        <f>SUM(G2632:G2641)</f>
        <v>0</v>
      </c>
      <c r="H2642" s="121">
        <f>SUM(H2632:H2641)</f>
        <v>0</v>
      </c>
    </row>
    <row r="2643" spans="1:8" s="10" customFormat="1" outlineLevel="1" x14ac:dyDescent="0.2"/>
    <row r="2644" spans="1:8" s="10" customFormat="1" outlineLevel="1" x14ac:dyDescent="0.2"/>
    <row r="2645" spans="1:8" s="10" customFormat="1" outlineLevel="1" x14ac:dyDescent="0.2">
      <c r="D2645" s="76" t="str">
        <f>Lang_GoTo&amp;" "&amp;HL_TOP_ACTV_19_Ass_A</f>
        <v>Go to Other Activity #3 - (Recurrent Costs Only) (Not in Use) - Detailed Allowance Cost Assumptions</v>
      </c>
    </row>
    <row r="2646" spans="1:8" s="10" customFormat="1" outlineLevel="1" x14ac:dyDescent="0.2">
      <c r="D2646" s="76" t="str">
        <f>Lang_GoTo&amp;" "&amp;HL_TOP_ACTV_19_Cost_Summary_Output</f>
        <v>Go to Other Activity #3 - (Recurrent Costs Only) (Not in Use) Detailed Cost Summary</v>
      </c>
    </row>
    <row r="2647" spans="1:8" s="10" customFormat="1" x14ac:dyDescent="0.2"/>
    <row r="2648" spans="1:8" s="13" customFormat="1" x14ac:dyDescent="0.2">
      <c r="A2648" s="12" t="s">
        <v>127</v>
      </c>
      <c r="B2648" s="13" t="str">
        <f>HL_TOP_ACTV_19_Name&amp;" "&amp;Lang_Supplies_And_Materials_Outputs</f>
        <v>Other Activity #3 - (Recurrent Costs Only) (Not in Use) Supplies and Materials - Outputs</v>
      </c>
    </row>
    <row r="2649" spans="1:8" s="10" customFormat="1" outlineLevel="1" x14ac:dyDescent="0.2"/>
    <row r="2650" spans="1:8" s="10" customFormat="1" outlineLevel="1" x14ac:dyDescent="0.2">
      <c r="C2650" s="114" t="str">
        <f>HL_TOP_ACTV_19_Name</f>
        <v>Other Activity #3 - (Recurrent Costs Only) (Not in Use)</v>
      </c>
    </row>
    <row r="2651" spans="1:8" s="10" customFormat="1" outlineLevel="1" x14ac:dyDescent="0.2">
      <c r="E2651" s="86" t="str">
        <f>OTHER_Lu!$D$102&amp;" "&amp;Lang_Cost&amp;" ("&amp;OTHER_Lu!$D$83&amp;")"</f>
        <v>Financial Cost (LCU)</v>
      </c>
      <c r="F2651" s="86" t="str">
        <f>OTHER_Lu!$D$103&amp;" "&amp;Lang_Cost&amp;" ("&amp;OTHER_Lu!$D$83&amp;")"</f>
        <v>Economic Cost (LCU)</v>
      </c>
      <c r="G2651" s="86" t="str">
        <f>OTHER_Lu!$D$102&amp;" "&amp;Lang_Cost&amp;" ("&amp;OTHER_Lu!$D$82&amp;")"</f>
        <v>Financial Cost (USD)</v>
      </c>
      <c r="H2651" s="86" t="str">
        <f>OTHER_Lu!$D$103&amp;" "&amp;Lang_Cost&amp;" ("&amp;OTHER_Lu!$D$82&amp;")"</f>
        <v>Economic Cost (USD)</v>
      </c>
    </row>
    <row r="2652" spans="1:8" s="10" customFormat="1" outlineLevel="1" x14ac:dyDescent="0.2">
      <c r="D2652" s="49" t="str">
        <f>OTHER_DETAILED_COST_WKSHT!D263</f>
        <v>Supplies and Materials Category 1</v>
      </c>
      <c r="E2652" s="115">
        <f>IF(DD_TOP_ACTV_19_Detailed_Currency_Used=2,OTHER_DETAILED_COST_WKSHT!$F263*OTHER_DETAILED_COST_WKSHT!G263,OTHER_DETAILED_COST_WKSHT!$F263*(OTHER_DETAILED_COST_WKSHT!G263*TOP_ACTV_19_Exchange_Rate))</f>
        <v>0</v>
      </c>
      <c r="F2652" s="115">
        <f>IF(DD_TOP_ACTV_19_Detailed_Currency_Used=2,OTHER_DETAILED_COST_WKSHT!$F263*OTHER_DETAILED_COST_WKSHT!H263,OTHER_DETAILED_COST_WKSHT!$F263*(OTHER_DETAILED_COST_WKSHT!H263*TOP_ACTV_19_Exchange_Rate))</f>
        <v>0</v>
      </c>
      <c r="G2652" s="116">
        <f t="shared" ref="G2652:G2661" si="252">E2652/TOP_ACTV_19_Exchange_Rate</f>
        <v>0</v>
      </c>
      <c r="H2652" s="116">
        <f t="shared" ref="H2652:H2661" si="253">F2652/TOP_ACTV_19_Exchange_Rate</f>
        <v>0</v>
      </c>
    </row>
    <row r="2653" spans="1:8" s="10" customFormat="1" outlineLevel="1" x14ac:dyDescent="0.2">
      <c r="D2653" s="49" t="str">
        <f>OTHER_DETAILED_COST_WKSHT!D264</f>
        <v>Supplies and Materials Category 2</v>
      </c>
      <c r="E2653" s="115">
        <f>IF(DD_TOP_ACTV_19_Detailed_Currency_Used=2,OTHER_DETAILED_COST_WKSHT!$F264*OTHER_DETAILED_COST_WKSHT!G264,OTHER_DETAILED_COST_WKSHT!$F264*(OTHER_DETAILED_COST_WKSHT!G264*TOP_ACTV_19_Exchange_Rate))</f>
        <v>0</v>
      </c>
      <c r="F2653" s="115">
        <f>IF(DD_TOP_ACTV_19_Detailed_Currency_Used=2,OTHER_DETAILED_COST_WKSHT!$F264*OTHER_DETAILED_COST_WKSHT!H264,OTHER_DETAILED_COST_WKSHT!$F264*(OTHER_DETAILED_COST_WKSHT!H264*TOP_ACTV_19_Exchange_Rate))</f>
        <v>0</v>
      </c>
      <c r="G2653" s="116">
        <f t="shared" si="252"/>
        <v>0</v>
      </c>
      <c r="H2653" s="116">
        <f t="shared" si="253"/>
        <v>0</v>
      </c>
    </row>
    <row r="2654" spans="1:8" s="10" customFormat="1" outlineLevel="1" x14ac:dyDescent="0.2">
      <c r="D2654" s="49" t="str">
        <f>OTHER_DETAILED_COST_WKSHT!D265</f>
        <v>Supplies and Materials Category 3</v>
      </c>
      <c r="E2654" s="115">
        <f>IF(DD_TOP_ACTV_19_Detailed_Currency_Used=2,OTHER_DETAILED_COST_WKSHT!$F265*OTHER_DETAILED_COST_WKSHT!G265,OTHER_DETAILED_COST_WKSHT!$F265*(OTHER_DETAILED_COST_WKSHT!G265*TOP_ACTV_19_Exchange_Rate))</f>
        <v>0</v>
      </c>
      <c r="F2654" s="115">
        <f>IF(DD_TOP_ACTV_19_Detailed_Currency_Used=2,OTHER_DETAILED_COST_WKSHT!$F265*OTHER_DETAILED_COST_WKSHT!H265,OTHER_DETAILED_COST_WKSHT!$F265*(OTHER_DETAILED_COST_WKSHT!H265*TOP_ACTV_19_Exchange_Rate))</f>
        <v>0</v>
      </c>
      <c r="G2654" s="116">
        <f t="shared" si="252"/>
        <v>0</v>
      </c>
      <c r="H2654" s="116">
        <f t="shared" si="253"/>
        <v>0</v>
      </c>
    </row>
    <row r="2655" spans="1:8" s="10" customFormat="1" outlineLevel="1" x14ac:dyDescent="0.2">
      <c r="D2655" s="49" t="str">
        <f>OTHER_DETAILED_COST_WKSHT!D266</f>
        <v>Supplies and Materials Category 4</v>
      </c>
      <c r="E2655" s="115">
        <f>IF(DD_TOP_ACTV_19_Detailed_Currency_Used=2,OTHER_DETAILED_COST_WKSHT!$F266*OTHER_DETAILED_COST_WKSHT!G266,OTHER_DETAILED_COST_WKSHT!$F266*(OTHER_DETAILED_COST_WKSHT!G266*TOP_ACTV_19_Exchange_Rate))</f>
        <v>0</v>
      </c>
      <c r="F2655" s="115">
        <f>IF(DD_TOP_ACTV_19_Detailed_Currency_Used=2,OTHER_DETAILED_COST_WKSHT!$F266*OTHER_DETAILED_COST_WKSHT!H266,OTHER_DETAILED_COST_WKSHT!$F266*(OTHER_DETAILED_COST_WKSHT!H266*TOP_ACTV_19_Exchange_Rate))</f>
        <v>0</v>
      </c>
      <c r="G2655" s="116">
        <f t="shared" si="252"/>
        <v>0</v>
      </c>
      <c r="H2655" s="116">
        <f t="shared" si="253"/>
        <v>0</v>
      </c>
    </row>
    <row r="2656" spans="1:8" s="10" customFormat="1" outlineLevel="1" x14ac:dyDescent="0.2">
      <c r="D2656" s="49" t="str">
        <f>OTHER_DETAILED_COST_WKSHT!D267</f>
        <v>Supplies and Materials Category 5</v>
      </c>
      <c r="E2656" s="115">
        <f>IF(DD_TOP_ACTV_19_Detailed_Currency_Used=2,OTHER_DETAILED_COST_WKSHT!$F267*OTHER_DETAILED_COST_WKSHT!G267,OTHER_DETAILED_COST_WKSHT!$F267*(OTHER_DETAILED_COST_WKSHT!G267*TOP_ACTV_19_Exchange_Rate))</f>
        <v>0</v>
      </c>
      <c r="F2656" s="115">
        <f>IF(DD_TOP_ACTV_19_Detailed_Currency_Used=2,OTHER_DETAILED_COST_WKSHT!$F267*OTHER_DETAILED_COST_WKSHT!H267,OTHER_DETAILED_COST_WKSHT!$F267*(OTHER_DETAILED_COST_WKSHT!H267*TOP_ACTV_19_Exchange_Rate))</f>
        <v>0</v>
      </c>
      <c r="G2656" s="116">
        <f t="shared" si="252"/>
        <v>0</v>
      </c>
      <c r="H2656" s="116">
        <f t="shared" si="253"/>
        <v>0</v>
      </c>
    </row>
    <row r="2657" spans="1:8" s="10" customFormat="1" outlineLevel="1" x14ac:dyDescent="0.2">
      <c r="D2657" s="49" t="str">
        <f>OTHER_DETAILED_COST_WKSHT!D268</f>
        <v>Supplies and Materials Category 6</v>
      </c>
      <c r="E2657" s="115">
        <f>IF(DD_TOP_ACTV_19_Detailed_Currency_Used=2,OTHER_DETAILED_COST_WKSHT!$F268*OTHER_DETAILED_COST_WKSHT!G268,OTHER_DETAILED_COST_WKSHT!$F268*(OTHER_DETAILED_COST_WKSHT!G268*TOP_ACTV_19_Exchange_Rate))</f>
        <v>0</v>
      </c>
      <c r="F2657" s="115">
        <f>IF(DD_TOP_ACTV_19_Detailed_Currency_Used=2,OTHER_DETAILED_COST_WKSHT!$F268*OTHER_DETAILED_COST_WKSHT!H268,OTHER_DETAILED_COST_WKSHT!$F268*(OTHER_DETAILED_COST_WKSHT!H268*TOP_ACTV_19_Exchange_Rate))</f>
        <v>0</v>
      </c>
      <c r="G2657" s="116">
        <f t="shared" si="252"/>
        <v>0</v>
      </c>
      <c r="H2657" s="116">
        <f t="shared" si="253"/>
        <v>0</v>
      </c>
    </row>
    <row r="2658" spans="1:8" s="10" customFormat="1" outlineLevel="1" x14ac:dyDescent="0.2">
      <c r="D2658" s="49" t="str">
        <f>OTHER_DETAILED_COST_WKSHT!D269</f>
        <v>Supplies and Materials Category 7</v>
      </c>
      <c r="E2658" s="115">
        <f>IF(DD_TOP_ACTV_19_Detailed_Currency_Used=2,OTHER_DETAILED_COST_WKSHT!$F269*OTHER_DETAILED_COST_WKSHT!G269,OTHER_DETAILED_COST_WKSHT!$F269*(OTHER_DETAILED_COST_WKSHT!G269*TOP_ACTV_19_Exchange_Rate))</f>
        <v>0</v>
      </c>
      <c r="F2658" s="115">
        <f>IF(DD_TOP_ACTV_19_Detailed_Currency_Used=2,OTHER_DETAILED_COST_WKSHT!$F269*OTHER_DETAILED_COST_WKSHT!H269,OTHER_DETAILED_COST_WKSHT!$F269*(OTHER_DETAILED_COST_WKSHT!H269*TOP_ACTV_19_Exchange_Rate))</f>
        <v>0</v>
      </c>
      <c r="G2658" s="116">
        <f t="shared" si="252"/>
        <v>0</v>
      </c>
      <c r="H2658" s="116">
        <f t="shared" si="253"/>
        <v>0</v>
      </c>
    </row>
    <row r="2659" spans="1:8" s="10" customFormat="1" outlineLevel="1" x14ac:dyDescent="0.2">
      <c r="D2659" s="49" t="str">
        <f>OTHER_DETAILED_COST_WKSHT!D270</f>
        <v>Supplies and Materials Category 8</v>
      </c>
      <c r="E2659" s="115">
        <f>IF(DD_TOP_ACTV_19_Detailed_Currency_Used=2,OTHER_DETAILED_COST_WKSHT!$F270*OTHER_DETAILED_COST_WKSHT!G270,OTHER_DETAILED_COST_WKSHT!$F270*(OTHER_DETAILED_COST_WKSHT!G270*TOP_ACTV_19_Exchange_Rate))</f>
        <v>0</v>
      </c>
      <c r="F2659" s="115">
        <f>IF(DD_TOP_ACTV_19_Detailed_Currency_Used=2,OTHER_DETAILED_COST_WKSHT!$F270*OTHER_DETAILED_COST_WKSHT!H270,OTHER_DETAILED_COST_WKSHT!$F270*(OTHER_DETAILED_COST_WKSHT!H270*TOP_ACTV_19_Exchange_Rate))</f>
        <v>0</v>
      </c>
      <c r="G2659" s="116">
        <f t="shared" si="252"/>
        <v>0</v>
      </c>
      <c r="H2659" s="116">
        <f t="shared" si="253"/>
        <v>0</v>
      </c>
    </row>
    <row r="2660" spans="1:8" s="10" customFormat="1" outlineLevel="1" x14ac:dyDescent="0.2">
      <c r="D2660" s="49" t="str">
        <f>OTHER_DETAILED_COST_WKSHT!D271</f>
        <v>Supplies and Materials Category 9</v>
      </c>
      <c r="E2660" s="115">
        <f>IF(DD_TOP_ACTV_19_Detailed_Currency_Used=2,OTHER_DETAILED_COST_WKSHT!$F271*OTHER_DETAILED_COST_WKSHT!G271,OTHER_DETAILED_COST_WKSHT!$F271*(OTHER_DETAILED_COST_WKSHT!G271*TOP_ACTV_19_Exchange_Rate))</f>
        <v>0</v>
      </c>
      <c r="F2660" s="115">
        <f>IF(DD_TOP_ACTV_19_Detailed_Currency_Used=2,OTHER_DETAILED_COST_WKSHT!$F271*OTHER_DETAILED_COST_WKSHT!H271,OTHER_DETAILED_COST_WKSHT!$F271*(OTHER_DETAILED_COST_WKSHT!H271*TOP_ACTV_19_Exchange_Rate))</f>
        <v>0</v>
      </c>
      <c r="G2660" s="116">
        <f t="shared" si="252"/>
        <v>0</v>
      </c>
      <c r="H2660" s="116">
        <f t="shared" si="253"/>
        <v>0</v>
      </c>
    </row>
    <row r="2661" spans="1:8" s="10" customFormat="1" outlineLevel="1" x14ac:dyDescent="0.2">
      <c r="D2661" s="49" t="str">
        <f>OTHER_DETAILED_COST_WKSHT!D272</f>
        <v>Supplies and Materials Category 10</v>
      </c>
      <c r="E2661" s="115">
        <f>IF(DD_TOP_ACTV_19_Detailed_Currency_Used=2,OTHER_DETAILED_COST_WKSHT!$F272*OTHER_DETAILED_COST_WKSHT!G272,OTHER_DETAILED_COST_WKSHT!$F272*(OTHER_DETAILED_COST_WKSHT!G272*TOP_ACTV_19_Exchange_Rate))</f>
        <v>0</v>
      </c>
      <c r="F2661" s="115">
        <f>IF(DD_TOP_ACTV_19_Detailed_Currency_Used=2,OTHER_DETAILED_COST_WKSHT!$F272*OTHER_DETAILED_COST_WKSHT!H272,OTHER_DETAILED_COST_WKSHT!$F272*(OTHER_DETAILED_COST_WKSHT!H272*TOP_ACTV_19_Exchange_Rate))</f>
        <v>0</v>
      </c>
      <c r="G2661" s="116">
        <f t="shared" si="252"/>
        <v>0</v>
      </c>
      <c r="H2661" s="116">
        <f t="shared" si="253"/>
        <v>0</v>
      </c>
    </row>
    <row r="2662" spans="1:8" s="10" customFormat="1" outlineLevel="1" x14ac:dyDescent="0.2">
      <c r="D2662" s="48" t="str">
        <f>Lang_Supplies_And_Materials</f>
        <v>Supplies and Materials</v>
      </c>
      <c r="E2662" s="120">
        <f>SUM(E2652:E2661)</f>
        <v>0</v>
      </c>
      <c r="F2662" s="120">
        <f>SUM(F2652:F2661)</f>
        <v>0</v>
      </c>
      <c r="G2662" s="121">
        <f>SUM(G2652:G2661)</f>
        <v>0</v>
      </c>
      <c r="H2662" s="121">
        <f>SUM(H2652:H2661)</f>
        <v>0</v>
      </c>
    </row>
    <row r="2663" spans="1:8" s="10" customFormat="1" outlineLevel="1" x14ac:dyDescent="0.2"/>
    <row r="2664" spans="1:8" s="10" customFormat="1" outlineLevel="1" x14ac:dyDescent="0.2"/>
    <row r="2665" spans="1:8" s="10" customFormat="1" outlineLevel="1" x14ac:dyDescent="0.2">
      <c r="D2665" s="76" t="str">
        <f>Lang_GoTo&amp;" "&amp;HL_TOP_ACTV_19_Supplies_and_Materials</f>
        <v>Go to Other Activity #3 - (Recurrent Costs Only) (Not in Use) - Detailed Supply and Material Cost Assumptions</v>
      </c>
    </row>
    <row r="2666" spans="1:8" s="10" customFormat="1" outlineLevel="1" x14ac:dyDescent="0.2">
      <c r="D2666" s="76" t="str">
        <f>Lang_GoTo&amp;" "&amp;HL_TOP_ACTV_19_Cost_Summary_Output</f>
        <v>Go to Other Activity #3 - (Recurrent Costs Only) (Not in Use) Detailed Cost Summary</v>
      </c>
    </row>
    <row r="2667" spans="1:8" s="10" customFormat="1" x14ac:dyDescent="0.2"/>
    <row r="2668" spans="1:8" s="13" customFormat="1" x14ac:dyDescent="0.2">
      <c r="A2668" s="12" t="s">
        <v>127</v>
      </c>
      <c r="B2668" s="13" t="str">
        <f>HL_TOP_ACTV_19_Name&amp;" "&amp;Lang_Other_Direct_Costs_Outputs</f>
        <v>Other Activity #3 - (Recurrent Costs Only) (Not in Use) Other Direct Costs - Outputs</v>
      </c>
    </row>
    <row r="2669" spans="1:8" s="10" customFormat="1" outlineLevel="1" x14ac:dyDescent="0.2"/>
    <row r="2670" spans="1:8" s="10" customFormat="1" outlineLevel="1" x14ac:dyDescent="0.2">
      <c r="C2670" s="114" t="str">
        <f>HL_TOP_ACTV_19_Name</f>
        <v>Other Activity #3 - (Recurrent Costs Only) (Not in Use)</v>
      </c>
    </row>
    <row r="2671" spans="1:8" s="10" customFormat="1" outlineLevel="1" x14ac:dyDescent="0.2">
      <c r="E2671" s="86" t="str">
        <f>OTHER_Lu!$D$102&amp;" "&amp;Lang_Cost&amp;" ("&amp;OTHER_Lu!$D$83&amp;")"</f>
        <v>Financial Cost (LCU)</v>
      </c>
      <c r="F2671" s="86" t="str">
        <f>OTHER_Lu!$D$103&amp;" "&amp;Lang_Cost&amp;" ("&amp;OTHER_Lu!$D$83&amp;")"</f>
        <v>Economic Cost (LCU)</v>
      </c>
      <c r="G2671" s="86" t="str">
        <f>OTHER_Lu!$D$102&amp;" "&amp;Lang_Cost&amp;" ("&amp;OTHER_Lu!$D$82&amp;")"</f>
        <v>Financial Cost (USD)</v>
      </c>
      <c r="H2671" s="86" t="str">
        <f>OTHER_Lu!$D$103&amp;" "&amp;Lang_Cost&amp;" ("&amp;OTHER_Lu!$D$82&amp;")"</f>
        <v>Economic Cost (USD)</v>
      </c>
    </row>
    <row r="2672" spans="1:8" s="10" customFormat="1" outlineLevel="1" x14ac:dyDescent="0.2">
      <c r="D2672" s="49" t="str">
        <f>OTHER_DETAILED_COST_WKSHT!D184</f>
        <v>Other Direct Costs (ODC) Category 1</v>
      </c>
      <c r="E2672" s="115">
        <f>IF(DD_TOP_ACTV_19_Detailed_Currency_Used=2,OTHER_DETAILED_COST_WKSHT!$F184*OTHER_DETAILED_COST_WKSHT!G184,OTHER_DETAILED_COST_WKSHT!$F184*(OTHER_DETAILED_COST_WKSHT!G184*TOP_ACTV_19_Exchange_Rate))</f>
        <v>0</v>
      </c>
      <c r="F2672" s="115">
        <f>IF(DD_TOP_ACTV_19_Detailed_Currency_Used=2,OTHER_DETAILED_COST_WKSHT!$F184*OTHER_DETAILED_COST_WKSHT!H184,OTHER_DETAILED_COST_WKSHT!$F184*(OTHER_DETAILED_COST_WKSHT!H184*TOP_ACTV_19_Exchange_Rate))</f>
        <v>0</v>
      </c>
      <c r="G2672" s="116">
        <f t="shared" ref="G2672:G2681" si="254">E2672/TOP_ACTV_19_Exchange_Rate</f>
        <v>0</v>
      </c>
      <c r="H2672" s="116">
        <f t="shared" ref="H2672:H2681" si="255">F2672/TOP_ACTV_19_Exchange_Rate</f>
        <v>0</v>
      </c>
    </row>
    <row r="2673" spans="1:8" s="10" customFormat="1" outlineLevel="1" x14ac:dyDescent="0.2">
      <c r="D2673" s="49" t="str">
        <f>OTHER_DETAILED_COST_WKSHT!D185</f>
        <v>Other Direct Costs (ODC) Category 2</v>
      </c>
      <c r="E2673" s="115">
        <f>IF(DD_TOP_ACTV_19_Detailed_Currency_Used=2,OTHER_DETAILED_COST_WKSHT!$F185*OTHER_DETAILED_COST_WKSHT!G185,OTHER_DETAILED_COST_WKSHT!$F185*(OTHER_DETAILED_COST_WKSHT!G185*TOP_ACTV_19_Exchange_Rate))</f>
        <v>0</v>
      </c>
      <c r="F2673" s="115">
        <f>IF(DD_TOP_ACTV_19_Detailed_Currency_Used=2,OTHER_DETAILED_COST_WKSHT!$F185*OTHER_DETAILED_COST_WKSHT!H185,OTHER_DETAILED_COST_WKSHT!$F185*(OTHER_DETAILED_COST_WKSHT!H185*TOP_ACTV_19_Exchange_Rate))</f>
        <v>0</v>
      </c>
      <c r="G2673" s="116">
        <f t="shared" si="254"/>
        <v>0</v>
      </c>
      <c r="H2673" s="116">
        <f t="shared" si="255"/>
        <v>0</v>
      </c>
    </row>
    <row r="2674" spans="1:8" s="10" customFormat="1" outlineLevel="1" x14ac:dyDescent="0.2">
      <c r="D2674" s="49" t="str">
        <f>OTHER_DETAILED_COST_WKSHT!D186</f>
        <v>Other Direct Costs (ODC) Category 3</v>
      </c>
      <c r="E2674" s="115">
        <f>IF(DD_TOP_ACTV_19_Detailed_Currency_Used=2,OTHER_DETAILED_COST_WKSHT!$F186*OTHER_DETAILED_COST_WKSHT!G186,OTHER_DETAILED_COST_WKSHT!$F186*(OTHER_DETAILED_COST_WKSHT!G186*TOP_ACTV_19_Exchange_Rate))</f>
        <v>0</v>
      </c>
      <c r="F2674" s="115">
        <f>IF(DD_TOP_ACTV_19_Detailed_Currency_Used=2,OTHER_DETAILED_COST_WKSHT!$F186*OTHER_DETAILED_COST_WKSHT!H186,OTHER_DETAILED_COST_WKSHT!$F186*(OTHER_DETAILED_COST_WKSHT!H186*TOP_ACTV_19_Exchange_Rate))</f>
        <v>0</v>
      </c>
      <c r="G2674" s="116">
        <f t="shared" si="254"/>
        <v>0</v>
      </c>
      <c r="H2674" s="116">
        <f t="shared" si="255"/>
        <v>0</v>
      </c>
    </row>
    <row r="2675" spans="1:8" s="10" customFormat="1" outlineLevel="1" x14ac:dyDescent="0.2">
      <c r="D2675" s="49" t="str">
        <f>OTHER_DETAILED_COST_WKSHT!D187</f>
        <v>Other Direct Costs (ODC) Category 4</v>
      </c>
      <c r="E2675" s="115">
        <f>IF(DD_TOP_ACTV_19_Detailed_Currency_Used=2,OTHER_DETAILED_COST_WKSHT!$F187*OTHER_DETAILED_COST_WKSHT!G187,OTHER_DETAILED_COST_WKSHT!$F187*(OTHER_DETAILED_COST_WKSHT!G187*TOP_ACTV_19_Exchange_Rate))</f>
        <v>0</v>
      </c>
      <c r="F2675" s="115">
        <f>IF(DD_TOP_ACTV_19_Detailed_Currency_Used=2,OTHER_DETAILED_COST_WKSHT!$F187*OTHER_DETAILED_COST_WKSHT!H187,OTHER_DETAILED_COST_WKSHT!$F187*(OTHER_DETAILED_COST_WKSHT!H187*TOP_ACTV_19_Exchange_Rate))</f>
        <v>0</v>
      </c>
      <c r="G2675" s="116">
        <f t="shared" si="254"/>
        <v>0</v>
      </c>
      <c r="H2675" s="116">
        <f t="shared" si="255"/>
        <v>0</v>
      </c>
    </row>
    <row r="2676" spans="1:8" s="10" customFormat="1" outlineLevel="1" x14ac:dyDescent="0.2">
      <c r="D2676" s="49" t="str">
        <f>OTHER_DETAILED_COST_WKSHT!D188</f>
        <v>Other Direct Costs (ODC) Category 5</v>
      </c>
      <c r="E2676" s="115">
        <f>IF(DD_TOP_ACTV_19_Detailed_Currency_Used=2,OTHER_DETAILED_COST_WKSHT!$F188*OTHER_DETAILED_COST_WKSHT!G188,OTHER_DETAILED_COST_WKSHT!$F188*(OTHER_DETAILED_COST_WKSHT!G188*TOP_ACTV_19_Exchange_Rate))</f>
        <v>0</v>
      </c>
      <c r="F2676" s="115">
        <f>IF(DD_TOP_ACTV_19_Detailed_Currency_Used=2,OTHER_DETAILED_COST_WKSHT!$F188*OTHER_DETAILED_COST_WKSHT!H188,OTHER_DETAILED_COST_WKSHT!$F188*(OTHER_DETAILED_COST_WKSHT!H188*TOP_ACTV_19_Exchange_Rate))</f>
        <v>0</v>
      </c>
      <c r="G2676" s="116">
        <f t="shared" si="254"/>
        <v>0</v>
      </c>
      <c r="H2676" s="116">
        <f t="shared" si="255"/>
        <v>0</v>
      </c>
    </row>
    <row r="2677" spans="1:8" s="10" customFormat="1" outlineLevel="1" x14ac:dyDescent="0.2">
      <c r="D2677" s="49" t="str">
        <f>OTHER_DETAILED_COST_WKSHT!D189</f>
        <v>Other Direct Costs (ODC) Category 6</v>
      </c>
      <c r="E2677" s="115">
        <f>IF(DD_TOP_ACTV_19_Detailed_Currency_Used=2,OTHER_DETAILED_COST_WKSHT!$F189*OTHER_DETAILED_COST_WKSHT!G189,OTHER_DETAILED_COST_WKSHT!$F189*(OTHER_DETAILED_COST_WKSHT!G189*TOP_ACTV_19_Exchange_Rate))</f>
        <v>0</v>
      </c>
      <c r="F2677" s="115">
        <f>IF(DD_TOP_ACTV_19_Detailed_Currency_Used=2,OTHER_DETAILED_COST_WKSHT!$F189*OTHER_DETAILED_COST_WKSHT!H189,OTHER_DETAILED_COST_WKSHT!$F189*(OTHER_DETAILED_COST_WKSHT!H189*TOP_ACTV_19_Exchange_Rate))</f>
        <v>0</v>
      </c>
      <c r="G2677" s="116">
        <f t="shared" si="254"/>
        <v>0</v>
      </c>
      <c r="H2677" s="116">
        <f t="shared" si="255"/>
        <v>0</v>
      </c>
    </row>
    <row r="2678" spans="1:8" s="10" customFormat="1" outlineLevel="1" x14ac:dyDescent="0.2">
      <c r="D2678" s="49" t="str">
        <f>OTHER_DETAILED_COST_WKSHT!D190</f>
        <v>Other Direct Costs (ODC) Category 7</v>
      </c>
      <c r="E2678" s="115">
        <f>IF(DD_TOP_ACTV_19_Detailed_Currency_Used=2,OTHER_DETAILED_COST_WKSHT!$F190*OTHER_DETAILED_COST_WKSHT!G190,OTHER_DETAILED_COST_WKSHT!$F190*(OTHER_DETAILED_COST_WKSHT!G190*TOP_ACTV_19_Exchange_Rate))</f>
        <v>0</v>
      </c>
      <c r="F2678" s="115">
        <f>IF(DD_TOP_ACTV_19_Detailed_Currency_Used=2,OTHER_DETAILED_COST_WKSHT!$F190*OTHER_DETAILED_COST_WKSHT!H190,OTHER_DETAILED_COST_WKSHT!$F190*(OTHER_DETAILED_COST_WKSHT!H190*TOP_ACTV_19_Exchange_Rate))</f>
        <v>0</v>
      </c>
      <c r="G2678" s="116">
        <f t="shared" si="254"/>
        <v>0</v>
      </c>
      <c r="H2678" s="116">
        <f t="shared" si="255"/>
        <v>0</v>
      </c>
    </row>
    <row r="2679" spans="1:8" s="10" customFormat="1" outlineLevel="1" x14ac:dyDescent="0.2">
      <c r="D2679" s="49" t="str">
        <f>OTHER_DETAILED_COST_WKSHT!D191</f>
        <v>Other Direct Costs (ODC) Category 8</v>
      </c>
      <c r="E2679" s="115">
        <f>IF(DD_TOP_ACTV_19_Detailed_Currency_Used=2,OTHER_DETAILED_COST_WKSHT!$F191*OTHER_DETAILED_COST_WKSHT!G191,OTHER_DETAILED_COST_WKSHT!$F191*(OTHER_DETAILED_COST_WKSHT!G191*TOP_ACTV_19_Exchange_Rate))</f>
        <v>0</v>
      </c>
      <c r="F2679" s="115">
        <f>IF(DD_TOP_ACTV_19_Detailed_Currency_Used=2,OTHER_DETAILED_COST_WKSHT!$F191*OTHER_DETAILED_COST_WKSHT!H191,OTHER_DETAILED_COST_WKSHT!$F191*(OTHER_DETAILED_COST_WKSHT!H191*TOP_ACTV_19_Exchange_Rate))</f>
        <v>0</v>
      </c>
      <c r="G2679" s="116">
        <f t="shared" si="254"/>
        <v>0</v>
      </c>
      <c r="H2679" s="116">
        <f t="shared" si="255"/>
        <v>0</v>
      </c>
    </row>
    <row r="2680" spans="1:8" s="10" customFormat="1" outlineLevel="1" x14ac:dyDescent="0.2">
      <c r="D2680" s="49" t="str">
        <f>OTHER_DETAILED_COST_WKSHT!D192</f>
        <v>Other Direct Costs (ODC) Category 9</v>
      </c>
      <c r="E2680" s="115">
        <f>IF(DD_TOP_ACTV_19_Detailed_Currency_Used=2,OTHER_DETAILED_COST_WKSHT!$F192*OTHER_DETAILED_COST_WKSHT!G192,OTHER_DETAILED_COST_WKSHT!$F192*(OTHER_DETAILED_COST_WKSHT!G192*TOP_ACTV_19_Exchange_Rate))</f>
        <v>0</v>
      </c>
      <c r="F2680" s="115">
        <f>IF(DD_TOP_ACTV_19_Detailed_Currency_Used=2,OTHER_DETAILED_COST_WKSHT!$F192*OTHER_DETAILED_COST_WKSHT!H192,OTHER_DETAILED_COST_WKSHT!$F192*(OTHER_DETAILED_COST_WKSHT!H192*TOP_ACTV_19_Exchange_Rate))</f>
        <v>0</v>
      </c>
      <c r="G2680" s="116">
        <f t="shared" si="254"/>
        <v>0</v>
      </c>
      <c r="H2680" s="116">
        <f t="shared" si="255"/>
        <v>0</v>
      </c>
    </row>
    <row r="2681" spans="1:8" s="10" customFormat="1" outlineLevel="1" x14ac:dyDescent="0.2">
      <c r="D2681" s="49" t="str">
        <f>OTHER_DETAILED_COST_WKSHT!D193</f>
        <v>Other Direct Costs (ODC) Category 10</v>
      </c>
      <c r="E2681" s="115">
        <f>IF(DD_TOP_ACTV_19_Detailed_Currency_Used=2,OTHER_DETAILED_COST_WKSHT!$F193*OTHER_DETAILED_COST_WKSHT!G193,OTHER_DETAILED_COST_WKSHT!$F193*(OTHER_DETAILED_COST_WKSHT!G193*TOP_ACTV_19_Exchange_Rate))</f>
        <v>0</v>
      </c>
      <c r="F2681" s="115">
        <f>IF(DD_TOP_ACTV_19_Detailed_Currency_Used=2,OTHER_DETAILED_COST_WKSHT!$F193*OTHER_DETAILED_COST_WKSHT!H193,OTHER_DETAILED_COST_WKSHT!$F193*(OTHER_DETAILED_COST_WKSHT!H193*TOP_ACTV_19_Exchange_Rate))</f>
        <v>0</v>
      </c>
      <c r="G2681" s="116">
        <f t="shared" si="254"/>
        <v>0</v>
      </c>
      <c r="H2681" s="116">
        <f t="shared" si="255"/>
        <v>0</v>
      </c>
    </row>
    <row r="2682" spans="1:8" s="10" customFormat="1" outlineLevel="1" x14ac:dyDescent="0.2">
      <c r="D2682" s="48" t="str">
        <f>Lang_Other_Direct_Costs</f>
        <v>Other Direct Costs</v>
      </c>
      <c r="E2682" s="120">
        <f>SUM(E2672:E2681)</f>
        <v>0</v>
      </c>
      <c r="F2682" s="120">
        <f>SUM(F2672:F2681)</f>
        <v>0</v>
      </c>
      <c r="G2682" s="121">
        <f>SUM(G2672:G2681)</f>
        <v>0</v>
      </c>
      <c r="H2682" s="121">
        <f>SUM(H2672:H2681)</f>
        <v>0</v>
      </c>
    </row>
    <row r="2683" spans="1:8" s="10" customFormat="1" outlineLevel="1" x14ac:dyDescent="0.2"/>
    <row r="2684" spans="1:8" s="10" customFormat="1" outlineLevel="1" x14ac:dyDescent="0.2">
      <c r="D2684" s="76" t="str">
        <f>Lang_GoTo&amp;" "&amp;HL_TOP_ACTV_19_Other_Direct_Costs</f>
        <v>Go to Other Activity #2 - (Recurrent Costs Only) (Not in Use) - Detailed Other Direct Cost Assumptions</v>
      </c>
    </row>
    <row r="2685" spans="1:8" s="10" customFormat="1" outlineLevel="1" x14ac:dyDescent="0.2">
      <c r="D2685" s="76" t="str">
        <f>Lang_GoTo&amp;" "&amp;HL_TOP_ACTV_19_Cost_Summary_Output</f>
        <v>Go to Other Activity #3 - (Recurrent Costs Only) (Not in Use) Detailed Cost Summary</v>
      </c>
    </row>
    <row r="2686" spans="1:8" s="10" customFormat="1" x14ac:dyDescent="0.2"/>
    <row r="2687" spans="1:8" s="13" customFormat="1" x14ac:dyDescent="0.2">
      <c r="A2687" s="12" t="s">
        <v>127</v>
      </c>
      <c r="B2687" s="13" t="str">
        <f>C2689&amp;" "&amp;Lang_Personnel_Outputs</f>
        <v>Other Activity #4 - (Recurrent Costs Only) (Not in Use) Personnel - Outputs</v>
      </c>
    </row>
    <row r="2688" spans="1:8" s="10" customFormat="1" outlineLevel="1" x14ac:dyDescent="0.2"/>
    <row r="2689" spans="3:8" s="10" customFormat="1" outlineLevel="1" x14ac:dyDescent="0.2">
      <c r="C2689" s="114" t="str">
        <f>HL_LVL2_ACTV_7_Name</f>
        <v>Other Activity #4 - (Recurrent Costs Only) (Not in Use)</v>
      </c>
    </row>
    <row r="2690" spans="3:8" s="10" customFormat="1" outlineLevel="1" x14ac:dyDescent="0.2">
      <c r="E2690" s="86" t="str">
        <f>OTHER_Lu!$D$137&amp;" "&amp;Lang_Cost&amp;" ("&amp;OTHER_Lu!$D$118&amp;")"</f>
        <v>Financial Cost (LCU)</v>
      </c>
      <c r="F2690" s="86" t="str">
        <f>OTHER_Lu!$D$138&amp;" "&amp;Lang_Cost&amp;" ("&amp;OTHER_Lu!$D$118&amp;")"</f>
        <v>Economic Cost (LCU)</v>
      </c>
      <c r="G2690" s="86" t="str">
        <f>OTHER_Lu!$D$137&amp;" "&amp;Lang_Cost&amp;" ("&amp;OTHER_Lu!$D$117&amp;")"</f>
        <v>Financial Cost (USD)</v>
      </c>
      <c r="H2690" s="86" t="str">
        <f>OTHER_Lu!$D$138&amp;" "&amp;Lang_Cost&amp;" ("&amp;OTHER_Lu!$D$117&amp;")"</f>
        <v>Economic Cost (USD)</v>
      </c>
    </row>
    <row r="2691" spans="3:8" s="10" customFormat="1" outlineLevel="1" x14ac:dyDescent="0.2">
      <c r="D2691" s="49" t="str">
        <f>OTHER_DETAILED_COST_WKSHT!D321</f>
        <v>Personnel Category 1</v>
      </c>
      <c r="E2691" s="115">
        <f>IF(DD_LVL2_ACTV_7_Currency_Selected=2,OTHER_DETAILED_COST_WKSHT!$F321*OTHER_DETAILED_COST_WKSHT!G321,OTHER_DETAILED_COST_WKSHT!$F321*(OTHER_DETAILED_COST_WKSHT!G321*LVL2_ACTV_7_Exchange_Rate))</f>
        <v>0</v>
      </c>
      <c r="F2691" s="115">
        <f>IF(DD_LVL2_ACTV_7_Currency_Selected=2,OTHER_DETAILED_COST_WKSHT!$F321*OTHER_DETAILED_COST_WKSHT!H321,OTHER_DETAILED_COST_WKSHT!$F321*(OTHER_DETAILED_COST_WKSHT!H321*LVL2_ACTV_7_Exchange_Rate))</f>
        <v>0</v>
      </c>
      <c r="G2691" s="116">
        <f t="shared" ref="G2691:G2705" si="256">IFERROR(E2691/LVL2_ACTV_7_Exchange_Rate,0)</f>
        <v>0</v>
      </c>
      <c r="H2691" s="116">
        <f t="shared" ref="H2691:H2705" si="257">IFERROR(F2691/LVL2_ACTV_7_Exchange_Rate,0)</f>
        <v>0</v>
      </c>
    </row>
    <row r="2692" spans="3:8" s="10" customFormat="1" outlineLevel="1" x14ac:dyDescent="0.2">
      <c r="D2692" s="49" t="str">
        <f>OTHER_DETAILED_COST_WKSHT!D322</f>
        <v>Personnel Category 2</v>
      </c>
      <c r="E2692" s="115">
        <f>IF(DD_LVL2_ACTV_7_Currency_Selected=2,OTHER_DETAILED_COST_WKSHT!$F322*OTHER_DETAILED_COST_WKSHT!G322,OTHER_DETAILED_COST_WKSHT!$F322*(OTHER_DETAILED_COST_WKSHT!G322*LVL2_ACTV_7_Exchange_Rate))</f>
        <v>0</v>
      </c>
      <c r="F2692" s="115">
        <f>IF(DD_LVL2_ACTV_7_Currency_Selected=2,OTHER_DETAILED_COST_WKSHT!$F322*OTHER_DETAILED_COST_WKSHT!H322,OTHER_DETAILED_COST_WKSHT!$F322*(OTHER_DETAILED_COST_WKSHT!H322*LVL2_ACTV_7_Exchange_Rate))</f>
        <v>0</v>
      </c>
      <c r="G2692" s="116">
        <f t="shared" si="256"/>
        <v>0</v>
      </c>
      <c r="H2692" s="116">
        <f t="shared" si="257"/>
        <v>0</v>
      </c>
    </row>
    <row r="2693" spans="3:8" s="10" customFormat="1" outlineLevel="1" x14ac:dyDescent="0.2">
      <c r="D2693" s="49" t="str">
        <f>OTHER_DETAILED_COST_WKSHT!D323</f>
        <v>Personnel Category 3</v>
      </c>
      <c r="E2693" s="115">
        <f>IF(DD_LVL2_ACTV_7_Currency_Selected=2,OTHER_DETAILED_COST_WKSHT!$F323*OTHER_DETAILED_COST_WKSHT!G323,OTHER_DETAILED_COST_WKSHT!$F323*(OTHER_DETAILED_COST_WKSHT!G323*LVL2_ACTV_7_Exchange_Rate))</f>
        <v>0</v>
      </c>
      <c r="F2693" s="115">
        <f>IF(DD_LVL2_ACTV_7_Currency_Selected=2,OTHER_DETAILED_COST_WKSHT!$F323*OTHER_DETAILED_COST_WKSHT!H323,OTHER_DETAILED_COST_WKSHT!$F323*(OTHER_DETAILED_COST_WKSHT!H323*LVL2_ACTV_7_Exchange_Rate))</f>
        <v>0</v>
      </c>
      <c r="G2693" s="116">
        <f t="shared" si="256"/>
        <v>0</v>
      </c>
      <c r="H2693" s="116">
        <f t="shared" si="257"/>
        <v>0</v>
      </c>
    </row>
    <row r="2694" spans="3:8" s="10" customFormat="1" outlineLevel="1" x14ac:dyDescent="0.2">
      <c r="D2694" s="49" t="str">
        <f>OTHER_DETAILED_COST_WKSHT!D324</f>
        <v>Personnel Category 4</v>
      </c>
      <c r="E2694" s="115">
        <f>IF(DD_LVL2_ACTV_7_Currency_Selected=2,OTHER_DETAILED_COST_WKSHT!$F324*OTHER_DETAILED_COST_WKSHT!G324,OTHER_DETAILED_COST_WKSHT!$F324*(OTHER_DETAILED_COST_WKSHT!G324*LVL2_ACTV_7_Exchange_Rate))</f>
        <v>0</v>
      </c>
      <c r="F2694" s="115">
        <f>IF(DD_LVL2_ACTV_7_Currency_Selected=2,OTHER_DETAILED_COST_WKSHT!$F324*OTHER_DETAILED_COST_WKSHT!H324,OTHER_DETAILED_COST_WKSHT!$F324*(OTHER_DETAILED_COST_WKSHT!H324*LVL2_ACTV_7_Exchange_Rate))</f>
        <v>0</v>
      </c>
      <c r="G2694" s="116">
        <f t="shared" si="256"/>
        <v>0</v>
      </c>
      <c r="H2694" s="116">
        <f t="shared" si="257"/>
        <v>0</v>
      </c>
    </row>
    <row r="2695" spans="3:8" s="10" customFormat="1" outlineLevel="1" x14ac:dyDescent="0.2">
      <c r="D2695" s="49" t="str">
        <f>OTHER_DETAILED_COST_WKSHT!D325</f>
        <v>Personnel Category 5</v>
      </c>
      <c r="E2695" s="115">
        <f>IF(DD_LVL2_ACTV_7_Currency_Selected=2,OTHER_DETAILED_COST_WKSHT!$F325*OTHER_DETAILED_COST_WKSHT!G325,OTHER_DETAILED_COST_WKSHT!$F325*(OTHER_DETAILED_COST_WKSHT!G325*LVL2_ACTV_7_Exchange_Rate))</f>
        <v>0</v>
      </c>
      <c r="F2695" s="115">
        <f>IF(DD_LVL2_ACTV_7_Currency_Selected=2,OTHER_DETAILED_COST_WKSHT!$F325*OTHER_DETAILED_COST_WKSHT!H325,OTHER_DETAILED_COST_WKSHT!$F325*(OTHER_DETAILED_COST_WKSHT!H325*LVL2_ACTV_7_Exchange_Rate))</f>
        <v>0</v>
      </c>
      <c r="G2695" s="116">
        <f t="shared" si="256"/>
        <v>0</v>
      </c>
      <c r="H2695" s="116">
        <f t="shared" si="257"/>
        <v>0</v>
      </c>
    </row>
    <row r="2696" spans="3:8" s="10" customFormat="1" outlineLevel="1" x14ac:dyDescent="0.2">
      <c r="D2696" s="49" t="str">
        <f>OTHER_DETAILED_COST_WKSHT!D326</f>
        <v>Personnel Category 6</v>
      </c>
      <c r="E2696" s="115">
        <f>IF(DD_LVL2_ACTV_7_Currency_Selected=2,OTHER_DETAILED_COST_WKSHT!$F326*OTHER_DETAILED_COST_WKSHT!G326,OTHER_DETAILED_COST_WKSHT!$F326*(OTHER_DETAILED_COST_WKSHT!G326*LVL2_ACTV_7_Exchange_Rate))</f>
        <v>0</v>
      </c>
      <c r="F2696" s="115">
        <f>IF(DD_LVL2_ACTV_7_Currency_Selected=2,OTHER_DETAILED_COST_WKSHT!$F326*OTHER_DETAILED_COST_WKSHT!H326,OTHER_DETAILED_COST_WKSHT!$F326*(OTHER_DETAILED_COST_WKSHT!H326*LVL2_ACTV_7_Exchange_Rate))</f>
        <v>0</v>
      </c>
      <c r="G2696" s="116">
        <f t="shared" si="256"/>
        <v>0</v>
      </c>
      <c r="H2696" s="116">
        <f t="shared" si="257"/>
        <v>0</v>
      </c>
    </row>
    <row r="2697" spans="3:8" s="10" customFormat="1" outlineLevel="1" x14ac:dyDescent="0.2">
      <c r="D2697" s="49" t="str">
        <f>OTHER_DETAILED_COST_WKSHT!D327</f>
        <v>Personnel Category 7</v>
      </c>
      <c r="E2697" s="115">
        <f>IF(DD_LVL2_ACTV_7_Currency_Selected=2,OTHER_DETAILED_COST_WKSHT!$F327*OTHER_DETAILED_COST_WKSHT!G327,OTHER_DETAILED_COST_WKSHT!$F327*(OTHER_DETAILED_COST_WKSHT!G327*LVL2_ACTV_7_Exchange_Rate))</f>
        <v>0</v>
      </c>
      <c r="F2697" s="115">
        <f>IF(DD_LVL2_ACTV_7_Currency_Selected=2,OTHER_DETAILED_COST_WKSHT!$F327*OTHER_DETAILED_COST_WKSHT!H327,OTHER_DETAILED_COST_WKSHT!$F327*(OTHER_DETAILED_COST_WKSHT!H327*LVL2_ACTV_7_Exchange_Rate))</f>
        <v>0</v>
      </c>
      <c r="G2697" s="116">
        <f t="shared" si="256"/>
        <v>0</v>
      </c>
      <c r="H2697" s="116">
        <f t="shared" si="257"/>
        <v>0</v>
      </c>
    </row>
    <row r="2698" spans="3:8" s="10" customFormat="1" outlineLevel="1" x14ac:dyDescent="0.2">
      <c r="D2698" s="49" t="str">
        <f>OTHER_DETAILED_COST_WKSHT!D328</f>
        <v>Personnel Category 8</v>
      </c>
      <c r="E2698" s="115">
        <f>IF(DD_LVL2_ACTV_7_Currency_Selected=2,OTHER_DETAILED_COST_WKSHT!$F328*OTHER_DETAILED_COST_WKSHT!G328,OTHER_DETAILED_COST_WKSHT!$F328*(OTHER_DETAILED_COST_WKSHT!G328*LVL2_ACTV_7_Exchange_Rate))</f>
        <v>0</v>
      </c>
      <c r="F2698" s="115">
        <f>IF(DD_LVL2_ACTV_7_Currency_Selected=2,OTHER_DETAILED_COST_WKSHT!$F328*OTHER_DETAILED_COST_WKSHT!H328,OTHER_DETAILED_COST_WKSHT!$F328*(OTHER_DETAILED_COST_WKSHT!H328*LVL2_ACTV_7_Exchange_Rate))</f>
        <v>0</v>
      </c>
      <c r="G2698" s="116">
        <f t="shared" si="256"/>
        <v>0</v>
      </c>
      <c r="H2698" s="116">
        <f t="shared" si="257"/>
        <v>0</v>
      </c>
    </row>
    <row r="2699" spans="3:8" s="10" customFormat="1" outlineLevel="1" x14ac:dyDescent="0.2">
      <c r="D2699" s="49" t="str">
        <f>OTHER_DETAILED_COST_WKSHT!D329</f>
        <v>Personnel Category 9</v>
      </c>
      <c r="E2699" s="115">
        <f>IF(DD_LVL2_ACTV_7_Currency_Selected=2,OTHER_DETAILED_COST_WKSHT!$F329*OTHER_DETAILED_COST_WKSHT!G329,OTHER_DETAILED_COST_WKSHT!$F329*(OTHER_DETAILED_COST_WKSHT!G329*LVL2_ACTV_7_Exchange_Rate))</f>
        <v>0</v>
      </c>
      <c r="F2699" s="115">
        <f>IF(DD_LVL2_ACTV_7_Currency_Selected=2,OTHER_DETAILED_COST_WKSHT!$F329*OTHER_DETAILED_COST_WKSHT!H329,OTHER_DETAILED_COST_WKSHT!$F329*(OTHER_DETAILED_COST_WKSHT!H329*LVL2_ACTV_7_Exchange_Rate))</f>
        <v>0</v>
      </c>
      <c r="G2699" s="116">
        <f t="shared" si="256"/>
        <v>0</v>
      </c>
      <c r="H2699" s="116">
        <f t="shared" si="257"/>
        <v>0</v>
      </c>
    </row>
    <row r="2700" spans="3:8" s="10" customFormat="1" outlineLevel="1" x14ac:dyDescent="0.2">
      <c r="D2700" s="49" t="str">
        <f>OTHER_DETAILED_COST_WKSHT!D330</f>
        <v>Personnel Category 10</v>
      </c>
      <c r="E2700" s="115">
        <f>IF(DD_LVL2_ACTV_7_Currency_Selected=2,OTHER_DETAILED_COST_WKSHT!$F330*OTHER_DETAILED_COST_WKSHT!G330,OTHER_DETAILED_COST_WKSHT!$F330*(OTHER_DETAILED_COST_WKSHT!G330*LVL2_ACTV_7_Exchange_Rate))</f>
        <v>0</v>
      </c>
      <c r="F2700" s="115">
        <f>IF(DD_LVL2_ACTV_7_Currency_Selected=2,OTHER_DETAILED_COST_WKSHT!$F330*OTHER_DETAILED_COST_WKSHT!H330,OTHER_DETAILED_COST_WKSHT!$F330*(OTHER_DETAILED_COST_WKSHT!H330*LVL2_ACTV_7_Exchange_Rate))</f>
        <v>0</v>
      </c>
      <c r="G2700" s="116">
        <f t="shared" si="256"/>
        <v>0</v>
      </c>
      <c r="H2700" s="116">
        <f t="shared" si="257"/>
        <v>0</v>
      </c>
    </row>
    <row r="2701" spans="3:8" s="10" customFormat="1" outlineLevel="1" x14ac:dyDescent="0.2">
      <c r="D2701" s="49" t="str">
        <f>OTHER_DETAILED_COST_WKSHT!D331</f>
        <v>Personnel Category 11</v>
      </c>
      <c r="E2701" s="115">
        <f>IF(DD_LVL2_ACTV_7_Currency_Selected=2,OTHER_DETAILED_COST_WKSHT!$F331*OTHER_DETAILED_COST_WKSHT!G331,OTHER_DETAILED_COST_WKSHT!$F331*(OTHER_DETAILED_COST_WKSHT!G331*LVL2_ACTV_7_Exchange_Rate))</f>
        <v>0</v>
      </c>
      <c r="F2701" s="115">
        <f>IF(DD_LVL2_ACTV_7_Currency_Selected=2,OTHER_DETAILED_COST_WKSHT!$F331*OTHER_DETAILED_COST_WKSHT!H331,OTHER_DETAILED_COST_WKSHT!$F331*(OTHER_DETAILED_COST_WKSHT!H331*LVL2_ACTV_7_Exchange_Rate))</f>
        <v>0</v>
      </c>
      <c r="G2701" s="116">
        <f t="shared" si="256"/>
        <v>0</v>
      </c>
      <c r="H2701" s="116">
        <f t="shared" si="257"/>
        <v>0</v>
      </c>
    </row>
    <row r="2702" spans="3:8" s="10" customFormat="1" outlineLevel="1" x14ac:dyDescent="0.2">
      <c r="D2702" s="49" t="str">
        <f>OTHER_DETAILED_COST_WKSHT!D332</f>
        <v>Personnel Category 12</v>
      </c>
      <c r="E2702" s="115">
        <f>IF(DD_LVL2_ACTV_7_Currency_Selected=2,OTHER_DETAILED_COST_WKSHT!$F332*OTHER_DETAILED_COST_WKSHT!G332,OTHER_DETAILED_COST_WKSHT!$F332*(OTHER_DETAILED_COST_WKSHT!G332*LVL2_ACTV_7_Exchange_Rate))</f>
        <v>0</v>
      </c>
      <c r="F2702" s="115">
        <f>IF(DD_LVL2_ACTV_7_Currency_Selected=2,OTHER_DETAILED_COST_WKSHT!$F332*OTHER_DETAILED_COST_WKSHT!H332,OTHER_DETAILED_COST_WKSHT!$F332*(OTHER_DETAILED_COST_WKSHT!H332*LVL2_ACTV_7_Exchange_Rate))</f>
        <v>0</v>
      </c>
      <c r="G2702" s="116">
        <f t="shared" si="256"/>
        <v>0</v>
      </c>
      <c r="H2702" s="116">
        <f t="shared" si="257"/>
        <v>0</v>
      </c>
    </row>
    <row r="2703" spans="3:8" s="10" customFormat="1" outlineLevel="1" x14ac:dyDescent="0.2">
      <c r="D2703" s="49" t="str">
        <f>OTHER_DETAILED_COST_WKSHT!D333</f>
        <v>Personnel Category 13</v>
      </c>
      <c r="E2703" s="115">
        <f>IF(DD_LVL2_ACTV_7_Currency_Selected=2,OTHER_DETAILED_COST_WKSHT!$F333*OTHER_DETAILED_COST_WKSHT!G333,OTHER_DETAILED_COST_WKSHT!$F333*(OTHER_DETAILED_COST_WKSHT!G333*LVL2_ACTV_7_Exchange_Rate))</f>
        <v>0</v>
      </c>
      <c r="F2703" s="115">
        <f>IF(DD_LVL2_ACTV_7_Currency_Selected=2,OTHER_DETAILED_COST_WKSHT!$F333*OTHER_DETAILED_COST_WKSHT!H333,OTHER_DETAILED_COST_WKSHT!$F333*(OTHER_DETAILED_COST_WKSHT!H333*LVL2_ACTV_7_Exchange_Rate))</f>
        <v>0</v>
      </c>
      <c r="G2703" s="116">
        <f t="shared" si="256"/>
        <v>0</v>
      </c>
      <c r="H2703" s="116">
        <f t="shared" si="257"/>
        <v>0</v>
      </c>
    </row>
    <row r="2704" spans="3:8" s="10" customFormat="1" outlineLevel="1" x14ac:dyDescent="0.2">
      <c r="D2704" s="49" t="str">
        <f>OTHER_DETAILED_COST_WKSHT!D334</f>
        <v>Personnel Category 14</v>
      </c>
      <c r="E2704" s="115">
        <f>IF(DD_LVL2_ACTV_7_Currency_Selected=2,OTHER_DETAILED_COST_WKSHT!$F334*OTHER_DETAILED_COST_WKSHT!G334,OTHER_DETAILED_COST_WKSHT!$F334*(OTHER_DETAILED_COST_WKSHT!G334*LVL2_ACTV_7_Exchange_Rate))</f>
        <v>0</v>
      </c>
      <c r="F2704" s="115">
        <f>IF(DD_LVL2_ACTV_7_Currency_Selected=2,OTHER_DETAILED_COST_WKSHT!$F334*OTHER_DETAILED_COST_WKSHT!H334,OTHER_DETAILED_COST_WKSHT!$F334*(OTHER_DETAILED_COST_WKSHT!H334*LVL2_ACTV_7_Exchange_Rate))</f>
        <v>0</v>
      </c>
      <c r="G2704" s="116">
        <f t="shared" si="256"/>
        <v>0</v>
      </c>
      <c r="H2704" s="116">
        <f t="shared" si="257"/>
        <v>0</v>
      </c>
    </row>
    <row r="2705" spans="1:8" s="10" customFormat="1" outlineLevel="1" x14ac:dyDescent="0.2">
      <c r="D2705" s="49" t="str">
        <f>OTHER_DETAILED_COST_WKSHT!D335</f>
        <v>Personnel Category 15</v>
      </c>
      <c r="E2705" s="115">
        <f>IF(DD_LVL2_ACTV_7_Currency_Selected=2,OTHER_DETAILED_COST_WKSHT!$F335*OTHER_DETAILED_COST_WKSHT!G335,OTHER_DETAILED_COST_WKSHT!$F335*(OTHER_DETAILED_COST_WKSHT!G335*LVL2_ACTV_7_Exchange_Rate))</f>
        <v>0</v>
      </c>
      <c r="F2705" s="115">
        <f>IF(DD_LVL2_ACTV_7_Currency_Selected=2,OTHER_DETAILED_COST_WKSHT!$F335*OTHER_DETAILED_COST_WKSHT!H335,OTHER_DETAILED_COST_WKSHT!$F335*(OTHER_DETAILED_COST_WKSHT!H335*LVL2_ACTV_7_Exchange_Rate))</f>
        <v>0</v>
      </c>
      <c r="G2705" s="116">
        <f t="shared" si="256"/>
        <v>0</v>
      </c>
      <c r="H2705" s="116">
        <f t="shared" si="257"/>
        <v>0</v>
      </c>
    </row>
    <row r="2706" spans="1:8" s="10" customFormat="1" outlineLevel="1" x14ac:dyDescent="0.2">
      <c r="D2706" s="48" t="str">
        <f>Lang_Personnel</f>
        <v>Personnel</v>
      </c>
      <c r="E2706" s="120">
        <f>SUM(E2691:E2705)</f>
        <v>0</v>
      </c>
      <c r="F2706" s="120">
        <f>SUM(F2691:F2705)</f>
        <v>0</v>
      </c>
      <c r="G2706" s="121">
        <f>SUM(G2691:G2705)</f>
        <v>0</v>
      </c>
      <c r="H2706" s="121">
        <f>SUM(H2691:H2705)</f>
        <v>0</v>
      </c>
    </row>
    <row r="2707" spans="1:8" s="10" customFormat="1" outlineLevel="1" x14ac:dyDescent="0.2"/>
    <row r="2708" spans="1:8" s="10" customFormat="1" outlineLevel="1" x14ac:dyDescent="0.2"/>
    <row r="2709" spans="1:8" s="10" customFormat="1" outlineLevel="1" x14ac:dyDescent="0.2">
      <c r="D2709" s="76" t="str">
        <f>Lang_GoTo&amp;" "&amp;HL_LVL2_ACTV_7_Personnel_Assumptions</f>
        <v>Go to Other Activity #4 - (Recurrent Costs Only) (Not in Use) - Detailed Personnel Cost Assumptions</v>
      </c>
    </row>
    <row r="2710" spans="1:8" s="10" customFormat="1" outlineLevel="1" x14ac:dyDescent="0.2">
      <c r="D2710" s="76" t="str">
        <f>Lang_GoTo&amp;" "&amp;HL_LVL2_ACTV_7_Cost_Summary_Output</f>
        <v>Go to Other Activity #4 - (Recurrent Costs Only) (Not in Use) Detailed Cost Summary</v>
      </c>
    </row>
    <row r="2711" spans="1:8" s="10" customFormat="1" x14ac:dyDescent="0.2"/>
    <row r="2712" spans="1:8" s="13" customFormat="1" x14ac:dyDescent="0.2">
      <c r="A2712" s="12" t="s">
        <v>127</v>
      </c>
      <c r="B2712" s="13" t="str">
        <f>C2714&amp;" "&amp;Lang_Allowances_Outputs</f>
        <v>Other Activity #4 - (Recurrent Costs Only) (Not in Use) Allowances - Outputs</v>
      </c>
    </row>
    <row r="2713" spans="1:8" s="10" customFormat="1" outlineLevel="1" x14ac:dyDescent="0.2"/>
    <row r="2714" spans="1:8" s="10" customFormat="1" outlineLevel="1" x14ac:dyDescent="0.2">
      <c r="C2714" s="114" t="str">
        <f>HL_LVL2_ACTV_7_Name</f>
        <v>Other Activity #4 - (Recurrent Costs Only) (Not in Use)</v>
      </c>
    </row>
    <row r="2715" spans="1:8" s="10" customFormat="1" outlineLevel="1" x14ac:dyDescent="0.2">
      <c r="E2715" s="86" t="str">
        <f>OTHER_Lu!$D$137&amp;" "&amp;Lang_Cost&amp;" ("&amp;OTHER_Lu!$D$118&amp;")"</f>
        <v>Financial Cost (LCU)</v>
      </c>
      <c r="F2715" s="86" t="str">
        <f>OTHER_Lu!$D$138&amp;" "&amp;Lang_Cost&amp;" ("&amp;OTHER_Lu!$D$118&amp;")"</f>
        <v>Economic Cost (LCU)</v>
      </c>
      <c r="G2715" s="86" t="str">
        <f>OTHER_Lu!$D$137&amp;" "&amp;Lang_Cost&amp;" ("&amp;OTHER_Lu!$D$117&amp;")"</f>
        <v>Financial Cost (USD)</v>
      </c>
      <c r="H2715" s="86" t="str">
        <f>OTHER_Lu!$D$138&amp;" "&amp;Lang_Cost&amp;" ("&amp;OTHER_Lu!$D$117&amp;")"</f>
        <v>Economic Cost (USD)</v>
      </c>
    </row>
    <row r="2716" spans="1:8" s="10" customFormat="1" outlineLevel="1" x14ac:dyDescent="0.2">
      <c r="D2716" s="49" t="str">
        <f>OTHER_DETAILED_COST_WKSHT!D344</f>
        <v>Allowances Category 1</v>
      </c>
      <c r="E2716" s="115">
        <f>IF(DD_LVL2_ACTV_7_Currency_Selected=2,OTHER_DETAILED_COST_WKSHT!$F344*OTHER_DETAILED_COST_WKSHT!G344,OTHER_DETAILED_COST_WKSHT!$F344*(OTHER_DETAILED_COST_WKSHT!G344*LVL2_ACTV_7_Exchange_Rate))</f>
        <v>0</v>
      </c>
      <c r="F2716" s="115">
        <f>IF(DD_LVL2_ACTV_7_Currency_Selected=2,OTHER_DETAILED_COST_WKSHT!$F344*OTHER_DETAILED_COST_WKSHT!H344,OTHER_DETAILED_COST_WKSHT!$F344*(OTHER_DETAILED_COST_WKSHT!H344*LVL2_ACTV_7_Exchange_Rate))</f>
        <v>0</v>
      </c>
      <c r="G2716" s="116">
        <f t="shared" ref="G2716:G2725" si="258">E2716/LVL2_ACTV_7_Exchange_Rate</f>
        <v>0</v>
      </c>
      <c r="H2716" s="116">
        <f t="shared" ref="H2716:H2725" si="259">F2716/LVL2_ACTV_7_Exchange_Rate</f>
        <v>0</v>
      </c>
    </row>
    <row r="2717" spans="1:8" s="10" customFormat="1" outlineLevel="1" x14ac:dyDescent="0.2">
      <c r="D2717" s="49" t="str">
        <f>OTHER_DETAILED_COST_WKSHT!D345</f>
        <v>Allowances Category 2</v>
      </c>
      <c r="E2717" s="115">
        <f>IF(DD_LVL2_ACTV_7_Currency_Selected=2,OTHER_DETAILED_COST_WKSHT!$F345*OTHER_DETAILED_COST_WKSHT!G345,OTHER_DETAILED_COST_WKSHT!$F345*(OTHER_DETAILED_COST_WKSHT!G345*LVL2_ACTV_7_Exchange_Rate))</f>
        <v>0</v>
      </c>
      <c r="F2717" s="115">
        <f>IF(DD_LVL2_ACTV_7_Currency_Selected=2,OTHER_DETAILED_COST_WKSHT!$F345*OTHER_DETAILED_COST_WKSHT!H345,OTHER_DETAILED_COST_WKSHT!$F345*(OTHER_DETAILED_COST_WKSHT!H345*LVL2_ACTV_7_Exchange_Rate))</f>
        <v>0</v>
      </c>
      <c r="G2717" s="116">
        <f t="shared" si="258"/>
        <v>0</v>
      </c>
      <c r="H2717" s="116">
        <f t="shared" si="259"/>
        <v>0</v>
      </c>
    </row>
    <row r="2718" spans="1:8" s="10" customFormat="1" outlineLevel="1" x14ac:dyDescent="0.2">
      <c r="D2718" s="49" t="str">
        <f>OTHER_DETAILED_COST_WKSHT!D346</f>
        <v>Allowances Category 3</v>
      </c>
      <c r="E2718" s="115">
        <f>IF(DD_LVL2_ACTV_7_Currency_Selected=2,OTHER_DETAILED_COST_WKSHT!$F346*OTHER_DETAILED_COST_WKSHT!G346,OTHER_DETAILED_COST_WKSHT!$F346*(OTHER_DETAILED_COST_WKSHT!G346*LVL2_ACTV_7_Exchange_Rate))</f>
        <v>0</v>
      </c>
      <c r="F2718" s="115">
        <f>IF(DD_LVL2_ACTV_7_Currency_Selected=2,OTHER_DETAILED_COST_WKSHT!$F346*OTHER_DETAILED_COST_WKSHT!H346,OTHER_DETAILED_COST_WKSHT!$F346*(OTHER_DETAILED_COST_WKSHT!H346*LVL2_ACTV_7_Exchange_Rate))</f>
        <v>0</v>
      </c>
      <c r="G2718" s="116">
        <f t="shared" si="258"/>
        <v>0</v>
      </c>
      <c r="H2718" s="116">
        <f t="shared" si="259"/>
        <v>0</v>
      </c>
    </row>
    <row r="2719" spans="1:8" s="10" customFormat="1" outlineLevel="1" x14ac:dyDescent="0.2">
      <c r="D2719" s="49" t="str">
        <f>OTHER_DETAILED_COST_WKSHT!D347</f>
        <v>Allowances Category 4</v>
      </c>
      <c r="E2719" s="115">
        <f>IF(DD_LVL2_ACTV_7_Currency_Selected=2,OTHER_DETAILED_COST_WKSHT!$F347*OTHER_DETAILED_COST_WKSHT!G347,OTHER_DETAILED_COST_WKSHT!$F347*(OTHER_DETAILED_COST_WKSHT!G347*LVL2_ACTV_7_Exchange_Rate))</f>
        <v>0</v>
      </c>
      <c r="F2719" s="115">
        <f>IF(DD_LVL2_ACTV_7_Currency_Selected=2,OTHER_DETAILED_COST_WKSHT!$F347*OTHER_DETAILED_COST_WKSHT!H347,OTHER_DETAILED_COST_WKSHT!$F347*(OTHER_DETAILED_COST_WKSHT!H347*LVL2_ACTV_7_Exchange_Rate))</f>
        <v>0</v>
      </c>
      <c r="G2719" s="116">
        <f t="shared" si="258"/>
        <v>0</v>
      </c>
      <c r="H2719" s="116">
        <f t="shared" si="259"/>
        <v>0</v>
      </c>
    </row>
    <row r="2720" spans="1:8" s="10" customFormat="1" outlineLevel="1" x14ac:dyDescent="0.2">
      <c r="D2720" s="49" t="str">
        <f>OTHER_DETAILED_COST_WKSHT!D348</f>
        <v>Allowances Category 5</v>
      </c>
      <c r="E2720" s="115">
        <f>IF(DD_LVL2_ACTV_7_Currency_Selected=2,OTHER_DETAILED_COST_WKSHT!$F348*OTHER_DETAILED_COST_WKSHT!G348,OTHER_DETAILED_COST_WKSHT!$F348*(OTHER_DETAILED_COST_WKSHT!G348*LVL2_ACTV_7_Exchange_Rate))</f>
        <v>0</v>
      </c>
      <c r="F2720" s="115">
        <f>IF(DD_LVL2_ACTV_7_Currency_Selected=2,OTHER_DETAILED_COST_WKSHT!$F348*OTHER_DETAILED_COST_WKSHT!H348,OTHER_DETAILED_COST_WKSHT!$F348*(OTHER_DETAILED_COST_WKSHT!H348*LVL2_ACTV_7_Exchange_Rate))</f>
        <v>0</v>
      </c>
      <c r="G2720" s="116">
        <f t="shared" si="258"/>
        <v>0</v>
      </c>
      <c r="H2720" s="116">
        <f t="shared" si="259"/>
        <v>0</v>
      </c>
    </row>
    <row r="2721" spans="1:8" s="10" customFormat="1" outlineLevel="1" x14ac:dyDescent="0.2">
      <c r="D2721" s="49" t="str">
        <f>OTHER_DETAILED_COST_WKSHT!D349</f>
        <v>Allowances Category 6</v>
      </c>
      <c r="E2721" s="115">
        <f>IF(DD_LVL2_ACTV_7_Currency_Selected=2,OTHER_DETAILED_COST_WKSHT!$F349*OTHER_DETAILED_COST_WKSHT!G349,OTHER_DETAILED_COST_WKSHT!$F349*(OTHER_DETAILED_COST_WKSHT!G349*LVL2_ACTV_7_Exchange_Rate))</f>
        <v>0</v>
      </c>
      <c r="F2721" s="115">
        <f>IF(DD_LVL2_ACTV_7_Currency_Selected=2,OTHER_DETAILED_COST_WKSHT!$F349*OTHER_DETAILED_COST_WKSHT!H349,OTHER_DETAILED_COST_WKSHT!$F349*(OTHER_DETAILED_COST_WKSHT!H349*LVL2_ACTV_7_Exchange_Rate))</f>
        <v>0</v>
      </c>
      <c r="G2721" s="116">
        <f t="shared" si="258"/>
        <v>0</v>
      </c>
      <c r="H2721" s="116">
        <f t="shared" si="259"/>
        <v>0</v>
      </c>
    </row>
    <row r="2722" spans="1:8" s="10" customFormat="1" outlineLevel="1" x14ac:dyDescent="0.2">
      <c r="D2722" s="49" t="str">
        <f>OTHER_DETAILED_COST_WKSHT!D350</f>
        <v>Allowances Category 7</v>
      </c>
      <c r="E2722" s="115">
        <f>IF(DD_LVL2_ACTV_7_Currency_Selected=2,OTHER_DETAILED_COST_WKSHT!$F350*OTHER_DETAILED_COST_WKSHT!G350,OTHER_DETAILED_COST_WKSHT!$F350*(OTHER_DETAILED_COST_WKSHT!G350*LVL2_ACTV_7_Exchange_Rate))</f>
        <v>0</v>
      </c>
      <c r="F2722" s="115">
        <f>IF(DD_LVL2_ACTV_7_Currency_Selected=2,OTHER_DETAILED_COST_WKSHT!$F350*OTHER_DETAILED_COST_WKSHT!H350,OTHER_DETAILED_COST_WKSHT!$F350*(OTHER_DETAILED_COST_WKSHT!H350*LVL2_ACTV_7_Exchange_Rate))</f>
        <v>0</v>
      </c>
      <c r="G2722" s="116">
        <f t="shared" si="258"/>
        <v>0</v>
      </c>
      <c r="H2722" s="116">
        <f t="shared" si="259"/>
        <v>0</v>
      </c>
    </row>
    <row r="2723" spans="1:8" s="10" customFormat="1" outlineLevel="1" x14ac:dyDescent="0.2">
      <c r="D2723" s="49" t="str">
        <f>OTHER_DETAILED_COST_WKSHT!D351</f>
        <v>Allowances Category 8</v>
      </c>
      <c r="E2723" s="115">
        <f>IF(DD_LVL2_ACTV_7_Currency_Selected=2,OTHER_DETAILED_COST_WKSHT!$F351*OTHER_DETAILED_COST_WKSHT!G351,OTHER_DETAILED_COST_WKSHT!$F351*(OTHER_DETAILED_COST_WKSHT!G351*LVL2_ACTV_7_Exchange_Rate))</f>
        <v>0</v>
      </c>
      <c r="F2723" s="115">
        <f>IF(DD_LVL2_ACTV_7_Currency_Selected=2,OTHER_DETAILED_COST_WKSHT!$F351*OTHER_DETAILED_COST_WKSHT!H351,OTHER_DETAILED_COST_WKSHT!$F351*(OTHER_DETAILED_COST_WKSHT!H351*LVL2_ACTV_7_Exchange_Rate))</f>
        <v>0</v>
      </c>
      <c r="G2723" s="116">
        <f t="shared" si="258"/>
        <v>0</v>
      </c>
      <c r="H2723" s="116">
        <f t="shared" si="259"/>
        <v>0</v>
      </c>
    </row>
    <row r="2724" spans="1:8" s="10" customFormat="1" outlineLevel="1" x14ac:dyDescent="0.2">
      <c r="D2724" s="49" t="str">
        <f>OTHER_DETAILED_COST_WKSHT!D352</f>
        <v>Allowances Category 9</v>
      </c>
      <c r="E2724" s="115">
        <f>IF(DD_LVL2_ACTV_7_Currency_Selected=2,OTHER_DETAILED_COST_WKSHT!$F352*OTHER_DETAILED_COST_WKSHT!G352,OTHER_DETAILED_COST_WKSHT!$F352*(OTHER_DETAILED_COST_WKSHT!G352*LVL2_ACTV_7_Exchange_Rate))</f>
        <v>0</v>
      </c>
      <c r="F2724" s="115">
        <f>IF(DD_LVL2_ACTV_7_Currency_Selected=2,OTHER_DETAILED_COST_WKSHT!$F352*OTHER_DETAILED_COST_WKSHT!H352,OTHER_DETAILED_COST_WKSHT!$F352*(OTHER_DETAILED_COST_WKSHT!H352*LVL2_ACTV_7_Exchange_Rate))</f>
        <v>0</v>
      </c>
      <c r="G2724" s="116">
        <f t="shared" si="258"/>
        <v>0</v>
      </c>
      <c r="H2724" s="116">
        <f t="shared" si="259"/>
        <v>0</v>
      </c>
    </row>
    <row r="2725" spans="1:8" s="10" customFormat="1" outlineLevel="1" x14ac:dyDescent="0.2">
      <c r="D2725" s="49" t="str">
        <f>OTHER_DETAILED_COST_WKSHT!D353</f>
        <v>Allowances Category 10</v>
      </c>
      <c r="E2725" s="115">
        <f>IF(DD_LVL2_ACTV_7_Currency_Selected=2,OTHER_DETAILED_COST_WKSHT!$F353*OTHER_DETAILED_COST_WKSHT!G353,OTHER_DETAILED_COST_WKSHT!$F353*(OTHER_DETAILED_COST_WKSHT!G353*LVL2_ACTV_7_Exchange_Rate))</f>
        <v>0</v>
      </c>
      <c r="F2725" s="115">
        <f>IF(DD_LVL2_ACTV_7_Currency_Selected=2,OTHER_DETAILED_COST_WKSHT!$F353*OTHER_DETAILED_COST_WKSHT!H353,OTHER_DETAILED_COST_WKSHT!$F353*(OTHER_DETAILED_COST_WKSHT!H353*LVL2_ACTV_7_Exchange_Rate))</f>
        <v>0</v>
      </c>
      <c r="G2725" s="116">
        <f t="shared" si="258"/>
        <v>0</v>
      </c>
      <c r="H2725" s="116">
        <f t="shared" si="259"/>
        <v>0</v>
      </c>
    </row>
    <row r="2726" spans="1:8" s="10" customFormat="1" outlineLevel="1" x14ac:dyDescent="0.2">
      <c r="D2726" s="48" t="str">
        <f>Lang_Allowances</f>
        <v>Allowances</v>
      </c>
      <c r="E2726" s="120">
        <f>SUM(E2716:E2725)</f>
        <v>0</v>
      </c>
      <c r="F2726" s="120">
        <f>SUM(F2716:F2725)</f>
        <v>0</v>
      </c>
      <c r="G2726" s="121">
        <f>SUM(G2716:G2725)</f>
        <v>0</v>
      </c>
      <c r="H2726" s="121">
        <f>SUM(H2716:H2725)</f>
        <v>0</v>
      </c>
    </row>
    <row r="2727" spans="1:8" s="10" customFormat="1" outlineLevel="1" x14ac:dyDescent="0.2"/>
    <row r="2728" spans="1:8" s="10" customFormat="1" outlineLevel="1" x14ac:dyDescent="0.2"/>
    <row r="2729" spans="1:8" s="10" customFormat="1" outlineLevel="1" x14ac:dyDescent="0.2">
      <c r="D2729" s="76" t="str">
        <f>Lang_GoTo&amp;" "&amp;HL_LVL2_ACTV_7_Ass_A</f>
        <v>Go to Other Activity #4 - (Recurrent Costs Only) (Not in Use) - Detailed Allowance Cost Assumptions</v>
      </c>
    </row>
    <row r="2730" spans="1:8" s="10" customFormat="1" outlineLevel="1" x14ac:dyDescent="0.2">
      <c r="D2730" s="76" t="str">
        <f>Lang_GoTo&amp;" "&amp;HL_LVL2_ACTV_7_Cost_Summary_Output</f>
        <v>Go to Other Activity #4 - (Recurrent Costs Only) (Not in Use) Detailed Cost Summary</v>
      </c>
    </row>
    <row r="2731" spans="1:8" s="10" customFormat="1" x14ac:dyDescent="0.2"/>
    <row r="2732" spans="1:8" s="13" customFormat="1" x14ac:dyDescent="0.2">
      <c r="A2732" s="12" t="s">
        <v>127</v>
      </c>
      <c r="B2732" s="13" t="str">
        <f>C2734&amp;" "&amp;Lang_Supplies_And_Materials_Outputs</f>
        <v>Other Activity #4 - (Recurrent Costs Only) (Not in Use) Supplies and Materials - Outputs</v>
      </c>
    </row>
    <row r="2733" spans="1:8" s="10" customFormat="1" outlineLevel="1" x14ac:dyDescent="0.2"/>
    <row r="2734" spans="1:8" s="10" customFormat="1" outlineLevel="1" x14ac:dyDescent="0.2">
      <c r="C2734" s="114" t="str">
        <f>HL_LVL2_ACTV_7_Name</f>
        <v>Other Activity #4 - (Recurrent Costs Only) (Not in Use)</v>
      </c>
    </row>
    <row r="2735" spans="1:8" s="10" customFormat="1" outlineLevel="1" x14ac:dyDescent="0.2">
      <c r="E2735" s="86" t="str">
        <f>OTHER_Lu!$D$137&amp;" "&amp;Lang_Cost&amp;" ("&amp;OTHER_Lu!$D$118&amp;")"</f>
        <v>Financial Cost (LCU)</v>
      </c>
      <c r="F2735" s="86" t="str">
        <f>OTHER_Lu!$D$138&amp;" "&amp;Lang_Cost&amp;" ("&amp;OTHER_Lu!$D$118&amp;")"</f>
        <v>Economic Cost (LCU)</v>
      </c>
      <c r="G2735" s="86" t="str">
        <f>OTHER_Lu!$D$137&amp;" "&amp;Lang_Cost&amp;" ("&amp;OTHER_Lu!$D$117&amp;")"</f>
        <v>Financial Cost (USD)</v>
      </c>
      <c r="H2735" s="86" t="str">
        <f>OTHER_Lu!$D$138&amp;" "&amp;Lang_Cost&amp;" ("&amp;OTHER_Lu!$D$117&amp;")"</f>
        <v>Economic Cost (USD)</v>
      </c>
    </row>
    <row r="2736" spans="1:8" s="10" customFormat="1" outlineLevel="1" x14ac:dyDescent="0.2">
      <c r="D2736" s="49" t="str">
        <f>OTHER_DETAILED_COST_WKSHT!D362</f>
        <v>Supplies and Materials Category 1</v>
      </c>
      <c r="E2736" s="115">
        <f>IF(DD_LVL2_ACTV_7_Currency_Selected=2,OTHER_DETAILED_COST_WKSHT!$F362*OTHER_DETAILED_COST_WKSHT!G362,OTHER_DETAILED_COST_WKSHT!$F362*(OTHER_DETAILED_COST_WKSHT!G362*LVL2_ACTV_7_Exchange_Rate))</f>
        <v>0</v>
      </c>
      <c r="F2736" s="115">
        <f>IF(DD_LVL2_ACTV_7_Currency_Selected=2,OTHER_DETAILED_COST_WKSHT!$F362*OTHER_DETAILED_COST_WKSHT!H362,OTHER_DETAILED_COST_WKSHT!$F362*(OTHER_DETAILED_COST_WKSHT!H362*LVL2_ACTV_7_Exchange_Rate))</f>
        <v>0</v>
      </c>
      <c r="G2736" s="116">
        <f t="shared" ref="G2736:G2745" si="260">E2736/LVL2_ACTV_7_Exchange_Rate</f>
        <v>0</v>
      </c>
      <c r="H2736" s="116">
        <f t="shared" ref="H2736:H2745" si="261">F2736/LVL2_ACTV_7_Exchange_Rate</f>
        <v>0</v>
      </c>
    </row>
    <row r="2737" spans="1:8" s="10" customFormat="1" outlineLevel="1" x14ac:dyDescent="0.2">
      <c r="D2737" s="49" t="str">
        <f>OTHER_DETAILED_COST_WKSHT!D363</f>
        <v>Supplies and Materials Category 2</v>
      </c>
      <c r="E2737" s="115">
        <f>IF(DD_LVL2_ACTV_7_Currency_Selected=2,OTHER_DETAILED_COST_WKSHT!$F363*OTHER_DETAILED_COST_WKSHT!G363,OTHER_DETAILED_COST_WKSHT!$F363*(OTHER_DETAILED_COST_WKSHT!G363*LVL2_ACTV_7_Exchange_Rate))</f>
        <v>0</v>
      </c>
      <c r="F2737" s="115">
        <f>IF(DD_LVL2_ACTV_7_Currency_Selected=2,OTHER_DETAILED_COST_WKSHT!$F363*OTHER_DETAILED_COST_WKSHT!H363,OTHER_DETAILED_COST_WKSHT!$F363*(OTHER_DETAILED_COST_WKSHT!H363*LVL2_ACTV_7_Exchange_Rate))</f>
        <v>0</v>
      </c>
      <c r="G2737" s="116">
        <f t="shared" si="260"/>
        <v>0</v>
      </c>
      <c r="H2737" s="116">
        <f t="shared" si="261"/>
        <v>0</v>
      </c>
    </row>
    <row r="2738" spans="1:8" s="10" customFormat="1" outlineLevel="1" x14ac:dyDescent="0.2">
      <c r="D2738" s="49" t="str">
        <f>OTHER_DETAILED_COST_WKSHT!D364</f>
        <v>Supplies and Materials Category 3</v>
      </c>
      <c r="E2738" s="115">
        <f>IF(DD_LVL2_ACTV_7_Currency_Selected=2,OTHER_DETAILED_COST_WKSHT!$F364*OTHER_DETAILED_COST_WKSHT!G364,OTHER_DETAILED_COST_WKSHT!$F364*(OTHER_DETAILED_COST_WKSHT!G364*LVL2_ACTV_7_Exchange_Rate))</f>
        <v>0</v>
      </c>
      <c r="F2738" s="115">
        <f>IF(DD_LVL2_ACTV_7_Currency_Selected=2,OTHER_DETAILED_COST_WKSHT!$F364*OTHER_DETAILED_COST_WKSHT!H364,OTHER_DETAILED_COST_WKSHT!$F364*(OTHER_DETAILED_COST_WKSHT!H364*LVL2_ACTV_7_Exchange_Rate))</f>
        <v>0</v>
      </c>
      <c r="G2738" s="116">
        <f t="shared" si="260"/>
        <v>0</v>
      </c>
      <c r="H2738" s="116">
        <f t="shared" si="261"/>
        <v>0</v>
      </c>
    </row>
    <row r="2739" spans="1:8" s="10" customFormat="1" outlineLevel="1" x14ac:dyDescent="0.2">
      <c r="D2739" s="49" t="str">
        <f>OTHER_DETAILED_COST_WKSHT!D365</f>
        <v>Supplies and Materials Category 4</v>
      </c>
      <c r="E2739" s="115">
        <f>IF(DD_LVL2_ACTV_7_Currency_Selected=2,OTHER_DETAILED_COST_WKSHT!$F365*OTHER_DETAILED_COST_WKSHT!G365,OTHER_DETAILED_COST_WKSHT!$F365*(OTHER_DETAILED_COST_WKSHT!G365*LVL2_ACTV_7_Exchange_Rate))</f>
        <v>0</v>
      </c>
      <c r="F2739" s="115">
        <f>IF(DD_LVL2_ACTV_7_Currency_Selected=2,OTHER_DETAILED_COST_WKSHT!$F365*OTHER_DETAILED_COST_WKSHT!H365,OTHER_DETAILED_COST_WKSHT!$F365*(OTHER_DETAILED_COST_WKSHT!H365*LVL2_ACTV_7_Exchange_Rate))</f>
        <v>0</v>
      </c>
      <c r="G2739" s="116">
        <f t="shared" si="260"/>
        <v>0</v>
      </c>
      <c r="H2739" s="116">
        <f t="shared" si="261"/>
        <v>0</v>
      </c>
    </row>
    <row r="2740" spans="1:8" s="10" customFormat="1" outlineLevel="1" x14ac:dyDescent="0.2">
      <c r="D2740" s="49" t="str">
        <f>OTHER_DETAILED_COST_WKSHT!D366</f>
        <v>Supplies and Materials Category 5</v>
      </c>
      <c r="E2740" s="115">
        <f>IF(DD_LVL2_ACTV_7_Currency_Selected=2,OTHER_DETAILED_COST_WKSHT!$F366*OTHER_DETAILED_COST_WKSHT!G366,OTHER_DETAILED_COST_WKSHT!$F366*(OTHER_DETAILED_COST_WKSHT!G366*LVL2_ACTV_7_Exchange_Rate))</f>
        <v>0</v>
      </c>
      <c r="F2740" s="115">
        <f>IF(DD_LVL2_ACTV_7_Currency_Selected=2,OTHER_DETAILED_COST_WKSHT!$F366*OTHER_DETAILED_COST_WKSHT!H366,OTHER_DETAILED_COST_WKSHT!$F366*(OTHER_DETAILED_COST_WKSHT!H366*LVL2_ACTV_7_Exchange_Rate))</f>
        <v>0</v>
      </c>
      <c r="G2740" s="116">
        <f t="shared" si="260"/>
        <v>0</v>
      </c>
      <c r="H2740" s="116">
        <f t="shared" si="261"/>
        <v>0</v>
      </c>
    </row>
    <row r="2741" spans="1:8" s="10" customFormat="1" outlineLevel="1" x14ac:dyDescent="0.2">
      <c r="D2741" s="49" t="str">
        <f>OTHER_DETAILED_COST_WKSHT!D367</f>
        <v>Supplies and Materials Category 6</v>
      </c>
      <c r="E2741" s="115">
        <f>IF(DD_LVL2_ACTV_7_Currency_Selected=2,OTHER_DETAILED_COST_WKSHT!$F367*OTHER_DETAILED_COST_WKSHT!G367,OTHER_DETAILED_COST_WKSHT!$F367*(OTHER_DETAILED_COST_WKSHT!G367*LVL2_ACTV_7_Exchange_Rate))</f>
        <v>0</v>
      </c>
      <c r="F2741" s="115">
        <f>IF(DD_LVL2_ACTV_7_Currency_Selected=2,OTHER_DETAILED_COST_WKSHT!$F367*OTHER_DETAILED_COST_WKSHT!H367,OTHER_DETAILED_COST_WKSHT!$F367*(OTHER_DETAILED_COST_WKSHT!H367*LVL2_ACTV_7_Exchange_Rate))</f>
        <v>0</v>
      </c>
      <c r="G2741" s="116">
        <f t="shared" si="260"/>
        <v>0</v>
      </c>
      <c r="H2741" s="116">
        <f t="shared" si="261"/>
        <v>0</v>
      </c>
    </row>
    <row r="2742" spans="1:8" s="10" customFormat="1" outlineLevel="1" x14ac:dyDescent="0.2">
      <c r="D2742" s="49" t="str">
        <f>OTHER_DETAILED_COST_WKSHT!D368</f>
        <v>Supplies and Materials Category 7</v>
      </c>
      <c r="E2742" s="115">
        <f>IF(DD_LVL2_ACTV_7_Currency_Selected=2,OTHER_DETAILED_COST_WKSHT!$F368*OTHER_DETAILED_COST_WKSHT!G368,OTHER_DETAILED_COST_WKSHT!$F368*(OTHER_DETAILED_COST_WKSHT!G368*LVL2_ACTV_7_Exchange_Rate))</f>
        <v>0</v>
      </c>
      <c r="F2742" s="115">
        <f>IF(DD_LVL2_ACTV_7_Currency_Selected=2,OTHER_DETAILED_COST_WKSHT!$F368*OTHER_DETAILED_COST_WKSHT!H368,OTHER_DETAILED_COST_WKSHT!$F368*(OTHER_DETAILED_COST_WKSHT!H368*LVL2_ACTV_7_Exchange_Rate))</f>
        <v>0</v>
      </c>
      <c r="G2742" s="116">
        <f t="shared" si="260"/>
        <v>0</v>
      </c>
      <c r="H2742" s="116">
        <f t="shared" si="261"/>
        <v>0</v>
      </c>
    </row>
    <row r="2743" spans="1:8" s="10" customFormat="1" outlineLevel="1" x14ac:dyDescent="0.2">
      <c r="D2743" s="49" t="str">
        <f>OTHER_DETAILED_COST_WKSHT!D369</f>
        <v>Supplies and Materials Category 8</v>
      </c>
      <c r="E2743" s="115">
        <f>IF(DD_LVL2_ACTV_7_Currency_Selected=2,OTHER_DETAILED_COST_WKSHT!$F369*OTHER_DETAILED_COST_WKSHT!G369,OTHER_DETAILED_COST_WKSHT!$F369*(OTHER_DETAILED_COST_WKSHT!G369*LVL2_ACTV_7_Exchange_Rate))</f>
        <v>0</v>
      </c>
      <c r="F2743" s="115">
        <f>IF(DD_LVL2_ACTV_7_Currency_Selected=2,OTHER_DETAILED_COST_WKSHT!$F369*OTHER_DETAILED_COST_WKSHT!H369,OTHER_DETAILED_COST_WKSHT!$F369*(OTHER_DETAILED_COST_WKSHT!H369*LVL2_ACTV_7_Exchange_Rate))</f>
        <v>0</v>
      </c>
      <c r="G2743" s="116">
        <f t="shared" si="260"/>
        <v>0</v>
      </c>
      <c r="H2743" s="116">
        <f t="shared" si="261"/>
        <v>0</v>
      </c>
    </row>
    <row r="2744" spans="1:8" s="10" customFormat="1" outlineLevel="1" x14ac:dyDescent="0.2">
      <c r="D2744" s="49" t="str">
        <f>OTHER_DETAILED_COST_WKSHT!D370</f>
        <v>Supplies and Materials Category 9</v>
      </c>
      <c r="E2744" s="115">
        <f>IF(DD_LVL2_ACTV_7_Currency_Selected=2,OTHER_DETAILED_COST_WKSHT!$F370*OTHER_DETAILED_COST_WKSHT!G370,OTHER_DETAILED_COST_WKSHT!$F370*(OTHER_DETAILED_COST_WKSHT!G370*LVL2_ACTV_7_Exchange_Rate))</f>
        <v>0</v>
      </c>
      <c r="F2744" s="115">
        <f>IF(DD_LVL2_ACTV_7_Currency_Selected=2,OTHER_DETAILED_COST_WKSHT!$F370*OTHER_DETAILED_COST_WKSHT!H370,OTHER_DETAILED_COST_WKSHT!$F370*(OTHER_DETAILED_COST_WKSHT!H370*LVL2_ACTV_7_Exchange_Rate))</f>
        <v>0</v>
      </c>
      <c r="G2744" s="116">
        <f t="shared" si="260"/>
        <v>0</v>
      </c>
      <c r="H2744" s="116">
        <f t="shared" si="261"/>
        <v>0</v>
      </c>
    </row>
    <row r="2745" spans="1:8" s="10" customFormat="1" outlineLevel="1" x14ac:dyDescent="0.2">
      <c r="D2745" s="49" t="str">
        <f>OTHER_DETAILED_COST_WKSHT!D371</f>
        <v>Supplies and Materials Category 10</v>
      </c>
      <c r="E2745" s="115">
        <f>IF(DD_LVL2_ACTV_7_Currency_Selected=2,OTHER_DETAILED_COST_WKSHT!$F371*OTHER_DETAILED_COST_WKSHT!G371,OTHER_DETAILED_COST_WKSHT!$F371*(OTHER_DETAILED_COST_WKSHT!G371*LVL2_ACTV_7_Exchange_Rate))</f>
        <v>0</v>
      </c>
      <c r="F2745" s="115">
        <f>IF(DD_LVL2_ACTV_7_Currency_Selected=2,OTHER_DETAILED_COST_WKSHT!$F371*OTHER_DETAILED_COST_WKSHT!H371,OTHER_DETAILED_COST_WKSHT!$F371*(OTHER_DETAILED_COST_WKSHT!H371*LVL2_ACTV_7_Exchange_Rate))</f>
        <v>0</v>
      </c>
      <c r="G2745" s="116">
        <f t="shared" si="260"/>
        <v>0</v>
      </c>
      <c r="H2745" s="116">
        <f t="shared" si="261"/>
        <v>0</v>
      </c>
    </row>
    <row r="2746" spans="1:8" s="10" customFormat="1" outlineLevel="1" x14ac:dyDescent="0.2">
      <c r="D2746" s="48" t="str">
        <f>Lang_Supplies_And_Materials</f>
        <v>Supplies and Materials</v>
      </c>
      <c r="E2746" s="120">
        <f>SUM(E2736:E2745)</f>
        <v>0</v>
      </c>
      <c r="F2746" s="120">
        <f>SUM(F2736:F2745)</f>
        <v>0</v>
      </c>
      <c r="G2746" s="121">
        <f>SUM(G2736:G2745)</f>
        <v>0</v>
      </c>
      <c r="H2746" s="121">
        <f>SUM(H2736:H2745)</f>
        <v>0</v>
      </c>
    </row>
    <row r="2747" spans="1:8" s="10" customFormat="1" outlineLevel="1" x14ac:dyDescent="0.2"/>
    <row r="2748" spans="1:8" s="10" customFormat="1" outlineLevel="1" x14ac:dyDescent="0.2"/>
    <row r="2749" spans="1:8" s="10" customFormat="1" outlineLevel="1" x14ac:dyDescent="0.2">
      <c r="D2749" s="76" t="str">
        <f>Lang_GoTo&amp;" "&amp;HL_LVL2_ACTV_7_Supplies_and_Materials</f>
        <v>Go to Other Activity #4 - (Recurrent Costs Only) (Not in Use) - Detailed Supply and Material Cost Assumptions</v>
      </c>
    </row>
    <row r="2750" spans="1:8" s="10" customFormat="1" outlineLevel="1" x14ac:dyDescent="0.2">
      <c r="D2750" s="76" t="str">
        <f>Lang_GoTo&amp;" "&amp;HL_LVL2_ACTV_7_Cost_Summary_Output</f>
        <v>Go to Other Activity #4 - (Recurrent Costs Only) (Not in Use) Detailed Cost Summary</v>
      </c>
    </row>
    <row r="2751" spans="1:8" s="10" customFormat="1" x14ac:dyDescent="0.2"/>
    <row r="2752" spans="1:8" s="13" customFormat="1" x14ac:dyDescent="0.2">
      <c r="A2752" s="12" t="s">
        <v>127</v>
      </c>
      <c r="B2752" s="13" t="str">
        <f>C2754&amp;" "&amp;Lang_Other_Direct_Costs_Outputs</f>
        <v>Other Activity #4 - (Recurrent Costs Only) (Not in Use) Other Direct Costs - Outputs</v>
      </c>
    </row>
    <row r="2753" spans="3:8" s="10" customFormat="1" outlineLevel="1" x14ac:dyDescent="0.2"/>
    <row r="2754" spans="3:8" s="10" customFormat="1" outlineLevel="1" x14ac:dyDescent="0.2">
      <c r="C2754" s="114" t="str">
        <f>HL_LVL2_ACTV_7_Name</f>
        <v>Other Activity #4 - (Recurrent Costs Only) (Not in Use)</v>
      </c>
    </row>
    <row r="2755" spans="3:8" s="10" customFormat="1" outlineLevel="1" x14ac:dyDescent="0.2">
      <c r="E2755" s="86" t="str">
        <f>OTHER_Lu!$D$137&amp;" "&amp;Lang_Cost&amp;" ("&amp;OTHER_Lu!$D$118&amp;")"</f>
        <v>Financial Cost (LCU)</v>
      </c>
      <c r="F2755" s="86" t="str">
        <f>OTHER_Lu!$D$138&amp;" "&amp;Lang_Cost&amp;" ("&amp;OTHER_Lu!$D$118&amp;")"</f>
        <v>Economic Cost (LCU)</v>
      </c>
      <c r="G2755" s="86" t="str">
        <f>OTHER_Lu!$D$137&amp;" "&amp;Lang_Cost&amp;" ("&amp;OTHER_Lu!$D$117&amp;")"</f>
        <v>Financial Cost (USD)</v>
      </c>
      <c r="H2755" s="86" t="str">
        <f>OTHER_Lu!$D$138&amp;" "&amp;Lang_Cost&amp;" ("&amp;OTHER_Lu!$D$117&amp;")"</f>
        <v>Economic Cost (USD)</v>
      </c>
    </row>
    <row r="2756" spans="3:8" s="10" customFormat="1" outlineLevel="1" x14ac:dyDescent="0.2">
      <c r="D2756" s="49" t="str">
        <f>OTHER_DETAILED_COST_WKSHT!D380</f>
        <v>Other Direct Costs (ODC) Category 1</v>
      </c>
      <c r="E2756" s="115">
        <f>IF(DD_LVL2_ACTV_7_Currency_Selected=2,OTHER_DETAILED_COST_WKSHT!$F380*OTHER_DETAILED_COST_WKSHT!G380,OTHER_DETAILED_COST_WKSHT!$F380*(OTHER_DETAILED_COST_WKSHT!G380*LVL2_ACTV_7_Exchange_Rate))</f>
        <v>0</v>
      </c>
      <c r="F2756" s="115">
        <f>IF(DD_LVL2_ACTV_7_Currency_Selected=2,OTHER_DETAILED_COST_WKSHT!$F380*OTHER_DETAILED_COST_WKSHT!H380,OTHER_DETAILED_COST_WKSHT!$F380*(OTHER_DETAILED_COST_WKSHT!H380*LVL2_ACTV_7_Exchange_Rate))</f>
        <v>0</v>
      </c>
      <c r="G2756" s="116">
        <f t="shared" ref="G2756:G2765" si="262">E2756/LVL2_ACTV_7_Exchange_Rate</f>
        <v>0</v>
      </c>
      <c r="H2756" s="116">
        <f t="shared" ref="H2756:H2765" si="263">F2756/LVL2_ACTV_7_Exchange_Rate</f>
        <v>0</v>
      </c>
    </row>
    <row r="2757" spans="3:8" s="10" customFormat="1" outlineLevel="1" x14ac:dyDescent="0.2">
      <c r="D2757" s="49" t="str">
        <f>OTHER_DETAILED_COST_WKSHT!D381</f>
        <v>Other Direct Costs (ODC) Category 2</v>
      </c>
      <c r="E2757" s="115">
        <f>IF(DD_LVL2_ACTV_7_Currency_Selected=2,OTHER_DETAILED_COST_WKSHT!$F381*OTHER_DETAILED_COST_WKSHT!G381,OTHER_DETAILED_COST_WKSHT!$F381*(OTHER_DETAILED_COST_WKSHT!G381*LVL2_ACTV_7_Exchange_Rate))</f>
        <v>0</v>
      </c>
      <c r="F2757" s="115">
        <f>IF(DD_LVL2_ACTV_7_Currency_Selected=2,OTHER_DETAILED_COST_WKSHT!$F381*OTHER_DETAILED_COST_WKSHT!H381,OTHER_DETAILED_COST_WKSHT!$F381*(OTHER_DETAILED_COST_WKSHT!H381*LVL2_ACTV_7_Exchange_Rate))</f>
        <v>0</v>
      </c>
      <c r="G2757" s="116">
        <f t="shared" si="262"/>
        <v>0</v>
      </c>
      <c r="H2757" s="116">
        <f t="shared" si="263"/>
        <v>0</v>
      </c>
    </row>
    <row r="2758" spans="3:8" s="10" customFormat="1" outlineLevel="1" x14ac:dyDescent="0.2">
      <c r="D2758" s="49" t="str">
        <f>OTHER_DETAILED_COST_WKSHT!D382</f>
        <v>Other Direct Costs (ODC) Category 3</v>
      </c>
      <c r="E2758" s="115">
        <f>IF(DD_LVL2_ACTV_7_Currency_Selected=2,OTHER_DETAILED_COST_WKSHT!$F382*OTHER_DETAILED_COST_WKSHT!G382,OTHER_DETAILED_COST_WKSHT!$F382*(OTHER_DETAILED_COST_WKSHT!G382*LVL2_ACTV_7_Exchange_Rate))</f>
        <v>0</v>
      </c>
      <c r="F2758" s="115">
        <f>IF(DD_LVL2_ACTV_7_Currency_Selected=2,OTHER_DETAILED_COST_WKSHT!$F382*OTHER_DETAILED_COST_WKSHT!H382,OTHER_DETAILED_COST_WKSHT!$F382*(OTHER_DETAILED_COST_WKSHT!H382*LVL2_ACTV_7_Exchange_Rate))</f>
        <v>0</v>
      </c>
      <c r="G2758" s="116">
        <f t="shared" si="262"/>
        <v>0</v>
      </c>
      <c r="H2758" s="116">
        <f t="shared" si="263"/>
        <v>0</v>
      </c>
    </row>
    <row r="2759" spans="3:8" s="10" customFormat="1" outlineLevel="1" x14ac:dyDescent="0.2">
      <c r="D2759" s="49" t="str">
        <f>OTHER_DETAILED_COST_WKSHT!D383</f>
        <v>Other Direct Costs (ODC) Category 4</v>
      </c>
      <c r="E2759" s="115">
        <f>IF(DD_LVL2_ACTV_7_Currency_Selected=2,OTHER_DETAILED_COST_WKSHT!$F383*OTHER_DETAILED_COST_WKSHT!G383,OTHER_DETAILED_COST_WKSHT!$F383*(OTHER_DETAILED_COST_WKSHT!G383*LVL2_ACTV_7_Exchange_Rate))</f>
        <v>0</v>
      </c>
      <c r="F2759" s="115">
        <f>IF(DD_LVL2_ACTV_7_Currency_Selected=2,OTHER_DETAILED_COST_WKSHT!$F383*OTHER_DETAILED_COST_WKSHT!H383,OTHER_DETAILED_COST_WKSHT!$F383*(OTHER_DETAILED_COST_WKSHT!H383*LVL2_ACTV_7_Exchange_Rate))</f>
        <v>0</v>
      </c>
      <c r="G2759" s="116">
        <f t="shared" si="262"/>
        <v>0</v>
      </c>
      <c r="H2759" s="116">
        <f t="shared" si="263"/>
        <v>0</v>
      </c>
    </row>
    <row r="2760" spans="3:8" s="10" customFormat="1" outlineLevel="1" x14ac:dyDescent="0.2">
      <c r="D2760" s="49" t="str">
        <f>OTHER_DETAILED_COST_WKSHT!D384</f>
        <v>Other Direct Costs (ODC) Category 5</v>
      </c>
      <c r="E2760" s="115">
        <f>IF(DD_LVL2_ACTV_7_Currency_Selected=2,OTHER_DETAILED_COST_WKSHT!$F384*OTHER_DETAILED_COST_WKSHT!G384,OTHER_DETAILED_COST_WKSHT!$F384*(OTHER_DETAILED_COST_WKSHT!G384*LVL2_ACTV_7_Exchange_Rate))</f>
        <v>0</v>
      </c>
      <c r="F2760" s="115">
        <f>IF(DD_LVL2_ACTV_7_Currency_Selected=2,OTHER_DETAILED_COST_WKSHT!$F384*OTHER_DETAILED_COST_WKSHT!H384,OTHER_DETAILED_COST_WKSHT!$F384*(OTHER_DETAILED_COST_WKSHT!H384*LVL2_ACTV_7_Exchange_Rate))</f>
        <v>0</v>
      </c>
      <c r="G2760" s="116">
        <f t="shared" si="262"/>
        <v>0</v>
      </c>
      <c r="H2760" s="116">
        <f t="shared" si="263"/>
        <v>0</v>
      </c>
    </row>
    <row r="2761" spans="3:8" s="10" customFormat="1" outlineLevel="1" x14ac:dyDescent="0.2">
      <c r="D2761" s="49" t="str">
        <f>OTHER_DETAILED_COST_WKSHT!D385</f>
        <v>Other Direct Costs (ODC) Category 6</v>
      </c>
      <c r="E2761" s="115">
        <f>IF(DD_LVL2_ACTV_7_Currency_Selected=2,OTHER_DETAILED_COST_WKSHT!$F385*OTHER_DETAILED_COST_WKSHT!G385,OTHER_DETAILED_COST_WKSHT!$F385*(OTHER_DETAILED_COST_WKSHT!G385*LVL2_ACTV_7_Exchange_Rate))</f>
        <v>0</v>
      </c>
      <c r="F2761" s="115">
        <f>IF(DD_LVL2_ACTV_7_Currency_Selected=2,OTHER_DETAILED_COST_WKSHT!$F385*OTHER_DETAILED_COST_WKSHT!H385,OTHER_DETAILED_COST_WKSHT!$F385*(OTHER_DETAILED_COST_WKSHT!H385*LVL2_ACTV_7_Exchange_Rate))</f>
        <v>0</v>
      </c>
      <c r="G2761" s="116">
        <f t="shared" si="262"/>
        <v>0</v>
      </c>
      <c r="H2761" s="116">
        <f t="shared" si="263"/>
        <v>0</v>
      </c>
    </row>
    <row r="2762" spans="3:8" s="10" customFormat="1" outlineLevel="1" x14ac:dyDescent="0.2">
      <c r="D2762" s="49" t="str">
        <f>OTHER_DETAILED_COST_WKSHT!D386</f>
        <v>Other Direct Costs (ODC) Category 7</v>
      </c>
      <c r="E2762" s="115">
        <f>IF(DD_LVL2_ACTV_7_Currency_Selected=2,OTHER_DETAILED_COST_WKSHT!$F386*OTHER_DETAILED_COST_WKSHT!G386,OTHER_DETAILED_COST_WKSHT!$F386*(OTHER_DETAILED_COST_WKSHT!G386*LVL2_ACTV_7_Exchange_Rate))</f>
        <v>0</v>
      </c>
      <c r="F2762" s="115">
        <f>IF(DD_LVL2_ACTV_7_Currency_Selected=2,OTHER_DETAILED_COST_WKSHT!$F386*OTHER_DETAILED_COST_WKSHT!H386,OTHER_DETAILED_COST_WKSHT!$F386*(OTHER_DETAILED_COST_WKSHT!H386*LVL2_ACTV_7_Exchange_Rate))</f>
        <v>0</v>
      </c>
      <c r="G2762" s="116">
        <f t="shared" si="262"/>
        <v>0</v>
      </c>
      <c r="H2762" s="116">
        <f t="shared" si="263"/>
        <v>0</v>
      </c>
    </row>
    <row r="2763" spans="3:8" s="10" customFormat="1" outlineLevel="1" x14ac:dyDescent="0.2">
      <c r="D2763" s="49" t="str">
        <f>OTHER_DETAILED_COST_WKSHT!D387</f>
        <v>Other Direct Costs (ODC) Category 8</v>
      </c>
      <c r="E2763" s="115">
        <f>IF(DD_LVL2_ACTV_7_Currency_Selected=2,OTHER_DETAILED_COST_WKSHT!$F387*OTHER_DETAILED_COST_WKSHT!G387,OTHER_DETAILED_COST_WKSHT!$F387*(OTHER_DETAILED_COST_WKSHT!G387*LVL2_ACTV_7_Exchange_Rate))</f>
        <v>0</v>
      </c>
      <c r="F2763" s="115">
        <f>IF(DD_LVL2_ACTV_7_Currency_Selected=2,OTHER_DETAILED_COST_WKSHT!$F387*OTHER_DETAILED_COST_WKSHT!H387,OTHER_DETAILED_COST_WKSHT!$F387*(OTHER_DETAILED_COST_WKSHT!H387*LVL2_ACTV_7_Exchange_Rate))</f>
        <v>0</v>
      </c>
      <c r="G2763" s="116">
        <f t="shared" si="262"/>
        <v>0</v>
      </c>
      <c r="H2763" s="116">
        <f t="shared" si="263"/>
        <v>0</v>
      </c>
    </row>
    <row r="2764" spans="3:8" s="10" customFormat="1" outlineLevel="1" x14ac:dyDescent="0.2">
      <c r="D2764" s="49" t="str">
        <f>OTHER_DETAILED_COST_WKSHT!D388</f>
        <v>Other Direct Costs (ODC) Category 9</v>
      </c>
      <c r="E2764" s="115">
        <f>IF(DD_LVL2_ACTV_7_Currency_Selected=2,OTHER_DETAILED_COST_WKSHT!$F388*OTHER_DETAILED_COST_WKSHT!G388,OTHER_DETAILED_COST_WKSHT!$F388*(OTHER_DETAILED_COST_WKSHT!G388*LVL2_ACTV_7_Exchange_Rate))</f>
        <v>0</v>
      </c>
      <c r="F2764" s="115">
        <f>IF(DD_LVL2_ACTV_7_Currency_Selected=2,OTHER_DETAILED_COST_WKSHT!$F388*OTHER_DETAILED_COST_WKSHT!H388,OTHER_DETAILED_COST_WKSHT!$F388*(OTHER_DETAILED_COST_WKSHT!H388*LVL2_ACTV_7_Exchange_Rate))</f>
        <v>0</v>
      </c>
      <c r="G2764" s="116">
        <f t="shared" si="262"/>
        <v>0</v>
      </c>
      <c r="H2764" s="116">
        <f t="shared" si="263"/>
        <v>0</v>
      </c>
    </row>
    <row r="2765" spans="3:8" s="10" customFormat="1" outlineLevel="1" x14ac:dyDescent="0.2">
      <c r="D2765" s="49" t="str">
        <f>OTHER_DETAILED_COST_WKSHT!D389</f>
        <v>Other Direct Costs (ODC) Category 10</v>
      </c>
      <c r="E2765" s="115">
        <f>IF(DD_LVL2_ACTV_7_Currency_Selected=2,OTHER_DETAILED_COST_WKSHT!$F389*OTHER_DETAILED_COST_WKSHT!G389,OTHER_DETAILED_COST_WKSHT!$F389*(OTHER_DETAILED_COST_WKSHT!G389*LVL2_ACTV_7_Exchange_Rate))</f>
        <v>0</v>
      </c>
      <c r="F2765" s="115">
        <f>IF(DD_LVL2_ACTV_7_Currency_Selected=2,OTHER_DETAILED_COST_WKSHT!$F389*OTHER_DETAILED_COST_WKSHT!H389,OTHER_DETAILED_COST_WKSHT!$F389*(OTHER_DETAILED_COST_WKSHT!H389*LVL2_ACTV_7_Exchange_Rate))</f>
        <v>0</v>
      </c>
      <c r="G2765" s="116">
        <f t="shared" si="262"/>
        <v>0</v>
      </c>
      <c r="H2765" s="116">
        <f t="shared" si="263"/>
        <v>0</v>
      </c>
    </row>
    <row r="2766" spans="3:8" s="10" customFormat="1" outlineLevel="1" x14ac:dyDescent="0.2">
      <c r="D2766" s="48" t="str">
        <f>Lang_Other_Direct_Costs</f>
        <v>Other Direct Costs</v>
      </c>
      <c r="E2766" s="120">
        <f>SUM(E2756:E2765)</f>
        <v>0</v>
      </c>
      <c r="F2766" s="120">
        <f>SUM(F2756:F2765)</f>
        <v>0</v>
      </c>
      <c r="G2766" s="121">
        <f>SUM(G2756:G2765)</f>
        <v>0</v>
      </c>
      <c r="H2766" s="121">
        <f>SUM(H2756:H2765)</f>
        <v>0</v>
      </c>
    </row>
    <row r="2767" spans="3:8" s="10" customFormat="1" outlineLevel="1" x14ac:dyDescent="0.2"/>
    <row r="2768" spans="3:8" s="10" customFormat="1" outlineLevel="1" x14ac:dyDescent="0.2">
      <c r="D2768" s="76" t="str">
        <f>Lang_GoTo&amp;" "&amp;HL_LVL2_ACTV_7_Other_Direct_Costs</f>
        <v>Go to Other Activity #4 - (Recurrent Costs Only) (Not in Use) - Detailed Other Direct Cost Assumptions</v>
      </c>
    </row>
    <row r="2769" spans="1:8" s="10" customFormat="1" outlineLevel="1" x14ac:dyDescent="0.2">
      <c r="D2769" s="76" t="str">
        <f>Lang_GoTo&amp;" "&amp;HL_LVL2_ACTV_7_Cost_Summary_Output</f>
        <v>Go to Other Activity #4 - (Recurrent Costs Only) (Not in Use) Detailed Cost Summary</v>
      </c>
    </row>
    <row r="2770" spans="1:8" s="10" customFormat="1" x14ac:dyDescent="0.2"/>
    <row r="2771" spans="1:8" s="13" customFormat="1" x14ac:dyDescent="0.2">
      <c r="A2771" s="12" t="s">
        <v>127</v>
      </c>
      <c r="B2771" s="13" t="str">
        <f>C2773&amp;" "&amp;Lang_Personnel_Outputs</f>
        <v>Other Activity #5 - (Recurrent Costs Only) (Not in Use) Personnel - Outputs</v>
      </c>
    </row>
    <row r="2772" spans="1:8" s="10" customFormat="1" outlineLevel="1" x14ac:dyDescent="0.2"/>
    <row r="2773" spans="1:8" s="10" customFormat="1" outlineLevel="1" x14ac:dyDescent="0.2">
      <c r="C2773" s="114" t="str">
        <f>HL_LVL2_ACTV_16_Name</f>
        <v>Other Activity #5 - (Recurrent Costs Only) (Not in Use)</v>
      </c>
    </row>
    <row r="2774" spans="1:8" s="10" customFormat="1" outlineLevel="1" x14ac:dyDescent="0.2">
      <c r="E2774" s="86" t="str">
        <f>OTHER_Lu!$D$172&amp;" "&amp;Lang_Cost&amp;" ("&amp;OTHER_Lu!$D$153&amp;")"</f>
        <v>Financial Cost (LCU)</v>
      </c>
      <c r="F2774" s="86" t="str">
        <f>OTHER_Lu!$D$173&amp;" "&amp;Lang_Cost&amp;" ("&amp;OTHER_Lu!$D$153&amp;")"</f>
        <v>Economic Cost (LCU)</v>
      </c>
      <c r="G2774" s="86" t="str">
        <f>OTHER_Lu!$D$172&amp;" "&amp;Lang_Cost&amp;" ("&amp;OTHER_Lu!$D$152&amp;")"</f>
        <v>Financial Cost (USD)</v>
      </c>
      <c r="H2774" s="86" t="str">
        <f>OTHER_Lu!$D$173&amp;" "&amp;Lang_Cost&amp;" ("&amp;OTHER_Lu!$D$152&amp;")"</f>
        <v>Economic Cost (USD)</v>
      </c>
    </row>
    <row r="2775" spans="1:8" s="10" customFormat="1" outlineLevel="1" x14ac:dyDescent="0.2">
      <c r="D2775" s="49" t="str">
        <f>OTHER_DETAILED_COST_WKSHT!D420</f>
        <v>Personnel Category 1</v>
      </c>
      <c r="E2775" s="115">
        <f>IF(DD_LVL2_ACTV_16_Currency_Selected=2,OTHER_DETAILED_COST_WKSHT!$F420*OTHER_DETAILED_COST_WKSHT!G420,OTHER_DETAILED_COST_WKSHT!$F420*(OTHER_DETAILED_COST_WKSHT!G420*LVL2_ACTV_16_Exchange_Rate))</f>
        <v>0</v>
      </c>
      <c r="F2775" s="115">
        <f>IF(DD_LVL2_ACTV_16_Currency_Selected=2,OTHER_DETAILED_COST_WKSHT!$F420*OTHER_DETAILED_COST_WKSHT!H420,OTHER_DETAILED_COST_WKSHT!$F420*(OTHER_DETAILED_COST_WKSHT!H420*LVL2_ACTV_16_Exchange_Rate))</f>
        <v>0</v>
      </c>
      <c r="G2775" s="116">
        <f t="shared" ref="G2775:G2789" si="264">IFERROR(E2775/LVL2_ACTV_16_Exchange_Rate,0)</f>
        <v>0</v>
      </c>
      <c r="H2775" s="116">
        <f t="shared" ref="H2775:H2789" si="265">IFERROR(F2775/LVL2_ACTV_16_Exchange_Rate,0)</f>
        <v>0</v>
      </c>
    </row>
    <row r="2776" spans="1:8" s="10" customFormat="1" outlineLevel="1" x14ac:dyDescent="0.2">
      <c r="D2776" s="49" t="str">
        <f>OTHER_DETAILED_COST_WKSHT!D421</f>
        <v>Personnel Category 2</v>
      </c>
      <c r="E2776" s="115">
        <f>IF(DD_LVL2_ACTV_16_Currency_Selected=2,OTHER_DETAILED_COST_WKSHT!$F421*OTHER_DETAILED_COST_WKSHT!G421,OTHER_DETAILED_COST_WKSHT!$F421*(OTHER_DETAILED_COST_WKSHT!G421*LVL2_ACTV_16_Exchange_Rate))</f>
        <v>0</v>
      </c>
      <c r="F2776" s="115">
        <f>IF(DD_LVL2_ACTV_16_Currency_Selected=2,OTHER_DETAILED_COST_WKSHT!$F421*OTHER_DETAILED_COST_WKSHT!H421,OTHER_DETAILED_COST_WKSHT!$F421*(OTHER_DETAILED_COST_WKSHT!H421*LVL2_ACTV_16_Exchange_Rate))</f>
        <v>0</v>
      </c>
      <c r="G2776" s="116">
        <f t="shared" si="264"/>
        <v>0</v>
      </c>
      <c r="H2776" s="116">
        <f t="shared" si="265"/>
        <v>0</v>
      </c>
    </row>
    <row r="2777" spans="1:8" s="10" customFormat="1" outlineLevel="1" x14ac:dyDescent="0.2">
      <c r="D2777" s="49" t="str">
        <f>OTHER_DETAILED_COST_WKSHT!D422</f>
        <v>Personnel Category 3</v>
      </c>
      <c r="E2777" s="115">
        <f>IF(DD_LVL2_ACTV_16_Currency_Selected=2,OTHER_DETAILED_COST_WKSHT!$F422*OTHER_DETAILED_COST_WKSHT!G422,OTHER_DETAILED_COST_WKSHT!$F422*(OTHER_DETAILED_COST_WKSHT!G422*LVL2_ACTV_16_Exchange_Rate))</f>
        <v>0</v>
      </c>
      <c r="F2777" s="115">
        <f>IF(DD_LVL2_ACTV_16_Currency_Selected=2,OTHER_DETAILED_COST_WKSHT!$F422*OTHER_DETAILED_COST_WKSHT!H422,OTHER_DETAILED_COST_WKSHT!$F422*(OTHER_DETAILED_COST_WKSHT!H422*LVL2_ACTV_16_Exchange_Rate))</f>
        <v>0</v>
      </c>
      <c r="G2777" s="116">
        <f t="shared" si="264"/>
        <v>0</v>
      </c>
      <c r="H2777" s="116">
        <f t="shared" si="265"/>
        <v>0</v>
      </c>
    </row>
    <row r="2778" spans="1:8" s="10" customFormat="1" outlineLevel="1" x14ac:dyDescent="0.2">
      <c r="D2778" s="49" t="str">
        <f>OTHER_DETAILED_COST_WKSHT!D423</f>
        <v>Personnel Category 4</v>
      </c>
      <c r="E2778" s="115">
        <f>IF(DD_LVL2_ACTV_16_Currency_Selected=2,OTHER_DETAILED_COST_WKSHT!$F423*OTHER_DETAILED_COST_WKSHT!G423,OTHER_DETAILED_COST_WKSHT!$F423*(OTHER_DETAILED_COST_WKSHT!G423*LVL2_ACTV_16_Exchange_Rate))</f>
        <v>0</v>
      </c>
      <c r="F2778" s="115">
        <f>IF(DD_LVL2_ACTV_16_Currency_Selected=2,OTHER_DETAILED_COST_WKSHT!$F423*OTHER_DETAILED_COST_WKSHT!H423,OTHER_DETAILED_COST_WKSHT!$F423*(OTHER_DETAILED_COST_WKSHT!H423*LVL2_ACTV_16_Exchange_Rate))</f>
        <v>0</v>
      </c>
      <c r="G2778" s="116">
        <f t="shared" si="264"/>
        <v>0</v>
      </c>
      <c r="H2778" s="116">
        <f t="shared" si="265"/>
        <v>0</v>
      </c>
    </row>
    <row r="2779" spans="1:8" s="10" customFormat="1" outlineLevel="1" x14ac:dyDescent="0.2">
      <c r="D2779" s="49" t="str">
        <f>OTHER_DETAILED_COST_WKSHT!D424</f>
        <v>Personnel Category 5</v>
      </c>
      <c r="E2779" s="115">
        <f>IF(DD_LVL2_ACTV_16_Currency_Selected=2,OTHER_DETAILED_COST_WKSHT!$F424*OTHER_DETAILED_COST_WKSHT!G424,OTHER_DETAILED_COST_WKSHT!$F424*(OTHER_DETAILED_COST_WKSHT!G424*LVL2_ACTV_16_Exchange_Rate))</f>
        <v>0</v>
      </c>
      <c r="F2779" s="115">
        <f>IF(DD_LVL2_ACTV_16_Currency_Selected=2,OTHER_DETAILED_COST_WKSHT!$F424*OTHER_DETAILED_COST_WKSHT!H424,OTHER_DETAILED_COST_WKSHT!$F424*(OTHER_DETAILED_COST_WKSHT!H424*LVL2_ACTV_16_Exchange_Rate))</f>
        <v>0</v>
      </c>
      <c r="G2779" s="116">
        <f t="shared" si="264"/>
        <v>0</v>
      </c>
      <c r="H2779" s="116">
        <f t="shared" si="265"/>
        <v>0</v>
      </c>
    </row>
    <row r="2780" spans="1:8" s="10" customFormat="1" outlineLevel="1" x14ac:dyDescent="0.2">
      <c r="D2780" s="49" t="str">
        <f>OTHER_DETAILED_COST_WKSHT!D425</f>
        <v>Personnel Category 6</v>
      </c>
      <c r="E2780" s="115">
        <f>IF(DD_LVL2_ACTV_16_Currency_Selected=2,OTHER_DETAILED_COST_WKSHT!$F425*OTHER_DETAILED_COST_WKSHT!G425,OTHER_DETAILED_COST_WKSHT!$F425*(OTHER_DETAILED_COST_WKSHT!G425*LVL2_ACTV_16_Exchange_Rate))</f>
        <v>0</v>
      </c>
      <c r="F2780" s="115">
        <f>IF(DD_LVL2_ACTV_16_Currency_Selected=2,OTHER_DETAILED_COST_WKSHT!$F425*OTHER_DETAILED_COST_WKSHT!H425,OTHER_DETAILED_COST_WKSHT!$F425*(OTHER_DETAILED_COST_WKSHT!H425*LVL2_ACTV_16_Exchange_Rate))</f>
        <v>0</v>
      </c>
      <c r="G2780" s="116">
        <f t="shared" si="264"/>
        <v>0</v>
      </c>
      <c r="H2780" s="116">
        <f t="shared" si="265"/>
        <v>0</v>
      </c>
    </row>
    <row r="2781" spans="1:8" s="10" customFormat="1" outlineLevel="1" x14ac:dyDescent="0.2">
      <c r="D2781" s="49" t="str">
        <f>OTHER_DETAILED_COST_WKSHT!D426</f>
        <v>Personnel Category 7</v>
      </c>
      <c r="E2781" s="115">
        <f>IF(DD_LVL2_ACTV_16_Currency_Selected=2,OTHER_DETAILED_COST_WKSHT!$F426*OTHER_DETAILED_COST_WKSHT!G426,OTHER_DETAILED_COST_WKSHT!$F426*(OTHER_DETAILED_COST_WKSHT!G426*LVL2_ACTV_16_Exchange_Rate))</f>
        <v>0</v>
      </c>
      <c r="F2781" s="115">
        <f>IF(DD_LVL2_ACTV_16_Currency_Selected=2,OTHER_DETAILED_COST_WKSHT!$F426*OTHER_DETAILED_COST_WKSHT!H426,OTHER_DETAILED_COST_WKSHT!$F426*(OTHER_DETAILED_COST_WKSHT!H426*LVL2_ACTV_16_Exchange_Rate))</f>
        <v>0</v>
      </c>
      <c r="G2781" s="116">
        <f t="shared" si="264"/>
        <v>0</v>
      </c>
      <c r="H2781" s="116">
        <f t="shared" si="265"/>
        <v>0</v>
      </c>
    </row>
    <row r="2782" spans="1:8" s="10" customFormat="1" outlineLevel="1" x14ac:dyDescent="0.2">
      <c r="D2782" s="49" t="str">
        <f>OTHER_DETAILED_COST_WKSHT!D427</f>
        <v>Personnel Category 8</v>
      </c>
      <c r="E2782" s="115">
        <f>IF(DD_LVL2_ACTV_16_Currency_Selected=2,OTHER_DETAILED_COST_WKSHT!$F427*OTHER_DETAILED_COST_WKSHT!G427,OTHER_DETAILED_COST_WKSHT!$F427*(OTHER_DETAILED_COST_WKSHT!G427*LVL2_ACTV_16_Exchange_Rate))</f>
        <v>0</v>
      </c>
      <c r="F2782" s="115">
        <f>IF(DD_LVL2_ACTV_16_Currency_Selected=2,OTHER_DETAILED_COST_WKSHT!$F427*OTHER_DETAILED_COST_WKSHT!H427,OTHER_DETAILED_COST_WKSHT!$F427*(OTHER_DETAILED_COST_WKSHT!H427*LVL2_ACTV_16_Exchange_Rate))</f>
        <v>0</v>
      </c>
      <c r="G2782" s="116">
        <f t="shared" si="264"/>
        <v>0</v>
      </c>
      <c r="H2782" s="116">
        <f t="shared" si="265"/>
        <v>0</v>
      </c>
    </row>
    <row r="2783" spans="1:8" s="10" customFormat="1" outlineLevel="1" x14ac:dyDescent="0.2">
      <c r="D2783" s="49" t="str">
        <f>OTHER_DETAILED_COST_WKSHT!D428</f>
        <v>Personnel Category 9</v>
      </c>
      <c r="E2783" s="115">
        <f>IF(DD_LVL2_ACTV_16_Currency_Selected=2,OTHER_DETAILED_COST_WKSHT!$F428*OTHER_DETAILED_COST_WKSHT!G428,OTHER_DETAILED_COST_WKSHT!$F428*(OTHER_DETAILED_COST_WKSHT!G428*LVL2_ACTV_16_Exchange_Rate))</f>
        <v>0</v>
      </c>
      <c r="F2783" s="115">
        <f>IF(DD_LVL2_ACTV_16_Currency_Selected=2,OTHER_DETAILED_COST_WKSHT!$F428*OTHER_DETAILED_COST_WKSHT!H428,OTHER_DETAILED_COST_WKSHT!$F428*(OTHER_DETAILED_COST_WKSHT!H428*LVL2_ACTV_16_Exchange_Rate))</f>
        <v>0</v>
      </c>
      <c r="G2783" s="116">
        <f t="shared" si="264"/>
        <v>0</v>
      </c>
      <c r="H2783" s="116">
        <f t="shared" si="265"/>
        <v>0</v>
      </c>
    </row>
    <row r="2784" spans="1:8" s="10" customFormat="1" outlineLevel="1" x14ac:dyDescent="0.2">
      <c r="D2784" s="49" t="str">
        <f>OTHER_DETAILED_COST_WKSHT!D429</f>
        <v>Personnel Category 10</v>
      </c>
      <c r="E2784" s="115">
        <f>IF(DD_LVL2_ACTV_16_Currency_Selected=2,OTHER_DETAILED_COST_WKSHT!$F429*OTHER_DETAILED_COST_WKSHT!G429,OTHER_DETAILED_COST_WKSHT!$F429*(OTHER_DETAILED_COST_WKSHT!G429*LVL2_ACTV_16_Exchange_Rate))</f>
        <v>0</v>
      </c>
      <c r="F2784" s="115">
        <f>IF(DD_LVL2_ACTV_16_Currency_Selected=2,OTHER_DETAILED_COST_WKSHT!$F429*OTHER_DETAILED_COST_WKSHT!H429,OTHER_DETAILED_COST_WKSHT!$F429*(OTHER_DETAILED_COST_WKSHT!H429*LVL2_ACTV_16_Exchange_Rate))</f>
        <v>0</v>
      </c>
      <c r="G2784" s="116">
        <f t="shared" si="264"/>
        <v>0</v>
      </c>
      <c r="H2784" s="116">
        <f t="shared" si="265"/>
        <v>0</v>
      </c>
    </row>
    <row r="2785" spans="1:8" s="10" customFormat="1" outlineLevel="1" x14ac:dyDescent="0.2">
      <c r="D2785" s="49" t="str">
        <f>OTHER_DETAILED_COST_WKSHT!D430</f>
        <v>Personnel Category 11</v>
      </c>
      <c r="E2785" s="115">
        <f>IF(DD_LVL2_ACTV_16_Currency_Selected=2,OTHER_DETAILED_COST_WKSHT!$F430*OTHER_DETAILED_COST_WKSHT!G430,OTHER_DETAILED_COST_WKSHT!$F430*(OTHER_DETAILED_COST_WKSHT!G430*LVL2_ACTV_16_Exchange_Rate))</f>
        <v>0</v>
      </c>
      <c r="F2785" s="115">
        <f>IF(DD_LVL2_ACTV_16_Currency_Selected=2,OTHER_DETAILED_COST_WKSHT!$F430*OTHER_DETAILED_COST_WKSHT!H430,OTHER_DETAILED_COST_WKSHT!$F430*(OTHER_DETAILED_COST_WKSHT!H430*LVL2_ACTV_16_Exchange_Rate))</f>
        <v>0</v>
      </c>
      <c r="G2785" s="116">
        <f t="shared" si="264"/>
        <v>0</v>
      </c>
      <c r="H2785" s="116">
        <f t="shared" si="265"/>
        <v>0</v>
      </c>
    </row>
    <row r="2786" spans="1:8" s="10" customFormat="1" outlineLevel="1" x14ac:dyDescent="0.2">
      <c r="D2786" s="49" t="str">
        <f>OTHER_DETAILED_COST_WKSHT!D431</f>
        <v>Personnel Category 12</v>
      </c>
      <c r="E2786" s="115">
        <f>IF(DD_LVL2_ACTV_16_Currency_Selected=2,OTHER_DETAILED_COST_WKSHT!$F431*OTHER_DETAILED_COST_WKSHT!G431,OTHER_DETAILED_COST_WKSHT!$F431*(OTHER_DETAILED_COST_WKSHT!G431*LVL2_ACTV_16_Exchange_Rate))</f>
        <v>0</v>
      </c>
      <c r="F2786" s="115">
        <f>IF(DD_LVL2_ACTV_16_Currency_Selected=2,OTHER_DETAILED_COST_WKSHT!$F431*OTHER_DETAILED_COST_WKSHT!H431,OTHER_DETAILED_COST_WKSHT!$F431*(OTHER_DETAILED_COST_WKSHT!H431*LVL2_ACTV_16_Exchange_Rate))</f>
        <v>0</v>
      </c>
      <c r="G2786" s="116">
        <f t="shared" si="264"/>
        <v>0</v>
      </c>
      <c r="H2786" s="116">
        <f t="shared" si="265"/>
        <v>0</v>
      </c>
    </row>
    <row r="2787" spans="1:8" s="10" customFormat="1" outlineLevel="1" x14ac:dyDescent="0.2">
      <c r="D2787" s="49" t="str">
        <f>OTHER_DETAILED_COST_WKSHT!D432</f>
        <v>Personnel Category 13</v>
      </c>
      <c r="E2787" s="115">
        <f>IF(DD_LVL2_ACTV_16_Currency_Selected=2,OTHER_DETAILED_COST_WKSHT!$F432*OTHER_DETAILED_COST_WKSHT!G432,OTHER_DETAILED_COST_WKSHT!$F432*(OTHER_DETAILED_COST_WKSHT!G432*LVL2_ACTV_16_Exchange_Rate))</f>
        <v>0</v>
      </c>
      <c r="F2787" s="115">
        <f>IF(DD_LVL2_ACTV_16_Currency_Selected=2,OTHER_DETAILED_COST_WKSHT!$F432*OTHER_DETAILED_COST_WKSHT!H432,OTHER_DETAILED_COST_WKSHT!$F432*(OTHER_DETAILED_COST_WKSHT!H432*LVL2_ACTV_16_Exchange_Rate))</f>
        <v>0</v>
      </c>
      <c r="G2787" s="116">
        <f t="shared" si="264"/>
        <v>0</v>
      </c>
      <c r="H2787" s="116">
        <f t="shared" si="265"/>
        <v>0</v>
      </c>
    </row>
    <row r="2788" spans="1:8" s="10" customFormat="1" outlineLevel="1" x14ac:dyDescent="0.2">
      <c r="D2788" s="49" t="str">
        <f>OTHER_DETAILED_COST_WKSHT!D433</f>
        <v>Personnel Category 14</v>
      </c>
      <c r="E2788" s="115">
        <f>IF(DD_LVL2_ACTV_16_Currency_Selected=2,OTHER_DETAILED_COST_WKSHT!$F433*OTHER_DETAILED_COST_WKSHT!G433,OTHER_DETAILED_COST_WKSHT!$F433*(OTHER_DETAILED_COST_WKSHT!G433*LVL2_ACTV_16_Exchange_Rate))</f>
        <v>0</v>
      </c>
      <c r="F2788" s="115">
        <f>IF(DD_LVL2_ACTV_16_Currency_Selected=2,OTHER_DETAILED_COST_WKSHT!$F433*OTHER_DETAILED_COST_WKSHT!H433,OTHER_DETAILED_COST_WKSHT!$F433*(OTHER_DETAILED_COST_WKSHT!H433*LVL2_ACTV_16_Exchange_Rate))</f>
        <v>0</v>
      </c>
      <c r="G2788" s="116">
        <f t="shared" si="264"/>
        <v>0</v>
      </c>
      <c r="H2788" s="116">
        <f t="shared" si="265"/>
        <v>0</v>
      </c>
    </row>
    <row r="2789" spans="1:8" s="10" customFormat="1" outlineLevel="1" x14ac:dyDescent="0.2">
      <c r="D2789" s="49" t="str">
        <f>OTHER_DETAILED_COST_WKSHT!D434</f>
        <v>Personnel Category 15</v>
      </c>
      <c r="E2789" s="115">
        <f>IF(DD_LVL2_ACTV_16_Currency_Selected=2,OTHER_DETAILED_COST_WKSHT!$F434*OTHER_DETAILED_COST_WKSHT!G434,OTHER_DETAILED_COST_WKSHT!$F434*(OTHER_DETAILED_COST_WKSHT!G434*LVL2_ACTV_16_Exchange_Rate))</f>
        <v>0</v>
      </c>
      <c r="F2789" s="115">
        <f>IF(DD_LVL2_ACTV_16_Currency_Selected=2,OTHER_DETAILED_COST_WKSHT!$F434*OTHER_DETAILED_COST_WKSHT!H434,OTHER_DETAILED_COST_WKSHT!$F434*(OTHER_DETAILED_COST_WKSHT!H434*LVL2_ACTV_16_Exchange_Rate))</f>
        <v>0</v>
      </c>
      <c r="G2789" s="116">
        <f t="shared" si="264"/>
        <v>0</v>
      </c>
      <c r="H2789" s="116">
        <f t="shared" si="265"/>
        <v>0</v>
      </c>
    </row>
    <row r="2790" spans="1:8" s="10" customFormat="1" outlineLevel="1" x14ac:dyDescent="0.2">
      <c r="D2790" s="48" t="str">
        <f>Lang_Personnel</f>
        <v>Personnel</v>
      </c>
      <c r="E2790" s="120">
        <f>SUM(E2775:E2789)</f>
        <v>0</v>
      </c>
      <c r="F2790" s="120">
        <f>SUM(F2775:F2789)</f>
        <v>0</v>
      </c>
      <c r="G2790" s="121">
        <f>SUM(G2775:G2789)</f>
        <v>0</v>
      </c>
      <c r="H2790" s="121">
        <f>SUM(H2775:H2789)</f>
        <v>0</v>
      </c>
    </row>
    <row r="2791" spans="1:8" s="10" customFormat="1" outlineLevel="1" x14ac:dyDescent="0.2"/>
    <row r="2792" spans="1:8" s="10" customFormat="1" outlineLevel="1" x14ac:dyDescent="0.2"/>
    <row r="2793" spans="1:8" s="10" customFormat="1" outlineLevel="1" x14ac:dyDescent="0.2">
      <c r="D2793" s="76" t="str">
        <f>Lang_GoTo&amp;" "&amp;HL_LVL2_ACTV_16_Personnel_Assumptions</f>
        <v>Go to Other Activity #5 - (Recurrent Costs Only) (Not in Use) - Detailed Personnel Cost Assumptions</v>
      </c>
    </row>
    <row r="2794" spans="1:8" s="10" customFormat="1" outlineLevel="1" x14ac:dyDescent="0.2">
      <c r="D2794" s="76" t="str">
        <f>Lang_GoTo&amp;" "&amp;HL_LVL2_ACTV_16_Cost_Summary_Output</f>
        <v>Go to Other Activity #5 - (Recurrent Costs Only) (Not in Use) Detailed Cost Summary</v>
      </c>
    </row>
    <row r="2795" spans="1:8" s="10" customFormat="1" x14ac:dyDescent="0.2"/>
    <row r="2796" spans="1:8" s="13" customFormat="1" x14ac:dyDescent="0.2">
      <c r="A2796" s="12" t="s">
        <v>127</v>
      </c>
      <c r="B2796" s="13" t="str">
        <f>C2798&amp;" "&amp;Lang_Allowances_Outputs</f>
        <v>Other Activity #5 - (Recurrent Costs Only) (Not in Use) Allowances - Outputs</v>
      </c>
    </row>
    <row r="2797" spans="1:8" s="10" customFormat="1" outlineLevel="1" x14ac:dyDescent="0.2"/>
    <row r="2798" spans="1:8" s="10" customFormat="1" outlineLevel="1" x14ac:dyDescent="0.2">
      <c r="C2798" s="114" t="str">
        <f>HL_LVL2_ACTV_16_Name</f>
        <v>Other Activity #5 - (Recurrent Costs Only) (Not in Use)</v>
      </c>
    </row>
    <row r="2799" spans="1:8" s="10" customFormat="1" outlineLevel="1" x14ac:dyDescent="0.2">
      <c r="E2799" s="86" t="str">
        <f>OTHER_Lu!$D$172&amp;" "&amp;Lang_Cost&amp;" ("&amp;OTHER_Lu!$D$153&amp;")"</f>
        <v>Financial Cost (LCU)</v>
      </c>
      <c r="F2799" s="86" t="str">
        <f>OTHER_Lu!$D$173&amp;" "&amp;Lang_Cost&amp;" ("&amp;OTHER_Lu!$D$153&amp;")"</f>
        <v>Economic Cost (LCU)</v>
      </c>
      <c r="G2799" s="86" t="str">
        <f>OTHER_Lu!$D$172&amp;" "&amp;Lang_Cost&amp;" ("&amp;OTHER_Lu!$D$152&amp;")"</f>
        <v>Financial Cost (USD)</v>
      </c>
      <c r="H2799" s="86" t="str">
        <f>OTHER_Lu!$D$173&amp;" "&amp;Lang_Cost&amp;" ("&amp;OTHER_Lu!$D$152&amp;")"</f>
        <v>Economic Cost (USD)</v>
      </c>
    </row>
    <row r="2800" spans="1:8" s="10" customFormat="1" outlineLevel="1" x14ac:dyDescent="0.2">
      <c r="D2800" s="49" t="str">
        <f>OTHER_DETAILED_COST_WKSHT!D443</f>
        <v>Allowances Category 1</v>
      </c>
      <c r="E2800" s="115">
        <f>IF(DD_LVL2_ACTV_16_Currency_Selected=2,OTHER_DETAILED_COST_WKSHT!$F443*OTHER_DETAILED_COST_WKSHT!G443,OTHER_DETAILED_COST_WKSHT!$F443*(OTHER_DETAILED_COST_WKSHT!G443*LVL2_ACTV_16_Exchange_Rate))</f>
        <v>0</v>
      </c>
      <c r="F2800" s="115">
        <f>IF(DD_LVL2_ACTV_16_Currency_Selected=2,OTHER_DETAILED_COST_WKSHT!$F443*OTHER_DETAILED_COST_WKSHT!H443,OTHER_DETAILED_COST_WKSHT!$F443*(OTHER_DETAILED_COST_WKSHT!H443*LVL2_ACTV_16_Exchange_Rate))</f>
        <v>0</v>
      </c>
      <c r="G2800" s="116">
        <f t="shared" ref="G2800:G2809" si="266">E2800/LVL2_ACTV_16_Exchange_Rate</f>
        <v>0</v>
      </c>
      <c r="H2800" s="116">
        <f t="shared" ref="H2800:H2809" si="267">F2800/LVL2_ACTV_16_Exchange_Rate</f>
        <v>0</v>
      </c>
    </row>
    <row r="2801" spans="1:8" s="10" customFormat="1" outlineLevel="1" x14ac:dyDescent="0.2">
      <c r="D2801" s="49" t="str">
        <f>OTHER_DETAILED_COST_WKSHT!D444</f>
        <v>Allowances Category 2</v>
      </c>
      <c r="E2801" s="115">
        <f>IF(DD_LVL2_ACTV_16_Currency_Selected=2,OTHER_DETAILED_COST_WKSHT!$F444*OTHER_DETAILED_COST_WKSHT!G444,OTHER_DETAILED_COST_WKSHT!$F444*(OTHER_DETAILED_COST_WKSHT!G444*LVL2_ACTV_16_Exchange_Rate))</f>
        <v>0</v>
      </c>
      <c r="F2801" s="115">
        <f>IF(DD_LVL2_ACTV_16_Currency_Selected=2,OTHER_DETAILED_COST_WKSHT!$F444*OTHER_DETAILED_COST_WKSHT!H444,OTHER_DETAILED_COST_WKSHT!$F444*(OTHER_DETAILED_COST_WKSHT!H444*LVL2_ACTV_16_Exchange_Rate))</f>
        <v>0</v>
      </c>
      <c r="G2801" s="116">
        <f t="shared" si="266"/>
        <v>0</v>
      </c>
      <c r="H2801" s="116">
        <f t="shared" si="267"/>
        <v>0</v>
      </c>
    </row>
    <row r="2802" spans="1:8" s="10" customFormat="1" outlineLevel="1" x14ac:dyDescent="0.2">
      <c r="D2802" s="49" t="str">
        <f>OTHER_DETAILED_COST_WKSHT!D445</f>
        <v>Allowances Category 3</v>
      </c>
      <c r="E2802" s="115">
        <f>IF(DD_LVL2_ACTV_16_Currency_Selected=2,OTHER_DETAILED_COST_WKSHT!$F445*OTHER_DETAILED_COST_WKSHT!G445,OTHER_DETAILED_COST_WKSHT!$F445*(OTHER_DETAILED_COST_WKSHT!G445*LVL2_ACTV_16_Exchange_Rate))</f>
        <v>0</v>
      </c>
      <c r="F2802" s="115">
        <f>IF(DD_LVL2_ACTV_16_Currency_Selected=2,OTHER_DETAILED_COST_WKSHT!$F445*OTHER_DETAILED_COST_WKSHT!H445,OTHER_DETAILED_COST_WKSHT!$F445*(OTHER_DETAILED_COST_WKSHT!H445*LVL2_ACTV_16_Exchange_Rate))</f>
        <v>0</v>
      </c>
      <c r="G2802" s="116">
        <f t="shared" si="266"/>
        <v>0</v>
      </c>
      <c r="H2802" s="116">
        <f t="shared" si="267"/>
        <v>0</v>
      </c>
    </row>
    <row r="2803" spans="1:8" s="10" customFormat="1" outlineLevel="1" x14ac:dyDescent="0.2">
      <c r="D2803" s="49" t="str">
        <f>OTHER_DETAILED_COST_WKSHT!D446</f>
        <v>Allowances Category 4</v>
      </c>
      <c r="E2803" s="115">
        <f>IF(DD_LVL2_ACTV_16_Currency_Selected=2,OTHER_DETAILED_COST_WKSHT!$F446*OTHER_DETAILED_COST_WKSHT!G446,OTHER_DETAILED_COST_WKSHT!$F446*(OTHER_DETAILED_COST_WKSHT!G446*LVL2_ACTV_16_Exchange_Rate))</f>
        <v>0</v>
      </c>
      <c r="F2803" s="115">
        <f>IF(DD_LVL2_ACTV_16_Currency_Selected=2,OTHER_DETAILED_COST_WKSHT!$F446*OTHER_DETAILED_COST_WKSHT!H446,OTHER_DETAILED_COST_WKSHT!$F446*(OTHER_DETAILED_COST_WKSHT!H446*LVL2_ACTV_16_Exchange_Rate))</f>
        <v>0</v>
      </c>
      <c r="G2803" s="116">
        <f t="shared" si="266"/>
        <v>0</v>
      </c>
      <c r="H2803" s="116">
        <f t="shared" si="267"/>
        <v>0</v>
      </c>
    </row>
    <row r="2804" spans="1:8" s="10" customFormat="1" outlineLevel="1" x14ac:dyDescent="0.2">
      <c r="D2804" s="49" t="str">
        <f>OTHER_DETAILED_COST_WKSHT!D447</f>
        <v>Allowances Category 5</v>
      </c>
      <c r="E2804" s="115">
        <f>IF(DD_LVL2_ACTV_16_Currency_Selected=2,OTHER_DETAILED_COST_WKSHT!$F447*OTHER_DETAILED_COST_WKSHT!G447,OTHER_DETAILED_COST_WKSHT!$F447*(OTHER_DETAILED_COST_WKSHT!G447*LVL2_ACTV_16_Exchange_Rate))</f>
        <v>0</v>
      </c>
      <c r="F2804" s="115">
        <f>IF(DD_LVL2_ACTV_16_Currency_Selected=2,OTHER_DETAILED_COST_WKSHT!$F447*OTHER_DETAILED_COST_WKSHT!H447,OTHER_DETAILED_COST_WKSHT!$F447*(OTHER_DETAILED_COST_WKSHT!H447*LVL2_ACTV_16_Exchange_Rate))</f>
        <v>0</v>
      </c>
      <c r="G2804" s="116">
        <f t="shared" si="266"/>
        <v>0</v>
      </c>
      <c r="H2804" s="116">
        <f t="shared" si="267"/>
        <v>0</v>
      </c>
    </row>
    <row r="2805" spans="1:8" s="10" customFormat="1" outlineLevel="1" x14ac:dyDescent="0.2">
      <c r="D2805" s="49" t="str">
        <f>OTHER_DETAILED_COST_WKSHT!D448</f>
        <v>Allowances Category 6</v>
      </c>
      <c r="E2805" s="115">
        <f>IF(DD_LVL2_ACTV_16_Currency_Selected=2,OTHER_DETAILED_COST_WKSHT!$F448*OTHER_DETAILED_COST_WKSHT!G448,OTHER_DETAILED_COST_WKSHT!$F448*(OTHER_DETAILED_COST_WKSHT!G448*LVL2_ACTV_16_Exchange_Rate))</f>
        <v>0</v>
      </c>
      <c r="F2805" s="115">
        <f>IF(DD_LVL2_ACTV_16_Currency_Selected=2,OTHER_DETAILED_COST_WKSHT!$F448*OTHER_DETAILED_COST_WKSHT!H448,OTHER_DETAILED_COST_WKSHT!$F448*(OTHER_DETAILED_COST_WKSHT!H448*LVL2_ACTV_16_Exchange_Rate))</f>
        <v>0</v>
      </c>
      <c r="G2805" s="116">
        <f t="shared" si="266"/>
        <v>0</v>
      </c>
      <c r="H2805" s="116">
        <f t="shared" si="267"/>
        <v>0</v>
      </c>
    </row>
    <row r="2806" spans="1:8" s="10" customFormat="1" outlineLevel="1" x14ac:dyDescent="0.2">
      <c r="D2806" s="49" t="str">
        <f>OTHER_DETAILED_COST_WKSHT!D449</f>
        <v>Allowances Category 7</v>
      </c>
      <c r="E2806" s="115">
        <f>IF(DD_LVL2_ACTV_16_Currency_Selected=2,OTHER_DETAILED_COST_WKSHT!$F449*OTHER_DETAILED_COST_WKSHT!G449,OTHER_DETAILED_COST_WKSHT!$F449*(OTHER_DETAILED_COST_WKSHT!G449*LVL2_ACTV_16_Exchange_Rate))</f>
        <v>0</v>
      </c>
      <c r="F2806" s="115">
        <f>IF(DD_LVL2_ACTV_16_Currency_Selected=2,OTHER_DETAILED_COST_WKSHT!$F449*OTHER_DETAILED_COST_WKSHT!H449,OTHER_DETAILED_COST_WKSHT!$F449*(OTHER_DETAILED_COST_WKSHT!H449*LVL2_ACTV_16_Exchange_Rate))</f>
        <v>0</v>
      </c>
      <c r="G2806" s="116">
        <f t="shared" si="266"/>
        <v>0</v>
      </c>
      <c r="H2806" s="116">
        <f t="shared" si="267"/>
        <v>0</v>
      </c>
    </row>
    <row r="2807" spans="1:8" s="10" customFormat="1" outlineLevel="1" x14ac:dyDescent="0.2">
      <c r="D2807" s="49" t="str">
        <f>OTHER_DETAILED_COST_WKSHT!D450</f>
        <v>Allowances Category 8</v>
      </c>
      <c r="E2807" s="115">
        <f>IF(DD_LVL2_ACTV_16_Currency_Selected=2,OTHER_DETAILED_COST_WKSHT!$F450*OTHER_DETAILED_COST_WKSHT!G450,OTHER_DETAILED_COST_WKSHT!$F450*(OTHER_DETAILED_COST_WKSHT!G450*LVL2_ACTV_16_Exchange_Rate))</f>
        <v>0</v>
      </c>
      <c r="F2807" s="115">
        <f>IF(DD_LVL2_ACTV_16_Currency_Selected=2,OTHER_DETAILED_COST_WKSHT!$F450*OTHER_DETAILED_COST_WKSHT!H450,OTHER_DETAILED_COST_WKSHT!$F450*(OTHER_DETAILED_COST_WKSHT!H450*LVL2_ACTV_16_Exchange_Rate))</f>
        <v>0</v>
      </c>
      <c r="G2807" s="116">
        <f t="shared" si="266"/>
        <v>0</v>
      </c>
      <c r="H2807" s="116">
        <f t="shared" si="267"/>
        <v>0</v>
      </c>
    </row>
    <row r="2808" spans="1:8" s="10" customFormat="1" outlineLevel="1" x14ac:dyDescent="0.2">
      <c r="D2808" s="49" t="str">
        <f>OTHER_DETAILED_COST_WKSHT!D451</f>
        <v>Allowances Category 9</v>
      </c>
      <c r="E2808" s="115">
        <f>IF(DD_LVL2_ACTV_16_Currency_Selected=2,OTHER_DETAILED_COST_WKSHT!$F451*OTHER_DETAILED_COST_WKSHT!G451,OTHER_DETAILED_COST_WKSHT!$F451*(OTHER_DETAILED_COST_WKSHT!G451*LVL2_ACTV_16_Exchange_Rate))</f>
        <v>0</v>
      </c>
      <c r="F2808" s="115">
        <f>IF(DD_LVL2_ACTV_16_Currency_Selected=2,OTHER_DETAILED_COST_WKSHT!$F451*OTHER_DETAILED_COST_WKSHT!H451,OTHER_DETAILED_COST_WKSHT!$F451*(OTHER_DETAILED_COST_WKSHT!H451*LVL2_ACTV_16_Exchange_Rate))</f>
        <v>0</v>
      </c>
      <c r="G2808" s="116">
        <f t="shared" si="266"/>
        <v>0</v>
      </c>
      <c r="H2808" s="116">
        <f t="shared" si="267"/>
        <v>0</v>
      </c>
    </row>
    <row r="2809" spans="1:8" s="10" customFormat="1" outlineLevel="1" x14ac:dyDescent="0.2">
      <c r="D2809" s="49" t="str">
        <f>OTHER_DETAILED_COST_WKSHT!D452</f>
        <v>Allowances Category 10</v>
      </c>
      <c r="E2809" s="115">
        <f>IF(DD_LVL2_ACTV_16_Currency_Selected=2,OTHER_DETAILED_COST_WKSHT!$F452*OTHER_DETAILED_COST_WKSHT!G452,OTHER_DETAILED_COST_WKSHT!$F452*(OTHER_DETAILED_COST_WKSHT!G452*LVL2_ACTV_16_Exchange_Rate))</f>
        <v>0</v>
      </c>
      <c r="F2809" s="115">
        <f>IF(DD_LVL2_ACTV_16_Currency_Selected=2,OTHER_DETAILED_COST_WKSHT!$F452*OTHER_DETAILED_COST_WKSHT!H452,OTHER_DETAILED_COST_WKSHT!$F452*(OTHER_DETAILED_COST_WKSHT!H452*LVL2_ACTV_16_Exchange_Rate))</f>
        <v>0</v>
      </c>
      <c r="G2809" s="116">
        <f t="shared" si="266"/>
        <v>0</v>
      </c>
      <c r="H2809" s="116">
        <f t="shared" si="267"/>
        <v>0</v>
      </c>
    </row>
    <row r="2810" spans="1:8" s="10" customFormat="1" outlineLevel="1" x14ac:dyDescent="0.2">
      <c r="D2810" s="48" t="str">
        <f>Lang_Allowances</f>
        <v>Allowances</v>
      </c>
      <c r="E2810" s="120">
        <f>SUM(E2800:E2809)</f>
        <v>0</v>
      </c>
      <c r="F2810" s="120">
        <f>SUM(F2800:F2809)</f>
        <v>0</v>
      </c>
      <c r="G2810" s="121">
        <f>SUM(G2800:G2809)</f>
        <v>0</v>
      </c>
      <c r="H2810" s="121">
        <f>SUM(H2800:H2809)</f>
        <v>0</v>
      </c>
    </row>
    <row r="2811" spans="1:8" s="10" customFormat="1" outlineLevel="1" x14ac:dyDescent="0.2"/>
    <row r="2812" spans="1:8" s="10" customFormat="1" outlineLevel="1" x14ac:dyDescent="0.2"/>
    <row r="2813" spans="1:8" s="10" customFormat="1" outlineLevel="1" x14ac:dyDescent="0.2">
      <c r="D2813" s="76" t="str">
        <f>Lang_GoTo&amp;" "&amp;HL_LVL2_ACTV_16_Ass_A</f>
        <v>Go to Other Activity #5 - (Recurrent Costs Only) (Not in Use) - Detailed Allowance Cost Assumptions</v>
      </c>
    </row>
    <row r="2814" spans="1:8" s="10" customFormat="1" outlineLevel="1" x14ac:dyDescent="0.2">
      <c r="D2814" s="76" t="str">
        <f>Lang_GoTo&amp;" "&amp;HL_LVL2_ACTV_16_Cost_Summary_Output</f>
        <v>Go to Other Activity #5 - (Recurrent Costs Only) (Not in Use) Detailed Cost Summary</v>
      </c>
    </row>
    <row r="2815" spans="1:8" s="10" customFormat="1" x14ac:dyDescent="0.2"/>
    <row r="2816" spans="1:8" s="13" customFormat="1" x14ac:dyDescent="0.2">
      <c r="A2816" s="12" t="s">
        <v>127</v>
      </c>
      <c r="B2816" s="13" t="str">
        <f>C2818&amp;" "&amp;Lang_Supplies_And_Materials_Outputs</f>
        <v>Other Activity #5 - (Recurrent Costs Only) (Not in Use) Supplies and Materials - Outputs</v>
      </c>
    </row>
    <row r="2817" spans="3:8" s="10" customFormat="1" outlineLevel="1" x14ac:dyDescent="0.2"/>
    <row r="2818" spans="3:8" s="10" customFormat="1" outlineLevel="1" x14ac:dyDescent="0.2">
      <c r="C2818" s="114" t="str">
        <f>HL_LVL2_ACTV_16_Name</f>
        <v>Other Activity #5 - (Recurrent Costs Only) (Not in Use)</v>
      </c>
    </row>
    <row r="2819" spans="3:8" s="10" customFormat="1" outlineLevel="1" x14ac:dyDescent="0.2">
      <c r="E2819" s="86" t="str">
        <f>OTHER_Lu!$D$172&amp;" "&amp;Lang_Cost&amp;" ("&amp;OTHER_Lu!$D$153&amp;")"</f>
        <v>Financial Cost (LCU)</v>
      </c>
      <c r="F2819" s="86" t="str">
        <f>OTHER_Lu!$D$173&amp;" "&amp;Lang_Cost&amp;" ("&amp;OTHER_Lu!$D$153&amp;")"</f>
        <v>Economic Cost (LCU)</v>
      </c>
      <c r="G2819" s="86" t="str">
        <f>OTHER_Lu!$D$172&amp;" "&amp;Lang_Cost&amp;" ("&amp;OTHER_Lu!$D$152&amp;")"</f>
        <v>Financial Cost (USD)</v>
      </c>
      <c r="H2819" s="86" t="str">
        <f>OTHER_Lu!$D$173&amp;" "&amp;Lang_Cost&amp;" ("&amp;OTHER_Lu!$D$152&amp;")"</f>
        <v>Economic Cost (USD)</v>
      </c>
    </row>
    <row r="2820" spans="3:8" s="10" customFormat="1" outlineLevel="1" x14ac:dyDescent="0.2">
      <c r="D2820" s="49" t="str">
        <f>OTHER_DETAILED_COST_WKSHT!D461</f>
        <v>Supplies and Materials Category 1</v>
      </c>
      <c r="E2820" s="115">
        <f>IF(DD_LVL2_ACTV_16_Currency_Selected=2,OTHER_DETAILED_COST_WKSHT!$F461*OTHER_DETAILED_COST_WKSHT!G461,OTHER_DETAILED_COST_WKSHT!$F461*(OTHER_DETAILED_COST_WKSHT!G461*LVL2_ACTV_16_Exchange_Rate))</f>
        <v>0</v>
      </c>
      <c r="F2820" s="115">
        <f>IF(DD_LVL2_ACTV_16_Currency_Selected=2,OTHER_DETAILED_COST_WKSHT!$F461*OTHER_DETAILED_COST_WKSHT!H461,OTHER_DETAILED_COST_WKSHT!$F461*(OTHER_DETAILED_COST_WKSHT!H461*LVL2_ACTV_16_Exchange_Rate))</f>
        <v>0</v>
      </c>
      <c r="G2820" s="116">
        <f t="shared" ref="G2820:G2829" si="268">E2820/LVL2_ACTV_16_Exchange_Rate</f>
        <v>0</v>
      </c>
      <c r="H2820" s="116">
        <f t="shared" ref="H2820:H2829" si="269">F2820/LVL2_ACTV_16_Exchange_Rate</f>
        <v>0</v>
      </c>
    </row>
    <row r="2821" spans="3:8" s="10" customFormat="1" outlineLevel="1" x14ac:dyDescent="0.2">
      <c r="D2821" s="49" t="str">
        <f>OTHER_DETAILED_COST_WKSHT!D462</f>
        <v>Supplies and Materials Category 2</v>
      </c>
      <c r="E2821" s="115">
        <f>IF(DD_LVL2_ACTV_16_Currency_Selected=2,OTHER_DETAILED_COST_WKSHT!$F462*OTHER_DETAILED_COST_WKSHT!G462,OTHER_DETAILED_COST_WKSHT!$F462*(OTHER_DETAILED_COST_WKSHT!G462*LVL2_ACTV_16_Exchange_Rate))</f>
        <v>0</v>
      </c>
      <c r="F2821" s="115">
        <f>IF(DD_LVL2_ACTV_16_Currency_Selected=2,OTHER_DETAILED_COST_WKSHT!$F462*OTHER_DETAILED_COST_WKSHT!H462,OTHER_DETAILED_COST_WKSHT!$F462*(OTHER_DETAILED_COST_WKSHT!H462*LVL2_ACTV_16_Exchange_Rate))</f>
        <v>0</v>
      </c>
      <c r="G2821" s="116">
        <f t="shared" si="268"/>
        <v>0</v>
      </c>
      <c r="H2821" s="116">
        <f t="shared" si="269"/>
        <v>0</v>
      </c>
    </row>
    <row r="2822" spans="3:8" s="10" customFormat="1" outlineLevel="1" x14ac:dyDescent="0.2">
      <c r="D2822" s="49" t="str">
        <f>OTHER_DETAILED_COST_WKSHT!D463</f>
        <v>Supplies and Materials Category 3</v>
      </c>
      <c r="E2822" s="115">
        <f>IF(DD_LVL2_ACTV_16_Currency_Selected=2,OTHER_DETAILED_COST_WKSHT!$F463*OTHER_DETAILED_COST_WKSHT!G463,OTHER_DETAILED_COST_WKSHT!$F463*(OTHER_DETAILED_COST_WKSHT!G463*LVL2_ACTV_16_Exchange_Rate))</f>
        <v>0</v>
      </c>
      <c r="F2822" s="115">
        <f>IF(DD_LVL2_ACTV_16_Currency_Selected=2,OTHER_DETAILED_COST_WKSHT!$F463*OTHER_DETAILED_COST_WKSHT!H463,OTHER_DETAILED_COST_WKSHT!$F463*(OTHER_DETAILED_COST_WKSHT!H463*LVL2_ACTV_16_Exchange_Rate))</f>
        <v>0</v>
      </c>
      <c r="G2822" s="116">
        <f t="shared" si="268"/>
        <v>0</v>
      </c>
      <c r="H2822" s="116">
        <f t="shared" si="269"/>
        <v>0</v>
      </c>
    </row>
    <row r="2823" spans="3:8" s="10" customFormat="1" outlineLevel="1" x14ac:dyDescent="0.2">
      <c r="D2823" s="49" t="str">
        <f>OTHER_DETAILED_COST_WKSHT!D464</f>
        <v>Supplies and Materials Category 4</v>
      </c>
      <c r="E2823" s="115">
        <f>IF(DD_LVL2_ACTV_16_Currency_Selected=2,OTHER_DETAILED_COST_WKSHT!$F464*OTHER_DETAILED_COST_WKSHT!G464,OTHER_DETAILED_COST_WKSHT!$F464*(OTHER_DETAILED_COST_WKSHT!G464*LVL2_ACTV_16_Exchange_Rate))</f>
        <v>0</v>
      </c>
      <c r="F2823" s="115">
        <f>IF(DD_LVL2_ACTV_16_Currency_Selected=2,OTHER_DETAILED_COST_WKSHT!$F464*OTHER_DETAILED_COST_WKSHT!H464,OTHER_DETAILED_COST_WKSHT!$F464*(OTHER_DETAILED_COST_WKSHT!H464*LVL2_ACTV_16_Exchange_Rate))</f>
        <v>0</v>
      </c>
      <c r="G2823" s="116">
        <f t="shared" si="268"/>
        <v>0</v>
      </c>
      <c r="H2823" s="116">
        <f t="shared" si="269"/>
        <v>0</v>
      </c>
    </row>
    <row r="2824" spans="3:8" s="10" customFormat="1" outlineLevel="1" x14ac:dyDescent="0.2">
      <c r="D2824" s="49" t="str">
        <f>OTHER_DETAILED_COST_WKSHT!D465</f>
        <v>Supplies and Materials Category 5</v>
      </c>
      <c r="E2824" s="115">
        <f>IF(DD_LVL2_ACTV_16_Currency_Selected=2,OTHER_DETAILED_COST_WKSHT!$F465*OTHER_DETAILED_COST_WKSHT!G465,OTHER_DETAILED_COST_WKSHT!$F465*(OTHER_DETAILED_COST_WKSHT!G465*LVL2_ACTV_16_Exchange_Rate))</f>
        <v>0</v>
      </c>
      <c r="F2824" s="115">
        <f>IF(DD_LVL2_ACTV_16_Currency_Selected=2,OTHER_DETAILED_COST_WKSHT!$F465*OTHER_DETAILED_COST_WKSHT!H465,OTHER_DETAILED_COST_WKSHT!$F465*(OTHER_DETAILED_COST_WKSHT!H465*LVL2_ACTV_16_Exchange_Rate))</f>
        <v>0</v>
      </c>
      <c r="G2824" s="116">
        <f t="shared" si="268"/>
        <v>0</v>
      </c>
      <c r="H2824" s="116">
        <f t="shared" si="269"/>
        <v>0</v>
      </c>
    </row>
    <row r="2825" spans="3:8" s="10" customFormat="1" outlineLevel="1" x14ac:dyDescent="0.2">
      <c r="D2825" s="49" t="str">
        <f>OTHER_DETAILED_COST_WKSHT!D466</f>
        <v>Supplies and Materials Category 6</v>
      </c>
      <c r="E2825" s="115">
        <f>IF(DD_LVL2_ACTV_16_Currency_Selected=2,OTHER_DETAILED_COST_WKSHT!$F466*OTHER_DETAILED_COST_WKSHT!G466,OTHER_DETAILED_COST_WKSHT!$F466*(OTHER_DETAILED_COST_WKSHT!G466*LVL2_ACTV_16_Exchange_Rate))</f>
        <v>0</v>
      </c>
      <c r="F2825" s="115">
        <f>IF(DD_LVL2_ACTV_16_Currency_Selected=2,OTHER_DETAILED_COST_WKSHT!$F466*OTHER_DETAILED_COST_WKSHT!H466,OTHER_DETAILED_COST_WKSHT!$F466*(OTHER_DETAILED_COST_WKSHT!H466*LVL2_ACTV_16_Exchange_Rate))</f>
        <v>0</v>
      </c>
      <c r="G2825" s="116">
        <f t="shared" si="268"/>
        <v>0</v>
      </c>
      <c r="H2825" s="116">
        <f t="shared" si="269"/>
        <v>0</v>
      </c>
    </row>
    <row r="2826" spans="3:8" s="10" customFormat="1" outlineLevel="1" x14ac:dyDescent="0.2">
      <c r="D2826" s="49" t="str">
        <f>OTHER_DETAILED_COST_WKSHT!D467</f>
        <v>Supplies and Materials Category 7</v>
      </c>
      <c r="E2826" s="115">
        <f>IF(DD_LVL2_ACTV_16_Currency_Selected=2,OTHER_DETAILED_COST_WKSHT!$F467*OTHER_DETAILED_COST_WKSHT!G467,OTHER_DETAILED_COST_WKSHT!$F467*(OTHER_DETAILED_COST_WKSHT!G467*LVL2_ACTV_16_Exchange_Rate))</f>
        <v>0</v>
      </c>
      <c r="F2826" s="115">
        <f>IF(DD_LVL2_ACTV_16_Currency_Selected=2,OTHER_DETAILED_COST_WKSHT!$F467*OTHER_DETAILED_COST_WKSHT!H467,OTHER_DETAILED_COST_WKSHT!$F467*(OTHER_DETAILED_COST_WKSHT!H467*LVL2_ACTV_16_Exchange_Rate))</f>
        <v>0</v>
      </c>
      <c r="G2826" s="116">
        <f t="shared" si="268"/>
        <v>0</v>
      </c>
      <c r="H2826" s="116">
        <f t="shared" si="269"/>
        <v>0</v>
      </c>
    </row>
    <row r="2827" spans="3:8" s="10" customFormat="1" outlineLevel="1" x14ac:dyDescent="0.2">
      <c r="D2827" s="49" t="str">
        <f>OTHER_DETAILED_COST_WKSHT!D468</f>
        <v>Supplies and Materials Category 8</v>
      </c>
      <c r="E2827" s="115">
        <f>IF(DD_LVL2_ACTV_16_Currency_Selected=2,OTHER_DETAILED_COST_WKSHT!$F468*OTHER_DETAILED_COST_WKSHT!G468,OTHER_DETAILED_COST_WKSHT!$F468*(OTHER_DETAILED_COST_WKSHT!G468*LVL2_ACTV_16_Exchange_Rate))</f>
        <v>0</v>
      </c>
      <c r="F2827" s="115">
        <f>IF(DD_LVL2_ACTV_16_Currency_Selected=2,OTHER_DETAILED_COST_WKSHT!$F468*OTHER_DETAILED_COST_WKSHT!H468,OTHER_DETAILED_COST_WKSHT!$F468*(OTHER_DETAILED_COST_WKSHT!H468*LVL2_ACTV_16_Exchange_Rate))</f>
        <v>0</v>
      </c>
      <c r="G2827" s="116">
        <f t="shared" si="268"/>
        <v>0</v>
      </c>
      <c r="H2827" s="116">
        <f t="shared" si="269"/>
        <v>0</v>
      </c>
    </row>
    <row r="2828" spans="3:8" s="10" customFormat="1" outlineLevel="1" x14ac:dyDescent="0.2">
      <c r="D2828" s="49" t="str">
        <f>OTHER_DETAILED_COST_WKSHT!D469</f>
        <v>Supplies and Materials Category 9</v>
      </c>
      <c r="E2828" s="115">
        <f>IF(DD_LVL2_ACTV_16_Currency_Selected=2,OTHER_DETAILED_COST_WKSHT!$F469*OTHER_DETAILED_COST_WKSHT!G469,OTHER_DETAILED_COST_WKSHT!$F469*(OTHER_DETAILED_COST_WKSHT!G469*LVL2_ACTV_16_Exchange_Rate))</f>
        <v>0</v>
      </c>
      <c r="F2828" s="115">
        <f>IF(DD_LVL2_ACTV_16_Currency_Selected=2,OTHER_DETAILED_COST_WKSHT!$F469*OTHER_DETAILED_COST_WKSHT!H469,OTHER_DETAILED_COST_WKSHT!$F469*(OTHER_DETAILED_COST_WKSHT!H469*LVL2_ACTV_16_Exchange_Rate))</f>
        <v>0</v>
      </c>
      <c r="G2828" s="116">
        <f t="shared" si="268"/>
        <v>0</v>
      </c>
      <c r="H2828" s="116">
        <f t="shared" si="269"/>
        <v>0</v>
      </c>
    </row>
    <row r="2829" spans="3:8" s="10" customFormat="1" outlineLevel="1" x14ac:dyDescent="0.2">
      <c r="D2829" s="49" t="str">
        <f>OTHER_DETAILED_COST_WKSHT!D470</f>
        <v>Supplies and Materials Category 10</v>
      </c>
      <c r="E2829" s="115">
        <f>IF(DD_LVL2_ACTV_16_Currency_Selected=2,OTHER_DETAILED_COST_WKSHT!$F470*OTHER_DETAILED_COST_WKSHT!G470,OTHER_DETAILED_COST_WKSHT!$F470*(OTHER_DETAILED_COST_WKSHT!G470*LVL2_ACTV_16_Exchange_Rate))</f>
        <v>0</v>
      </c>
      <c r="F2829" s="115">
        <f>IF(DD_LVL2_ACTV_16_Currency_Selected=2,OTHER_DETAILED_COST_WKSHT!$F470*OTHER_DETAILED_COST_WKSHT!H470,OTHER_DETAILED_COST_WKSHT!$F470*(OTHER_DETAILED_COST_WKSHT!H470*LVL2_ACTV_16_Exchange_Rate))</f>
        <v>0</v>
      </c>
      <c r="G2829" s="116">
        <f t="shared" si="268"/>
        <v>0</v>
      </c>
      <c r="H2829" s="116">
        <f t="shared" si="269"/>
        <v>0</v>
      </c>
    </row>
    <row r="2830" spans="3:8" s="10" customFormat="1" outlineLevel="1" x14ac:dyDescent="0.2">
      <c r="D2830" s="48" t="str">
        <f>Lang_Supplies_And_Materials</f>
        <v>Supplies and Materials</v>
      </c>
      <c r="E2830" s="120">
        <f>SUM(E2820:E2829)</f>
        <v>0</v>
      </c>
      <c r="F2830" s="120">
        <f>SUM(F2820:F2829)</f>
        <v>0</v>
      </c>
      <c r="G2830" s="121">
        <f>SUM(G2820:G2829)</f>
        <v>0</v>
      </c>
      <c r="H2830" s="121">
        <f>SUM(H2820:H2829)</f>
        <v>0</v>
      </c>
    </row>
    <row r="2831" spans="3:8" s="10" customFormat="1" outlineLevel="1" x14ac:dyDescent="0.2"/>
    <row r="2832" spans="3:8" s="10" customFormat="1" outlineLevel="1" x14ac:dyDescent="0.2"/>
    <row r="2833" spans="1:8" s="10" customFormat="1" outlineLevel="1" x14ac:dyDescent="0.2">
      <c r="D2833" s="76" t="str">
        <f>Lang_GoTo&amp;" "&amp;HL_LVL2_ACTV_16_Supplies_and_Materials</f>
        <v>Go to Other Activity #5 - (Recurrent Costs Only) (Not in Use) - Detailed Supply and Material Cost Assumptions</v>
      </c>
    </row>
    <row r="2834" spans="1:8" s="10" customFormat="1" outlineLevel="1" x14ac:dyDescent="0.2">
      <c r="D2834" s="76" t="str">
        <f>Lang_GoTo&amp;" "&amp;HL_LVL2_ACTV_16_Cost_Summary_Output</f>
        <v>Go to Other Activity #5 - (Recurrent Costs Only) (Not in Use) Detailed Cost Summary</v>
      </c>
    </row>
    <row r="2835" spans="1:8" s="10" customFormat="1" x14ac:dyDescent="0.2"/>
    <row r="2836" spans="1:8" s="13" customFormat="1" x14ac:dyDescent="0.2">
      <c r="A2836" s="12" t="s">
        <v>127</v>
      </c>
      <c r="B2836" s="13" t="str">
        <f>C2838&amp;" "&amp;Lang_Other_Direct_Costs_Outputs</f>
        <v>Other Activity #5 - (Recurrent Costs Only) (Not in Use) Other Direct Costs - Outputs</v>
      </c>
    </row>
    <row r="2837" spans="1:8" s="10" customFormat="1" outlineLevel="1" x14ac:dyDescent="0.2"/>
    <row r="2838" spans="1:8" s="10" customFormat="1" outlineLevel="1" x14ac:dyDescent="0.2">
      <c r="C2838" s="114" t="str">
        <f>HL_LVL2_ACTV_16_Name</f>
        <v>Other Activity #5 - (Recurrent Costs Only) (Not in Use)</v>
      </c>
    </row>
    <row r="2839" spans="1:8" s="10" customFormat="1" outlineLevel="1" x14ac:dyDescent="0.2">
      <c r="E2839" s="86" t="str">
        <f>OTHER_Lu!$D$172&amp;" "&amp;Lang_Cost&amp;" ("&amp;OTHER_Lu!$D$153&amp;")"</f>
        <v>Financial Cost (LCU)</v>
      </c>
      <c r="F2839" s="86" t="str">
        <f>OTHER_Lu!$D$173&amp;" "&amp;Lang_Cost&amp;" ("&amp;OTHER_Lu!$D$153&amp;")"</f>
        <v>Economic Cost (LCU)</v>
      </c>
      <c r="G2839" s="86" t="str">
        <f>OTHER_Lu!$D$172&amp;" "&amp;Lang_Cost&amp;" ("&amp;OTHER_Lu!$D$152&amp;")"</f>
        <v>Financial Cost (USD)</v>
      </c>
      <c r="H2839" s="86" t="str">
        <f>OTHER_Lu!$D$173&amp;" "&amp;Lang_Cost&amp;" ("&amp;OTHER_Lu!$D$152&amp;")"</f>
        <v>Economic Cost (USD)</v>
      </c>
    </row>
    <row r="2840" spans="1:8" s="10" customFormat="1" outlineLevel="1" x14ac:dyDescent="0.2">
      <c r="D2840" s="49" t="str">
        <f>OTHER_DETAILED_COST_WKSHT!D479</f>
        <v>Other Direct Costs (ODC) Category 1</v>
      </c>
      <c r="E2840" s="115">
        <f>IF(DD_LVL2_ACTV_16_Currency_Selected=2,OTHER_DETAILED_COST_WKSHT!$F479*OTHER_DETAILED_COST_WKSHT!G479,OTHER_DETAILED_COST_WKSHT!$F479*(OTHER_DETAILED_COST_WKSHT!G479*LVL2_ACTV_16_Exchange_Rate))</f>
        <v>0</v>
      </c>
      <c r="F2840" s="115">
        <f>IF(DD_LVL2_ACTV_16_Currency_Selected=2,OTHER_DETAILED_COST_WKSHT!$F479*OTHER_DETAILED_COST_WKSHT!H479,OTHER_DETAILED_COST_WKSHT!$F479*(OTHER_DETAILED_COST_WKSHT!H479*LVL2_ACTV_16_Exchange_Rate))</f>
        <v>0</v>
      </c>
      <c r="G2840" s="116">
        <f t="shared" ref="G2840:G2849" si="270">E2840/LVL2_ACTV_16_Exchange_Rate</f>
        <v>0</v>
      </c>
      <c r="H2840" s="116">
        <f t="shared" ref="H2840:H2849" si="271">F2840/LVL2_ACTV_16_Exchange_Rate</f>
        <v>0</v>
      </c>
    </row>
    <row r="2841" spans="1:8" s="10" customFormat="1" outlineLevel="1" x14ac:dyDescent="0.2">
      <c r="D2841" s="49" t="str">
        <f>OTHER_DETAILED_COST_WKSHT!D480</f>
        <v>Other Direct Costs (ODC) Category 2</v>
      </c>
      <c r="E2841" s="115">
        <f>IF(DD_LVL2_ACTV_16_Currency_Selected=2,OTHER_DETAILED_COST_WKSHT!$F480*OTHER_DETAILED_COST_WKSHT!G480,OTHER_DETAILED_COST_WKSHT!$F480*(OTHER_DETAILED_COST_WKSHT!G480*LVL2_ACTV_16_Exchange_Rate))</f>
        <v>0</v>
      </c>
      <c r="F2841" s="115">
        <f>IF(DD_LVL2_ACTV_16_Currency_Selected=2,OTHER_DETAILED_COST_WKSHT!$F480*OTHER_DETAILED_COST_WKSHT!H480,OTHER_DETAILED_COST_WKSHT!$F480*(OTHER_DETAILED_COST_WKSHT!H480*LVL2_ACTV_16_Exchange_Rate))</f>
        <v>0</v>
      </c>
      <c r="G2841" s="116">
        <f t="shared" si="270"/>
        <v>0</v>
      </c>
      <c r="H2841" s="116">
        <f t="shared" si="271"/>
        <v>0</v>
      </c>
    </row>
    <row r="2842" spans="1:8" s="10" customFormat="1" outlineLevel="1" x14ac:dyDescent="0.2">
      <c r="D2842" s="49" t="str">
        <f>OTHER_DETAILED_COST_WKSHT!D481</f>
        <v>Other Direct Costs (ODC) Category 3</v>
      </c>
      <c r="E2842" s="115">
        <f>IF(DD_LVL2_ACTV_16_Currency_Selected=2,OTHER_DETAILED_COST_WKSHT!$F481*OTHER_DETAILED_COST_WKSHT!G481,OTHER_DETAILED_COST_WKSHT!$F481*(OTHER_DETAILED_COST_WKSHT!G481*LVL2_ACTV_16_Exchange_Rate))</f>
        <v>0</v>
      </c>
      <c r="F2842" s="115">
        <f>IF(DD_LVL2_ACTV_16_Currency_Selected=2,OTHER_DETAILED_COST_WKSHT!$F481*OTHER_DETAILED_COST_WKSHT!H481,OTHER_DETAILED_COST_WKSHT!$F481*(OTHER_DETAILED_COST_WKSHT!H481*LVL2_ACTV_16_Exchange_Rate))</f>
        <v>0</v>
      </c>
      <c r="G2842" s="116">
        <f t="shared" si="270"/>
        <v>0</v>
      </c>
      <c r="H2842" s="116">
        <f t="shared" si="271"/>
        <v>0</v>
      </c>
    </row>
    <row r="2843" spans="1:8" s="10" customFormat="1" outlineLevel="1" x14ac:dyDescent="0.2">
      <c r="D2843" s="49" t="str">
        <f>OTHER_DETAILED_COST_WKSHT!D482</f>
        <v>Other Direct Costs (ODC) Category 4</v>
      </c>
      <c r="E2843" s="115">
        <f>IF(DD_LVL2_ACTV_16_Currency_Selected=2,OTHER_DETAILED_COST_WKSHT!$F482*OTHER_DETAILED_COST_WKSHT!G482,OTHER_DETAILED_COST_WKSHT!$F482*(OTHER_DETAILED_COST_WKSHT!G482*LVL2_ACTV_16_Exchange_Rate))</f>
        <v>0</v>
      </c>
      <c r="F2843" s="115">
        <f>IF(DD_LVL2_ACTV_16_Currency_Selected=2,OTHER_DETAILED_COST_WKSHT!$F482*OTHER_DETAILED_COST_WKSHT!H482,OTHER_DETAILED_COST_WKSHT!$F482*(OTHER_DETAILED_COST_WKSHT!H482*LVL2_ACTV_16_Exchange_Rate))</f>
        <v>0</v>
      </c>
      <c r="G2843" s="116">
        <f t="shared" si="270"/>
        <v>0</v>
      </c>
      <c r="H2843" s="116">
        <f t="shared" si="271"/>
        <v>0</v>
      </c>
    </row>
    <row r="2844" spans="1:8" s="10" customFormat="1" outlineLevel="1" x14ac:dyDescent="0.2">
      <c r="D2844" s="49" t="str">
        <f>OTHER_DETAILED_COST_WKSHT!D483</f>
        <v>Other Direct Costs (ODC) Category 5</v>
      </c>
      <c r="E2844" s="115">
        <f>IF(DD_LVL2_ACTV_16_Currency_Selected=2,OTHER_DETAILED_COST_WKSHT!$F483*OTHER_DETAILED_COST_WKSHT!G483,OTHER_DETAILED_COST_WKSHT!$F483*(OTHER_DETAILED_COST_WKSHT!G483*LVL2_ACTV_16_Exchange_Rate))</f>
        <v>0</v>
      </c>
      <c r="F2844" s="115">
        <f>IF(DD_LVL2_ACTV_16_Currency_Selected=2,OTHER_DETAILED_COST_WKSHT!$F483*OTHER_DETAILED_COST_WKSHT!H483,OTHER_DETAILED_COST_WKSHT!$F483*(OTHER_DETAILED_COST_WKSHT!H483*LVL2_ACTV_16_Exchange_Rate))</f>
        <v>0</v>
      </c>
      <c r="G2844" s="116">
        <f t="shared" si="270"/>
        <v>0</v>
      </c>
      <c r="H2844" s="116">
        <f t="shared" si="271"/>
        <v>0</v>
      </c>
    </row>
    <row r="2845" spans="1:8" s="10" customFormat="1" outlineLevel="1" x14ac:dyDescent="0.2">
      <c r="D2845" s="49" t="str">
        <f>OTHER_DETAILED_COST_WKSHT!D484</f>
        <v>Other Direct Costs (ODC) Category 6</v>
      </c>
      <c r="E2845" s="115">
        <f>IF(DD_LVL2_ACTV_16_Currency_Selected=2,OTHER_DETAILED_COST_WKSHT!$F484*OTHER_DETAILED_COST_WKSHT!G484,OTHER_DETAILED_COST_WKSHT!$F484*(OTHER_DETAILED_COST_WKSHT!G484*LVL2_ACTV_16_Exchange_Rate))</f>
        <v>0</v>
      </c>
      <c r="F2845" s="115">
        <f>IF(DD_LVL2_ACTV_16_Currency_Selected=2,OTHER_DETAILED_COST_WKSHT!$F484*OTHER_DETAILED_COST_WKSHT!H484,OTHER_DETAILED_COST_WKSHT!$F484*(OTHER_DETAILED_COST_WKSHT!H484*LVL2_ACTV_16_Exchange_Rate))</f>
        <v>0</v>
      </c>
      <c r="G2845" s="116">
        <f t="shared" si="270"/>
        <v>0</v>
      </c>
      <c r="H2845" s="116">
        <f t="shared" si="271"/>
        <v>0</v>
      </c>
    </row>
    <row r="2846" spans="1:8" s="10" customFormat="1" outlineLevel="1" x14ac:dyDescent="0.2">
      <c r="D2846" s="49" t="str">
        <f>OTHER_DETAILED_COST_WKSHT!D485</f>
        <v>Other Direct Costs (ODC) Category 7</v>
      </c>
      <c r="E2846" s="115">
        <f>IF(DD_LVL2_ACTV_16_Currency_Selected=2,OTHER_DETAILED_COST_WKSHT!$F485*OTHER_DETAILED_COST_WKSHT!G485,OTHER_DETAILED_COST_WKSHT!$F485*(OTHER_DETAILED_COST_WKSHT!G485*LVL2_ACTV_16_Exchange_Rate))</f>
        <v>0</v>
      </c>
      <c r="F2846" s="115">
        <f>IF(DD_LVL2_ACTV_16_Currency_Selected=2,OTHER_DETAILED_COST_WKSHT!$F485*OTHER_DETAILED_COST_WKSHT!H485,OTHER_DETAILED_COST_WKSHT!$F485*(OTHER_DETAILED_COST_WKSHT!H485*LVL2_ACTV_16_Exchange_Rate))</f>
        <v>0</v>
      </c>
      <c r="G2846" s="116">
        <f t="shared" si="270"/>
        <v>0</v>
      </c>
      <c r="H2846" s="116">
        <f t="shared" si="271"/>
        <v>0</v>
      </c>
    </row>
    <row r="2847" spans="1:8" s="10" customFormat="1" outlineLevel="1" x14ac:dyDescent="0.2">
      <c r="D2847" s="49" t="str">
        <f>OTHER_DETAILED_COST_WKSHT!D486</f>
        <v>Other Direct Costs (ODC) Category 8</v>
      </c>
      <c r="E2847" s="115">
        <f>IF(DD_LVL2_ACTV_16_Currency_Selected=2,OTHER_DETAILED_COST_WKSHT!$F486*OTHER_DETAILED_COST_WKSHT!G486,OTHER_DETAILED_COST_WKSHT!$F486*(OTHER_DETAILED_COST_WKSHT!G486*LVL2_ACTV_16_Exchange_Rate))</f>
        <v>0</v>
      </c>
      <c r="F2847" s="115">
        <f>IF(DD_LVL2_ACTV_16_Currency_Selected=2,OTHER_DETAILED_COST_WKSHT!$F486*OTHER_DETAILED_COST_WKSHT!H486,OTHER_DETAILED_COST_WKSHT!$F486*(OTHER_DETAILED_COST_WKSHT!H486*LVL2_ACTV_16_Exchange_Rate))</f>
        <v>0</v>
      </c>
      <c r="G2847" s="116">
        <f t="shared" si="270"/>
        <v>0</v>
      </c>
      <c r="H2847" s="116">
        <f t="shared" si="271"/>
        <v>0</v>
      </c>
    </row>
    <row r="2848" spans="1:8" s="10" customFormat="1" outlineLevel="1" x14ac:dyDescent="0.2">
      <c r="D2848" s="49" t="str">
        <f>OTHER_DETAILED_COST_WKSHT!D487</f>
        <v>Other Direct Costs (ODC) Category 9</v>
      </c>
      <c r="E2848" s="115">
        <f>IF(DD_LVL2_ACTV_16_Currency_Selected=2,OTHER_DETAILED_COST_WKSHT!$F487*OTHER_DETAILED_COST_WKSHT!G487,OTHER_DETAILED_COST_WKSHT!$F487*(OTHER_DETAILED_COST_WKSHT!G487*LVL2_ACTV_16_Exchange_Rate))</f>
        <v>0</v>
      </c>
      <c r="F2848" s="115">
        <f>IF(DD_LVL2_ACTV_16_Currency_Selected=2,OTHER_DETAILED_COST_WKSHT!$F487*OTHER_DETAILED_COST_WKSHT!H487,OTHER_DETAILED_COST_WKSHT!$F487*(OTHER_DETAILED_COST_WKSHT!H487*LVL2_ACTV_16_Exchange_Rate))</f>
        <v>0</v>
      </c>
      <c r="G2848" s="116">
        <f t="shared" si="270"/>
        <v>0</v>
      </c>
      <c r="H2848" s="116">
        <f t="shared" si="271"/>
        <v>0</v>
      </c>
    </row>
    <row r="2849" spans="1:8" s="10" customFormat="1" outlineLevel="1" x14ac:dyDescent="0.2">
      <c r="D2849" s="49" t="str">
        <f>OTHER_DETAILED_COST_WKSHT!D488</f>
        <v>Other Direct Costs (ODC) Category 10</v>
      </c>
      <c r="E2849" s="115">
        <f>IF(DD_LVL2_ACTV_16_Currency_Selected=2,OTHER_DETAILED_COST_WKSHT!$F488*OTHER_DETAILED_COST_WKSHT!G488,OTHER_DETAILED_COST_WKSHT!$F488*(OTHER_DETAILED_COST_WKSHT!G488*LVL2_ACTV_16_Exchange_Rate))</f>
        <v>0</v>
      </c>
      <c r="F2849" s="115">
        <f>IF(DD_LVL2_ACTV_16_Currency_Selected=2,OTHER_DETAILED_COST_WKSHT!$F488*OTHER_DETAILED_COST_WKSHT!H488,OTHER_DETAILED_COST_WKSHT!$F488*(OTHER_DETAILED_COST_WKSHT!H488*LVL2_ACTV_16_Exchange_Rate))</f>
        <v>0</v>
      </c>
      <c r="G2849" s="116">
        <f t="shared" si="270"/>
        <v>0</v>
      </c>
      <c r="H2849" s="116">
        <f t="shared" si="271"/>
        <v>0</v>
      </c>
    </row>
    <row r="2850" spans="1:8" s="10" customFormat="1" outlineLevel="1" x14ac:dyDescent="0.2">
      <c r="D2850" s="48" t="str">
        <f>Lang_Other_Direct_Costs</f>
        <v>Other Direct Costs</v>
      </c>
      <c r="E2850" s="120">
        <f>SUM(E2840:E2849)</f>
        <v>0</v>
      </c>
      <c r="F2850" s="120">
        <f>SUM(F2840:F2849)</f>
        <v>0</v>
      </c>
      <c r="G2850" s="121">
        <f>SUM(G2840:G2849)</f>
        <v>0</v>
      </c>
      <c r="H2850" s="121">
        <f>SUM(H2840:H2849)</f>
        <v>0</v>
      </c>
    </row>
    <row r="2851" spans="1:8" s="10" customFormat="1" outlineLevel="1" x14ac:dyDescent="0.2"/>
    <row r="2852" spans="1:8" s="10" customFormat="1" outlineLevel="1" x14ac:dyDescent="0.2">
      <c r="D2852" s="76" t="str">
        <f>Lang_GoTo&amp;" "&amp;HL_LVL2_ACTV_16_Other_Direct_Costs</f>
        <v>Go to Other Activity #5 - (Recurrent Costs Only) (Not in Use) - Detailed Other Direct Cost Assumptions</v>
      </c>
    </row>
    <row r="2853" spans="1:8" s="10" customFormat="1" outlineLevel="1" x14ac:dyDescent="0.2">
      <c r="D2853" s="76" t="str">
        <f>Lang_GoTo&amp;" "&amp;HL_LVL2_ACTV_16_Cost_Summary_Output</f>
        <v>Go to Other Activity #5 - (Recurrent Costs Only) (Not in Use) Detailed Cost Summary</v>
      </c>
    </row>
    <row r="2854" spans="1:8" s="10" customFormat="1" x14ac:dyDescent="0.2"/>
    <row r="2855" spans="1:8" s="13" customFormat="1" x14ac:dyDescent="0.2">
      <c r="A2855" s="12" t="s">
        <v>127</v>
      </c>
      <c r="B2855" s="13" t="str">
        <f>C2857&amp;" "&amp;Lang_Personnel_Outputs</f>
        <v>Single Vaccination Service Delivery Type 1 Personnel - Outputs</v>
      </c>
    </row>
    <row r="2856" spans="1:8" s="10" customFormat="1" outlineLevel="1" x14ac:dyDescent="0.2"/>
    <row r="2857" spans="1:8" s="10" customFormat="1" outlineLevel="1" x14ac:dyDescent="0.2">
      <c r="C2857" s="114" t="str">
        <f>HL_LVL2_ACTV_6_Name</f>
        <v>Single Vaccination Service Delivery Type 1</v>
      </c>
    </row>
    <row r="2858" spans="1:8" s="10" customFormat="1" outlineLevel="1" x14ac:dyDescent="0.2">
      <c r="E2858" s="86" t="str">
        <f>SD_Lu!$D$32&amp;" "&amp;Lang_Cost&amp;" ("&amp;SD_Lu!$D$13&amp;")"</f>
        <v>Financial Cost (LCU)</v>
      </c>
      <c r="F2858" s="86" t="str">
        <f>SD_Lu!$D$33&amp;" "&amp;Lang_Cost&amp;" ("&amp;SD_Lu!$D$13&amp;")"</f>
        <v>Economic Cost (LCU)</v>
      </c>
      <c r="G2858" s="86" t="str">
        <f>SD_Lu!$D$32&amp;" "&amp;Lang_Cost&amp;" ("&amp;SD_Lu!$D$12&amp;")"</f>
        <v>Financial Cost (USD)</v>
      </c>
      <c r="H2858" s="86" t="str">
        <f>SD_Lu!$D$33&amp;" "&amp;Lang_Cost&amp;" ("&amp;SD_Lu!$D$12&amp;")"</f>
        <v>Economic Cost (USD)</v>
      </c>
    </row>
    <row r="2859" spans="1:8" s="10" customFormat="1" outlineLevel="1" x14ac:dyDescent="0.2">
      <c r="D2859" s="49" t="str">
        <f>SD_DETAILED_COST_WKSHT!D30</f>
        <v>Personnel Category 1</v>
      </c>
      <c r="E2859" s="115">
        <f>IF(DD_LVL2_ACTV_6_Currency_Selected=2,SD_DETAILED_COST_WKSHT!$F30*SD_DETAILED_COST_WKSHT!G30,SD_DETAILED_COST_WKSHT!$F30*(SD_DETAILED_COST_WKSHT!G30*LVL2_ACTV_6_Exchange_Rate))</f>
        <v>0</v>
      </c>
      <c r="F2859" s="115">
        <f>IF(DD_LVL2_ACTV_6_Currency_Selected=2,SD_DETAILED_COST_WKSHT!$F30*SD_DETAILED_COST_WKSHT!H30,SD_DETAILED_COST_WKSHT!$F30*(SD_DETAILED_COST_WKSHT!H30*LVL2_ACTV_6_Exchange_Rate))</f>
        <v>0</v>
      </c>
      <c r="G2859" s="116">
        <f t="shared" ref="G2859:G2873" si="272">IFERROR(E2859/LVL2_ACTV_6_Exchange_Rate,0)</f>
        <v>0</v>
      </c>
      <c r="H2859" s="116">
        <f t="shared" ref="H2859:H2873" si="273">IFERROR(F2859/LVL2_ACTV_6_Exchange_Rate,0)</f>
        <v>0</v>
      </c>
    </row>
    <row r="2860" spans="1:8" s="10" customFormat="1" outlineLevel="1" x14ac:dyDescent="0.2">
      <c r="D2860" s="49" t="str">
        <f>SD_DETAILED_COST_WKSHT!D31</f>
        <v>Personnel Category 2</v>
      </c>
      <c r="E2860" s="115">
        <f>IF(DD_LVL2_ACTV_6_Currency_Selected=2,SD_DETAILED_COST_WKSHT!$F31*SD_DETAILED_COST_WKSHT!G31,SD_DETAILED_COST_WKSHT!$F31*(SD_DETAILED_COST_WKSHT!G31*LVL2_ACTV_6_Exchange_Rate))</f>
        <v>0</v>
      </c>
      <c r="F2860" s="115">
        <f>IF(DD_LVL2_ACTV_6_Currency_Selected=2,SD_DETAILED_COST_WKSHT!$F31*SD_DETAILED_COST_WKSHT!H31,SD_DETAILED_COST_WKSHT!$F31*(SD_DETAILED_COST_WKSHT!H31*LVL2_ACTV_6_Exchange_Rate))</f>
        <v>0</v>
      </c>
      <c r="G2860" s="116">
        <f t="shared" si="272"/>
        <v>0</v>
      </c>
      <c r="H2860" s="116">
        <f t="shared" si="273"/>
        <v>0</v>
      </c>
    </row>
    <row r="2861" spans="1:8" s="10" customFormat="1" outlineLevel="1" x14ac:dyDescent="0.2">
      <c r="D2861" s="49" t="str">
        <f>SD_DETAILED_COST_WKSHT!D32</f>
        <v>Personnel Category 3</v>
      </c>
      <c r="E2861" s="115">
        <f>IF(DD_LVL2_ACTV_6_Currency_Selected=2,SD_DETAILED_COST_WKSHT!$F32*SD_DETAILED_COST_WKSHT!G32,SD_DETAILED_COST_WKSHT!$F32*(SD_DETAILED_COST_WKSHT!G32*LVL2_ACTV_6_Exchange_Rate))</f>
        <v>0</v>
      </c>
      <c r="F2861" s="115">
        <f>IF(DD_LVL2_ACTV_6_Currency_Selected=2,SD_DETAILED_COST_WKSHT!$F32*SD_DETAILED_COST_WKSHT!H32,SD_DETAILED_COST_WKSHT!$F32*(SD_DETAILED_COST_WKSHT!H32*LVL2_ACTV_6_Exchange_Rate))</f>
        <v>0</v>
      </c>
      <c r="G2861" s="116">
        <f t="shared" si="272"/>
        <v>0</v>
      </c>
      <c r="H2861" s="116">
        <f t="shared" si="273"/>
        <v>0</v>
      </c>
    </row>
    <row r="2862" spans="1:8" s="10" customFormat="1" outlineLevel="1" x14ac:dyDescent="0.2">
      <c r="D2862" s="49" t="str">
        <f>SD_DETAILED_COST_WKSHT!D33</f>
        <v>Personnel Category 4</v>
      </c>
      <c r="E2862" s="115">
        <f>IF(DD_LVL2_ACTV_6_Currency_Selected=2,SD_DETAILED_COST_WKSHT!$F33*SD_DETAILED_COST_WKSHT!G33,SD_DETAILED_COST_WKSHT!$F33*(SD_DETAILED_COST_WKSHT!G33*LVL2_ACTV_6_Exchange_Rate))</f>
        <v>0</v>
      </c>
      <c r="F2862" s="115">
        <f>IF(DD_LVL2_ACTV_6_Currency_Selected=2,SD_DETAILED_COST_WKSHT!$F33*SD_DETAILED_COST_WKSHT!H33,SD_DETAILED_COST_WKSHT!$F33*(SD_DETAILED_COST_WKSHT!H33*LVL2_ACTV_6_Exchange_Rate))</f>
        <v>0</v>
      </c>
      <c r="G2862" s="116">
        <f t="shared" si="272"/>
        <v>0</v>
      </c>
      <c r="H2862" s="116">
        <f t="shared" si="273"/>
        <v>0</v>
      </c>
    </row>
    <row r="2863" spans="1:8" s="10" customFormat="1" outlineLevel="1" x14ac:dyDescent="0.2">
      <c r="D2863" s="49" t="str">
        <f>SD_DETAILED_COST_WKSHT!D34</f>
        <v>Personnel Category 5</v>
      </c>
      <c r="E2863" s="115">
        <f>IF(DD_LVL2_ACTV_6_Currency_Selected=2,SD_DETAILED_COST_WKSHT!$F34*SD_DETAILED_COST_WKSHT!G34,SD_DETAILED_COST_WKSHT!$F34*(SD_DETAILED_COST_WKSHT!G34*LVL2_ACTV_6_Exchange_Rate))</f>
        <v>0</v>
      </c>
      <c r="F2863" s="115">
        <f>IF(DD_LVL2_ACTV_6_Currency_Selected=2,SD_DETAILED_COST_WKSHT!$F34*SD_DETAILED_COST_WKSHT!H34,SD_DETAILED_COST_WKSHT!$F34*(SD_DETAILED_COST_WKSHT!H34*LVL2_ACTV_6_Exchange_Rate))</f>
        <v>0</v>
      </c>
      <c r="G2863" s="116">
        <f t="shared" si="272"/>
        <v>0</v>
      </c>
      <c r="H2863" s="116">
        <f t="shared" si="273"/>
        <v>0</v>
      </c>
    </row>
    <row r="2864" spans="1:8" s="10" customFormat="1" outlineLevel="1" x14ac:dyDescent="0.2">
      <c r="D2864" s="49" t="str">
        <f>SD_DETAILED_COST_WKSHT!D35</f>
        <v>Personnel Category 6</v>
      </c>
      <c r="E2864" s="115">
        <f>IF(DD_LVL2_ACTV_6_Currency_Selected=2,SD_DETAILED_COST_WKSHT!$F35*SD_DETAILED_COST_WKSHT!G35,SD_DETAILED_COST_WKSHT!$F35*(SD_DETAILED_COST_WKSHT!G35*LVL2_ACTV_6_Exchange_Rate))</f>
        <v>0</v>
      </c>
      <c r="F2864" s="115">
        <f>IF(DD_LVL2_ACTV_6_Currency_Selected=2,SD_DETAILED_COST_WKSHT!$F35*SD_DETAILED_COST_WKSHT!H35,SD_DETAILED_COST_WKSHT!$F35*(SD_DETAILED_COST_WKSHT!H35*LVL2_ACTV_6_Exchange_Rate))</f>
        <v>0</v>
      </c>
      <c r="G2864" s="116">
        <f t="shared" si="272"/>
        <v>0</v>
      </c>
      <c r="H2864" s="116">
        <f t="shared" si="273"/>
        <v>0</v>
      </c>
    </row>
    <row r="2865" spans="1:8" s="10" customFormat="1" outlineLevel="1" x14ac:dyDescent="0.2">
      <c r="D2865" s="49" t="str">
        <f>SD_DETAILED_COST_WKSHT!D36</f>
        <v>Personnel Category 7</v>
      </c>
      <c r="E2865" s="115">
        <f>IF(DD_LVL2_ACTV_6_Currency_Selected=2,SD_DETAILED_COST_WKSHT!$F36*SD_DETAILED_COST_WKSHT!G36,SD_DETAILED_COST_WKSHT!$F36*(SD_DETAILED_COST_WKSHT!G36*LVL2_ACTV_6_Exchange_Rate))</f>
        <v>0</v>
      </c>
      <c r="F2865" s="115">
        <f>IF(DD_LVL2_ACTV_6_Currency_Selected=2,SD_DETAILED_COST_WKSHT!$F36*SD_DETAILED_COST_WKSHT!H36,SD_DETAILED_COST_WKSHT!$F36*(SD_DETAILED_COST_WKSHT!H36*LVL2_ACTV_6_Exchange_Rate))</f>
        <v>0</v>
      </c>
      <c r="G2865" s="116">
        <f t="shared" si="272"/>
        <v>0</v>
      </c>
      <c r="H2865" s="116">
        <f t="shared" si="273"/>
        <v>0</v>
      </c>
    </row>
    <row r="2866" spans="1:8" s="10" customFormat="1" outlineLevel="1" x14ac:dyDescent="0.2">
      <c r="D2866" s="49" t="str">
        <f>SD_DETAILED_COST_WKSHT!D37</f>
        <v>Personnel Category 8</v>
      </c>
      <c r="E2866" s="115">
        <f>IF(DD_LVL2_ACTV_6_Currency_Selected=2,SD_DETAILED_COST_WKSHT!$F37*SD_DETAILED_COST_WKSHT!G37,SD_DETAILED_COST_WKSHT!$F37*(SD_DETAILED_COST_WKSHT!G37*LVL2_ACTV_6_Exchange_Rate))</f>
        <v>0</v>
      </c>
      <c r="F2866" s="115">
        <f>IF(DD_LVL2_ACTV_6_Currency_Selected=2,SD_DETAILED_COST_WKSHT!$F37*SD_DETAILED_COST_WKSHT!H37,SD_DETAILED_COST_WKSHT!$F37*(SD_DETAILED_COST_WKSHT!H37*LVL2_ACTV_6_Exchange_Rate))</f>
        <v>0</v>
      </c>
      <c r="G2866" s="116">
        <f t="shared" si="272"/>
        <v>0</v>
      </c>
      <c r="H2866" s="116">
        <f t="shared" si="273"/>
        <v>0</v>
      </c>
    </row>
    <row r="2867" spans="1:8" s="10" customFormat="1" outlineLevel="1" x14ac:dyDescent="0.2">
      <c r="D2867" s="49" t="str">
        <f>SD_DETAILED_COST_WKSHT!D38</f>
        <v>Personnel Category 9</v>
      </c>
      <c r="E2867" s="115">
        <f>IF(DD_LVL2_ACTV_6_Currency_Selected=2,SD_DETAILED_COST_WKSHT!$F38*SD_DETAILED_COST_WKSHT!G38,SD_DETAILED_COST_WKSHT!$F38*(SD_DETAILED_COST_WKSHT!G38*LVL2_ACTV_6_Exchange_Rate))</f>
        <v>0</v>
      </c>
      <c r="F2867" s="115">
        <f>IF(DD_LVL2_ACTV_6_Currency_Selected=2,SD_DETAILED_COST_WKSHT!$F38*SD_DETAILED_COST_WKSHT!H38,SD_DETAILED_COST_WKSHT!$F38*(SD_DETAILED_COST_WKSHT!H38*LVL2_ACTV_6_Exchange_Rate))</f>
        <v>0</v>
      </c>
      <c r="G2867" s="116">
        <f t="shared" si="272"/>
        <v>0</v>
      </c>
      <c r="H2867" s="116">
        <f t="shared" si="273"/>
        <v>0</v>
      </c>
    </row>
    <row r="2868" spans="1:8" s="10" customFormat="1" outlineLevel="1" x14ac:dyDescent="0.2">
      <c r="D2868" s="49" t="str">
        <f>SD_DETAILED_COST_WKSHT!D39</f>
        <v>Personnel Category 10</v>
      </c>
      <c r="E2868" s="115">
        <f>IF(DD_LVL2_ACTV_6_Currency_Selected=2,SD_DETAILED_COST_WKSHT!$F39*SD_DETAILED_COST_WKSHT!G39,SD_DETAILED_COST_WKSHT!$F39*(SD_DETAILED_COST_WKSHT!G39*LVL2_ACTV_6_Exchange_Rate))</f>
        <v>0</v>
      </c>
      <c r="F2868" s="115">
        <f>IF(DD_LVL2_ACTV_6_Currency_Selected=2,SD_DETAILED_COST_WKSHT!$F39*SD_DETAILED_COST_WKSHT!H39,SD_DETAILED_COST_WKSHT!$F39*(SD_DETAILED_COST_WKSHT!H39*LVL2_ACTV_6_Exchange_Rate))</f>
        <v>0</v>
      </c>
      <c r="G2868" s="116">
        <f t="shared" si="272"/>
        <v>0</v>
      </c>
      <c r="H2868" s="116">
        <f t="shared" si="273"/>
        <v>0</v>
      </c>
    </row>
    <row r="2869" spans="1:8" s="10" customFormat="1" outlineLevel="1" x14ac:dyDescent="0.2">
      <c r="D2869" s="49" t="str">
        <f>SD_DETAILED_COST_WKSHT!D40</f>
        <v>Personnel Category 11</v>
      </c>
      <c r="E2869" s="115">
        <f>IF(DD_LVL2_ACTV_6_Currency_Selected=2,SD_DETAILED_COST_WKSHT!$F40*SD_DETAILED_COST_WKSHT!G40,SD_DETAILED_COST_WKSHT!$F40*(SD_DETAILED_COST_WKSHT!G40*LVL2_ACTV_6_Exchange_Rate))</f>
        <v>0</v>
      </c>
      <c r="F2869" s="115">
        <f>IF(DD_LVL2_ACTV_6_Currency_Selected=2,SD_DETAILED_COST_WKSHT!$F40*SD_DETAILED_COST_WKSHT!H40,SD_DETAILED_COST_WKSHT!$F40*(SD_DETAILED_COST_WKSHT!H40*LVL2_ACTV_6_Exchange_Rate))</f>
        <v>0</v>
      </c>
      <c r="G2869" s="116">
        <f t="shared" si="272"/>
        <v>0</v>
      </c>
      <c r="H2869" s="116">
        <f t="shared" si="273"/>
        <v>0</v>
      </c>
    </row>
    <row r="2870" spans="1:8" s="10" customFormat="1" outlineLevel="1" x14ac:dyDescent="0.2">
      <c r="D2870" s="49" t="str">
        <f>SD_DETAILED_COST_WKSHT!D41</f>
        <v>Personnel Category 12</v>
      </c>
      <c r="E2870" s="115">
        <f>IF(DD_LVL2_ACTV_6_Currency_Selected=2,SD_DETAILED_COST_WKSHT!$F41*SD_DETAILED_COST_WKSHT!G41,SD_DETAILED_COST_WKSHT!$F41*(SD_DETAILED_COST_WKSHT!G41*LVL2_ACTV_6_Exchange_Rate))</f>
        <v>0</v>
      </c>
      <c r="F2870" s="115">
        <f>IF(DD_LVL2_ACTV_6_Currency_Selected=2,SD_DETAILED_COST_WKSHT!$F41*SD_DETAILED_COST_WKSHT!H41,SD_DETAILED_COST_WKSHT!$F41*(SD_DETAILED_COST_WKSHT!H41*LVL2_ACTV_6_Exchange_Rate))</f>
        <v>0</v>
      </c>
      <c r="G2870" s="116">
        <f t="shared" si="272"/>
        <v>0</v>
      </c>
      <c r="H2870" s="116">
        <f t="shared" si="273"/>
        <v>0</v>
      </c>
    </row>
    <row r="2871" spans="1:8" s="10" customFormat="1" outlineLevel="1" x14ac:dyDescent="0.2">
      <c r="D2871" s="49" t="str">
        <f>SD_DETAILED_COST_WKSHT!D42</f>
        <v>Personnel Category 13</v>
      </c>
      <c r="E2871" s="115">
        <f>IF(DD_LVL2_ACTV_6_Currency_Selected=2,SD_DETAILED_COST_WKSHT!$F42*SD_DETAILED_COST_WKSHT!G42,SD_DETAILED_COST_WKSHT!$F42*(SD_DETAILED_COST_WKSHT!G42*LVL2_ACTV_6_Exchange_Rate))</f>
        <v>0</v>
      </c>
      <c r="F2871" s="115">
        <f>IF(DD_LVL2_ACTV_6_Currency_Selected=2,SD_DETAILED_COST_WKSHT!$F42*SD_DETAILED_COST_WKSHT!H42,SD_DETAILED_COST_WKSHT!$F42*(SD_DETAILED_COST_WKSHT!H42*LVL2_ACTV_6_Exchange_Rate))</f>
        <v>0</v>
      </c>
      <c r="G2871" s="116">
        <f t="shared" si="272"/>
        <v>0</v>
      </c>
      <c r="H2871" s="116">
        <f t="shared" si="273"/>
        <v>0</v>
      </c>
    </row>
    <row r="2872" spans="1:8" s="10" customFormat="1" outlineLevel="1" x14ac:dyDescent="0.2">
      <c r="D2872" s="49" t="str">
        <f>SD_DETAILED_COST_WKSHT!D43</f>
        <v>Personnel Category 14</v>
      </c>
      <c r="E2872" s="115">
        <f>IF(DD_LVL2_ACTV_6_Currency_Selected=2,SD_DETAILED_COST_WKSHT!$F43*SD_DETAILED_COST_WKSHT!G43,SD_DETAILED_COST_WKSHT!$F43*(SD_DETAILED_COST_WKSHT!G43*LVL2_ACTV_6_Exchange_Rate))</f>
        <v>0</v>
      </c>
      <c r="F2872" s="115">
        <f>IF(DD_LVL2_ACTV_6_Currency_Selected=2,SD_DETAILED_COST_WKSHT!$F43*SD_DETAILED_COST_WKSHT!H43,SD_DETAILED_COST_WKSHT!$F43*(SD_DETAILED_COST_WKSHT!H43*LVL2_ACTV_6_Exchange_Rate))</f>
        <v>0</v>
      </c>
      <c r="G2872" s="116">
        <f t="shared" si="272"/>
        <v>0</v>
      </c>
      <c r="H2872" s="116">
        <f t="shared" si="273"/>
        <v>0</v>
      </c>
    </row>
    <row r="2873" spans="1:8" s="10" customFormat="1" outlineLevel="1" x14ac:dyDescent="0.2">
      <c r="D2873" s="49" t="str">
        <f>SD_DETAILED_COST_WKSHT!D44</f>
        <v>Personnel Category 15</v>
      </c>
      <c r="E2873" s="115">
        <f>IF(DD_LVL2_ACTV_6_Currency_Selected=2,SD_DETAILED_COST_WKSHT!$F44*SD_DETAILED_COST_WKSHT!G44,SD_DETAILED_COST_WKSHT!$F44*(SD_DETAILED_COST_WKSHT!G44*LVL2_ACTV_6_Exchange_Rate))</f>
        <v>0</v>
      </c>
      <c r="F2873" s="115">
        <f>IF(DD_LVL2_ACTV_6_Currency_Selected=2,SD_DETAILED_COST_WKSHT!$F44*SD_DETAILED_COST_WKSHT!H44,SD_DETAILED_COST_WKSHT!$F44*(SD_DETAILED_COST_WKSHT!H44*LVL2_ACTV_6_Exchange_Rate))</f>
        <v>0</v>
      </c>
      <c r="G2873" s="116">
        <f t="shared" si="272"/>
        <v>0</v>
      </c>
      <c r="H2873" s="116">
        <f t="shared" si="273"/>
        <v>0</v>
      </c>
    </row>
    <row r="2874" spans="1:8" s="10" customFormat="1" outlineLevel="1" x14ac:dyDescent="0.2">
      <c r="D2874" s="48" t="str">
        <f>Lang_Personnel</f>
        <v>Personnel</v>
      </c>
      <c r="E2874" s="120">
        <f>SUM(E2859:E2873)</f>
        <v>0</v>
      </c>
      <c r="F2874" s="120">
        <f>SUM(F2859:F2873)</f>
        <v>0</v>
      </c>
      <c r="G2874" s="121">
        <f>SUM(G2859:G2873)</f>
        <v>0</v>
      </c>
      <c r="H2874" s="121">
        <f>SUM(H2859:H2873)</f>
        <v>0</v>
      </c>
    </row>
    <row r="2875" spans="1:8" s="10" customFormat="1" outlineLevel="1" x14ac:dyDescent="0.2"/>
    <row r="2876" spans="1:8" s="10" customFormat="1" outlineLevel="1" x14ac:dyDescent="0.2"/>
    <row r="2877" spans="1:8" s="10" customFormat="1" outlineLevel="1" x14ac:dyDescent="0.2">
      <c r="D2877" s="76" t="str">
        <f>Lang_GoTo&amp;" "&amp;HL_LVL2_ACTV_6_Personnel_Assumptions</f>
        <v>Go to Single Vaccination Service Delivery Type 1 - Detailed Personnel Cost Assumptions</v>
      </c>
    </row>
    <row r="2878" spans="1:8" s="10" customFormat="1" outlineLevel="1" x14ac:dyDescent="0.2">
      <c r="D2878" s="76" t="str">
        <f>Lang_GoTo&amp;" "&amp;HL_LVL2_ACTV_6_Cost_Summary_Output</f>
        <v>Go to Single Vaccination Service Delivery Type 1 Detailed Cost Summary</v>
      </c>
    </row>
    <row r="2879" spans="1:8" s="10" customFormat="1" x14ac:dyDescent="0.2"/>
    <row r="2880" spans="1:8" s="13" customFormat="1" x14ac:dyDescent="0.2">
      <c r="A2880" s="12" t="s">
        <v>127</v>
      </c>
      <c r="B2880" s="13" t="str">
        <f>C2882&amp;" "&amp;Lang_Allowances_Outputs</f>
        <v>Single Vaccination Service Delivery Type 1 Allowances - Outputs</v>
      </c>
    </row>
    <row r="2881" spans="3:8" s="10" customFormat="1" outlineLevel="1" x14ac:dyDescent="0.2"/>
    <row r="2882" spans="3:8" s="10" customFormat="1" outlineLevel="1" x14ac:dyDescent="0.2">
      <c r="C2882" s="114" t="str">
        <f>HL_LVL2_ACTV_6_Name</f>
        <v>Single Vaccination Service Delivery Type 1</v>
      </c>
    </row>
    <row r="2883" spans="3:8" s="10" customFormat="1" outlineLevel="1" x14ac:dyDescent="0.2">
      <c r="E2883" s="86" t="str">
        <f>SD_Lu!$D$32&amp;" "&amp;Lang_Cost&amp;" ("&amp;SD_Lu!$D$13&amp;")"</f>
        <v>Financial Cost (LCU)</v>
      </c>
      <c r="F2883" s="86" t="str">
        <f>SD_Lu!$D$33&amp;" "&amp;Lang_Cost&amp;" ("&amp;SD_Lu!$D$13&amp;")"</f>
        <v>Economic Cost (LCU)</v>
      </c>
      <c r="G2883" s="86" t="str">
        <f>SD_Lu!$D$32&amp;" "&amp;Lang_Cost&amp;" ("&amp;SD_Lu!$D$12&amp;")"</f>
        <v>Financial Cost (USD)</v>
      </c>
      <c r="H2883" s="86" t="str">
        <f>SD_Lu!$D$33&amp;" "&amp;Lang_Cost&amp;" ("&amp;SD_Lu!$D$12&amp;")"</f>
        <v>Economic Cost (USD)</v>
      </c>
    </row>
    <row r="2884" spans="3:8" s="10" customFormat="1" outlineLevel="1" x14ac:dyDescent="0.2">
      <c r="D2884" s="49" t="str">
        <f>SD_DETAILED_COST_WKSHT!D53</f>
        <v>Allowances Category 1</v>
      </c>
      <c r="E2884" s="115">
        <f>IF(DD_LVL2_ACTV_6_Currency_Selected=2,SD_DETAILED_COST_WKSHT!$F53*SD_DETAILED_COST_WKSHT!G53,SD_DETAILED_COST_WKSHT!$F53*(SD_DETAILED_COST_WKSHT!G53*LVL2_ACTV_6_Exchange_Rate))</f>
        <v>0</v>
      </c>
      <c r="F2884" s="115">
        <f>IF(DD_LVL2_ACTV_6_Currency_Selected=2,SD_DETAILED_COST_WKSHT!$F53*SD_DETAILED_COST_WKSHT!H53,SD_DETAILED_COST_WKSHT!$F53*(SD_DETAILED_COST_WKSHT!H53*LVL2_ACTV_6_Exchange_Rate))</f>
        <v>0</v>
      </c>
      <c r="G2884" s="116">
        <f t="shared" ref="G2884:G2893" si="274">E2884/LVL2_ACTV_6_Exchange_Rate</f>
        <v>0</v>
      </c>
      <c r="H2884" s="116">
        <f t="shared" ref="H2884:H2893" si="275">F2884/LVL2_ACTV_6_Exchange_Rate</f>
        <v>0</v>
      </c>
    </row>
    <row r="2885" spans="3:8" s="10" customFormat="1" outlineLevel="1" x14ac:dyDescent="0.2">
      <c r="D2885" s="49" t="str">
        <f>SD_DETAILED_COST_WKSHT!D54</f>
        <v>Allowances Category 2</v>
      </c>
      <c r="E2885" s="115">
        <f>IF(DD_LVL2_ACTV_6_Currency_Selected=2,SD_DETAILED_COST_WKSHT!$F54*SD_DETAILED_COST_WKSHT!G54,SD_DETAILED_COST_WKSHT!$F54*(SD_DETAILED_COST_WKSHT!G54*LVL2_ACTV_6_Exchange_Rate))</f>
        <v>0</v>
      </c>
      <c r="F2885" s="115">
        <f>IF(DD_LVL2_ACTV_6_Currency_Selected=2,SD_DETAILED_COST_WKSHT!$F54*SD_DETAILED_COST_WKSHT!H54,SD_DETAILED_COST_WKSHT!$F54*(SD_DETAILED_COST_WKSHT!H54*LVL2_ACTV_6_Exchange_Rate))</f>
        <v>0</v>
      </c>
      <c r="G2885" s="116">
        <f t="shared" si="274"/>
        <v>0</v>
      </c>
      <c r="H2885" s="116">
        <f t="shared" si="275"/>
        <v>0</v>
      </c>
    </row>
    <row r="2886" spans="3:8" s="10" customFormat="1" outlineLevel="1" x14ac:dyDescent="0.2">
      <c r="D2886" s="49" t="str">
        <f>SD_DETAILED_COST_WKSHT!D55</f>
        <v>Allowances Category 3</v>
      </c>
      <c r="E2886" s="115">
        <f>IF(DD_LVL2_ACTV_6_Currency_Selected=2,SD_DETAILED_COST_WKSHT!$F55*SD_DETAILED_COST_WKSHT!G55,SD_DETAILED_COST_WKSHT!$F55*(SD_DETAILED_COST_WKSHT!G55*LVL2_ACTV_6_Exchange_Rate))</f>
        <v>0</v>
      </c>
      <c r="F2886" s="115">
        <f>IF(DD_LVL2_ACTV_6_Currency_Selected=2,SD_DETAILED_COST_WKSHT!$F55*SD_DETAILED_COST_WKSHT!H55,SD_DETAILED_COST_WKSHT!$F55*(SD_DETAILED_COST_WKSHT!H55*LVL2_ACTV_6_Exchange_Rate))</f>
        <v>0</v>
      </c>
      <c r="G2886" s="116">
        <f t="shared" si="274"/>
        <v>0</v>
      </c>
      <c r="H2886" s="116">
        <f t="shared" si="275"/>
        <v>0</v>
      </c>
    </row>
    <row r="2887" spans="3:8" s="10" customFormat="1" outlineLevel="1" x14ac:dyDescent="0.2">
      <c r="D2887" s="49" t="str">
        <f>SD_DETAILED_COST_WKSHT!D56</f>
        <v>Allowances Category 4</v>
      </c>
      <c r="E2887" s="115">
        <f>IF(DD_LVL2_ACTV_6_Currency_Selected=2,SD_DETAILED_COST_WKSHT!$F56*SD_DETAILED_COST_WKSHT!G56,SD_DETAILED_COST_WKSHT!$F56*(SD_DETAILED_COST_WKSHT!G56*LVL2_ACTV_6_Exchange_Rate))</f>
        <v>0</v>
      </c>
      <c r="F2887" s="115">
        <f>IF(DD_LVL2_ACTV_6_Currency_Selected=2,SD_DETAILED_COST_WKSHT!$F56*SD_DETAILED_COST_WKSHT!H56,SD_DETAILED_COST_WKSHT!$F56*(SD_DETAILED_COST_WKSHT!H56*LVL2_ACTV_6_Exchange_Rate))</f>
        <v>0</v>
      </c>
      <c r="G2887" s="116">
        <f t="shared" si="274"/>
        <v>0</v>
      </c>
      <c r="H2887" s="116">
        <f t="shared" si="275"/>
        <v>0</v>
      </c>
    </row>
    <row r="2888" spans="3:8" s="10" customFormat="1" outlineLevel="1" x14ac:dyDescent="0.2">
      <c r="D2888" s="49" t="str">
        <f>SD_DETAILED_COST_WKSHT!D57</f>
        <v>Allowances Category 5</v>
      </c>
      <c r="E2888" s="115">
        <f>IF(DD_LVL2_ACTV_6_Currency_Selected=2,SD_DETAILED_COST_WKSHT!$F57*SD_DETAILED_COST_WKSHT!G57,SD_DETAILED_COST_WKSHT!$F57*(SD_DETAILED_COST_WKSHT!G57*LVL2_ACTV_6_Exchange_Rate))</f>
        <v>0</v>
      </c>
      <c r="F2888" s="115">
        <f>IF(DD_LVL2_ACTV_6_Currency_Selected=2,SD_DETAILED_COST_WKSHT!$F57*SD_DETAILED_COST_WKSHT!H57,SD_DETAILED_COST_WKSHT!$F57*(SD_DETAILED_COST_WKSHT!H57*LVL2_ACTV_6_Exchange_Rate))</f>
        <v>0</v>
      </c>
      <c r="G2888" s="116">
        <f t="shared" si="274"/>
        <v>0</v>
      </c>
      <c r="H2888" s="116">
        <f t="shared" si="275"/>
        <v>0</v>
      </c>
    </row>
    <row r="2889" spans="3:8" s="10" customFormat="1" outlineLevel="1" x14ac:dyDescent="0.2">
      <c r="D2889" s="49" t="str">
        <f>SD_DETAILED_COST_WKSHT!D58</f>
        <v>Allowances Category 6</v>
      </c>
      <c r="E2889" s="115">
        <f>IF(DD_LVL2_ACTV_6_Currency_Selected=2,SD_DETAILED_COST_WKSHT!$F58*SD_DETAILED_COST_WKSHT!G58,SD_DETAILED_COST_WKSHT!$F58*(SD_DETAILED_COST_WKSHT!G58*LVL2_ACTV_6_Exchange_Rate))</f>
        <v>0</v>
      </c>
      <c r="F2889" s="115">
        <f>IF(DD_LVL2_ACTV_6_Currency_Selected=2,SD_DETAILED_COST_WKSHT!$F58*SD_DETAILED_COST_WKSHT!H58,SD_DETAILED_COST_WKSHT!$F58*(SD_DETAILED_COST_WKSHT!H58*LVL2_ACTV_6_Exchange_Rate))</f>
        <v>0</v>
      </c>
      <c r="G2889" s="116">
        <f t="shared" si="274"/>
        <v>0</v>
      </c>
      <c r="H2889" s="116">
        <f t="shared" si="275"/>
        <v>0</v>
      </c>
    </row>
    <row r="2890" spans="3:8" s="10" customFormat="1" outlineLevel="1" x14ac:dyDescent="0.2">
      <c r="D2890" s="49" t="str">
        <f>SD_DETAILED_COST_WKSHT!D59</f>
        <v>Allowances Category 7</v>
      </c>
      <c r="E2890" s="115">
        <f>IF(DD_LVL2_ACTV_6_Currency_Selected=2,SD_DETAILED_COST_WKSHT!$F59*SD_DETAILED_COST_WKSHT!G59,SD_DETAILED_COST_WKSHT!$F59*(SD_DETAILED_COST_WKSHT!G59*LVL2_ACTV_6_Exchange_Rate))</f>
        <v>0</v>
      </c>
      <c r="F2890" s="115">
        <f>IF(DD_LVL2_ACTV_6_Currency_Selected=2,SD_DETAILED_COST_WKSHT!$F59*SD_DETAILED_COST_WKSHT!H59,SD_DETAILED_COST_WKSHT!$F59*(SD_DETAILED_COST_WKSHT!H59*LVL2_ACTV_6_Exchange_Rate))</f>
        <v>0</v>
      </c>
      <c r="G2890" s="116">
        <f t="shared" si="274"/>
        <v>0</v>
      </c>
      <c r="H2890" s="116">
        <f t="shared" si="275"/>
        <v>0</v>
      </c>
    </row>
    <row r="2891" spans="3:8" s="10" customFormat="1" outlineLevel="1" x14ac:dyDescent="0.2">
      <c r="D2891" s="49" t="str">
        <f>SD_DETAILED_COST_WKSHT!D60</f>
        <v>Allowances Category 8</v>
      </c>
      <c r="E2891" s="115">
        <f>IF(DD_LVL2_ACTV_6_Currency_Selected=2,SD_DETAILED_COST_WKSHT!$F60*SD_DETAILED_COST_WKSHT!G60,SD_DETAILED_COST_WKSHT!$F60*(SD_DETAILED_COST_WKSHT!G60*LVL2_ACTV_6_Exchange_Rate))</f>
        <v>0</v>
      </c>
      <c r="F2891" s="115">
        <f>IF(DD_LVL2_ACTV_6_Currency_Selected=2,SD_DETAILED_COST_WKSHT!$F60*SD_DETAILED_COST_WKSHT!H60,SD_DETAILED_COST_WKSHT!$F60*(SD_DETAILED_COST_WKSHT!H60*LVL2_ACTV_6_Exchange_Rate))</f>
        <v>0</v>
      </c>
      <c r="G2891" s="116">
        <f t="shared" si="274"/>
        <v>0</v>
      </c>
      <c r="H2891" s="116">
        <f t="shared" si="275"/>
        <v>0</v>
      </c>
    </row>
    <row r="2892" spans="3:8" s="10" customFormat="1" outlineLevel="1" x14ac:dyDescent="0.2">
      <c r="D2892" s="49" t="str">
        <f>SD_DETAILED_COST_WKSHT!D61</f>
        <v>Allowances Category 9</v>
      </c>
      <c r="E2892" s="115">
        <f>IF(DD_LVL2_ACTV_6_Currency_Selected=2,SD_DETAILED_COST_WKSHT!$F61*SD_DETAILED_COST_WKSHT!G61,SD_DETAILED_COST_WKSHT!$F61*(SD_DETAILED_COST_WKSHT!G61*LVL2_ACTV_6_Exchange_Rate))</f>
        <v>0</v>
      </c>
      <c r="F2892" s="115">
        <f>IF(DD_LVL2_ACTV_6_Currency_Selected=2,SD_DETAILED_COST_WKSHT!$F61*SD_DETAILED_COST_WKSHT!H61,SD_DETAILED_COST_WKSHT!$F61*(SD_DETAILED_COST_WKSHT!H61*LVL2_ACTV_6_Exchange_Rate))</f>
        <v>0</v>
      </c>
      <c r="G2892" s="116">
        <f t="shared" si="274"/>
        <v>0</v>
      </c>
      <c r="H2892" s="116">
        <f t="shared" si="275"/>
        <v>0</v>
      </c>
    </row>
    <row r="2893" spans="3:8" s="10" customFormat="1" outlineLevel="1" x14ac:dyDescent="0.2">
      <c r="D2893" s="49" t="str">
        <f>SD_DETAILED_COST_WKSHT!D62</f>
        <v>Allowances Category 10</v>
      </c>
      <c r="E2893" s="115">
        <f>IF(DD_LVL2_ACTV_6_Currency_Selected=2,SD_DETAILED_COST_WKSHT!$F62*SD_DETAILED_COST_WKSHT!G62,SD_DETAILED_COST_WKSHT!$F62*(SD_DETAILED_COST_WKSHT!G62*LVL2_ACTV_6_Exchange_Rate))</f>
        <v>0</v>
      </c>
      <c r="F2893" s="115">
        <f>IF(DD_LVL2_ACTV_6_Currency_Selected=2,SD_DETAILED_COST_WKSHT!$F62*SD_DETAILED_COST_WKSHT!H62,SD_DETAILED_COST_WKSHT!$F62*(SD_DETAILED_COST_WKSHT!H62*LVL2_ACTV_6_Exchange_Rate))</f>
        <v>0</v>
      </c>
      <c r="G2893" s="116">
        <f t="shared" si="274"/>
        <v>0</v>
      </c>
      <c r="H2893" s="116">
        <f t="shared" si="275"/>
        <v>0</v>
      </c>
    </row>
    <row r="2894" spans="3:8" s="10" customFormat="1" outlineLevel="1" x14ac:dyDescent="0.2">
      <c r="D2894" s="48" t="str">
        <f>Lang_Allowances</f>
        <v>Allowances</v>
      </c>
      <c r="E2894" s="120">
        <f>SUM(E2884:E2893)</f>
        <v>0</v>
      </c>
      <c r="F2894" s="120">
        <f>SUM(F2884:F2893)</f>
        <v>0</v>
      </c>
      <c r="G2894" s="121">
        <f>SUM(G2884:G2893)</f>
        <v>0</v>
      </c>
      <c r="H2894" s="121">
        <f>SUM(H2884:H2893)</f>
        <v>0</v>
      </c>
    </row>
    <row r="2895" spans="3:8" s="10" customFormat="1" outlineLevel="1" x14ac:dyDescent="0.2"/>
    <row r="2896" spans="3:8" s="10" customFormat="1" outlineLevel="1" x14ac:dyDescent="0.2"/>
    <row r="2897" spans="1:8" s="10" customFormat="1" outlineLevel="1" x14ac:dyDescent="0.2">
      <c r="D2897" s="76" t="str">
        <f>Lang_GoTo&amp;" "&amp;HL_LVL2_ACTV_6_Ass_A</f>
        <v>Go to Single Vaccination Service Delivery Type 1 - Detailed Allowance Cost Assumptions</v>
      </c>
    </row>
    <row r="2898" spans="1:8" s="10" customFormat="1" outlineLevel="1" x14ac:dyDescent="0.2">
      <c r="D2898" s="76" t="str">
        <f>Lang_GoTo&amp;" "&amp;HL_LVL2_ACTV_6_Cost_Summary_Output</f>
        <v>Go to Single Vaccination Service Delivery Type 1 Detailed Cost Summary</v>
      </c>
    </row>
    <row r="2899" spans="1:8" s="10" customFormat="1" x14ac:dyDescent="0.2"/>
    <row r="2900" spans="1:8" s="13" customFormat="1" x14ac:dyDescent="0.2">
      <c r="A2900" s="12" t="s">
        <v>127</v>
      </c>
      <c r="B2900" s="13" t="str">
        <f>C2902&amp;" "&amp;Lang_Supplies_And_Materials_Outputs</f>
        <v>Single Vaccination Service Delivery Type 1 Supplies and Materials - Outputs</v>
      </c>
    </row>
    <row r="2901" spans="1:8" s="10" customFormat="1" outlineLevel="1" x14ac:dyDescent="0.2"/>
    <row r="2902" spans="1:8" s="10" customFormat="1" outlineLevel="1" x14ac:dyDescent="0.2">
      <c r="C2902" s="114" t="str">
        <f>HL_LVL2_ACTV_6_Name</f>
        <v>Single Vaccination Service Delivery Type 1</v>
      </c>
    </row>
    <row r="2903" spans="1:8" s="10" customFormat="1" outlineLevel="1" x14ac:dyDescent="0.2">
      <c r="E2903" s="86" t="str">
        <f>SD_Lu!$D$32&amp;" "&amp;Lang_Cost&amp;" ("&amp;SD_Lu!$D$13&amp;")"</f>
        <v>Financial Cost (LCU)</v>
      </c>
      <c r="F2903" s="86" t="str">
        <f>SD_Lu!$D$33&amp;" "&amp;Lang_Cost&amp;" ("&amp;SD_Lu!$D$13&amp;")"</f>
        <v>Economic Cost (LCU)</v>
      </c>
      <c r="G2903" s="86" t="str">
        <f>SD_Lu!$D$32&amp;" "&amp;Lang_Cost&amp;" ("&amp;SD_Lu!$D$12&amp;")"</f>
        <v>Financial Cost (USD)</v>
      </c>
      <c r="H2903" s="86" t="str">
        <f>SD_Lu!$D$33&amp;" "&amp;Lang_Cost&amp;" ("&amp;SD_Lu!$D$12&amp;")"</f>
        <v>Economic Cost (USD)</v>
      </c>
    </row>
    <row r="2904" spans="1:8" s="10" customFormat="1" outlineLevel="1" x14ac:dyDescent="0.2">
      <c r="D2904" s="49" t="str">
        <f>SD_DETAILED_COST_WKSHT!D71</f>
        <v>Supplies and Materials Category 1</v>
      </c>
      <c r="E2904" s="115">
        <f>IF(DD_LVL2_ACTV_6_Currency_Selected=2,SD_DETAILED_COST_WKSHT!$F71*SD_DETAILED_COST_WKSHT!G71,SD_DETAILED_COST_WKSHT!$F71*(SD_DETAILED_COST_WKSHT!G71*LVL2_ACTV_6_Exchange_Rate))</f>
        <v>0</v>
      </c>
      <c r="F2904" s="115">
        <f>IF(DD_LVL2_ACTV_6_Currency_Selected=2,SD_DETAILED_COST_WKSHT!$F71*SD_DETAILED_COST_WKSHT!H71,SD_DETAILED_COST_WKSHT!$F71*(SD_DETAILED_COST_WKSHT!H71*LVL2_ACTV_6_Exchange_Rate))</f>
        <v>0</v>
      </c>
      <c r="G2904" s="116">
        <f t="shared" ref="G2904:G2913" si="276">E2904/LVL2_ACTV_6_Exchange_Rate</f>
        <v>0</v>
      </c>
      <c r="H2904" s="116">
        <f t="shared" ref="H2904:H2913" si="277">F2904/LVL2_ACTV_6_Exchange_Rate</f>
        <v>0</v>
      </c>
    </row>
    <row r="2905" spans="1:8" s="10" customFormat="1" outlineLevel="1" x14ac:dyDescent="0.2">
      <c r="D2905" s="49" t="str">
        <f>SD_DETAILED_COST_WKSHT!D72</f>
        <v>Supplies and Materials Category 2</v>
      </c>
      <c r="E2905" s="115">
        <f>IF(DD_LVL2_ACTV_6_Currency_Selected=2,SD_DETAILED_COST_WKSHT!$F72*SD_DETAILED_COST_WKSHT!G72,SD_DETAILED_COST_WKSHT!$F72*(SD_DETAILED_COST_WKSHT!G72*LVL2_ACTV_6_Exchange_Rate))</f>
        <v>0</v>
      </c>
      <c r="F2905" s="115">
        <f>IF(DD_LVL2_ACTV_6_Currency_Selected=2,SD_DETAILED_COST_WKSHT!$F72*SD_DETAILED_COST_WKSHT!H72,SD_DETAILED_COST_WKSHT!$F72*(SD_DETAILED_COST_WKSHT!H72*LVL2_ACTV_6_Exchange_Rate))</f>
        <v>0</v>
      </c>
      <c r="G2905" s="116">
        <f t="shared" si="276"/>
        <v>0</v>
      </c>
      <c r="H2905" s="116">
        <f t="shared" si="277"/>
        <v>0</v>
      </c>
    </row>
    <row r="2906" spans="1:8" s="10" customFormat="1" outlineLevel="1" x14ac:dyDescent="0.2">
      <c r="D2906" s="49" t="str">
        <f>SD_DETAILED_COST_WKSHT!D73</f>
        <v>Supplies and Materials Category 3</v>
      </c>
      <c r="E2906" s="115">
        <f>IF(DD_LVL2_ACTV_6_Currency_Selected=2,SD_DETAILED_COST_WKSHT!$F73*SD_DETAILED_COST_WKSHT!G73,SD_DETAILED_COST_WKSHT!$F73*(SD_DETAILED_COST_WKSHT!G73*LVL2_ACTV_6_Exchange_Rate))</f>
        <v>0</v>
      </c>
      <c r="F2906" s="115">
        <f>IF(DD_LVL2_ACTV_6_Currency_Selected=2,SD_DETAILED_COST_WKSHT!$F73*SD_DETAILED_COST_WKSHT!H73,SD_DETAILED_COST_WKSHT!$F73*(SD_DETAILED_COST_WKSHT!H73*LVL2_ACTV_6_Exchange_Rate))</f>
        <v>0</v>
      </c>
      <c r="G2906" s="116">
        <f t="shared" si="276"/>
        <v>0</v>
      </c>
      <c r="H2906" s="116">
        <f t="shared" si="277"/>
        <v>0</v>
      </c>
    </row>
    <row r="2907" spans="1:8" s="10" customFormat="1" outlineLevel="1" x14ac:dyDescent="0.2">
      <c r="D2907" s="49" t="str">
        <f>SD_DETAILED_COST_WKSHT!D74</f>
        <v>Supplies and Materials Category 4</v>
      </c>
      <c r="E2907" s="115">
        <f>IF(DD_LVL2_ACTV_6_Currency_Selected=2,SD_DETAILED_COST_WKSHT!$F74*SD_DETAILED_COST_WKSHT!G74,SD_DETAILED_COST_WKSHT!$F74*(SD_DETAILED_COST_WKSHT!G74*LVL2_ACTV_6_Exchange_Rate))</f>
        <v>0</v>
      </c>
      <c r="F2907" s="115">
        <f>IF(DD_LVL2_ACTV_6_Currency_Selected=2,SD_DETAILED_COST_WKSHT!$F74*SD_DETAILED_COST_WKSHT!H74,SD_DETAILED_COST_WKSHT!$F74*(SD_DETAILED_COST_WKSHT!H74*LVL2_ACTV_6_Exchange_Rate))</f>
        <v>0</v>
      </c>
      <c r="G2907" s="116">
        <f t="shared" si="276"/>
        <v>0</v>
      </c>
      <c r="H2907" s="116">
        <f t="shared" si="277"/>
        <v>0</v>
      </c>
    </row>
    <row r="2908" spans="1:8" s="10" customFormat="1" outlineLevel="1" x14ac:dyDescent="0.2">
      <c r="D2908" s="49" t="str">
        <f>SD_DETAILED_COST_WKSHT!D75</f>
        <v>Supplies and Materials Category 5</v>
      </c>
      <c r="E2908" s="115">
        <f>IF(DD_LVL2_ACTV_6_Currency_Selected=2,SD_DETAILED_COST_WKSHT!$F75*SD_DETAILED_COST_WKSHT!G75,SD_DETAILED_COST_WKSHT!$F75*(SD_DETAILED_COST_WKSHT!G75*LVL2_ACTV_6_Exchange_Rate))</f>
        <v>0</v>
      </c>
      <c r="F2908" s="115">
        <f>IF(DD_LVL2_ACTV_6_Currency_Selected=2,SD_DETAILED_COST_WKSHT!$F75*SD_DETAILED_COST_WKSHT!H75,SD_DETAILED_COST_WKSHT!$F75*(SD_DETAILED_COST_WKSHT!H75*LVL2_ACTV_6_Exchange_Rate))</f>
        <v>0</v>
      </c>
      <c r="G2908" s="116">
        <f t="shared" si="276"/>
        <v>0</v>
      </c>
      <c r="H2908" s="116">
        <f t="shared" si="277"/>
        <v>0</v>
      </c>
    </row>
    <row r="2909" spans="1:8" s="10" customFormat="1" outlineLevel="1" x14ac:dyDescent="0.2">
      <c r="D2909" s="49" t="str">
        <f>SD_DETAILED_COST_WKSHT!D76</f>
        <v>Supplies and Materials Category 6</v>
      </c>
      <c r="E2909" s="115">
        <f>IF(DD_LVL2_ACTV_6_Currency_Selected=2,SD_DETAILED_COST_WKSHT!$F76*SD_DETAILED_COST_WKSHT!G76,SD_DETAILED_COST_WKSHT!$F76*(SD_DETAILED_COST_WKSHT!G76*LVL2_ACTV_6_Exchange_Rate))</f>
        <v>0</v>
      </c>
      <c r="F2909" s="115">
        <f>IF(DD_LVL2_ACTV_6_Currency_Selected=2,SD_DETAILED_COST_WKSHT!$F76*SD_DETAILED_COST_WKSHT!H76,SD_DETAILED_COST_WKSHT!$F76*(SD_DETAILED_COST_WKSHT!H76*LVL2_ACTV_6_Exchange_Rate))</f>
        <v>0</v>
      </c>
      <c r="G2909" s="116">
        <f t="shared" si="276"/>
        <v>0</v>
      </c>
      <c r="H2909" s="116">
        <f t="shared" si="277"/>
        <v>0</v>
      </c>
    </row>
    <row r="2910" spans="1:8" s="10" customFormat="1" outlineLevel="1" x14ac:dyDescent="0.2">
      <c r="D2910" s="49" t="str">
        <f>SD_DETAILED_COST_WKSHT!D77</f>
        <v>Supplies and Materials Category 7</v>
      </c>
      <c r="E2910" s="115">
        <f>IF(DD_LVL2_ACTV_6_Currency_Selected=2,SD_DETAILED_COST_WKSHT!$F77*SD_DETAILED_COST_WKSHT!G77,SD_DETAILED_COST_WKSHT!$F77*(SD_DETAILED_COST_WKSHT!G77*LVL2_ACTV_6_Exchange_Rate))</f>
        <v>0</v>
      </c>
      <c r="F2910" s="115">
        <f>IF(DD_LVL2_ACTV_6_Currency_Selected=2,SD_DETAILED_COST_WKSHT!$F77*SD_DETAILED_COST_WKSHT!H77,SD_DETAILED_COST_WKSHT!$F77*(SD_DETAILED_COST_WKSHT!H77*LVL2_ACTV_6_Exchange_Rate))</f>
        <v>0</v>
      </c>
      <c r="G2910" s="116">
        <f t="shared" si="276"/>
        <v>0</v>
      </c>
      <c r="H2910" s="116">
        <f t="shared" si="277"/>
        <v>0</v>
      </c>
    </row>
    <row r="2911" spans="1:8" s="10" customFormat="1" outlineLevel="1" x14ac:dyDescent="0.2">
      <c r="D2911" s="49" t="str">
        <f>SD_DETAILED_COST_WKSHT!D78</f>
        <v>Supplies and Materials Category 8</v>
      </c>
      <c r="E2911" s="115">
        <f>IF(DD_LVL2_ACTV_6_Currency_Selected=2,SD_DETAILED_COST_WKSHT!$F78*SD_DETAILED_COST_WKSHT!G78,SD_DETAILED_COST_WKSHT!$F78*(SD_DETAILED_COST_WKSHT!G78*LVL2_ACTV_6_Exchange_Rate))</f>
        <v>0</v>
      </c>
      <c r="F2911" s="115">
        <f>IF(DD_LVL2_ACTV_6_Currency_Selected=2,SD_DETAILED_COST_WKSHT!$F78*SD_DETAILED_COST_WKSHT!H78,SD_DETAILED_COST_WKSHT!$F78*(SD_DETAILED_COST_WKSHT!H78*LVL2_ACTV_6_Exchange_Rate))</f>
        <v>0</v>
      </c>
      <c r="G2911" s="116">
        <f t="shared" si="276"/>
        <v>0</v>
      </c>
      <c r="H2911" s="116">
        <f t="shared" si="277"/>
        <v>0</v>
      </c>
    </row>
    <row r="2912" spans="1:8" s="10" customFormat="1" outlineLevel="1" x14ac:dyDescent="0.2">
      <c r="D2912" s="49" t="str">
        <f>SD_DETAILED_COST_WKSHT!D79</f>
        <v>Supplies and Materials Category 9</v>
      </c>
      <c r="E2912" s="115">
        <f>IF(DD_LVL2_ACTV_6_Currency_Selected=2,SD_DETAILED_COST_WKSHT!$F79*SD_DETAILED_COST_WKSHT!G79,SD_DETAILED_COST_WKSHT!$F79*(SD_DETAILED_COST_WKSHT!G79*LVL2_ACTV_6_Exchange_Rate))</f>
        <v>0</v>
      </c>
      <c r="F2912" s="115">
        <f>IF(DD_LVL2_ACTV_6_Currency_Selected=2,SD_DETAILED_COST_WKSHT!$F79*SD_DETAILED_COST_WKSHT!H79,SD_DETAILED_COST_WKSHT!$F79*(SD_DETAILED_COST_WKSHT!H79*LVL2_ACTV_6_Exchange_Rate))</f>
        <v>0</v>
      </c>
      <c r="G2912" s="116">
        <f t="shared" si="276"/>
        <v>0</v>
      </c>
      <c r="H2912" s="116">
        <f t="shared" si="277"/>
        <v>0</v>
      </c>
    </row>
    <row r="2913" spans="1:8" s="10" customFormat="1" outlineLevel="1" x14ac:dyDescent="0.2">
      <c r="D2913" s="49" t="str">
        <f>SD_DETAILED_COST_WKSHT!D80</f>
        <v>Supplies and Materials Category 10</v>
      </c>
      <c r="E2913" s="115">
        <f>IF(DD_LVL2_ACTV_6_Currency_Selected=2,SD_DETAILED_COST_WKSHT!$F80*SD_DETAILED_COST_WKSHT!G80,SD_DETAILED_COST_WKSHT!$F80*(SD_DETAILED_COST_WKSHT!G80*LVL2_ACTV_6_Exchange_Rate))</f>
        <v>0</v>
      </c>
      <c r="F2913" s="115">
        <f>IF(DD_LVL2_ACTV_6_Currency_Selected=2,SD_DETAILED_COST_WKSHT!$F80*SD_DETAILED_COST_WKSHT!H80,SD_DETAILED_COST_WKSHT!$F80*(SD_DETAILED_COST_WKSHT!H80*LVL2_ACTV_6_Exchange_Rate))</f>
        <v>0</v>
      </c>
      <c r="G2913" s="116">
        <f t="shared" si="276"/>
        <v>0</v>
      </c>
      <c r="H2913" s="116">
        <f t="shared" si="277"/>
        <v>0</v>
      </c>
    </row>
    <row r="2914" spans="1:8" s="10" customFormat="1" outlineLevel="1" x14ac:dyDescent="0.2">
      <c r="D2914" s="48" t="str">
        <f>Lang_Supplies_And_Materials</f>
        <v>Supplies and Materials</v>
      </c>
      <c r="E2914" s="120">
        <f>SUM(E2904:E2913)</f>
        <v>0</v>
      </c>
      <c r="F2914" s="120">
        <f>SUM(F2904:F2913)</f>
        <v>0</v>
      </c>
      <c r="G2914" s="121">
        <f>SUM(G2904:G2913)</f>
        <v>0</v>
      </c>
      <c r="H2914" s="121">
        <f>SUM(H2904:H2913)</f>
        <v>0</v>
      </c>
    </row>
    <row r="2915" spans="1:8" s="10" customFormat="1" outlineLevel="1" x14ac:dyDescent="0.2"/>
    <row r="2916" spans="1:8" s="10" customFormat="1" outlineLevel="1" x14ac:dyDescent="0.2"/>
    <row r="2917" spans="1:8" s="10" customFormat="1" outlineLevel="1" x14ac:dyDescent="0.2">
      <c r="D2917" s="76" t="str">
        <f>Lang_GoTo&amp;" "&amp;HL_LVL2_ACTV_6_Supplies_and_Materials</f>
        <v>Go to Single Vaccination Service Delivery Type 1 - Detailed Supply and Material Cost Assumptions</v>
      </c>
    </row>
    <row r="2918" spans="1:8" s="10" customFormat="1" outlineLevel="1" x14ac:dyDescent="0.2">
      <c r="D2918" s="76" t="str">
        <f>Lang_GoTo&amp;" "&amp;HL_LVL2_ACTV_6_Cost_Summary_Output</f>
        <v>Go to Single Vaccination Service Delivery Type 1 Detailed Cost Summary</v>
      </c>
    </row>
    <row r="2919" spans="1:8" s="10" customFormat="1" x14ac:dyDescent="0.2"/>
    <row r="2920" spans="1:8" s="13" customFormat="1" x14ac:dyDescent="0.2">
      <c r="A2920" s="12" t="s">
        <v>127</v>
      </c>
      <c r="B2920" s="13" t="str">
        <f>C2922&amp;" "&amp;Lang_Other_Direct_Costs_Outputs</f>
        <v>Single Vaccination Service Delivery Type 1 Other Direct Costs - Outputs</v>
      </c>
    </row>
    <row r="2921" spans="1:8" s="10" customFormat="1" outlineLevel="1" x14ac:dyDescent="0.2"/>
    <row r="2922" spans="1:8" s="10" customFormat="1" outlineLevel="1" x14ac:dyDescent="0.2">
      <c r="C2922" s="114" t="str">
        <f>HL_LVL2_ACTV_6_Name</f>
        <v>Single Vaccination Service Delivery Type 1</v>
      </c>
    </row>
    <row r="2923" spans="1:8" s="10" customFormat="1" outlineLevel="1" x14ac:dyDescent="0.2">
      <c r="E2923" s="86" t="str">
        <f>SD_Lu!$D$32&amp;" "&amp;Lang_Cost&amp;" ("&amp;SD_Lu!$D$13&amp;")"</f>
        <v>Financial Cost (LCU)</v>
      </c>
      <c r="F2923" s="86" t="str">
        <f>SD_Lu!$D$33&amp;" "&amp;Lang_Cost&amp;" ("&amp;SD_Lu!$D$13&amp;")"</f>
        <v>Economic Cost (LCU)</v>
      </c>
      <c r="G2923" s="86" t="str">
        <f>SD_Lu!$D$32&amp;" "&amp;Lang_Cost&amp;" ("&amp;SD_Lu!$D$12&amp;")"</f>
        <v>Financial Cost (USD)</v>
      </c>
      <c r="H2923" s="86" t="str">
        <f>SD_Lu!$D$33&amp;" "&amp;Lang_Cost&amp;" ("&amp;SD_Lu!$D$12&amp;")"</f>
        <v>Economic Cost (USD)</v>
      </c>
    </row>
    <row r="2924" spans="1:8" s="10" customFormat="1" outlineLevel="1" x14ac:dyDescent="0.2">
      <c r="D2924" s="49" t="str">
        <f>SD_DETAILED_COST_WKSHT!D89</f>
        <v>Other Direct Costs (ODC) Category 1</v>
      </c>
      <c r="E2924" s="115">
        <f>IF(DD_LVL2_ACTV_6_Currency_Selected=2,SD_DETAILED_COST_WKSHT!$F89*SD_DETAILED_COST_WKSHT!G89,SD_DETAILED_COST_WKSHT!$F89*(SD_DETAILED_COST_WKSHT!G89*LVL2_ACTV_6_Exchange_Rate))</f>
        <v>0</v>
      </c>
      <c r="F2924" s="115">
        <f>IF(DD_LVL2_ACTV_6_Currency_Selected=2,SD_DETAILED_COST_WKSHT!$F89*SD_DETAILED_COST_WKSHT!H89,SD_DETAILED_COST_WKSHT!$F89*(SD_DETAILED_COST_WKSHT!H89*LVL2_ACTV_6_Exchange_Rate))</f>
        <v>0</v>
      </c>
      <c r="G2924" s="116">
        <f t="shared" ref="G2924:G2933" si="278">E2924/LVL2_ACTV_6_Exchange_Rate</f>
        <v>0</v>
      </c>
      <c r="H2924" s="116">
        <f t="shared" ref="H2924:H2933" si="279">F2924/LVL2_ACTV_6_Exchange_Rate</f>
        <v>0</v>
      </c>
    </row>
    <row r="2925" spans="1:8" s="10" customFormat="1" outlineLevel="1" x14ac:dyDescent="0.2">
      <c r="D2925" s="49" t="str">
        <f>SD_DETAILED_COST_WKSHT!D90</f>
        <v>Other Direct Costs (ODC) Category 2</v>
      </c>
      <c r="E2925" s="115">
        <f>IF(DD_LVL2_ACTV_6_Currency_Selected=2,SD_DETAILED_COST_WKSHT!$F90*SD_DETAILED_COST_WKSHT!G90,SD_DETAILED_COST_WKSHT!$F90*(SD_DETAILED_COST_WKSHT!G90*LVL2_ACTV_6_Exchange_Rate))</f>
        <v>0</v>
      </c>
      <c r="F2925" s="115">
        <f>IF(DD_LVL2_ACTV_6_Currency_Selected=2,SD_DETAILED_COST_WKSHT!$F90*SD_DETAILED_COST_WKSHT!H90,SD_DETAILED_COST_WKSHT!$F90*(SD_DETAILED_COST_WKSHT!H90*LVL2_ACTV_6_Exchange_Rate))</f>
        <v>0</v>
      </c>
      <c r="G2925" s="116">
        <f t="shared" si="278"/>
        <v>0</v>
      </c>
      <c r="H2925" s="116">
        <f t="shared" si="279"/>
        <v>0</v>
      </c>
    </row>
    <row r="2926" spans="1:8" s="10" customFormat="1" outlineLevel="1" x14ac:dyDescent="0.2">
      <c r="D2926" s="49" t="str">
        <f>SD_DETAILED_COST_WKSHT!D91</f>
        <v>Other Direct Costs (ODC) Category 3</v>
      </c>
      <c r="E2926" s="115">
        <f>IF(DD_LVL2_ACTV_6_Currency_Selected=2,SD_DETAILED_COST_WKSHT!$F91*SD_DETAILED_COST_WKSHT!G91,SD_DETAILED_COST_WKSHT!$F91*(SD_DETAILED_COST_WKSHT!G91*LVL2_ACTV_6_Exchange_Rate))</f>
        <v>0</v>
      </c>
      <c r="F2926" s="115">
        <f>IF(DD_LVL2_ACTV_6_Currency_Selected=2,SD_DETAILED_COST_WKSHT!$F91*SD_DETAILED_COST_WKSHT!H91,SD_DETAILED_COST_WKSHT!$F91*(SD_DETAILED_COST_WKSHT!H91*LVL2_ACTV_6_Exchange_Rate))</f>
        <v>0</v>
      </c>
      <c r="G2926" s="116">
        <f t="shared" si="278"/>
        <v>0</v>
      </c>
      <c r="H2926" s="116">
        <f t="shared" si="279"/>
        <v>0</v>
      </c>
    </row>
    <row r="2927" spans="1:8" s="10" customFormat="1" outlineLevel="1" x14ac:dyDescent="0.2">
      <c r="D2927" s="49" t="str">
        <f>SD_DETAILED_COST_WKSHT!D92</f>
        <v>Other Direct Costs (ODC) Category 4</v>
      </c>
      <c r="E2927" s="115">
        <f>IF(DD_LVL2_ACTV_6_Currency_Selected=2,SD_DETAILED_COST_WKSHT!$F92*SD_DETAILED_COST_WKSHT!G92,SD_DETAILED_COST_WKSHT!$F92*(SD_DETAILED_COST_WKSHT!G92*LVL2_ACTV_6_Exchange_Rate))</f>
        <v>0</v>
      </c>
      <c r="F2927" s="115">
        <f>IF(DD_LVL2_ACTV_6_Currency_Selected=2,SD_DETAILED_COST_WKSHT!$F92*SD_DETAILED_COST_WKSHT!H92,SD_DETAILED_COST_WKSHT!$F92*(SD_DETAILED_COST_WKSHT!H92*LVL2_ACTV_6_Exchange_Rate))</f>
        <v>0</v>
      </c>
      <c r="G2927" s="116">
        <f t="shared" si="278"/>
        <v>0</v>
      </c>
      <c r="H2927" s="116">
        <f t="shared" si="279"/>
        <v>0</v>
      </c>
    </row>
    <row r="2928" spans="1:8" s="10" customFormat="1" outlineLevel="1" x14ac:dyDescent="0.2">
      <c r="D2928" s="49" t="str">
        <f>SD_DETAILED_COST_WKSHT!D93</f>
        <v>Other Direct Costs (ODC) Category 5</v>
      </c>
      <c r="E2928" s="115">
        <f>IF(DD_LVL2_ACTV_6_Currency_Selected=2,SD_DETAILED_COST_WKSHT!$F93*SD_DETAILED_COST_WKSHT!G93,SD_DETAILED_COST_WKSHT!$F93*(SD_DETAILED_COST_WKSHT!G93*LVL2_ACTV_6_Exchange_Rate))</f>
        <v>0</v>
      </c>
      <c r="F2928" s="115">
        <f>IF(DD_LVL2_ACTV_6_Currency_Selected=2,SD_DETAILED_COST_WKSHT!$F93*SD_DETAILED_COST_WKSHT!H93,SD_DETAILED_COST_WKSHT!$F93*(SD_DETAILED_COST_WKSHT!H93*LVL2_ACTV_6_Exchange_Rate))</f>
        <v>0</v>
      </c>
      <c r="G2928" s="116">
        <f t="shared" si="278"/>
        <v>0</v>
      </c>
      <c r="H2928" s="116">
        <f t="shared" si="279"/>
        <v>0</v>
      </c>
    </row>
    <row r="2929" spans="1:8" s="10" customFormat="1" outlineLevel="1" x14ac:dyDescent="0.2">
      <c r="D2929" s="49" t="str">
        <f>SD_DETAILED_COST_WKSHT!D94</f>
        <v>Other Direct Costs (ODC) Category 6</v>
      </c>
      <c r="E2929" s="115">
        <f>IF(DD_LVL2_ACTV_6_Currency_Selected=2,SD_DETAILED_COST_WKSHT!$F94*SD_DETAILED_COST_WKSHT!G94,SD_DETAILED_COST_WKSHT!$F94*(SD_DETAILED_COST_WKSHT!G94*LVL2_ACTV_6_Exchange_Rate))</f>
        <v>0</v>
      </c>
      <c r="F2929" s="115">
        <f>IF(DD_LVL2_ACTV_6_Currency_Selected=2,SD_DETAILED_COST_WKSHT!$F94*SD_DETAILED_COST_WKSHT!H94,SD_DETAILED_COST_WKSHT!$F94*(SD_DETAILED_COST_WKSHT!H94*LVL2_ACTV_6_Exchange_Rate))</f>
        <v>0</v>
      </c>
      <c r="G2929" s="116">
        <f t="shared" si="278"/>
        <v>0</v>
      </c>
      <c r="H2929" s="116">
        <f t="shared" si="279"/>
        <v>0</v>
      </c>
    </row>
    <row r="2930" spans="1:8" s="10" customFormat="1" outlineLevel="1" x14ac:dyDescent="0.2">
      <c r="D2930" s="49" t="str">
        <f>SD_DETAILED_COST_WKSHT!D95</f>
        <v>Other Direct Costs (ODC) Category 7</v>
      </c>
      <c r="E2930" s="115">
        <f>IF(DD_LVL2_ACTV_6_Currency_Selected=2,SD_DETAILED_COST_WKSHT!$F95*SD_DETAILED_COST_WKSHT!G95,SD_DETAILED_COST_WKSHT!$F95*(SD_DETAILED_COST_WKSHT!G95*LVL2_ACTV_6_Exchange_Rate))</f>
        <v>0</v>
      </c>
      <c r="F2930" s="115">
        <f>IF(DD_LVL2_ACTV_6_Currency_Selected=2,SD_DETAILED_COST_WKSHT!$F95*SD_DETAILED_COST_WKSHT!H95,SD_DETAILED_COST_WKSHT!$F95*(SD_DETAILED_COST_WKSHT!H95*LVL2_ACTV_6_Exchange_Rate))</f>
        <v>0</v>
      </c>
      <c r="G2930" s="116">
        <f t="shared" si="278"/>
        <v>0</v>
      </c>
      <c r="H2930" s="116">
        <f t="shared" si="279"/>
        <v>0</v>
      </c>
    </row>
    <row r="2931" spans="1:8" s="10" customFormat="1" outlineLevel="1" x14ac:dyDescent="0.2">
      <c r="D2931" s="49" t="str">
        <f>SD_DETAILED_COST_WKSHT!D96</f>
        <v>Other Direct Costs (ODC) Category 8</v>
      </c>
      <c r="E2931" s="115">
        <f>IF(DD_LVL2_ACTV_6_Currency_Selected=2,SD_DETAILED_COST_WKSHT!$F96*SD_DETAILED_COST_WKSHT!G96,SD_DETAILED_COST_WKSHT!$F96*(SD_DETAILED_COST_WKSHT!G96*LVL2_ACTV_6_Exchange_Rate))</f>
        <v>0</v>
      </c>
      <c r="F2931" s="115">
        <f>IF(DD_LVL2_ACTV_6_Currency_Selected=2,SD_DETAILED_COST_WKSHT!$F96*SD_DETAILED_COST_WKSHT!H96,SD_DETAILED_COST_WKSHT!$F96*(SD_DETAILED_COST_WKSHT!H96*LVL2_ACTV_6_Exchange_Rate))</f>
        <v>0</v>
      </c>
      <c r="G2931" s="116">
        <f t="shared" si="278"/>
        <v>0</v>
      </c>
      <c r="H2931" s="116">
        <f t="shared" si="279"/>
        <v>0</v>
      </c>
    </row>
    <row r="2932" spans="1:8" s="10" customFormat="1" outlineLevel="1" x14ac:dyDescent="0.2">
      <c r="D2932" s="49" t="str">
        <f>SD_DETAILED_COST_WKSHT!D97</f>
        <v>Other Direct Costs (ODC) Category 9</v>
      </c>
      <c r="E2932" s="115">
        <f>IF(DD_LVL2_ACTV_6_Currency_Selected=2,SD_DETAILED_COST_WKSHT!$F97*SD_DETAILED_COST_WKSHT!G97,SD_DETAILED_COST_WKSHT!$F97*(SD_DETAILED_COST_WKSHT!G97*LVL2_ACTV_6_Exchange_Rate))</f>
        <v>0</v>
      </c>
      <c r="F2932" s="115">
        <f>IF(DD_LVL2_ACTV_6_Currency_Selected=2,SD_DETAILED_COST_WKSHT!$F97*SD_DETAILED_COST_WKSHT!H97,SD_DETAILED_COST_WKSHT!$F97*(SD_DETAILED_COST_WKSHT!H97*LVL2_ACTV_6_Exchange_Rate))</f>
        <v>0</v>
      </c>
      <c r="G2932" s="116">
        <f t="shared" si="278"/>
        <v>0</v>
      </c>
      <c r="H2932" s="116">
        <f t="shared" si="279"/>
        <v>0</v>
      </c>
    </row>
    <row r="2933" spans="1:8" s="10" customFormat="1" outlineLevel="1" x14ac:dyDescent="0.2">
      <c r="D2933" s="49" t="str">
        <f>SD_DETAILED_COST_WKSHT!D98</f>
        <v>Other Direct Costs (ODC) Category 10</v>
      </c>
      <c r="E2933" s="115">
        <f>IF(DD_LVL2_ACTV_6_Currency_Selected=2,SD_DETAILED_COST_WKSHT!$F98*SD_DETAILED_COST_WKSHT!G98,SD_DETAILED_COST_WKSHT!$F98*(SD_DETAILED_COST_WKSHT!G98*LVL2_ACTV_6_Exchange_Rate))</f>
        <v>0</v>
      </c>
      <c r="F2933" s="115">
        <f>IF(DD_LVL2_ACTV_6_Currency_Selected=2,SD_DETAILED_COST_WKSHT!$F98*SD_DETAILED_COST_WKSHT!H98,SD_DETAILED_COST_WKSHT!$F98*(SD_DETAILED_COST_WKSHT!H98*LVL2_ACTV_6_Exchange_Rate))</f>
        <v>0</v>
      </c>
      <c r="G2933" s="116">
        <f t="shared" si="278"/>
        <v>0</v>
      </c>
      <c r="H2933" s="116">
        <f t="shared" si="279"/>
        <v>0</v>
      </c>
    </row>
    <row r="2934" spans="1:8" s="10" customFormat="1" outlineLevel="1" x14ac:dyDescent="0.2">
      <c r="D2934" s="48" t="str">
        <f>Lang_Other_Direct_Costs</f>
        <v>Other Direct Costs</v>
      </c>
      <c r="E2934" s="120">
        <f>SUM(E2924:E2933)</f>
        <v>0</v>
      </c>
      <c r="F2934" s="120">
        <f>SUM(F2924:F2933)</f>
        <v>0</v>
      </c>
      <c r="G2934" s="121">
        <f>SUM(G2924:G2933)</f>
        <v>0</v>
      </c>
      <c r="H2934" s="121">
        <f>SUM(H2924:H2933)</f>
        <v>0</v>
      </c>
    </row>
    <row r="2935" spans="1:8" s="10" customFormat="1" outlineLevel="1" x14ac:dyDescent="0.2"/>
    <row r="2936" spans="1:8" s="10" customFormat="1" outlineLevel="1" x14ac:dyDescent="0.2">
      <c r="D2936" s="76" t="str">
        <f>Lang_GoTo&amp;" "&amp;HL_LVL2_ACTV_6_Other_Direct_Costs</f>
        <v>Go to Single Vaccination Service Delivery Type 1 - Detailed Other Direct Cost Assumptions</v>
      </c>
    </row>
    <row r="2937" spans="1:8" s="10" customFormat="1" outlineLevel="1" x14ac:dyDescent="0.2">
      <c r="D2937" s="76" t="str">
        <f>Lang_GoTo&amp;" "&amp;HL_LVL2_ACTV_6_Cost_Summary_Output</f>
        <v>Go to Single Vaccination Service Delivery Type 1 Detailed Cost Summary</v>
      </c>
    </row>
    <row r="2938" spans="1:8" s="10" customFormat="1" x14ac:dyDescent="0.2"/>
    <row r="2939" spans="1:8" s="13" customFormat="1" x14ac:dyDescent="0.2">
      <c r="A2939" s="12" t="s">
        <v>127</v>
      </c>
      <c r="B2939" s="13" t="str">
        <f>C2941&amp;" "&amp;Lang_Personnel_Outputs</f>
        <v>Small Group Vaccination Activity (30 people vaccinated) Personnel - Outputs</v>
      </c>
    </row>
    <row r="2940" spans="1:8" s="10" customFormat="1" outlineLevel="1" x14ac:dyDescent="0.2"/>
    <row r="2941" spans="1:8" s="10" customFormat="1" outlineLevel="1" x14ac:dyDescent="0.2">
      <c r="C2941" s="114" t="str">
        <f>HL_LVL2_ACTV_13_Name</f>
        <v>Small Group Vaccination Activity (30 people vaccinated)</v>
      </c>
    </row>
    <row r="2942" spans="1:8" s="10" customFormat="1" outlineLevel="1" x14ac:dyDescent="0.2">
      <c r="E2942" s="86" t="str">
        <f>SD_Lu!$D$102&amp;" "&amp;Lang_Cost&amp;" ("&amp;SD_Lu!$D$83&amp;")"</f>
        <v>Financial Cost (LCU)</v>
      </c>
      <c r="F2942" s="86" t="str">
        <f>SD_Lu!$D$103&amp;" "&amp;Lang_Cost&amp;" ("&amp;SD_Lu!$D$83&amp;")"</f>
        <v>Economic Cost (LCU)</v>
      </c>
      <c r="G2942" s="86" t="str">
        <f>SD_Lu!$D$102&amp;" "&amp;Lang_Cost&amp;" ("&amp;SD_Lu!$D$82&amp;")"</f>
        <v>Financial Cost (USD)</v>
      </c>
      <c r="H2942" s="86" t="str">
        <f>SD_Lu!$D$103&amp;" "&amp;Lang_Cost&amp;" ("&amp;SD_Lu!$D$82&amp;")"</f>
        <v>Economic Cost (USD)</v>
      </c>
    </row>
    <row r="2943" spans="1:8" s="10" customFormat="1" outlineLevel="1" x14ac:dyDescent="0.2">
      <c r="D2943" s="49" t="str">
        <f>SD_DETAILED_COST_WKSHT!D228</f>
        <v>Personnel Category 1</v>
      </c>
      <c r="E2943" s="115">
        <f>IF(DD_LVL2_ACTV_13_Currency_Selected=2,SD_DETAILED_COST_WKSHT!$F228*SD_DETAILED_COST_WKSHT!G228,SD_DETAILED_COST_WKSHT!$F228*(SD_DETAILED_COST_WKSHT!G228*LVL2_ACTV_13_Exchange_Rate))</f>
        <v>0</v>
      </c>
      <c r="F2943" s="115">
        <f>IF(DD_LVL2_ACTV_13_Currency_Selected=2,SD_DETAILED_COST_WKSHT!$F228*SD_DETAILED_COST_WKSHT!H228,SD_DETAILED_COST_WKSHT!$F228*(SD_DETAILED_COST_WKSHT!H228*LVL2_ACTV_13_Exchange_Rate))</f>
        <v>0</v>
      </c>
      <c r="G2943" s="116">
        <f t="shared" ref="G2943:G2957" si="280">IFERROR(E2943/LVL2_ACTV_13_Exchange_Rate,0)</f>
        <v>0</v>
      </c>
      <c r="H2943" s="116">
        <f t="shared" ref="H2943:H2957" si="281">IFERROR(F2943/LVL2_ACTV_13_Exchange_Rate,0)</f>
        <v>0</v>
      </c>
    </row>
    <row r="2944" spans="1:8" s="10" customFormat="1" outlineLevel="1" x14ac:dyDescent="0.2">
      <c r="D2944" s="49" t="str">
        <f>SD_DETAILED_COST_WKSHT!D229</f>
        <v>Personnel Category 2</v>
      </c>
      <c r="E2944" s="115">
        <f>IF(DD_LVL2_ACTV_13_Currency_Selected=2,SD_DETAILED_COST_WKSHT!$F229*SD_DETAILED_COST_WKSHT!G229,SD_DETAILED_COST_WKSHT!$F229*(SD_DETAILED_COST_WKSHT!G229*LVL2_ACTV_13_Exchange_Rate))</f>
        <v>0</v>
      </c>
      <c r="F2944" s="115">
        <f>IF(DD_LVL2_ACTV_13_Currency_Selected=2,SD_DETAILED_COST_WKSHT!$F229*SD_DETAILED_COST_WKSHT!H229,SD_DETAILED_COST_WKSHT!$F229*(SD_DETAILED_COST_WKSHT!H229*LVL2_ACTV_13_Exchange_Rate))</f>
        <v>0</v>
      </c>
      <c r="G2944" s="116">
        <f t="shared" si="280"/>
        <v>0</v>
      </c>
      <c r="H2944" s="116">
        <f t="shared" si="281"/>
        <v>0</v>
      </c>
    </row>
    <row r="2945" spans="4:8" s="10" customFormat="1" outlineLevel="1" x14ac:dyDescent="0.2">
      <c r="D2945" s="49" t="str">
        <f>SD_DETAILED_COST_WKSHT!D230</f>
        <v>Personnel Category 3</v>
      </c>
      <c r="E2945" s="115">
        <f>IF(DD_LVL2_ACTV_13_Currency_Selected=2,SD_DETAILED_COST_WKSHT!$F230*SD_DETAILED_COST_WKSHT!G230,SD_DETAILED_COST_WKSHT!$F230*(SD_DETAILED_COST_WKSHT!G230*LVL2_ACTV_13_Exchange_Rate))</f>
        <v>0</v>
      </c>
      <c r="F2945" s="115">
        <f>IF(DD_LVL2_ACTV_13_Currency_Selected=2,SD_DETAILED_COST_WKSHT!$F230*SD_DETAILED_COST_WKSHT!H230,SD_DETAILED_COST_WKSHT!$F230*(SD_DETAILED_COST_WKSHT!H230*LVL2_ACTV_13_Exchange_Rate))</f>
        <v>0</v>
      </c>
      <c r="G2945" s="116">
        <f t="shared" si="280"/>
        <v>0</v>
      </c>
      <c r="H2945" s="116">
        <f t="shared" si="281"/>
        <v>0</v>
      </c>
    </row>
    <row r="2946" spans="4:8" s="10" customFormat="1" outlineLevel="1" x14ac:dyDescent="0.2">
      <c r="D2946" s="49" t="str">
        <f>SD_DETAILED_COST_WKSHT!D231</f>
        <v>Personnel Category 4</v>
      </c>
      <c r="E2946" s="115">
        <f>IF(DD_LVL2_ACTV_13_Currency_Selected=2,SD_DETAILED_COST_WKSHT!$F231*SD_DETAILED_COST_WKSHT!G231,SD_DETAILED_COST_WKSHT!$F231*(SD_DETAILED_COST_WKSHT!G231*LVL2_ACTV_13_Exchange_Rate))</f>
        <v>0</v>
      </c>
      <c r="F2946" s="115">
        <f>IF(DD_LVL2_ACTV_13_Currency_Selected=2,SD_DETAILED_COST_WKSHT!$F231*SD_DETAILED_COST_WKSHT!H231,SD_DETAILED_COST_WKSHT!$F231*(SD_DETAILED_COST_WKSHT!H231*LVL2_ACTV_13_Exchange_Rate))</f>
        <v>0</v>
      </c>
      <c r="G2946" s="116">
        <f t="shared" si="280"/>
        <v>0</v>
      </c>
      <c r="H2946" s="116">
        <f t="shared" si="281"/>
        <v>0</v>
      </c>
    </row>
    <row r="2947" spans="4:8" s="10" customFormat="1" outlineLevel="1" x14ac:dyDescent="0.2">
      <c r="D2947" s="49" t="str">
        <f>SD_DETAILED_COST_WKSHT!D232</f>
        <v>Personnel Category 5</v>
      </c>
      <c r="E2947" s="115">
        <f>IF(DD_LVL2_ACTV_13_Currency_Selected=2,SD_DETAILED_COST_WKSHT!$F232*SD_DETAILED_COST_WKSHT!G232,SD_DETAILED_COST_WKSHT!$F232*(SD_DETAILED_COST_WKSHT!G232*LVL2_ACTV_13_Exchange_Rate))</f>
        <v>0</v>
      </c>
      <c r="F2947" s="115">
        <f>IF(DD_LVL2_ACTV_13_Currency_Selected=2,SD_DETAILED_COST_WKSHT!$F232*SD_DETAILED_COST_WKSHT!H232,SD_DETAILED_COST_WKSHT!$F232*(SD_DETAILED_COST_WKSHT!H232*LVL2_ACTV_13_Exchange_Rate))</f>
        <v>0</v>
      </c>
      <c r="G2947" s="116">
        <f t="shared" si="280"/>
        <v>0</v>
      </c>
      <c r="H2947" s="116">
        <f t="shared" si="281"/>
        <v>0</v>
      </c>
    </row>
    <row r="2948" spans="4:8" s="10" customFormat="1" outlineLevel="1" x14ac:dyDescent="0.2">
      <c r="D2948" s="49" t="str">
        <f>SD_DETAILED_COST_WKSHT!D233</f>
        <v>Personnel Category 6</v>
      </c>
      <c r="E2948" s="115">
        <f>IF(DD_LVL2_ACTV_13_Currency_Selected=2,SD_DETAILED_COST_WKSHT!$F233*SD_DETAILED_COST_WKSHT!G233,SD_DETAILED_COST_WKSHT!$F233*(SD_DETAILED_COST_WKSHT!G233*LVL2_ACTV_13_Exchange_Rate))</f>
        <v>0</v>
      </c>
      <c r="F2948" s="115">
        <f>IF(DD_LVL2_ACTV_13_Currency_Selected=2,SD_DETAILED_COST_WKSHT!$F233*SD_DETAILED_COST_WKSHT!H233,SD_DETAILED_COST_WKSHT!$F233*(SD_DETAILED_COST_WKSHT!H233*LVL2_ACTV_13_Exchange_Rate))</f>
        <v>0</v>
      </c>
      <c r="G2948" s="116">
        <f t="shared" si="280"/>
        <v>0</v>
      </c>
      <c r="H2948" s="116">
        <f t="shared" si="281"/>
        <v>0</v>
      </c>
    </row>
    <row r="2949" spans="4:8" s="10" customFormat="1" outlineLevel="1" x14ac:dyDescent="0.2">
      <c r="D2949" s="49" t="str">
        <f>SD_DETAILED_COST_WKSHT!D234</f>
        <v>Personnel Category 7</v>
      </c>
      <c r="E2949" s="115">
        <f>IF(DD_LVL2_ACTV_13_Currency_Selected=2,SD_DETAILED_COST_WKSHT!$F234*SD_DETAILED_COST_WKSHT!G234,SD_DETAILED_COST_WKSHT!$F234*(SD_DETAILED_COST_WKSHT!G234*LVL2_ACTV_13_Exchange_Rate))</f>
        <v>0</v>
      </c>
      <c r="F2949" s="115">
        <f>IF(DD_LVL2_ACTV_13_Currency_Selected=2,SD_DETAILED_COST_WKSHT!$F234*SD_DETAILED_COST_WKSHT!H234,SD_DETAILED_COST_WKSHT!$F234*(SD_DETAILED_COST_WKSHT!H234*LVL2_ACTV_13_Exchange_Rate))</f>
        <v>0</v>
      </c>
      <c r="G2949" s="116">
        <f t="shared" si="280"/>
        <v>0</v>
      </c>
      <c r="H2949" s="116">
        <f t="shared" si="281"/>
        <v>0</v>
      </c>
    </row>
    <row r="2950" spans="4:8" s="10" customFormat="1" outlineLevel="1" x14ac:dyDescent="0.2">
      <c r="D2950" s="49" t="str">
        <f>SD_DETAILED_COST_WKSHT!D235</f>
        <v>Personnel Category 8</v>
      </c>
      <c r="E2950" s="115">
        <f>IF(DD_LVL2_ACTV_13_Currency_Selected=2,SD_DETAILED_COST_WKSHT!$F235*SD_DETAILED_COST_WKSHT!G235,SD_DETAILED_COST_WKSHT!$F235*(SD_DETAILED_COST_WKSHT!G235*LVL2_ACTV_13_Exchange_Rate))</f>
        <v>0</v>
      </c>
      <c r="F2950" s="115">
        <f>IF(DD_LVL2_ACTV_13_Currency_Selected=2,SD_DETAILED_COST_WKSHT!$F235*SD_DETAILED_COST_WKSHT!H235,SD_DETAILED_COST_WKSHT!$F235*(SD_DETAILED_COST_WKSHT!H235*LVL2_ACTV_13_Exchange_Rate))</f>
        <v>0</v>
      </c>
      <c r="G2950" s="116">
        <f t="shared" si="280"/>
        <v>0</v>
      </c>
      <c r="H2950" s="116">
        <f t="shared" si="281"/>
        <v>0</v>
      </c>
    </row>
    <row r="2951" spans="4:8" s="10" customFormat="1" outlineLevel="1" x14ac:dyDescent="0.2">
      <c r="D2951" s="49" t="str">
        <f>SD_DETAILED_COST_WKSHT!D236</f>
        <v>Personnel Category 9</v>
      </c>
      <c r="E2951" s="115">
        <f>IF(DD_LVL2_ACTV_13_Currency_Selected=2,SD_DETAILED_COST_WKSHT!$F236*SD_DETAILED_COST_WKSHT!G236,SD_DETAILED_COST_WKSHT!$F236*(SD_DETAILED_COST_WKSHT!G236*LVL2_ACTV_13_Exchange_Rate))</f>
        <v>0</v>
      </c>
      <c r="F2951" s="115">
        <f>IF(DD_LVL2_ACTV_13_Currency_Selected=2,SD_DETAILED_COST_WKSHT!$F236*SD_DETAILED_COST_WKSHT!H236,SD_DETAILED_COST_WKSHT!$F236*(SD_DETAILED_COST_WKSHT!H236*LVL2_ACTV_13_Exchange_Rate))</f>
        <v>0</v>
      </c>
      <c r="G2951" s="116">
        <f t="shared" si="280"/>
        <v>0</v>
      </c>
      <c r="H2951" s="116">
        <f t="shared" si="281"/>
        <v>0</v>
      </c>
    </row>
    <row r="2952" spans="4:8" s="10" customFormat="1" outlineLevel="1" x14ac:dyDescent="0.2">
      <c r="D2952" s="49" t="str">
        <f>SD_DETAILED_COST_WKSHT!D237</f>
        <v>Personnel Category 10</v>
      </c>
      <c r="E2952" s="115">
        <f>IF(DD_LVL2_ACTV_13_Currency_Selected=2,SD_DETAILED_COST_WKSHT!$F237*SD_DETAILED_COST_WKSHT!G237,SD_DETAILED_COST_WKSHT!$F237*(SD_DETAILED_COST_WKSHT!G237*LVL2_ACTV_13_Exchange_Rate))</f>
        <v>0</v>
      </c>
      <c r="F2952" s="115">
        <f>IF(DD_LVL2_ACTV_13_Currency_Selected=2,SD_DETAILED_COST_WKSHT!$F237*SD_DETAILED_COST_WKSHT!H237,SD_DETAILED_COST_WKSHT!$F237*(SD_DETAILED_COST_WKSHT!H237*LVL2_ACTV_13_Exchange_Rate))</f>
        <v>0</v>
      </c>
      <c r="G2952" s="116">
        <f t="shared" si="280"/>
        <v>0</v>
      </c>
      <c r="H2952" s="116">
        <f t="shared" si="281"/>
        <v>0</v>
      </c>
    </row>
    <row r="2953" spans="4:8" s="10" customFormat="1" outlineLevel="1" x14ac:dyDescent="0.2">
      <c r="D2953" s="49" t="str">
        <f>SD_DETAILED_COST_WKSHT!D238</f>
        <v>Personnel Category 11</v>
      </c>
      <c r="E2953" s="115">
        <f>IF(DD_LVL2_ACTV_13_Currency_Selected=2,SD_DETAILED_COST_WKSHT!$F238*SD_DETAILED_COST_WKSHT!G238,SD_DETAILED_COST_WKSHT!$F238*(SD_DETAILED_COST_WKSHT!G238*LVL2_ACTV_13_Exchange_Rate))</f>
        <v>0</v>
      </c>
      <c r="F2953" s="115">
        <f>IF(DD_LVL2_ACTV_13_Currency_Selected=2,SD_DETAILED_COST_WKSHT!$F238*SD_DETAILED_COST_WKSHT!H238,SD_DETAILED_COST_WKSHT!$F238*(SD_DETAILED_COST_WKSHT!H238*LVL2_ACTV_13_Exchange_Rate))</f>
        <v>0</v>
      </c>
      <c r="G2953" s="116">
        <f t="shared" si="280"/>
        <v>0</v>
      </c>
      <c r="H2953" s="116">
        <f t="shared" si="281"/>
        <v>0</v>
      </c>
    </row>
    <row r="2954" spans="4:8" s="10" customFormat="1" outlineLevel="1" x14ac:dyDescent="0.2">
      <c r="D2954" s="49" t="str">
        <f>SD_DETAILED_COST_WKSHT!D239</f>
        <v>Personnel Category 12</v>
      </c>
      <c r="E2954" s="115">
        <f>IF(DD_LVL2_ACTV_13_Currency_Selected=2,SD_DETAILED_COST_WKSHT!$F239*SD_DETAILED_COST_WKSHT!G239,SD_DETAILED_COST_WKSHT!$F239*(SD_DETAILED_COST_WKSHT!G239*LVL2_ACTV_13_Exchange_Rate))</f>
        <v>0</v>
      </c>
      <c r="F2954" s="115">
        <f>IF(DD_LVL2_ACTV_13_Currency_Selected=2,SD_DETAILED_COST_WKSHT!$F239*SD_DETAILED_COST_WKSHT!H239,SD_DETAILED_COST_WKSHT!$F239*(SD_DETAILED_COST_WKSHT!H239*LVL2_ACTV_13_Exchange_Rate))</f>
        <v>0</v>
      </c>
      <c r="G2954" s="116">
        <f t="shared" si="280"/>
        <v>0</v>
      </c>
      <c r="H2954" s="116">
        <f t="shared" si="281"/>
        <v>0</v>
      </c>
    </row>
    <row r="2955" spans="4:8" s="10" customFormat="1" outlineLevel="1" x14ac:dyDescent="0.2">
      <c r="D2955" s="49" t="str">
        <f>SD_DETAILED_COST_WKSHT!D240</f>
        <v>Personnel Category 13</v>
      </c>
      <c r="E2955" s="115">
        <f>IF(DD_LVL2_ACTV_13_Currency_Selected=2,SD_DETAILED_COST_WKSHT!$F240*SD_DETAILED_COST_WKSHT!G240,SD_DETAILED_COST_WKSHT!$F240*(SD_DETAILED_COST_WKSHT!G240*LVL2_ACTV_13_Exchange_Rate))</f>
        <v>0</v>
      </c>
      <c r="F2955" s="115">
        <f>IF(DD_LVL2_ACTV_13_Currency_Selected=2,SD_DETAILED_COST_WKSHT!$F240*SD_DETAILED_COST_WKSHT!H240,SD_DETAILED_COST_WKSHT!$F240*(SD_DETAILED_COST_WKSHT!H240*LVL2_ACTV_13_Exchange_Rate))</f>
        <v>0</v>
      </c>
      <c r="G2955" s="116">
        <f t="shared" si="280"/>
        <v>0</v>
      </c>
      <c r="H2955" s="116">
        <f t="shared" si="281"/>
        <v>0</v>
      </c>
    </row>
    <row r="2956" spans="4:8" s="10" customFormat="1" outlineLevel="1" x14ac:dyDescent="0.2">
      <c r="D2956" s="49" t="str">
        <f>SD_DETAILED_COST_WKSHT!D241</f>
        <v>Personnel Category 14</v>
      </c>
      <c r="E2956" s="115">
        <f>IF(DD_LVL2_ACTV_13_Currency_Selected=2,SD_DETAILED_COST_WKSHT!$F241*SD_DETAILED_COST_WKSHT!G241,SD_DETAILED_COST_WKSHT!$F241*(SD_DETAILED_COST_WKSHT!G241*LVL2_ACTV_13_Exchange_Rate))</f>
        <v>0</v>
      </c>
      <c r="F2956" s="115">
        <f>IF(DD_LVL2_ACTV_13_Currency_Selected=2,SD_DETAILED_COST_WKSHT!$F241*SD_DETAILED_COST_WKSHT!H241,SD_DETAILED_COST_WKSHT!$F241*(SD_DETAILED_COST_WKSHT!H241*LVL2_ACTV_13_Exchange_Rate))</f>
        <v>0</v>
      </c>
      <c r="G2956" s="116">
        <f t="shared" si="280"/>
        <v>0</v>
      </c>
      <c r="H2956" s="116">
        <f t="shared" si="281"/>
        <v>0</v>
      </c>
    </row>
    <row r="2957" spans="4:8" s="10" customFormat="1" outlineLevel="1" x14ac:dyDescent="0.2">
      <c r="D2957" s="49" t="str">
        <f>SD_DETAILED_COST_WKSHT!D242</f>
        <v>Personnel Category 15</v>
      </c>
      <c r="E2957" s="115">
        <f>IF(DD_LVL2_ACTV_13_Currency_Selected=2,SD_DETAILED_COST_WKSHT!$F242*SD_DETAILED_COST_WKSHT!G242,SD_DETAILED_COST_WKSHT!$F242*(SD_DETAILED_COST_WKSHT!G242*LVL2_ACTV_13_Exchange_Rate))</f>
        <v>0</v>
      </c>
      <c r="F2957" s="115">
        <f>IF(DD_LVL2_ACTV_13_Currency_Selected=2,SD_DETAILED_COST_WKSHT!$F242*SD_DETAILED_COST_WKSHT!H242,SD_DETAILED_COST_WKSHT!$F242*(SD_DETAILED_COST_WKSHT!H242*LVL2_ACTV_13_Exchange_Rate))</f>
        <v>0</v>
      </c>
      <c r="G2957" s="116">
        <f t="shared" si="280"/>
        <v>0</v>
      </c>
      <c r="H2957" s="116">
        <f t="shared" si="281"/>
        <v>0</v>
      </c>
    </row>
    <row r="2958" spans="4:8" s="10" customFormat="1" outlineLevel="1" x14ac:dyDescent="0.2">
      <c r="D2958" s="48" t="str">
        <f>Lang_Personnel</f>
        <v>Personnel</v>
      </c>
      <c r="E2958" s="120">
        <f>SUM(E2943:E2957)</f>
        <v>0</v>
      </c>
      <c r="F2958" s="120">
        <f>SUM(F2943:F2957)</f>
        <v>0</v>
      </c>
      <c r="G2958" s="121">
        <f>SUM(G2943:G2957)</f>
        <v>0</v>
      </c>
      <c r="H2958" s="121">
        <f>SUM(H2943:H2957)</f>
        <v>0</v>
      </c>
    </row>
    <row r="2959" spans="4:8" s="10" customFormat="1" outlineLevel="1" x14ac:dyDescent="0.2"/>
    <row r="2960" spans="4:8" s="10" customFormat="1" outlineLevel="1" x14ac:dyDescent="0.2"/>
    <row r="2961" spans="1:8" s="10" customFormat="1" outlineLevel="1" x14ac:dyDescent="0.2">
      <c r="D2961" s="76" t="str">
        <f>Lang_GoTo&amp;" "&amp;HL_LVL2_ACTV_13_Personnel_Assumptions</f>
        <v>Go to Small Group Vaccination Activity (30 people vaccinated) - Detailed Personnel Cost Assumptions</v>
      </c>
    </row>
    <row r="2962" spans="1:8" s="10" customFormat="1" outlineLevel="1" x14ac:dyDescent="0.2">
      <c r="D2962" s="76" t="str">
        <f>Lang_GoTo&amp;" "&amp;HL_LVL2_ACTV_13_Cost_Summary_Output</f>
        <v>Go to Small Group Vaccination Activity (30 people vaccinated) Detailed Cost Summary</v>
      </c>
    </row>
    <row r="2963" spans="1:8" s="10" customFormat="1" x14ac:dyDescent="0.2"/>
    <row r="2964" spans="1:8" s="13" customFormat="1" x14ac:dyDescent="0.2">
      <c r="A2964" s="12" t="s">
        <v>127</v>
      </c>
      <c r="B2964" s="13" t="str">
        <f>C2966&amp;" "&amp;Lang_Allowances_Outputs</f>
        <v>Single Vaccination Service Delivery Type 2 Allowances - Outputs</v>
      </c>
    </row>
    <row r="2965" spans="1:8" s="10" customFormat="1" outlineLevel="1" x14ac:dyDescent="0.2"/>
    <row r="2966" spans="1:8" s="10" customFormat="1" outlineLevel="1" x14ac:dyDescent="0.2">
      <c r="C2966" s="114" t="str">
        <f>HL_LVL2_ACTV_12_Name</f>
        <v>Single Vaccination Service Delivery Type 2</v>
      </c>
    </row>
    <row r="2967" spans="1:8" s="10" customFormat="1" outlineLevel="1" x14ac:dyDescent="0.2">
      <c r="E2967" s="86" t="str">
        <f>SD_Lu!$D$67&amp;" "&amp;Lang_Cost&amp;" ("&amp;SD_Lu!$D$48&amp;")"</f>
        <v>Financial Cost (LCU)</v>
      </c>
      <c r="F2967" s="86" t="str">
        <f>SD_Lu!$D$68&amp;" "&amp;Lang_Cost&amp;" ("&amp;SD_Lu!$D$48&amp;")"</f>
        <v>Economic Cost (LCU)</v>
      </c>
      <c r="G2967" s="86" t="str">
        <f>SD_Lu!$D$67&amp;" "&amp;Lang_Cost&amp;" ("&amp;SD_Lu!$D$47&amp;")"</f>
        <v>Financial Cost (USD)</v>
      </c>
      <c r="H2967" s="86" t="str">
        <f>SD_Lu!$D$68&amp;" "&amp;Lang_Cost&amp;" ("&amp;SD_Lu!$D$47&amp;")"</f>
        <v>Economic Cost (USD)</v>
      </c>
    </row>
    <row r="2968" spans="1:8" s="10" customFormat="1" outlineLevel="1" x14ac:dyDescent="0.2">
      <c r="D2968" s="49" t="str">
        <f>SD_DETAILED_COST_WKSHT!D152</f>
        <v>Allowances Category 1</v>
      </c>
      <c r="E2968" s="115">
        <f>IF(DD_LVL2_ACTV_12_Currency_Selected=2,SD_DETAILED_COST_WKSHT!$F152*SD_DETAILED_COST_WKSHT!G152,SD_DETAILED_COST_WKSHT!$F152*(SD_DETAILED_COST_WKSHT!G152*LVL2_ACTV_12_Exchange_Rate))</f>
        <v>0</v>
      </c>
      <c r="F2968" s="115">
        <f>IF(DD_LVL2_ACTV_12_Currency_Selected=2,SD_DETAILED_COST_WKSHT!$F152*SD_DETAILED_COST_WKSHT!H152,SD_DETAILED_COST_WKSHT!$F152*(SD_DETAILED_COST_WKSHT!H152*LVL2_ACTV_12_Exchange_Rate))</f>
        <v>0</v>
      </c>
      <c r="G2968" s="116">
        <f t="shared" ref="G2968:G2977" si="282">E2968/LVL2_ACTV_12_Exchange_Rate</f>
        <v>0</v>
      </c>
      <c r="H2968" s="116">
        <f t="shared" ref="H2968:H2977" si="283">F2968/LVL2_ACTV_12_Exchange_Rate</f>
        <v>0</v>
      </c>
    </row>
    <row r="2969" spans="1:8" s="10" customFormat="1" outlineLevel="1" x14ac:dyDescent="0.2">
      <c r="D2969" s="49" t="str">
        <f>SD_DETAILED_COST_WKSHT!D153</f>
        <v>Allowances Category 2</v>
      </c>
      <c r="E2969" s="115">
        <f>IF(DD_LVL2_ACTV_12_Currency_Selected=2,SD_DETAILED_COST_WKSHT!$F153*SD_DETAILED_COST_WKSHT!G153,SD_DETAILED_COST_WKSHT!$F153*(SD_DETAILED_COST_WKSHT!G153*LVL2_ACTV_12_Exchange_Rate))</f>
        <v>0</v>
      </c>
      <c r="F2969" s="115">
        <f>IF(DD_LVL2_ACTV_12_Currency_Selected=2,SD_DETAILED_COST_WKSHT!$F153*SD_DETAILED_COST_WKSHT!H153,SD_DETAILED_COST_WKSHT!$F153*(SD_DETAILED_COST_WKSHT!H153*LVL2_ACTV_12_Exchange_Rate))</f>
        <v>0</v>
      </c>
      <c r="G2969" s="116">
        <f t="shared" si="282"/>
        <v>0</v>
      </c>
      <c r="H2969" s="116">
        <f t="shared" si="283"/>
        <v>0</v>
      </c>
    </row>
    <row r="2970" spans="1:8" s="10" customFormat="1" outlineLevel="1" x14ac:dyDescent="0.2">
      <c r="D2970" s="49" t="str">
        <f>SD_DETAILED_COST_WKSHT!D154</f>
        <v>Allowances Category 3</v>
      </c>
      <c r="E2970" s="115">
        <f>IF(DD_LVL2_ACTV_12_Currency_Selected=2,SD_DETAILED_COST_WKSHT!$F154*SD_DETAILED_COST_WKSHT!G154,SD_DETAILED_COST_WKSHT!$F154*(SD_DETAILED_COST_WKSHT!G154*LVL2_ACTV_12_Exchange_Rate))</f>
        <v>0</v>
      </c>
      <c r="F2970" s="115">
        <f>IF(DD_LVL2_ACTV_12_Currency_Selected=2,SD_DETAILED_COST_WKSHT!$F154*SD_DETAILED_COST_WKSHT!H154,SD_DETAILED_COST_WKSHT!$F154*(SD_DETAILED_COST_WKSHT!H154*LVL2_ACTV_12_Exchange_Rate))</f>
        <v>0</v>
      </c>
      <c r="G2970" s="116">
        <f t="shared" si="282"/>
        <v>0</v>
      </c>
      <c r="H2970" s="116">
        <f t="shared" si="283"/>
        <v>0</v>
      </c>
    </row>
    <row r="2971" spans="1:8" s="10" customFormat="1" outlineLevel="1" x14ac:dyDescent="0.2">
      <c r="D2971" s="49" t="str">
        <f>SD_DETAILED_COST_WKSHT!D155</f>
        <v>Allowances Category 4</v>
      </c>
      <c r="E2971" s="115">
        <f>IF(DD_LVL2_ACTV_12_Currency_Selected=2,SD_DETAILED_COST_WKSHT!$F155*SD_DETAILED_COST_WKSHT!G155,SD_DETAILED_COST_WKSHT!$F155*(SD_DETAILED_COST_WKSHT!G155*LVL2_ACTV_12_Exchange_Rate))</f>
        <v>0</v>
      </c>
      <c r="F2971" s="115">
        <f>IF(DD_LVL2_ACTV_12_Currency_Selected=2,SD_DETAILED_COST_WKSHT!$F155*SD_DETAILED_COST_WKSHT!H155,SD_DETAILED_COST_WKSHT!$F155*(SD_DETAILED_COST_WKSHT!H155*LVL2_ACTV_12_Exchange_Rate))</f>
        <v>0</v>
      </c>
      <c r="G2971" s="116">
        <f t="shared" si="282"/>
        <v>0</v>
      </c>
      <c r="H2971" s="116">
        <f t="shared" si="283"/>
        <v>0</v>
      </c>
    </row>
    <row r="2972" spans="1:8" s="10" customFormat="1" outlineLevel="1" x14ac:dyDescent="0.2">
      <c r="D2972" s="49" t="str">
        <f>SD_DETAILED_COST_WKSHT!D156</f>
        <v>Allowances Category 5</v>
      </c>
      <c r="E2972" s="115">
        <f>IF(DD_LVL2_ACTV_12_Currency_Selected=2,SD_DETAILED_COST_WKSHT!$F156*SD_DETAILED_COST_WKSHT!G156,SD_DETAILED_COST_WKSHT!$F156*(SD_DETAILED_COST_WKSHT!G156*LVL2_ACTV_12_Exchange_Rate))</f>
        <v>0</v>
      </c>
      <c r="F2972" s="115">
        <f>IF(DD_LVL2_ACTV_12_Currency_Selected=2,SD_DETAILED_COST_WKSHT!$F156*SD_DETAILED_COST_WKSHT!H156,SD_DETAILED_COST_WKSHT!$F156*(SD_DETAILED_COST_WKSHT!H156*LVL2_ACTV_12_Exchange_Rate))</f>
        <v>0</v>
      </c>
      <c r="G2972" s="116">
        <f t="shared" si="282"/>
        <v>0</v>
      </c>
      <c r="H2972" s="116">
        <f t="shared" si="283"/>
        <v>0</v>
      </c>
    </row>
    <row r="2973" spans="1:8" s="10" customFormat="1" outlineLevel="1" x14ac:dyDescent="0.2">
      <c r="D2973" s="49" t="str">
        <f>SD_DETAILED_COST_WKSHT!D157</f>
        <v>Allowances Category 6</v>
      </c>
      <c r="E2973" s="115">
        <f>IF(DD_LVL2_ACTV_12_Currency_Selected=2,SD_DETAILED_COST_WKSHT!$F157*SD_DETAILED_COST_WKSHT!G157,SD_DETAILED_COST_WKSHT!$F157*(SD_DETAILED_COST_WKSHT!G157*LVL2_ACTV_12_Exchange_Rate))</f>
        <v>0</v>
      </c>
      <c r="F2973" s="115">
        <f>IF(DD_LVL2_ACTV_12_Currency_Selected=2,SD_DETAILED_COST_WKSHT!$F157*SD_DETAILED_COST_WKSHT!H157,SD_DETAILED_COST_WKSHT!$F157*(SD_DETAILED_COST_WKSHT!H157*LVL2_ACTV_12_Exchange_Rate))</f>
        <v>0</v>
      </c>
      <c r="G2973" s="116">
        <f t="shared" si="282"/>
        <v>0</v>
      </c>
      <c r="H2973" s="116">
        <f t="shared" si="283"/>
        <v>0</v>
      </c>
    </row>
    <row r="2974" spans="1:8" s="10" customFormat="1" outlineLevel="1" x14ac:dyDescent="0.2">
      <c r="D2974" s="49" t="str">
        <f>SD_DETAILED_COST_WKSHT!D158</f>
        <v>Allowances Category 7</v>
      </c>
      <c r="E2974" s="115">
        <f>IF(DD_LVL2_ACTV_12_Currency_Selected=2,SD_DETAILED_COST_WKSHT!$F158*SD_DETAILED_COST_WKSHT!G158,SD_DETAILED_COST_WKSHT!$F158*(SD_DETAILED_COST_WKSHT!G158*LVL2_ACTV_12_Exchange_Rate))</f>
        <v>0</v>
      </c>
      <c r="F2974" s="115">
        <f>IF(DD_LVL2_ACTV_12_Currency_Selected=2,SD_DETAILED_COST_WKSHT!$F158*SD_DETAILED_COST_WKSHT!H158,SD_DETAILED_COST_WKSHT!$F158*(SD_DETAILED_COST_WKSHT!H158*LVL2_ACTV_12_Exchange_Rate))</f>
        <v>0</v>
      </c>
      <c r="G2974" s="116">
        <f t="shared" si="282"/>
        <v>0</v>
      </c>
      <c r="H2974" s="116">
        <f t="shared" si="283"/>
        <v>0</v>
      </c>
    </row>
    <row r="2975" spans="1:8" s="10" customFormat="1" outlineLevel="1" x14ac:dyDescent="0.2">
      <c r="D2975" s="49" t="str">
        <f>SD_DETAILED_COST_WKSHT!D159</f>
        <v>Allowances Category 8</v>
      </c>
      <c r="E2975" s="115">
        <f>IF(DD_LVL2_ACTV_12_Currency_Selected=2,SD_DETAILED_COST_WKSHT!$F159*SD_DETAILED_COST_WKSHT!G159,SD_DETAILED_COST_WKSHT!$F159*(SD_DETAILED_COST_WKSHT!G159*LVL2_ACTV_12_Exchange_Rate))</f>
        <v>0</v>
      </c>
      <c r="F2975" s="115">
        <f>IF(DD_LVL2_ACTV_12_Currency_Selected=2,SD_DETAILED_COST_WKSHT!$F159*SD_DETAILED_COST_WKSHT!H159,SD_DETAILED_COST_WKSHT!$F159*(SD_DETAILED_COST_WKSHT!H159*LVL2_ACTV_12_Exchange_Rate))</f>
        <v>0</v>
      </c>
      <c r="G2975" s="116">
        <f t="shared" si="282"/>
        <v>0</v>
      </c>
      <c r="H2975" s="116">
        <f t="shared" si="283"/>
        <v>0</v>
      </c>
    </row>
    <row r="2976" spans="1:8" s="10" customFormat="1" outlineLevel="1" x14ac:dyDescent="0.2">
      <c r="D2976" s="49" t="str">
        <f>SD_DETAILED_COST_WKSHT!D160</f>
        <v>Allowances Category 9</v>
      </c>
      <c r="E2976" s="115">
        <f>IF(DD_LVL2_ACTV_12_Currency_Selected=2,SD_DETAILED_COST_WKSHT!$F160*SD_DETAILED_COST_WKSHT!G160,SD_DETAILED_COST_WKSHT!$F160*(SD_DETAILED_COST_WKSHT!G160*LVL2_ACTV_12_Exchange_Rate))</f>
        <v>0</v>
      </c>
      <c r="F2976" s="115">
        <f>IF(DD_LVL2_ACTV_12_Currency_Selected=2,SD_DETAILED_COST_WKSHT!$F160*SD_DETAILED_COST_WKSHT!H160,SD_DETAILED_COST_WKSHT!$F160*(SD_DETAILED_COST_WKSHT!H160*LVL2_ACTV_12_Exchange_Rate))</f>
        <v>0</v>
      </c>
      <c r="G2976" s="116">
        <f t="shared" si="282"/>
        <v>0</v>
      </c>
      <c r="H2976" s="116">
        <f t="shared" si="283"/>
        <v>0</v>
      </c>
    </row>
    <row r="2977" spans="1:8" s="10" customFormat="1" outlineLevel="1" x14ac:dyDescent="0.2">
      <c r="D2977" s="49" t="str">
        <f>SD_DETAILED_COST_WKSHT!D161</f>
        <v>Allowances Category 10</v>
      </c>
      <c r="E2977" s="115">
        <f>IF(DD_LVL2_ACTV_12_Currency_Selected=2,SD_DETAILED_COST_WKSHT!$F161*SD_DETAILED_COST_WKSHT!G161,SD_DETAILED_COST_WKSHT!$F161*(SD_DETAILED_COST_WKSHT!G161*LVL2_ACTV_12_Exchange_Rate))</f>
        <v>0</v>
      </c>
      <c r="F2977" s="115">
        <f>IF(DD_LVL2_ACTV_12_Currency_Selected=2,SD_DETAILED_COST_WKSHT!$F161*SD_DETAILED_COST_WKSHT!H161,SD_DETAILED_COST_WKSHT!$F161*(SD_DETAILED_COST_WKSHT!H161*LVL2_ACTV_12_Exchange_Rate))</f>
        <v>0</v>
      </c>
      <c r="G2977" s="116">
        <f t="shared" si="282"/>
        <v>0</v>
      </c>
      <c r="H2977" s="116">
        <f t="shared" si="283"/>
        <v>0</v>
      </c>
    </row>
    <row r="2978" spans="1:8" s="10" customFormat="1" outlineLevel="1" x14ac:dyDescent="0.2">
      <c r="D2978" s="48" t="str">
        <f>Lang_Allowances</f>
        <v>Allowances</v>
      </c>
      <c r="E2978" s="120">
        <f>SUM(E2968:E2977)</f>
        <v>0</v>
      </c>
      <c r="F2978" s="120">
        <f>SUM(F2968:F2977)</f>
        <v>0</v>
      </c>
      <c r="G2978" s="121">
        <f>SUM(G2968:G2977)</f>
        <v>0</v>
      </c>
      <c r="H2978" s="121">
        <f>SUM(H2968:H2977)</f>
        <v>0</v>
      </c>
    </row>
    <row r="2979" spans="1:8" s="10" customFormat="1" outlineLevel="1" x14ac:dyDescent="0.2"/>
    <row r="2980" spans="1:8" s="10" customFormat="1" outlineLevel="1" x14ac:dyDescent="0.2"/>
    <row r="2981" spans="1:8" s="10" customFormat="1" outlineLevel="1" x14ac:dyDescent="0.2">
      <c r="D2981" s="76" t="str">
        <f>Lang_GoTo&amp;" "&amp;HL_LVL2_ACTV_12_Ass_A</f>
        <v>Go to Single Vaccination Service Delivery Type 2 - Detailed Allowance Cost Assumptions</v>
      </c>
    </row>
    <row r="2982" spans="1:8" s="10" customFormat="1" outlineLevel="1" x14ac:dyDescent="0.2">
      <c r="D2982" s="76" t="str">
        <f>Lang_GoTo&amp;" "&amp;HL_LVL2_ACTV_12_Cost_Summary_Output</f>
        <v>Go to Single Vaccination Service Delivery Type 2 Detailed Cost Summary</v>
      </c>
    </row>
    <row r="2983" spans="1:8" s="10" customFormat="1" x14ac:dyDescent="0.2"/>
    <row r="2984" spans="1:8" s="13" customFormat="1" x14ac:dyDescent="0.2">
      <c r="A2984" s="12" t="s">
        <v>127</v>
      </c>
      <c r="B2984" s="13" t="str">
        <f>C2986&amp;" "&amp;Lang_Supplies_And_Materials_Outputs</f>
        <v>Single Vaccination Service Delivery Type 2 Supplies and Materials - Outputs</v>
      </c>
    </row>
    <row r="2985" spans="1:8" s="10" customFormat="1" outlineLevel="1" x14ac:dyDescent="0.2"/>
    <row r="2986" spans="1:8" s="10" customFormat="1" outlineLevel="1" x14ac:dyDescent="0.2">
      <c r="C2986" s="114" t="str">
        <f>HL_LVL2_ACTV_12_Name</f>
        <v>Single Vaccination Service Delivery Type 2</v>
      </c>
    </row>
    <row r="2987" spans="1:8" s="10" customFormat="1" outlineLevel="1" x14ac:dyDescent="0.2">
      <c r="E2987" s="86" t="str">
        <f>SD_Lu!$D$67&amp;" "&amp;Lang_Cost&amp;" ("&amp;SD_Lu!$D$48&amp;")"</f>
        <v>Financial Cost (LCU)</v>
      </c>
      <c r="F2987" s="86" t="str">
        <f>SD_Lu!$D$68&amp;" "&amp;Lang_Cost&amp;" ("&amp;SD_Lu!$D$48&amp;")"</f>
        <v>Economic Cost (LCU)</v>
      </c>
      <c r="G2987" s="86" t="str">
        <f>SD_Lu!$D$67&amp;" "&amp;Lang_Cost&amp;" ("&amp;SD_Lu!$D$47&amp;")"</f>
        <v>Financial Cost (USD)</v>
      </c>
      <c r="H2987" s="86" t="str">
        <f>SD_Lu!$D$68&amp;" "&amp;Lang_Cost&amp;" ("&amp;SD_Lu!$D$47&amp;")"</f>
        <v>Economic Cost (USD)</v>
      </c>
    </row>
    <row r="2988" spans="1:8" s="10" customFormat="1" outlineLevel="1" x14ac:dyDescent="0.2">
      <c r="D2988" s="49" t="str">
        <f>SD_DETAILED_COST_WKSHT!D170</f>
        <v>Supplies and Materials Category 1</v>
      </c>
      <c r="E2988" s="115">
        <f>IF(DD_LVL2_ACTV_12_Currency_Selected=2,SD_DETAILED_COST_WKSHT!$F170*SD_DETAILED_COST_WKSHT!G170,SD_DETAILED_COST_WKSHT!$F170*(SD_DETAILED_COST_WKSHT!G170*LVL2_ACTV_12_Exchange_Rate))</f>
        <v>0</v>
      </c>
      <c r="F2988" s="115">
        <f>IF(DD_LVL2_ACTV_12_Currency_Selected=2,SD_DETAILED_COST_WKSHT!$F170*SD_DETAILED_COST_WKSHT!H170,SD_DETAILED_COST_WKSHT!$F170*(SD_DETAILED_COST_WKSHT!H170*LVL2_ACTV_12_Exchange_Rate))</f>
        <v>0</v>
      </c>
      <c r="G2988" s="116">
        <f t="shared" ref="G2988:G2997" si="284">E2988/LVL2_ACTV_12_Exchange_Rate</f>
        <v>0</v>
      </c>
      <c r="H2988" s="116">
        <f t="shared" ref="H2988:H2997" si="285">F2988/LVL2_ACTV_12_Exchange_Rate</f>
        <v>0</v>
      </c>
    </row>
    <row r="2989" spans="1:8" s="10" customFormat="1" outlineLevel="1" x14ac:dyDescent="0.2">
      <c r="D2989" s="49" t="str">
        <f>SD_DETAILED_COST_WKSHT!D171</f>
        <v>Supplies and Materials Category 2</v>
      </c>
      <c r="E2989" s="115">
        <f>IF(DD_LVL2_ACTV_12_Currency_Selected=2,SD_DETAILED_COST_WKSHT!$F171*SD_DETAILED_COST_WKSHT!G171,SD_DETAILED_COST_WKSHT!$F171*(SD_DETAILED_COST_WKSHT!G171*LVL2_ACTV_12_Exchange_Rate))</f>
        <v>0</v>
      </c>
      <c r="F2989" s="115">
        <f>IF(DD_LVL2_ACTV_12_Currency_Selected=2,SD_DETAILED_COST_WKSHT!$F171*SD_DETAILED_COST_WKSHT!H171,SD_DETAILED_COST_WKSHT!$F171*(SD_DETAILED_COST_WKSHT!H171*LVL2_ACTV_12_Exchange_Rate))</f>
        <v>0</v>
      </c>
      <c r="G2989" s="116">
        <f t="shared" si="284"/>
        <v>0</v>
      </c>
      <c r="H2989" s="116">
        <f t="shared" si="285"/>
        <v>0</v>
      </c>
    </row>
    <row r="2990" spans="1:8" s="10" customFormat="1" outlineLevel="1" x14ac:dyDescent="0.2">
      <c r="D2990" s="49" t="str">
        <f>SD_DETAILED_COST_WKSHT!D172</f>
        <v>Supplies and Materials Category 3</v>
      </c>
      <c r="E2990" s="115">
        <f>IF(DD_LVL2_ACTV_12_Currency_Selected=2,SD_DETAILED_COST_WKSHT!$F172*SD_DETAILED_COST_WKSHT!G172,SD_DETAILED_COST_WKSHT!$F172*(SD_DETAILED_COST_WKSHT!G172*LVL2_ACTV_12_Exchange_Rate))</f>
        <v>0</v>
      </c>
      <c r="F2990" s="115">
        <f>IF(DD_LVL2_ACTV_12_Currency_Selected=2,SD_DETAILED_COST_WKSHT!$F172*SD_DETAILED_COST_WKSHT!H172,SD_DETAILED_COST_WKSHT!$F172*(SD_DETAILED_COST_WKSHT!H172*LVL2_ACTV_12_Exchange_Rate))</f>
        <v>0</v>
      </c>
      <c r="G2990" s="116">
        <f t="shared" si="284"/>
        <v>0</v>
      </c>
      <c r="H2990" s="116">
        <f t="shared" si="285"/>
        <v>0</v>
      </c>
    </row>
    <row r="2991" spans="1:8" s="10" customFormat="1" outlineLevel="1" x14ac:dyDescent="0.2">
      <c r="D2991" s="49" t="str">
        <f>SD_DETAILED_COST_WKSHT!D173</f>
        <v>Supplies and Materials Category 4</v>
      </c>
      <c r="E2991" s="115">
        <f>IF(DD_LVL2_ACTV_12_Currency_Selected=2,SD_DETAILED_COST_WKSHT!$F173*SD_DETAILED_COST_WKSHT!G173,SD_DETAILED_COST_WKSHT!$F173*(SD_DETAILED_COST_WKSHT!G173*LVL2_ACTV_12_Exchange_Rate))</f>
        <v>0</v>
      </c>
      <c r="F2991" s="115">
        <f>IF(DD_LVL2_ACTV_12_Currency_Selected=2,SD_DETAILED_COST_WKSHT!$F173*SD_DETAILED_COST_WKSHT!H173,SD_DETAILED_COST_WKSHT!$F173*(SD_DETAILED_COST_WKSHT!H173*LVL2_ACTV_12_Exchange_Rate))</f>
        <v>0</v>
      </c>
      <c r="G2991" s="116">
        <f t="shared" si="284"/>
        <v>0</v>
      </c>
      <c r="H2991" s="116">
        <f t="shared" si="285"/>
        <v>0</v>
      </c>
    </row>
    <row r="2992" spans="1:8" s="10" customFormat="1" outlineLevel="1" x14ac:dyDescent="0.2">
      <c r="D2992" s="49" t="str">
        <f>SD_DETAILED_COST_WKSHT!D174</f>
        <v>Supplies and Materials Category 5</v>
      </c>
      <c r="E2992" s="115">
        <f>IF(DD_LVL2_ACTV_12_Currency_Selected=2,SD_DETAILED_COST_WKSHT!$F174*SD_DETAILED_COST_WKSHT!G174,SD_DETAILED_COST_WKSHT!$F174*(SD_DETAILED_COST_WKSHT!G174*LVL2_ACTV_12_Exchange_Rate))</f>
        <v>0</v>
      </c>
      <c r="F2992" s="115">
        <f>IF(DD_LVL2_ACTV_12_Currency_Selected=2,SD_DETAILED_COST_WKSHT!$F174*SD_DETAILED_COST_WKSHT!H174,SD_DETAILED_COST_WKSHT!$F174*(SD_DETAILED_COST_WKSHT!H174*LVL2_ACTV_12_Exchange_Rate))</f>
        <v>0</v>
      </c>
      <c r="G2992" s="116">
        <f t="shared" si="284"/>
        <v>0</v>
      </c>
      <c r="H2992" s="116">
        <f t="shared" si="285"/>
        <v>0</v>
      </c>
    </row>
    <row r="2993" spans="1:8" s="10" customFormat="1" outlineLevel="1" x14ac:dyDescent="0.2">
      <c r="D2993" s="49" t="str">
        <f>SD_DETAILED_COST_WKSHT!D175</f>
        <v>Supplies and Materials Category 6</v>
      </c>
      <c r="E2993" s="115">
        <f>IF(DD_LVL2_ACTV_12_Currency_Selected=2,SD_DETAILED_COST_WKSHT!$F175*SD_DETAILED_COST_WKSHT!G175,SD_DETAILED_COST_WKSHT!$F175*(SD_DETAILED_COST_WKSHT!G175*LVL2_ACTV_12_Exchange_Rate))</f>
        <v>0</v>
      </c>
      <c r="F2993" s="115">
        <f>IF(DD_LVL2_ACTV_12_Currency_Selected=2,SD_DETAILED_COST_WKSHT!$F175*SD_DETAILED_COST_WKSHT!H175,SD_DETAILED_COST_WKSHT!$F175*(SD_DETAILED_COST_WKSHT!H175*LVL2_ACTV_12_Exchange_Rate))</f>
        <v>0</v>
      </c>
      <c r="G2993" s="116">
        <f t="shared" si="284"/>
        <v>0</v>
      </c>
      <c r="H2993" s="116">
        <f t="shared" si="285"/>
        <v>0</v>
      </c>
    </row>
    <row r="2994" spans="1:8" s="10" customFormat="1" outlineLevel="1" x14ac:dyDescent="0.2">
      <c r="D2994" s="49" t="str">
        <f>SD_DETAILED_COST_WKSHT!D176</f>
        <v>Supplies and Materials Category 7</v>
      </c>
      <c r="E2994" s="115">
        <f>IF(DD_LVL2_ACTV_12_Currency_Selected=2,SD_DETAILED_COST_WKSHT!$F176*SD_DETAILED_COST_WKSHT!G176,SD_DETAILED_COST_WKSHT!$F176*(SD_DETAILED_COST_WKSHT!G176*LVL2_ACTV_12_Exchange_Rate))</f>
        <v>0</v>
      </c>
      <c r="F2994" s="115">
        <f>IF(DD_LVL2_ACTV_12_Currency_Selected=2,SD_DETAILED_COST_WKSHT!$F176*SD_DETAILED_COST_WKSHT!H176,SD_DETAILED_COST_WKSHT!$F176*(SD_DETAILED_COST_WKSHT!H176*LVL2_ACTV_12_Exchange_Rate))</f>
        <v>0</v>
      </c>
      <c r="G2994" s="116">
        <f t="shared" si="284"/>
        <v>0</v>
      </c>
      <c r="H2994" s="116">
        <f t="shared" si="285"/>
        <v>0</v>
      </c>
    </row>
    <row r="2995" spans="1:8" s="10" customFormat="1" outlineLevel="1" x14ac:dyDescent="0.2">
      <c r="D2995" s="49" t="str">
        <f>SD_DETAILED_COST_WKSHT!D177</f>
        <v>Supplies and Materials Category 8</v>
      </c>
      <c r="E2995" s="115">
        <f>IF(DD_LVL2_ACTV_12_Currency_Selected=2,SD_DETAILED_COST_WKSHT!$F177*SD_DETAILED_COST_WKSHT!G177,SD_DETAILED_COST_WKSHT!$F177*(SD_DETAILED_COST_WKSHT!G177*LVL2_ACTV_12_Exchange_Rate))</f>
        <v>0</v>
      </c>
      <c r="F2995" s="115">
        <f>IF(DD_LVL2_ACTV_12_Currency_Selected=2,SD_DETAILED_COST_WKSHT!$F177*SD_DETAILED_COST_WKSHT!H177,SD_DETAILED_COST_WKSHT!$F177*(SD_DETAILED_COST_WKSHT!H177*LVL2_ACTV_12_Exchange_Rate))</f>
        <v>0</v>
      </c>
      <c r="G2995" s="116">
        <f t="shared" si="284"/>
        <v>0</v>
      </c>
      <c r="H2995" s="116">
        <f t="shared" si="285"/>
        <v>0</v>
      </c>
    </row>
    <row r="2996" spans="1:8" s="10" customFormat="1" outlineLevel="1" x14ac:dyDescent="0.2">
      <c r="D2996" s="49" t="str">
        <f>SD_DETAILED_COST_WKSHT!D178</f>
        <v>Supplies and Materials Category 9</v>
      </c>
      <c r="E2996" s="115">
        <f>IF(DD_LVL2_ACTV_12_Currency_Selected=2,SD_DETAILED_COST_WKSHT!$F178*SD_DETAILED_COST_WKSHT!G178,SD_DETAILED_COST_WKSHT!$F178*(SD_DETAILED_COST_WKSHT!G178*LVL2_ACTV_12_Exchange_Rate))</f>
        <v>0</v>
      </c>
      <c r="F2996" s="115">
        <f>IF(DD_LVL2_ACTV_12_Currency_Selected=2,SD_DETAILED_COST_WKSHT!$F178*SD_DETAILED_COST_WKSHT!H178,SD_DETAILED_COST_WKSHT!$F178*(SD_DETAILED_COST_WKSHT!H178*LVL2_ACTV_12_Exchange_Rate))</f>
        <v>0</v>
      </c>
      <c r="G2996" s="116">
        <f t="shared" si="284"/>
        <v>0</v>
      </c>
      <c r="H2996" s="116">
        <f t="shared" si="285"/>
        <v>0</v>
      </c>
    </row>
    <row r="2997" spans="1:8" s="10" customFormat="1" outlineLevel="1" x14ac:dyDescent="0.2">
      <c r="D2997" s="49" t="str">
        <f>SD_DETAILED_COST_WKSHT!D179</f>
        <v>Supplies and Materials Category 10</v>
      </c>
      <c r="E2997" s="115">
        <f>IF(DD_LVL2_ACTV_12_Currency_Selected=2,SD_DETAILED_COST_WKSHT!$F179*SD_DETAILED_COST_WKSHT!G179,SD_DETAILED_COST_WKSHT!$F179*(SD_DETAILED_COST_WKSHT!G179*LVL2_ACTV_12_Exchange_Rate))</f>
        <v>0</v>
      </c>
      <c r="F2997" s="115">
        <f>IF(DD_LVL2_ACTV_12_Currency_Selected=2,SD_DETAILED_COST_WKSHT!$F179*SD_DETAILED_COST_WKSHT!H179,SD_DETAILED_COST_WKSHT!$F179*(SD_DETAILED_COST_WKSHT!H179*LVL2_ACTV_12_Exchange_Rate))</f>
        <v>0</v>
      </c>
      <c r="G2997" s="116">
        <f t="shared" si="284"/>
        <v>0</v>
      </c>
      <c r="H2997" s="116">
        <f t="shared" si="285"/>
        <v>0</v>
      </c>
    </row>
    <row r="2998" spans="1:8" s="10" customFormat="1" outlineLevel="1" x14ac:dyDescent="0.2">
      <c r="D2998" s="48" t="str">
        <f>Lang_Supplies_And_Materials</f>
        <v>Supplies and Materials</v>
      </c>
      <c r="E2998" s="120">
        <f>SUM(E2988:E2997)</f>
        <v>0</v>
      </c>
      <c r="F2998" s="120">
        <f>SUM(F2988:F2997)</f>
        <v>0</v>
      </c>
      <c r="G2998" s="121">
        <f>SUM(G2988:G2997)</f>
        <v>0</v>
      </c>
      <c r="H2998" s="121">
        <f>SUM(H2988:H2997)</f>
        <v>0</v>
      </c>
    </row>
    <row r="2999" spans="1:8" s="10" customFormat="1" outlineLevel="1" x14ac:dyDescent="0.2"/>
    <row r="3000" spans="1:8" s="10" customFormat="1" outlineLevel="1" x14ac:dyDescent="0.2"/>
    <row r="3001" spans="1:8" s="10" customFormat="1" outlineLevel="1" x14ac:dyDescent="0.2">
      <c r="D3001" s="76" t="str">
        <f>Lang_GoTo&amp;" "&amp;HL_LVL2_ACTV_12_Supplies_and_Materials</f>
        <v>Go to Single Vaccination Service Delivery Type 2 - Detailed Supply and Material Cost Assumptions</v>
      </c>
    </row>
    <row r="3002" spans="1:8" s="10" customFormat="1" outlineLevel="1" x14ac:dyDescent="0.2">
      <c r="D3002" s="76" t="str">
        <f>Lang_GoTo&amp;" "&amp;HL_LVL2_ACTV_12_Cost_Summary_Output</f>
        <v>Go to Single Vaccination Service Delivery Type 2 Detailed Cost Summary</v>
      </c>
    </row>
    <row r="3003" spans="1:8" s="10" customFormat="1" x14ac:dyDescent="0.2"/>
    <row r="3004" spans="1:8" s="13" customFormat="1" x14ac:dyDescent="0.2">
      <c r="A3004" s="12" t="s">
        <v>127</v>
      </c>
      <c r="B3004" s="13" t="str">
        <f>C3006&amp;" "&amp;Lang_Other_Direct_Costs_Outputs</f>
        <v>Single Vaccination Service Delivery Type 2 Other Direct Costs - Outputs</v>
      </c>
    </row>
    <row r="3005" spans="1:8" s="10" customFormat="1" outlineLevel="1" x14ac:dyDescent="0.2"/>
    <row r="3006" spans="1:8" s="10" customFormat="1" outlineLevel="1" x14ac:dyDescent="0.2">
      <c r="C3006" s="114" t="str">
        <f>HL_LVL2_ACTV_12_Name</f>
        <v>Single Vaccination Service Delivery Type 2</v>
      </c>
    </row>
    <row r="3007" spans="1:8" s="10" customFormat="1" outlineLevel="1" x14ac:dyDescent="0.2">
      <c r="E3007" s="86" t="str">
        <f>SD_Lu!$D$67&amp;" "&amp;Lang_Cost&amp;" ("&amp;SD_Lu!$D$48&amp;")"</f>
        <v>Financial Cost (LCU)</v>
      </c>
      <c r="F3007" s="86" t="str">
        <f>SD_Lu!$D$68&amp;" "&amp;Lang_Cost&amp;" ("&amp;SD_Lu!$D$48&amp;")"</f>
        <v>Economic Cost (LCU)</v>
      </c>
      <c r="G3007" s="86" t="str">
        <f>SD_Lu!$D$67&amp;" "&amp;Lang_Cost&amp;" ("&amp;SD_Lu!$D$47&amp;")"</f>
        <v>Financial Cost (USD)</v>
      </c>
      <c r="H3007" s="86" t="str">
        <f>SD_Lu!$D$68&amp;" "&amp;Lang_Cost&amp;" ("&amp;SD_Lu!$D$47&amp;")"</f>
        <v>Economic Cost (USD)</v>
      </c>
    </row>
    <row r="3008" spans="1:8" s="10" customFormat="1" outlineLevel="1" x14ac:dyDescent="0.2">
      <c r="D3008" s="49" t="str">
        <f>SD_DETAILED_COST_WKSHT!D188</f>
        <v>Other Direct Costs (ODC) Category 1</v>
      </c>
      <c r="E3008" s="115">
        <f>IF(DD_LVL2_ACTV_12_Currency_Selected=2,SD_DETAILED_COST_WKSHT!$F188*SD_DETAILED_COST_WKSHT!G188,SD_DETAILED_COST_WKSHT!$F188*(SD_DETAILED_COST_WKSHT!G188*LVL2_ACTV_12_Exchange_Rate))</f>
        <v>0</v>
      </c>
      <c r="F3008" s="115">
        <f>IF(DD_LVL2_ACTV_12_Currency_Selected=2,SD_DETAILED_COST_WKSHT!$F188*SD_DETAILED_COST_WKSHT!H188,SD_DETAILED_COST_WKSHT!$F188*(SD_DETAILED_COST_WKSHT!H188*LVL2_ACTV_12_Exchange_Rate))</f>
        <v>0</v>
      </c>
      <c r="G3008" s="116">
        <f t="shared" ref="G3008:G3017" si="286">E3008/LVL2_ACTV_12_Exchange_Rate</f>
        <v>0</v>
      </c>
      <c r="H3008" s="116">
        <f t="shared" ref="H3008:H3017" si="287">F3008/LVL2_ACTV_12_Exchange_Rate</f>
        <v>0</v>
      </c>
    </row>
    <row r="3009" spans="1:8" s="10" customFormat="1" outlineLevel="1" x14ac:dyDescent="0.2">
      <c r="D3009" s="49" t="str">
        <f>SD_DETAILED_COST_WKSHT!D189</f>
        <v>Other Direct Costs (ODC) Category 2</v>
      </c>
      <c r="E3009" s="115">
        <f>IF(DD_LVL2_ACTV_12_Currency_Selected=2,SD_DETAILED_COST_WKSHT!$F189*SD_DETAILED_COST_WKSHT!G189,SD_DETAILED_COST_WKSHT!$F189*(SD_DETAILED_COST_WKSHT!G189*LVL2_ACTV_12_Exchange_Rate))</f>
        <v>0</v>
      </c>
      <c r="F3009" s="115">
        <f>IF(DD_LVL2_ACTV_12_Currency_Selected=2,SD_DETAILED_COST_WKSHT!$F189*SD_DETAILED_COST_WKSHT!H189,SD_DETAILED_COST_WKSHT!$F189*(SD_DETAILED_COST_WKSHT!H189*LVL2_ACTV_12_Exchange_Rate))</f>
        <v>0</v>
      </c>
      <c r="G3009" s="116">
        <f t="shared" si="286"/>
        <v>0</v>
      </c>
      <c r="H3009" s="116">
        <f t="shared" si="287"/>
        <v>0</v>
      </c>
    </row>
    <row r="3010" spans="1:8" s="10" customFormat="1" outlineLevel="1" x14ac:dyDescent="0.2">
      <c r="D3010" s="49" t="str">
        <f>SD_DETAILED_COST_WKSHT!D190</f>
        <v>Other Direct Costs (ODC) Category 3</v>
      </c>
      <c r="E3010" s="115">
        <f>IF(DD_LVL2_ACTV_12_Currency_Selected=2,SD_DETAILED_COST_WKSHT!$F190*SD_DETAILED_COST_WKSHT!G190,SD_DETAILED_COST_WKSHT!$F190*(SD_DETAILED_COST_WKSHT!G190*LVL2_ACTV_12_Exchange_Rate))</f>
        <v>0</v>
      </c>
      <c r="F3010" s="115">
        <f>IF(DD_LVL2_ACTV_12_Currency_Selected=2,SD_DETAILED_COST_WKSHT!$F190*SD_DETAILED_COST_WKSHT!H190,SD_DETAILED_COST_WKSHT!$F190*(SD_DETAILED_COST_WKSHT!H190*LVL2_ACTV_12_Exchange_Rate))</f>
        <v>0</v>
      </c>
      <c r="G3010" s="116">
        <f t="shared" si="286"/>
        <v>0</v>
      </c>
      <c r="H3010" s="116">
        <f t="shared" si="287"/>
        <v>0</v>
      </c>
    </row>
    <row r="3011" spans="1:8" s="10" customFormat="1" outlineLevel="1" x14ac:dyDescent="0.2">
      <c r="D3011" s="49" t="str">
        <f>SD_DETAILED_COST_WKSHT!D191</f>
        <v>Other Direct Costs (ODC) Category 4</v>
      </c>
      <c r="E3011" s="115">
        <f>IF(DD_LVL2_ACTV_12_Currency_Selected=2,SD_DETAILED_COST_WKSHT!$F191*SD_DETAILED_COST_WKSHT!G191,SD_DETAILED_COST_WKSHT!$F191*(SD_DETAILED_COST_WKSHT!G191*LVL2_ACTV_12_Exchange_Rate))</f>
        <v>0</v>
      </c>
      <c r="F3011" s="115">
        <f>IF(DD_LVL2_ACTV_12_Currency_Selected=2,SD_DETAILED_COST_WKSHT!$F191*SD_DETAILED_COST_WKSHT!H191,SD_DETAILED_COST_WKSHT!$F191*(SD_DETAILED_COST_WKSHT!H191*LVL2_ACTV_12_Exchange_Rate))</f>
        <v>0</v>
      </c>
      <c r="G3011" s="116">
        <f t="shared" si="286"/>
        <v>0</v>
      </c>
      <c r="H3011" s="116">
        <f t="shared" si="287"/>
        <v>0</v>
      </c>
    </row>
    <row r="3012" spans="1:8" s="10" customFormat="1" outlineLevel="1" x14ac:dyDescent="0.2">
      <c r="D3012" s="49" t="str">
        <f>SD_DETAILED_COST_WKSHT!D192</f>
        <v>Other Direct Costs (ODC) Category 5</v>
      </c>
      <c r="E3012" s="115">
        <f>IF(DD_LVL2_ACTV_12_Currency_Selected=2,SD_DETAILED_COST_WKSHT!$F192*SD_DETAILED_COST_WKSHT!G192,SD_DETAILED_COST_WKSHT!$F192*(SD_DETAILED_COST_WKSHT!G192*LVL2_ACTV_12_Exchange_Rate))</f>
        <v>0</v>
      </c>
      <c r="F3012" s="115">
        <f>IF(DD_LVL2_ACTV_12_Currency_Selected=2,SD_DETAILED_COST_WKSHT!$F192*SD_DETAILED_COST_WKSHT!H192,SD_DETAILED_COST_WKSHT!$F192*(SD_DETAILED_COST_WKSHT!H192*LVL2_ACTV_12_Exchange_Rate))</f>
        <v>0</v>
      </c>
      <c r="G3012" s="116">
        <f t="shared" si="286"/>
        <v>0</v>
      </c>
      <c r="H3012" s="116">
        <f t="shared" si="287"/>
        <v>0</v>
      </c>
    </row>
    <row r="3013" spans="1:8" s="10" customFormat="1" outlineLevel="1" x14ac:dyDescent="0.2">
      <c r="D3013" s="49" t="str">
        <f>SD_DETAILED_COST_WKSHT!D193</f>
        <v>Other Direct Costs (ODC) Category 6</v>
      </c>
      <c r="E3013" s="115">
        <f>IF(DD_LVL2_ACTV_12_Currency_Selected=2,SD_DETAILED_COST_WKSHT!$F193*SD_DETAILED_COST_WKSHT!G193,SD_DETAILED_COST_WKSHT!$F193*(SD_DETAILED_COST_WKSHT!G193*LVL2_ACTV_12_Exchange_Rate))</f>
        <v>0</v>
      </c>
      <c r="F3013" s="115">
        <f>IF(DD_LVL2_ACTV_12_Currency_Selected=2,SD_DETAILED_COST_WKSHT!$F193*SD_DETAILED_COST_WKSHT!H193,SD_DETAILED_COST_WKSHT!$F193*(SD_DETAILED_COST_WKSHT!H193*LVL2_ACTV_12_Exchange_Rate))</f>
        <v>0</v>
      </c>
      <c r="G3013" s="116">
        <f t="shared" si="286"/>
        <v>0</v>
      </c>
      <c r="H3013" s="116">
        <f t="shared" si="287"/>
        <v>0</v>
      </c>
    </row>
    <row r="3014" spans="1:8" s="10" customFormat="1" outlineLevel="1" x14ac:dyDescent="0.2">
      <c r="D3014" s="49" t="str">
        <f>SD_DETAILED_COST_WKSHT!D194</f>
        <v>Other Direct Costs (ODC) Category 7</v>
      </c>
      <c r="E3014" s="115">
        <f>IF(DD_LVL2_ACTV_12_Currency_Selected=2,SD_DETAILED_COST_WKSHT!$F194*SD_DETAILED_COST_WKSHT!G194,SD_DETAILED_COST_WKSHT!$F194*(SD_DETAILED_COST_WKSHT!G194*LVL2_ACTV_12_Exchange_Rate))</f>
        <v>0</v>
      </c>
      <c r="F3014" s="115">
        <f>IF(DD_LVL2_ACTV_12_Currency_Selected=2,SD_DETAILED_COST_WKSHT!$F194*SD_DETAILED_COST_WKSHT!H194,SD_DETAILED_COST_WKSHT!$F194*(SD_DETAILED_COST_WKSHT!H194*LVL2_ACTV_12_Exchange_Rate))</f>
        <v>0</v>
      </c>
      <c r="G3014" s="116">
        <f t="shared" si="286"/>
        <v>0</v>
      </c>
      <c r="H3014" s="116">
        <f t="shared" si="287"/>
        <v>0</v>
      </c>
    </row>
    <row r="3015" spans="1:8" s="10" customFormat="1" outlineLevel="1" x14ac:dyDescent="0.2">
      <c r="D3015" s="49" t="str">
        <f>SD_DETAILED_COST_WKSHT!D195</f>
        <v>Other Direct Costs (ODC) Category 8</v>
      </c>
      <c r="E3015" s="115">
        <f>IF(DD_LVL2_ACTV_12_Currency_Selected=2,SD_DETAILED_COST_WKSHT!$F195*SD_DETAILED_COST_WKSHT!G195,SD_DETAILED_COST_WKSHT!$F195*(SD_DETAILED_COST_WKSHT!G195*LVL2_ACTV_12_Exchange_Rate))</f>
        <v>0</v>
      </c>
      <c r="F3015" s="115">
        <f>IF(DD_LVL2_ACTV_12_Currency_Selected=2,SD_DETAILED_COST_WKSHT!$F195*SD_DETAILED_COST_WKSHT!H195,SD_DETAILED_COST_WKSHT!$F195*(SD_DETAILED_COST_WKSHT!H195*LVL2_ACTV_12_Exchange_Rate))</f>
        <v>0</v>
      </c>
      <c r="G3015" s="116">
        <f t="shared" si="286"/>
        <v>0</v>
      </c>
      <c r="H3015" s="116">
        <f t="shared" si="287"/>
        <v>0</v>
      </c>
    </row>
    <row r="3016" spans="1:8" s="10" customFormat="1" outlineLevel="1" x14ac:dyDescent="0.2">
      <c r="D3016" s="49" t="str">
        <f>SD_DETAILED_COST_WKSHT!D196</f>
        <v>Other Direct Costs (ODC) Category 9</v>
      </c>
      <c r="E3016" s="115">
        <f>IF(DD_LVL2_ACTV_12_Currency_Selected=2,SD_DETAILED_COST_WKSHT!$F196*SD_DETAILED_COST_WKSHT!G196,SD_DETAILED_COST_WKSHT!$F196*(SD_DETAILED_COST_WKSHT!G196*LVL2_ACTV_12_Exchange_Rate))</f>
        <v>0</v>
      </c>
      <c r="F3016" s="115">
        <f>IF(DD_LVL2_ACTV_12_Currency_Selected=2,SD_DETAILED_COST_WKSHT!$F196*SD_DETAILED_COST_WKSHT!H196,SD_DETAILED_COST_WKSHT!$F196*(SD_DETAILED_COST_WKSHT!H196*LVL2_ACTV_12_Exchange_Rate))</f>
        <v>0</v>
      </c>
      <c r="G3016" s="116">
        <f t="shared" si="286"/>
        <v>0</v>
      </c>
      <c r="H3016" s="116">
        <f t="shared" si="287"/>
        <v>0</v>
      </c>
    </row>
    <row r="3017" spans="1:8" s="10" customFormat="1" outlineLevel="1" x14ac:dyDescent="0.2">
      <c r="D3017" s="49" t="str">
        <f>SD_DETAILED_COST_WKSHT!D197</f>
        <v>Other Direct Costs (ODC) Category 10</v>
      </c>
      <c r="E3017" s="115">
        <f>IF(DD_LVL2_ACTV_12_Currency_Selected=2,SD_DETAILED_COST_WKSHT!$F197*SD_DETAILED_COST_WKSHT!G197,SD_DETAILED_COST_WKSHT!$F197*(SD_DETAILED_COST_WKSHT!G197*LVL2_ACTV_12_Exchange_Rate))</f>
        <v>0</v>
      </c>
      <c r="F3017" s="115">
        <f>IF(DD_LVL2_ACTV_12_Currency_Selected=2,SD_DETAILED_COST_WKSHT!$F197*SD_DETAILED_COST_WKSHT!H197,SD_DETAILED_COST_WKSHT!$F197*(SD_DETAILED_COST_WKSHT!H197*LVL2_ACTV_12_Exchange_Rate))</f>
        <v>0</v>
      </c>
      <c r="G3017" s="116">
        <f t="shared" si="286"/>
        <v>0</v>
      </c>
      <c r="H3017" s="116">
        <f t="shared" si="287"/>
        <v>0</v>
      </c>
    </row>
    <row r="3018" spans="1:8" s="10" customFormat="1" outlineLevel="1" x14ac:dyDescent="0.2">
      <c r="D3018" s="48" t="str">
        <f>Lang_Other_Direct_Costs</f>
        <v>Other Direct Costs</v>
      </c>
      <c r="E3018" s="120">
        <f>SUM(E3008:E3017)</f>
        <v>0</v>
      </c>
      <c r="F3018" s="120">
        <f>SUM(F3008:F3017)</f>
        <v>0</v>
      </c>
      <c r="G3018" s="121">
        <f>SUM(G3008:G3017)</f>
        <v>0</v>
      </c>
      <c r="H3018" s="121">
        <f>SUM(H3008:H3017)</f>
        <v>0</v>
      </c>
    </row>
    <row r="3019" spans="1:8" s="10" customFormat="1" outlineLevel="1" x14ac:dyDescent="0.2"/>
    <row r="3020" spans="1:8" s="10" customFormat="1" outlineLevel="1" x14ac:dyDescent="0.2">
      <c r="D3020" s="76" t="str">
        <f>Lang_GoTo&amp;" "&amp;HL_LVL2_ACTV_12_Other_Direct_Costs</f>
        <v>Go to Single Vaccination Service Delivery Type 2 - Detailed Other Direct Cost Assumptions</v>
      </c>
    </row>
    <row r="3021" spans="1:8" s="10" customFormat="1" outlineLevel="1" x14ac:dyDescent="0.2">
      <c r="D3021" s="76" t="str">
        <f>Lang_GoTo&amp;" "&amp;HL_LVL2_ACTV_12_Cost_Summary_Output</f>
        <v>Go to Single Vaccination Service Delivery Type 2 Detailed Cost Summary</v>
      </c>
    </row>
    <row r="3022" spans="1:8" s="10" customFormat="1" x14ac:dyDescent="0.2"/>
    <row r="3023" spans="1:8" s="13" customFormat="1" x14ac:dyDescent="0.2">
      <c r="A3023" s="12" t="s">
        <v>127</v>
      </c>
      <c r="B3023" s="13" t="str">
        <f>C3025&amp;" "&amp;Lang_Personnel_Outputs</f>
        <v>Single Vaccination Service Delivery Type 2 Personnel - Outputs</v>
      </c>
    </row>
    <row r="3024" spans="1:8" s="10" customFormat="1" outlineLevel="1" x14ac:dyDescent="0.2"/>
    <row r="3025" spans="3:8" s="10" customFormat="1" outlineLevel="1" x14ac:dyDescent="0.2">
      <c r="C3025" s="114" t="str">
        <f>HL_LVL2_ACTV_12_Name</f>
        <v>Single Vaccination Service Delivery Type 2</v>
      </c>
    </row>
    <row r="3026" spans="3:8" s="10" customFormat="1" outlineLevel="1" x14ac:dyDescent="0.2">
      <c r="E3026" s="86" t="str">
        <f>SD_Lu!$D$67&amp;" "&amp;Lang_Cost&amp;" ("&amp;SD_Lu!$D$48&amp;")"</f>
        <v>Financial Cost (LCU)</v>
      </c>
      <c r="F3026" s="86" t="str">
        <f>SD_Lu!$D$68&amp;" "&amp;Lang_Cost&amp;" ("&amp;SD_Lu!$D$48&amp;")"</f>
        <v>Economic Cost (LCU)</v>
      </c>
      <c r="G3026" s="86" t="str">
        <f>SD_Lu!$D$67&amp;" "&amp;Lang_Cost&amp;" ("&amp;SD_Lu!$D$47&amp;")"</f>
        <v>Financial Cost (USD)</v>
      </c>
      <c r="H3026" s="86" t="str">
        <f>SD_Lu!$D$68&amp;" "&amp;Lang_Cost&amp;" ("&amp;SD_Lu!$D$47&amp;")"</f>
        <v>Economic Cost (USD)</v>
      </c>
    </row>
    <row r="3027" spans="3:8" s="10" customFormat="1" outlineLevel="1" x14ac:dyDescent="0.2">
      <c r="D3027" s="49" t="str">
        <f>SD_DETAILED_COST_WKSHT!D129</f>
        <v>Personnel Category 1</v>
      </c>
      <c r="E3027" s="115">
        <f>IF(DD_LVL2_ACTV_12_Currency_Selected=2,SD_DETAILED_COST_WKSHT!$F129*SD_DETAILED_COST_WKSHT!G129,SD_DETAILED_COST_WKSHT!$F129*(SD_DETAILED_COST_WKSHT!G129*LVL2_ACTV_12_Exchange_Rate))</f>
        <v>0</v>
      </c>
      <c r="F3027" s="115">
        <f>IF(DD_LVL2_ACTV_12_Currency_Selected=2,SD_DETAILED_COST_WKSHT!$F129*SD_DETAILED_COST_WKSHT!H129,SD_DETAILED_COST_WKSHT!$F129*(SD_DETAILED_COST_WKSHT!H129*LVL2_ACTV_12_Exchange_Rate))</f>
        <v>0</v>
      </c>
      <c r="G3027" s="116">
        <f t="shared" ref="G3027:G3041" si="288">IFERROR(E3027/LVL2_ACTV_12_Exchange_Rate,0)</f>
        <v>0</v>
      </c>
      <c r="H3027" s="116">
        <f t="shared" ref="H3027:H3041" si="289">IFERROR(F3027/LVL2_ACTV_12_Exchange_Rate,0)</f>
        <v>0</v>
      </c>
    </row>
    <row r="3028" spans="3:8" s="10" customFormat="1" outlineLevel="1" x14ac:dyDescent="0.2">
      <c r="D3028" s="49" t="str">
        <f>SD_DETAILED_COST_WKSHT!D130</f>
        <v>Personnel Category 2</v>
      </c>
      <c r="E3028" s="115">
        <f>IF(DD_LVL2_ACTV_12_Currency_Selected=2,SD_DETAILED_COST_WKSHT!$F130*SD_DETAILED_COST_WKSHT!G130,SD_DETAILED_COST_WKSHT!$F130*(SD_DETAILED_COST_WKSHT!G130*LVL2_ACTV_12_Exchange_Rate))</f>
        <v>0</v>
      </c>
      <c r="F3028" s="115">
        <f>IF(DD_LVL2_ACTV_12_Currency_Selected=2,SD_DETAILED_COST_WKSHT!$F130*SD_DETAILED_COST_WKSHT!H130,SD_DETAILED_COST_WKSHT!$F130*(SD_DETAILED_COST_WKSHT!H130*LVL2_ACTV_12_Exchange_Rate))</f>
        <v>0</v>
      </c>
      <c r="G3028" s="116">
        <f t="shared" si="288"/>
        <v>0</v>
      </c>
      <c r="H3028" s="116">
        <f t="shared" si="289"/>
        <v>0</v>
      </c>
    </row>
    <row r="3029" spans="3:8" s="10" customFormat="1" outlineLevel="1" x14ac:dyDescent="0.2">
      <c r="D3029" s="49" t="str">
        <f>SD_DETAILED_COST_WKSHT!D131</f>
        <v>Personnel Category 3</v>
      </c>
      <c r="E3029" s="115">
        <f>IF(DD_LVL2_ACTV_12_Currency_Selected=2,SD_DETAILED_COST_WKSHT!$F131*SD_DETAILED_COST_WKSHT!G131,SD_DETAILED_COST_WKSHT!$F131*(SD_DETAILED_COST_WKSHT!G131*LVL2_ACTV_12_Exchange_Rate))</f>
        <v>0</v>
      </c>
      <c r="F3029" s="115">
        <f>IF(DD_LVL2_ACTV_12_Currency_Selected=2,SD_DETAILED_COST_WKSHT!$F131*SD_DETAILED_COST_WKSHT!H131,SD_DETAILED_COST_WKSHT!$F131*(SD_DETAILED_COST_WKSHT!H131*LVL2_ACTV_12_Exchange_Rate))</f>
        <v>0</v>
      </c>
      <c r="G3029" s="116">
        <f t="shared" si="288"/>
        <v>0</v>
      </c>
      <c r="H3029" s="116">
        <f t="shared" si="289"/>
        <v>0</v>
      </c>
    </row>
    <row r="3030" spans="3:8" s="10" customFormat="1" outlineLevel="1" x14ac:dyDescent="0.2">
      <c r="D3030" s="49" t="str">
        <f>SD_DETAILED_COST_WKSHT!D132</f>
        <v>Personnel Category 4</v>
      </c>
      <c r="E3030" s="115">
        <f>IF(DD_LVL2_ACTV_12_Currency_Selected=2,SD_DETAILED_COST_WKSHT!$F132*SD_DETAILED_COST_WKSHT!G132,SD_DETAILED_COST_WKSHT!$F132*(SD_DETAILED_COST_WKSHT!G132*LVL2_ACTV_12_Exchange_Rate))</f>
        <v>0</v>
      </c>
      <c r="F3030" s="115">
        <f>IF(DD_LVL2_ACTV_12_Currency_Selected=2,SD_DETAILED_COST_WKSHT!$F132*SD_DETAILED_COST_WKSHT!H132,SD_DETAILED_COST_WKSHT!$F132*(SD_DETAILED_COST_WKSHT!H132*LVL2_ACTV_12_Exchange_Rate))</f>
        <v>0</v>
      </c>
      <c r="G3030" s="116">
        <f t="shared" si="288"/>
        <v>0</v>
      </c>
      <c r="H3030" s="116">
        <f t="shared" si="289"/>
        <v>0</v>
      </c>
    </row>
    <row r="3031" spans="3:8" s="10" customFormat="1" outlineLevel="1" x14ac:dyDescent="0.2">
      <c r="D3031" s="49" t="str">
        <f>SD_DETAILED_COST_WKSHT!D133</f>
        <v>Personnel Category 5</v>
      </c>
      <c r="E3031" s="115">
        <f>IF(DD_LVL2_ACTV_12_Currency_Selected=2,SD_DETAILED_COST_WKSHT!$F133*SD_DETAILED_COST_WKSHT!G133,SD_DETAILED_COST_WKSHT!$F133*(SD_DETAILED_COST_WKSHT!G133*LVL2_ACTV_12_Exchange_Rate))</f>
        <v>0</v>
      </c>
      <c r="F3031" s="115">
        <f>IF(DD_LVL2_ACTV_12_Currency_Selected=2,SD_DETAILED_COST_WKSHT!$F133*SD_DETAILED_COST_WKSHT!H133,SD_DETAILED_COST_WKSHT!$F133*(SD_DETAILED_COST_WKSHT!H133*LVL2_ACTV_12_Exchange_Rate))</f>
        <v>0</v>
      </c>
      <c r="G3031" s="116">
        <f t="shared" si="288"/>
        <v>0</v>
      </c>
      <c r="H3031" s="116">
        <f t="shared" si="289"/>
        <v>0</v>
      </c>
    </row>
    <row r="3032" spans="3:8" s="10" customFormat="1" outlineLevel="1" x14ac:dyDescent="0.2">
      <c r="D3032" s="49" t="str">
        <f>SD_DETAILED_COST_WKSHT!D134</f>
        <v>Personnel Category 6</v>
      </c>
      <c r="E3032" s="115">
        <f>IF(DD_LVL2_ACTV_12_Currency_Selected=2,SD_DETAILED_COST_WKSHT!$F134*SD_DETAILED_COST_WKSHT!G134,SD_DETAILED_COST_WKSHT!$F134*(SD_DETAILED_COST_WKSHT!G134*LVL2_ACTV_12_Exchange_Rate))</f>
        <v>0</v>
      </c>
      <c r="F3032" s="115">
        <f>IF(DD_LVL2_ACTV_12_Currency_Selected=2,SD_DETAILED_COST_WKSHT!$F134*SD_DETAILED_COST_WKSHT!H134,SD_DETAILED_COST_WKSHT!$F134*(SD_DETAILED_COST_WKSHT!H134*LVL2_ACTV_12_Exchange_Rate))</f>
        <v>0</v>
      </c>
      <c r="G3032" s="116">
        <f t="shared" si="288"/>
        <v>0</v>
      </c>
      <c r="H3032" s="116">
        <f t="shared" si="289"/>
        <v>0</v>
      </c>
    </row>
    <row r="3033" spans="3:8" s="10" customFormat="1" outlineLevel="1" x14ac:dyDescent="0.2">
      <c r="D3033" s="49" t="str">
        <f>SD_DETAILED_COST_WKSHT!D135</f>
        <v>Personnel Category 7</v>
      </c>
      <c r="E3033" s="115">
        <f>IF(DD_LVL2_ACTV_12_Currency_Selected=2,SD_DETAILED_COST_WKSHT!$F135*SD_DETAILED_COST_WKSHT!G135,SD_DETAILED_COST_WKSHT!$F135*(SD_DETAILED_COST_WKSHT!G135*LVL2_ACTV_12_Exchange_Rate))</f>
        <v>0</v>
      </c>
      <c r="F3033" s="115">
        <f>IF(DD_LVL2_ACTV_12_Currency_Selected=2,SD_DETAILED_COST_WKSHT!$F135*SD_DETAILED_COST_WKSHT!H135,SD_DETAILED_COST_WKSHT!$F135*(SD_DETAILED_COST_WKSHT!H135*LVL2_ACTV_12_Exchange_Rate))</f>
        <v>0</v>
      </c>
      <c r="G3033" s="116">
        <f t="shared" si="288"/>
        <v>0</v>
      </c>
      <c r="H3033" s="116">
        <f t="shared" si="289"/>
        <v>0</v>
      </c>
    </row>
    <row r="3034" spans="3:8" s="10" customFormat="1" outlineLevel="1" x14ac:dyDescent="0.2">
      <c r="D3034" s="49" t="str">
        <f>SD_DETAILED_COST_WKSHT!D136</f>
        <v>Personnel Category 8</v>
      </c>
      <c r="E3034" s="115">
        <f>IF(DD_LVL2_ACTV_12_Currency_Selected=2,SD_DETAILED_COST_WKSHT!$F136*SD_DETAILED_COST_WKSHT!G136,SD_DETAILED_COST_WKSHT!$F136*(SD_DETAILED_COST_WKSHT!G136*LVL2_ACTV_12_Exchange_Rate))</f>
        <v>0</v>
      </c>
      <c r="F3034" s="115">
        <f>IF(DD_LVL2_ACTV_12_Currency_Selected=2,SD_DETAILED_COST_WKSHT!$F136*SD_DETAILED_COST_WKSHT!H136,SD_DETAILED_COST_WKSHT!$F136*(SD_DETAILED_COST_WKSHT!H136*LVL2_ACTV_12_Exchange_Rate))</f>
        <v>0</v>
      </c>
      <c r="G3034" s="116">
        <f t="shared" si="288"/>
        <v>0</v>
      </c>
      <c r="H3034" s="116">
        <f t="shared" si="289"/>
        <v>0</v>
      </c>
    </row>
    <row r="3035" spans="3:8" s="10" customFormat="1" outlineLevel="1" x14ac:dyDescent="0.2">
      <c r="D3035" s="49" t="str">
        <f>SD_DETAILED_COST_WKSHT!D137</f>
        <v>Personnel Category 9</v>
      </c>
      <c r="E3035" s="115">
        <f>IF(DD_LVL2_ACTV_12_Currency_Selected=2,SD_DETAILED_COST_WKSHT!$F137*SD_DETAILED_COST_WKSHT!G137,SD_DETAILED_COST_WKSHT!$F137*(SD_DETAILED_COST_WKSHT!G137*LVL2_ACTV_12_Exchange_Rate))</f>
        <v>0</v>
      </c>
      <c r="F3035" s="115">
        <f>IF(DD_LVL2_ACTV_12_Currency_Selected=2,SD_DETAILED_COST_WKSHT!$F137*SD_DETAILED_COST_WKSHT!H137,SD_DETAILED_COST_WKSHT!$F137*(SD_DETAILED_COST_WKSHT!H137*LVL2_ACTV_12_Exchange_Rate))</f>
        <v>0</v>
      </c>
      <c r="G3035" s="116">
        <f t="shared" si="288"/>
        <v>0</v>
      </c>
      <c r="H3035" s="116">
        <f t="shared" si="289"/>
        <v>0</v>
      </c>
    </row>
    <row r="3036" spans="3:8" s="10" customFormat="1" outlineLevel="1" x14ac:dyDescent="0.2">
      <c r="D3036" s="49" t="str">
        <f>SD_DETAILED_COST_WKSHT!D138</f>
        <v>Personnel Category 10</v>
      </c>
      <c r="E3036" s="115">
        <f>IF(DD_LVL2_ACTV_12_Currency_Selected=2,SD_DETAILED_COST_WKSHT!$F138*SD_DETAILED_COST_WKSHT!G138,SD_DETAILED_COST_WKSHT!$F138*(SD_DETAILED_COST_WKSHT!G138*LVL2_ACTV_12_Exchange_Rate))</f>
        <v>0</v>
      </c>
      <c r="F3036" s="115">
        <f>IF(DD_LVL2_ACTV_12_Currency_Selected=2,SD_DETAILED_COST_WKSHT!$F138*SD_DETAILED_COST_WKSHT!H138,SD_DETAILED_COST_WKSHT!$F138*(SD_DETAILED_COST_WKSHT!H138*LVL2_ACTV_12_Exchange_Rate))</f>
        <v>0</v>
      </c>
      <c r="G3036" s="116">
        <f t="shared" si="288"/>
        <v>0</v>
      </c>
      <c r="H3036" s="116">
        <f t="shared" si="289"/>
        <v>0</v>
      </c>
    </row>
    <row r="3037" spans="3:8" s="10" customFormat="1" outlineLevel="1" x14ac:dyDescent="0.2">
      <c r="D3037" s="49" t="str">
        <f>SD_DETAILED_COST_WKSHT!D139</f>
        <v>Personnel Category 11</v>
      </c>
      <c r="E3037" s="115">
        <f>IF(DD_LVL2_ACTV_12_Currency_Selected=2,SD_DETAILED_COST_WKSHT!$F139*SD_DETAILED_COST_WKSHT!G139,SD_DETAILED_COST_WKSHT!$F139*(SD_DETAILED_COST_WKSHT!G139*LVL2_ACTV_12_Exchange_Rate))</f>
        <v>0</v>
      </c>
      <c r="F3037" s="115">
        <f>IF(DD_LVL2_ACTV_12_Currency_Selected=2,SD_DETAILED_COST_WKSHT!$F139*SD_DETAILED_COST_WKSHT!H139,SD_DETAILED_COST_WKSHT!$F139*(SD_DETAILED_COST_WKSHT!H139*LVL2_ACTV_12_Exchange_Rate))</f>
        <v>0</v>
      </c>
      <c r="G3037" s="116">
        <f t="shared" si="288"/>
        <v>0</v>
      </c>
      <c r="H3037" s="116">
        <f t="shared" si="289"/>
        <v>0</v>
      </c>
    </row>
    <row r="3038" spans="3:8" s="10" customFormat="1" outlineLevel="1" x14ac:dyDescent="0.2">
      <c r="D3038" s="49" t="str">
        <f>SD_DETAILED_COST_WKSHT!D140</f>
        <v>Personnel Category 12</v>
      </c>
      <c r="E3038" s="115">
        <f>IF(DD_LVL2_ACTV_12_Currency_Selected=2,SD_DETAILED_COST_WKSHT!$F140*SD_DETAILED_COST_WKSHT!G140,SD_DETAILED_COST_WKSHT!$F140*(SD_DETAILED_COST_WKSHT!G140*LVL2_ACTV_12_Exchange_Rate))</f>
        <v>0</v>
      </c>
      <c r="F3038" s="115">
        <f>IF(DD_LVL2_ACTV_12_Currency_Selected=2,SD_DETAILED_COST_WKSHT!$F140*SD_DETAILED_COST_WKSHT!H140,SD_DETAILED_COST_WKSHT!$F140*(SD_DETAILED_COST_WKSHT!H140*LVL2_ACTV_12_Exchange_Rate))</f>
        <v>0</v>
      </c>
      <c r="G3038" s="116">
        <f t="shared" si="288"/>
        <v>0</v>
      </c>
      <c r="H3038" s="116">
        <f t="shared" si="289"/>
        <v>0</v>
      </c>
    </row>
    <row r="3039" spans="3:8" s="10" customFormat="1" outlineLevel="1" x14ac:dyDescent="0.2">
      <c r="D3039" s="49" t="str">
        <f>SD_DETAILED_COST_WKSHT!D141</f>
        <v>Personnel Category 13</v>
      </c>
      <c r="E3039" s="115">
        <f>IF(DD_LVL2_ACTV_12_Currency_Selected=2,SD_DETAILED_COST_WKSHT!$F141*SD_DETAILED_COST_WKSHT!G141,SD_DETAILED_COST_WKSHT!$F141*(SD_DETAILED_COST_WKSHT!G141*LVL2_ACTV_12_Exchange_Rate))</f>
        <v>0</v>
      </c>
      <c r="F3039" s="115">
        <f>IF(DD_LVL2_ACTV_12_Currency_Selected=2,SD_DETAILED_COST_WKSHT!$F141*SD_DETAILED_COST_WKSHT!H141,SD_DETAILED_COST_WKSHT!$F141*(SD_DETAILED_COST_WKSHT!H141*LVL2_ACTV_12_Exchange_Rate))</f>
        <v>0</v>
      </c>
      <c r="G3039" s="116">
        <f t="shared" si="288"/>
        <v>0</v>
      </c>
      <c r="H3039" s="116">
        <f t="shared" si="289"/>
        <v>0</v>
      </c>
    </row>
    <row r="3040" spans="3:8" s="10" customFormat="1" outlineLevel="1" x14ac:dyDescent="0.2">
      <c r="D3040" s="49" t="str">
        <f>SD_DETAILED_COST_WKSHT!D142</f>
        <v>Personnel Category 14</v>
      </c>
      <c r="E3040" s="115">
        <f>IF(DD_LVL2_ACTV_12_Currency_Selected=2,SD_DETAILED_COST_WKSHT!$F142*SD_DETAILED_COST_WKSHT!G142,SD_DETAILED_COST_WKSHT!$F142*(SD_DETAILED_COST_WKSHT!G142*LVL2_ACTV_12_Exchange_Rate))</f>
        <v>0</v>
      </c>
      <c r="F3040" s="115">
        <f>IF(DD_LVL2_ACTV_12_Currency_Selected=2,SD_DETAILED_COST_WKSHT!$F142*SD_DETAILED_COST_WKSHT!H142,SD_DETAILED_COST_WKSHT!$F142*(SD_DETAILED_COST_WKSHT!H142*LVL2_ACTV_12_Exchange_Rate))</f>
        <v>0</v>
      </c>
      <c r="G3040" s="116">
        <f t="shared" si="288"/>
        <v>0</v>
      </c>
      <c r="H3040" s="116">
        <f t="shared" si="289"/>
        <v>0</v>
      </c>
    </row>
    <row r="3041" spans="1:8" s="10" customFormat="1" outlineLevel="1" x14ac:dyDescent="0.2">
      <c r="D3041" s="49" t="str">
        <f>SD_DETAILED_COST_WKSHT!D143</f>
        <v>Personnel Category 15</v>
      </c>
      <c r="E3041" s="115">
        <f>IF(DD_LVL2_ACTV_12_Currency_Selected=2,SD_DETAILED_COST_WKSHT!$F143*SD_DETAILED_COST_WKSHT!G143,SD_DETAILED_COST_WKSHT!$F143*(SD_DETAILED_COST_WKSHT!G143*LVL2_ACTV_12_Exchange_Rate))</f>
        <v>0</v>
      </c>
      <c r="F3041" s="115">
        <f>IF(DD_LVL2_ACTV_12_Currency_Selected=2,SD_DETAILED_COST_WKSHT!$F143*SD_DETAILED_COST_WKSHT!H143,SD_DETAILED_COST_WKSHT!$F143*(SD_DETAILED_COST_WKSHT!H143*LVL2_ACTV_12_Exchange_Rate))</f>
        <v>0</v>
      </c>
      <c r="G3041" s="116">
        <f t="shared" si="288"/>
        <v>0</v>
      </c>
      <c r="H3041" s="116">
        <f t="shared" si="289"/>
        <v>0</v>
      </c>
    </row>
    <row r="3042" spans="1:8" s="10" customFormat="1" outlineLevel="1" x14ac:dyDescent="0.2">
      <c r="D3042" s="48" t="str">
        <f>Lang_Personnel</f>
        <v>Personnel</v>
      </c>
      <c r="E3042" s="120">
        <f>SUM(E3027:E3041)</f>
        <v>0</v>
      </c>
      <c r="F3042" s="120">
        <f>SUM(F3027:F3041)</f>
        <v>0</v>
      </c>
      <c r="G3042" s="121">
        <f>SUM(G3027:G3041)</f>
        <v>0</v>
      </c>
      <c r="H3042" s="121">
        <f>SUM(H3027:H3041)</f>
        <v>0</v>
      </c>
    </row>
    <row r="3043" spans="1:8" s="10" customFormat="1" outlineLevel="1" x14ac:dyDescent="0.2"/>
    <row r="3044" spans="1:8" s="10" customFormat="1" outlineLevel="1" x14ac:dyDescent="0.2"/>
    <row r="3045" spans="1:8" s="10" customFormat="1" outlineLevel="1" x14ac:dyDescent="0.2">
      <c r="D3045" s="76" t="str">
        <f>Lang_GoTo&amp;" "&amp;HL_LVL2_ACTV_12_Personnel_Assumptions</f>
        <v>Go to Single Vaccination Service Delivery Type 2 - Detailed Personnel Cost Assumptions</v>
      </c>
    </row>
    <row r="3046" spans="1:8" s="10" customFormat="1" outlineLevel="1" x14ac:dyDescent="0.2">
      <c r="D3046" s="76" t="str">
        <f>Lang_GoTo&amp;" "&amp;HL_LVL2_ACTV_12_Cost_Summary_Output</f>
        <v>Go to Single Vaccination Service Delivery Type 2 Detailed Cost Summary</v>
      </c>
    </row>
    <row r="3047" spans="1:8" s="10" customFormat="1" x14ac:dyDescent="0.2"/>
    <row r="3048" spans="1:8" s="13" customFormat="1" x14ac:dyDescent="0.2">
      <c r="A3048" s="12" t="s">
        <v>127</v>
      </c>
      <c r="B3048" s="13" t="str">
        <f>C3050&amp;" "&amp;Lang_Allowances_Outputs</f>
        <v>Small Group Vaccination Activity (30 people vaccinated) Allowances - Outputs</v>
      </c>
    </row>
    <row r="3049" spans="1:8" s="10" customFormat="1" outlineLevel="1" x14ac:dyDescent="0.2"/>
    <row r="3050" spans="1:8" s="10" customFormat="1" outlineLevel="1" x14ac:dyDescent="0.2">
      <c r="C3050" s="114" t="str">
        <f>HL_LVL2_ACTV_13_Name</f>
        <v>Small Group Vaccination Activity (30 people vaccinated)</v>
      </c>
    </row>
    <row r="3051" spans="1:8" s="10" customFormat="1" outlineLevel="1" x14ac:dyDescent="0.2">
      <c r="E3051" s="86" t="str">
        <f>SD_Lu!$D$102&amp;" "&amp;Lang_Cost&amp;" ("&amp;SD_Lu!$D$83&amp;")"</f>
        <v>Financial Cost (LCU)</v>
      </c>
      <c r="F3051" s="86" t="str">
        <f>SD_Lu!$D$103&amp;" "&amp;Lang_Cost&amp;" ("&amp;SD_Lu!$D$83&amp;")"</f>
        <v>Economic Cost (LCU)</v>
      </c>
      <c r="G3051" s="86" t="str">
        <f>SD_Lu!$D$102&amp;" "&amp;Lang_Cost&amp;" ("&amp;SD_Lu!$D$82&amp;")"</f>
        <v>Financial Cost (USD)</v>
      </c>
      <c r="H3051" s="86" t="str">
        <f>SD_Lu!$D$103&amp;" "&amp;Lang_Cost&amp;" ("&amp;SD_Lu!$D$82&amp;")"</f>
        <v>Economic Cost (USD)</v>
      </c>
    </row>
    <row r="3052" spans="1:8" s="10" customFormat="1" outlineLevel="1" x14ac:dyDescent="0.2">
      <c r="D3052" s="49" t="str">
        <f>SD_DETAILED_COST_WKSHT!D251</f>
        <v>Allowances Category 1</v>
      </c>
      <c r="E3052" s="115">
        <f>IF(DD_LVL2_ACTV_13_Currency_Selected=2,SD_DETAILED_COST_WKSHT!$F251*SD_DETAILED_COST_WKSHT!G251,SD_DETAILED_COST_WKSHT!$F251*(SD_DETAILED_COST_WKSHT!G251*LVL2_ACTV_13_Exchange_Rate))</f>
        <v>0</v>
      </c>
      <c r="F3052" s="115">
        <f>IF(DD_LVL2_ACTV_13_Currency_Selected=2,SD_DETAILED_COST_WKSHT!$F251*SD_DETAILED_COST_WKSHT!H251,SD_DETAILED_COST_WKSHT!$F251*(SD_DETAILED_COST_WKSHT!H251*LVL2_ACTV_13_Exchange_Rate))</f>
        <v>0</v>
      </c>
      <c r="G3052" s="116">
        <f t="shared" ref="G3052:G3061" si="290">E3052/LVL2_ACTV_13_Exchange_Rate</f>
        <v>0</v>
      </c>
      <c r="H3052" s="116">
        <f t="shared" ref="H3052:H3061" si="291">F3052/LVL2_ACTV_13_Exchange_Rate</f>
        <v>0</v>
      </c>
    </row>
    <row r="3053" spans="1:8" s="10" customFormat="1" outlineLevel="1" x14ac:dyDescent="0.2">
      <c r="D3053" s="49" t="str">
        <f>SD_DETAILED_COST_WKSHT!D252</f>
        <v>Allowances Category 2</v>
      </c>
      <c r="E3053" s="115">
        <f>IF(DD_LVL2_ACTV_13_Currency_Selected=2,SD_DETAILED_COST_WKSHT!$F252*SD_DETAILED_COST_WKSHT!G252,SD_DETAILED_COST_WKSHT!$F252*(SD_DETAILED_COST_WKSHT!G252*LVL2_ACTV_13_Exchange_Rate))</f>
        <v>0</v>
      </c>
      <c r="F3053" s="115">
        <f>IF(DD_LVL2_ACTV_13_Currency_Selected=2,SD_DETAILED_COST_WKSHT!$F252*SD_DETAILED_COST_WKSHT!H252,SD_DETAILED_COST_WKSHT!$F252*(SD_DETAILED_COST_WKSHT!H252*LVL2_ACTV_13_Exchange_Rate))</f>
        <v>0</v>
      </c>
      <c r="G3053" s="116">
        <f t="shared" si="290"/>
        <v>0</v>
      </c>
      <c r="H3053" s="116">
        <f t="shared" si="291"/>
        <v>0</v>
      </c>
    </row>
    <row r="3054" spans="1:8" s="10" customFormat="1" outlineLevel="1" x14ac:dyDescent="0.2">
      <c r="D3054" s="49" t="str">
        <f>SD_DETAILED_COST_WKSHT!D253</f>
        <v>Allowances Category 3</v>
      </c>
      <c r="E3054" s="115">
        <f>IF(DD_LVL2_ACTV_13_Currency_Selected=2,SD_DETAILED_COST_WKSHT!$F253*SD_DETAILED_COST_WKSHT!G253,SD_DETAILED_COST_WKSHT!$F253*(SD_DETAILED_COST_WKSHT!G253*LVL2_ACTV_13_Exchange_Rate))</f>
        <v>0</v>
      </c>
      <c r="F3054" s="115">
        <f>IF(DD_LVL2_ACTV_13_Currency_Selected=2,SD_DETAILED_COST_WKSHT!$F253*SD_DETAILED_COST_WKSHT!H253,SD_DETAILED_COST_WKSHT!$F253*(SD_DETAILED_COST_WKSHT!H253*LVL2_ACTV_13_Exchange_Rate))</f>
        <v>0</v>
      </c>
      <c r="G3054" s="116">
        <f t="shared" si="290"/>
        <v>0</v>
      </c>
      <c r="H3054" s="116">
        <f t="shared" si="291"/>
        <v>0</v>
      </c>
    </row>
    <row r="3055" spans="1:8" s="10" customFormat="1" outlineLevel="1" x14ac:dyDescent="0.2">
      <c r="D3055" s="49" t="str">
        <f>SD_DETAILED_COST_WKSHT!D254</f>
        <v>Allowances Category 4</v>
      </c>
      <c r="E3055" s="115">
        <f>IF(DD_LVL2_ACTV_13_Currency_Selected=2,SD_DETAILED_COST_WKSHT!$F254*SD_DETAILED_COST_WKSHT!G254,SD_DETAILED_COST_WKSHT!$F254*(SD_DETAILED_COST_WKSHT!G254*LVL2_ACTV_13_Exchange_Rate))</f>
        <v>0</v>
      </c>
      <c r="F3055" s="115">
        <f>IF(DD_LVL2_ACTV_13_Currency_Selected=2,SD_DETAILED_COST_WKSHT!$F254*SD_DETAILED_COST_WKSHT!H254,SD_DETAILED_COST_WKSHT!$F254*(SD_DETAILED_COST_WKSHT!H254*LVL2_ACTV_13_Exchange_Rate))</f>
        <v>0</v>
      </c>
      <c r="G3055" s="116">
        <f t="shared" si="290"/>
        <v>0</v>
      </c>
      <c r="H3055" s="116">
        <f t="shared" si="291"/>
        <v>0</v>
      </c>
    </row>
    <row r="3056" spans="1:8" s="10" customFormat="1" outlineLevel="1" x14ac:dyDescent="0.2">
      <c r="D3056" s="49" t="str">
        <f>SD_DETAILED_COST_WKSHT!D255</f>
        <v>Allowances Category 5</v>
      </c>
      <c r="E3056" s="115">
        <f>IF(DD_LVL2_ACTV_13_Currency_Selected=2,SD_DETAILED_COST_WKSHT!$F255*SD_DETAILED_COST_WKSHT!G255,SD_DETAILED_COST_WKSHT!$F255*(SD_DETAILED_COST_WKSHT!G255*LVL2_ACTV_13_Exchange_Rate))</f>
        <v>0</v>
      </c>
      <c r="F3056" s="115">
        <f>IF(DD_LVL2_ACTV_13_Currency_Selected=2,SD_DETAILED_COST_WKSHT!$F255*SD_DETAILED_COST_WKSHT!H255,SD_DETAILED_COST_WKSHT!$F255*(SD_DETAILED_COST_WKSHT!H255*LVL2_ACTV_13_Exchange_Rate))</f>
        <v>0</v>
      </c>
      <c r="G3056" s="116">
        <f t="shared" si="290"/>
        <v>0</v>
      </c>
      <c r="H3056" s="116">
        <f t="shared" si="291"/>
        <v>0</v>
      </c>
    </row>
    <row r="3057" spans="1:8" s="10" customFormat="1" outlineLevel="1" x14ac:dyDescent="0.2">
      <c r="D3057" s="49" t="str">
        <f>SD_DETAILED_COST_WKSHT!D256</f>
        <v>Allowances Category 6</v>
      </c>
      <c r="E3057" s="115">
        <f>IF(DD_LVL2_ACTV_13_Currency_Selected=2,SD_DETAILED_COST_WKSHT!$F256*SD_DETAILED_COST_WKSHT!G256,SD_DETAILED_COST_WKSHT!$F256*(SD_DETAILED_COST_WKSHT!G256*LVL2_ACTV_13_Exchange_Rate))</f>
        <v>0</v>
      </c>
      <c r="F3057" s="115">
        <f>IF(DD_LVL2_ACTV_13_Currency_Selected=2,SD_DETAILED_COST_WKSHT!$F256*SD_DETAILED_COST_WKSHT!H256,SD_DETAILED_COST_WKSHT!$F256*(SD_DETAILED_COST_WKSHT!H256*LVL2_ACTV_13_Exchange_Rate))</f>
        <v>0</v>
      </c>
      <c r="G3057" s="116">
        <f t="shared" si="290"/>
        <v>0</v>
      </c>
      <c r="H3057" s="116">
        <f t="shared" si="291"/>
        <v>0</v>
      </c>
    </row>
    <row r="3058" spans="1:8" s="10" customFormat="1" outlineLevel="1" x14ac:dyDescent="0.2">
      <c r="D3058" s="49" t="str">
        <f>SD_DETAILED_COST_WKSHT!D257</f>
        <v>Allowances Category 7</v>
      </c>
      <c r="E3058" s="115">
        <f>IF(DD_LVL2_ACTV_13_Currency_Selected=2,SD_DETAILED_COST_WKSHT!$F257*SD_DETAILED_COST_WKSHT!G257,SD_DETAILED_COST_WKSHT!$F257*(SD_DETAILED_COST_WKSHT!G257*LVL2_ACTV_13_Exchange_Rate))</f>
        <v>0</v>
      </c>
      <c r="F3058" s="115">
        <f>IF(DD_LVL2_ACTV_13_Currency_Selected=2,SD_DETAILED_COST_WKSHT!$F257*SD_DETAILED_COST_WKSHT!H257,SD_DETAILED_COST_WKSHT!$F257*(SD_DETAILED_COST_WKSHT!H257*LVL2_ACTV_13_Exchange_Rate))</f>
        <v>0</v>
      </c>
      <c r="G3058" s="116">
        <f t="shared" si="290"/>
        <v>0</v>
      </c>
      <c r="H3058" s="116">
        <f t="shared" si="291"/>
        <v>0</v>
      </c>
    </row>
    <row r="3059" spans="1:8" s="10" customFormat="1" outlineLevel="1" x14ac:dyDescent="0.2">
      <c r="D3059" s="49" t="str">
        <f>SD_DETAILED_COST_WKSHT!D258</f>
        <v>Allowances Category 8</v>
      </c>
      <c r="E3059" s="115">
        <f>IF(DD_LVL2_ACTV_13_Currency_Selected=2,SD_DETAILED_COST_WKSHT!$F258*SD_DETAILED_COST_WKSHT!G258,SD_DETAILED_COST_WKSHT!$F258*(SD_DETAILED_COST_WKSHT!G258*LVL2_ACTV_13_Exchange_Rate))</f>
        <v>0</v>
      </c>
      <c r="F3059" s="115">
        <f>IF(DD_LVL2_ACTV_13_Currency_Selected=2,SD_DETAILED_COST_WKSHT!$F258*SD_DETAILED_COST_WKSHT!H258,SD_DETAILED_COST_WKSHT!$F258*(SD_DETAILED_COST_WKSHT!H258*LVL2_ACTV_13_Exchange_Rate))</f>
        <v>0</v>
      </c>
      <c r="G3059" s="116">
        <f t="shared" si="290"/>
        <v>0</v>
      </c>
      <c r="H3059" s="116">
        <f t="shared" si="291"/>
        <v>0</v>
      </c>
    </row>
    <row r="3060" spans="1:8" s="10" customFormat="1" outlineLevel="1" x14ac:dyDescent="0.2">
      <c r="D3060" s="49" t="str">
        <f>SD_DETAILED_COST_WKSHT!D259</f>
        <v>Allowances Category 9</v>
      </c>
      <c r="E3060" s="115">
        <f>IF(DD_LVL2_ACTV_13_Currency_Selected=2,SD_DETAILED_COST_WKSHT!$F259*SD_DETAILED_COST_WKSHT!G259,SD_DETAILED_COST_WKSHT!$F259*(SD_DETAILED_COST_WKSHT!G259*LVL2_ACTV_13_Exchange_Rate))</f>
        <v>0</v>
      </c>
      <c r="F3060" s="115">
        <f>IF(DD_LVL2_ACTV_13_Currency_Selected=2,SD_DETAILED_COST_WKSHT!$F259*SD_DETAILED_COST_WKSHT!H259,SD_DETAILED_COST_WKSHT!$F259*(SD_DETAILED_COST_WKSHT!H259*LVL2_ACTV_13_Exchange_Rate))</f>
        <v>0</v>
      </c>
      <c r="G3060" s="116">
        <f t="shared" si="290"/>
        <v>0</v>
      </c>
      <c r="H3060" s="116">
        <f t="shared" si="291"/>
        <v>0</v>
      </c>
    </row>
    <row r="3061" spans="1:8" s="10" customFormat="1" outlineLevel="1" x14ac:dyDescent="0.2">
      <c r="D3061" s="49" t="str">
        <f>SD_DETAILED_COST_WKSHT!D260</f>
        <v>Allowances Category 10</v>
      </c>
      <c r="E3061" s="115">
        <f>IF(DD_LVL2_ACTV_13_Currency_Selected=2,SD_DETAILED_COST_WKSHT!$F260*SD_DETAILED_COST_WKSHT!G260,SD_DETAILED_COST_WKSHT!$F260*(SD_DETAILED_COST_WKSHT!G260*LVL2_ACTV_13_Exchange_Rate))</f>
        <v>0</v>
      </c>
      <c r="F3061" s="115">
        <f>IF(DD_LVL2_ACTV_13_Currency_Selected=2,SD_DETAILED_COST_WKSHT!$F260*SD_DETAILED_COST_WKSHT!H260,SD_DETAILED_COST_WKSHT!$F260*(SD_DETAILED_COST_WKSHT!H260*LVL2_ACTV_13_Exchange_Rate))</f>
        <v>0</v>
      </c>
      <c r="G3061" s="116">
        <f t="shared" si="290"/>
        <v>0</v>
      </c>
      <c r="H3061" s="116">
        <f t="shared" si="291"/>
        <v>0</v>
      </c>
    </row>
    <row r="3062" spans="1:8" s="10" customFormat="1" outlineLevel="1" x14ac:dyDescent="0.2">
      <c r="D3062" s="48" t="str">
        <f>Lang_Allowances</f>
        <v>Allowances</v>
      </c>
      <c r="E3062" s="120">
        <f>SUM(E3052:E3061)</f>
        <v>0</v>
      </c>
      <c r="F3062" s="120">
        <f>SUM(F3052:F3061)</f>
        <v>0</v>
      </c>
      <c r="G3062" s="121">
        <f>SUM(G3052:G3061)</f>
        <v>0</v>
      </c>
      <c r="H3062" s="121">
        <f>SUM(H3052:H3061)</f>
        <v>0</v>
      </c>
    </row>
    <row r="3063" spans="1:8" s="10" customFormat="1" outlineLevel="1" x14ac:dyDescent="0.2"/>
    <row r="3064" spans="1:8" s="10" customFormat="1" outlineLevel="1" x14ac:dyDescent="0.2"/>
    <row r="3065" spans="1:8" s="10" customFormat="1" outlineLevel="1" x14ac:dyDescent="0.2">
      <c r="D3065" s="76" t="str">
        <f>Lang_GoTo&amp;" "&amp;HL_LVL2_ACTV_13_Ass_A</f>
        <v>Go to Small Group Vaccination Activity (30 people vaccinated) - Detailed Allowance Cost Assumptions</v>
      </c>
    </row>
    <row r="3066" spans="1:8" s="10" customFormat="1" outlineLevel="1" x14ac:dyDescent="0.2">
      <c r="D3066" s="76" t="str">
        <f>Lang_GoTo&amp;" "&amp;HL_LVL2_ACTV_13_Cost_Summary_Output</f>
        <v>Go to Small Group Vaccination Activity (30 people vaccinated) Detailed Cost Summary</v>
      </c>
    </row>
    <row r="3068" spans="1:8" s="13" customFormat="1" x14ac:dyDescent="0.2">
      <c r="A3068" s="6" t="s">
        <v>127</v>
      </c>
      <c r="B3068" s="13" t="str">
        <f>C3070&amp;" "&amp;Lang_Personnel_Outputs</f>
        <v>Large Group Vaccination Activity (100 people vaccinated) Personnel - Outputs</v>
      </c>
    </row>
    <row r="3069" spans="1:8" outlineLevel="1" x14ac:dyDescent="0.2"/>
    <row r="3070" spans="1:8" outlineLevel="1" x14ac:dyDescent="0.2">
      <c r="C3070" s="114" t="str">
        <f>HL_LVL2_ACTV_9_Name</f>
        <v>Large Group Vaccination Activity (100 people vaccinated)</v>
      </c>
    </row>
    <row r="3071" spans="1:8" outlineLevel="1" x14ac:dyDescent="0.2">
      <c r="E3071" s="63" t="str">
        <f>SD_Lu!$D$137&amp;" "&amp;Lang_Cost&amp;" ("&amp;SD_Lu!$D$118&amp;")"</f>
        <v>Financial Cost (LCU)</v>
      </c>
      <c r="F3071" s="63" t="str">
        <f>SD_Lu!$D$138&amp;" "&amp;Lang_Cost&amp;" ("&amp;SD_Lu!$D$118&amp;")"</f>
        <v>Economic Cost (LCU)</v>
      </c>
      <c r="G3071" s="63" t="str">
        <f>SD_Lu!$D$137&amp;" "&amp;Lang_Cost&amp;" ("&amp;SD_Lu!$D$117&amp;")"</f>
        <v>Financial Cost (USD)</v>
      </c>
      <c r="H3071" s="63" t="str">
        <f>SD_Lu!$D$138&amp;" "&amp;Lang_Cost&amp;" ("&amp;SD_Lu!$D$117&amp;")"</f>
        <v>Economic Cost (USD)</v>
      </c>
    </row>
    <row r="3072" spans="1:8" outlineLevel="1" x14ac:dyDescent="0.2">
      <c r="D3072" s="49" t="str">
        <f>SD_DETAILED_COST_WKSHT!D327</f>
        <v>Personnel Category 1</v>
      </c>
      <c r="E3072" s="115">
        <f>IF(DD_LVL2_ACTV_9_Currency_Selected=2,SD_DETAILED_COST_WKSHT!$F327*SD_DETAILED_COST_WKSHT!G327,SD_DETAILED_COST_WKSHT!$F327*(SD_DETAILED_COST_WKSHT!G327*LVL2_ACTV_9_Exchange_Rate))</f>
        <v>0</v>
      </c>
      <c r="F3072" s="115">
        <f>IF(DD_LVL2_ACTV_9_Currency_Selected=2,SD_DETAILED_COST_WKSHT!$F327*SD_DETAILED_COST_WKSHT!H327,SD_DETAILED_COST_WKSHT!$F327*(SD_DETAILED_COST_WKSHT!H327*LVL2_ACTV_9_Exchange_Rate))</f>
        <v>0</v>
      </c>
      <c r="G3072" s="116">
        <f t="shared" ref="G3072:G3086" si="292">IFERROR(E3072/LVL2_ACTV_9_Exchange_Rate,0)</f>
        <v>0</v>
      </c>
      <c r="H3072" s="116">
        <f t="shared" ref="H3072:H3086" si="293">IFERROR(F3072/LVL2_ACTV_9_Exchange_Rate,0)</f>
        <v>0</v>
      </c>
    </row>
    <row r="3073" spans="4:8" outlineLevel="1" x14ac:dyDescent="0.2">
      <c r="D3073" s="49" t="str">
        <f>SD_DETAILED_COST_WKSHT!D328</f>
        <v>Personnel Category 2</v>
      </c>
      <c r="E3073" s="115">
        <f>IF(DD_LVL2_ACTV_9_Currency_Selected=2,SD_DETAILED_COST_WKSHT!$F328*SD_DETAILED_COST_WKSHT!G328,SD_DETAILED_COST_WKSHT!$F328*(SD_DETAILED_COST_WKSHT!G328*LVL2_ACTV_9_Exchange_Rate))</f>
        <v>0</v>
      </c>
      <c r="F3073" s="115">
        <f>IF(DD_LVL2_ACTV_9_Currency_Selected=2,SD_DETAILED_COST_WKSHT!$F328*SD_DETAILED_COST_WKSHT!H328,SD_DETAILED_COST_WKSHT!$F328*(SD_DETAILED_COST_WKSHT!H328*LVL2_ACTV_9_Exchange_Rate))</f>
        <v>0</v>
      </c>
      <c r="G3073" s="116">
        <f t="shared" si="292"/>
        <v>0</v>
      </c>
      <c r="H3073" s="116">
        <f t="shared" si="293"/>
        <v>0</v>
      </c>
    </row>
    <row r="3074" spans="4:8" outlineLevel="1" x14ac:dyDescent="0.2">
      <c r="D3074" s="49" t="str">
        <f>SD_DETAILED_COST_WKSHT!D329</f>
        <v>Personnel Category 3</v>
      </c>
      <c r="E3074" s="115">
        <f>IF(DD_LVL2_ACTV_9_Currency_Selected=2,SD_DETAILED_COST_WKSHT!$F329*SD_DETAILED_COST_WKSHT!G329,SD_DETAILED_COST_WKSHT!$F329*(SD_DETAILED_COST_WKSHT!G329*LVL2_ACTV_9_Exchange_Rate))</f>
        <v>0</v>
      </c>
      <c r="F3074" s="115">
        <f>IF(DD_LVL2_ACTV_9_Currency_Selected=2,SD_DETAILED_COST_WKSHT!$F329*SD_DETAILED_COST_WKSHT!H329,SD_DETAILED_COST_WKSHT!$F329*(SD_DETAILED_COST_WKSHT!H329*LVL2_ACTV_9_Exchange_Rate))</f>
        <v>0</v>
      </c>
      <c r="G3074" s="116">
        <f t="shared" si="292"/>
        <v>0</v>
      </c>
      <c r="H3074" s="116">
        <f t="shared" si="293"/>
        <v>0</v>
      </c>
    </row>
    <row r="3075" spans="4:8" outlineLevel="1" x14ac:dyDescent="0.2">
      <c r="D3075" s="49" t="str">
        <f>SD_DETAILED_COST_WKSHT!D330</f>
        <v>Personnel Category 4</v>
      </c>
      <c r="E3075" s="115">
        <f>IF(DD_LVL2_ACTV_9_Currency_Selected=2,SD_DETAILED_COST_WKSHT!$F330*SD_DETAILED_COST_WKSHT!G330,SD_DETAILED_COST_WKSHT!$F330*(SD_DETAILED_COST_WKSHT!G330*LVL2_ACTV_9_Exchange_Rate))</f>
        <v>0</v>
      </c>
      <c r="F3075" s="115">
        <f>IF(DD_LVL2_ACTV_9_Currency_Selected=2,SD_DETAILED_COST_WKSHT!$F330*SD_DETAILED_COST_WKSHT!H330,SD_DETAILED_COST_WKSHT!$F330*(SD_DETAILED_COST_WKSHT!H330*LVL2_ACTV_9_Exchange_Rate))</f>
        <v>0</v>
      </c>
      <c r="G3075" s="116">
        <f t="shared" si="292"/>
        <v>0</v>
      </c>
      <c r="H3075" s="116">
        <f t="shared" si="293"/>
        <v>0</v>
      </c>
    </row>
    <row r="3076" spans="4:8" outlineLevel="1" x14ac:dyDescent="0.2">
      <c r="D3076" s="49" t="str">
        <f>SD_DETAILED_COST_WKSHT!D331</f>
        <v>Personnel Category 5</v>
      </c>
      <c r="E3076" s="115">
        <f>IF(DD_LVL2_ACTV_9_Currency_Selected=2,SD_DETAILED_COST_WKSHT!$F331*SD_DETAILED_COST_WKSHT!G331,SD_DETAILED_COST_WKSHT!$F331*(SD_DETAILED_COST_WKSHT!G331*LVL2_ACTV_9_Exchange_Rate))</f>
        <v>0</v>
      </c>
      <c r="F3076" s="115">
        <f>IF(DD_LVL2_ACTV_9_Currency_Selected=2,SD_DETAILED_COST_WKSHT!$F331*SD_DETAILED_COST_WKSHT!H331,SD_DETAILED_COST_WKSHT!$F331*(SD_DETAILED_COST_WKSHT!H331*LVL2_ACTV_9_Exchange_Rate))</f>
        <v>0</v>
      </c>
      <c r="G3076" s="116">
        <f t="shared" si="292"/>
        <v>0</v>
      </c>
      <c r="H3076" s="116">
        <f t="shared" si="293"/>
        <v>0</v>
      </c>
    </row>
    <row r="3077" spans="4:8" outlineLevel="1" x14ac:dyDescent="0.2">
      <c r="D3077" s="49" t="str">
        <f>SD_DETAILED_COST_WKSHT!D332</f>
        <v>Personnel Category 6</v>
      </c>
      <c r="E3077" s="115">
        <f>IF(DD_LVL2_ACTV_9_Currency_Selected=2,SD_DETAILED_COST_WKSHT!$F332*SD_DETAILED_COST_WKSHT!G332,SD_DETAILED_COST_WKSHT!$F332*(SD_DETAILED_COST_WKSHT!G332*LVL2_ACTV_9_Exchange_Rate))</f>
        <v>0</v>
      </c>
      <c r="F3077" s="115">
        <f>IF(DD_LVL2_ACTV_9_Currency_Selected=2,SD_DETAILED_COST_WKSHT!$F332*SD_DETAILED_COST_WKSHT!H332,SD_DETAILED_COST_WKSHT!$F332*(SD_DETAILED_COST_WKSHT!H332*LVL2_ACTV_9_Exchange_Rate))</f>
        <v>0</v>
      </c>
      <c r="G3077" s="116">
        <f t="shared" si="292"/>
        <v>0</v>
      </c>
      <c r="H3077" s="116">
        <f t="shared" si="293"/>
        <v>0</v>
      </c>
    </row>
    <row r="3078" spans="4:8" outlineLevel="1" x14ac:dyDescent="0.2">
      <c r="D3078" s="49" t="str">
        <f>SD_DETAILED_COST_WKSHT!D333</f>
        <v>Personnel Category 7</v>
      </c>
      <c r="E3078" s="115">
        <f>IF(DD_LVL2_ACTV_9_Currency_Selected=2,SD_DETAILED_COST_WKSHT!$F333*SD_DETAILED_COST_WKSHT!G333,SD_DETAILED_COST_WKSHT!$F333*(SD_DETAILED_COST_WKSHT!G333*LVL2_ACTV_9_Exchange_Rate))</f>
        <v>0</v>
      </c>
      <c r="F3078" s="115">
        <f>IF(DD_LVL2_ACTV_9_Currency_Selected=2,SD_DETAILED_COST_WKSHT!$F333*SD_DETAILED_COST_WKSHT!H333,SD_DETAILED_COST_WKSHT!$F333*(SD_DETAILED_COST_WKSHT!H333*LVL2_ACTV_9_Exchange_Rate))</f>
        <v>0</v>
      </c>
      <c r="G3078" s="116">
        <f t="shared" si="292"/>
        <v>0</v>
      </c>
      <c r="H3078" s="116">
        <f t="shared" si="293"/>
        <v>0</v>
      </c>
    </row>
    <row r="3079" spans="4:8" outlineLevel="1" x14ac:dyDescent="0.2">
      <c r="D3079" s="49" t="str">
        <f>SD_DETAILED_COST_WKSHT!D334</f>
        <v>Personnel Category 8</v>
      </c>
      <c r="E3079" s="115">
        <f>IF(DD_LVL2_ACTV_9_Currency_Selected=2,SD_DETAILED_COST_WKSHT!$F334*SD_DETAILED_COST_WKSHT!G334,SD_DETAILED_COST_WKSHT!$F334*(SD_DETAILED_COST_WKSHT!G334*LVL2_ACTV_9_Exchange_Rate))</f>
        <v>0</v>
      </c>
      <c r="F3079" s="115">
        <f>IF(DD_LVL2_ACTV_9_Currency_Selected=2,SD_DETAILED_COST_WKSHT!$F334*SD_DETAILED_COST_WKSHT!H334,SD_DETAILED_COST_WKSHT!$F334*(SD_DETAILED_COST_WKSHT!H334*LVL2_ACTV_9_Exchange_Rate))</f>
        <v>0</v>
      </c>
      <c r="G3079" s="116">
        <f t="shared" si="292"/>
        <v>0</v>
      </c>
      <c r="H3079" s="116">
        <f t="shared" si="293"/>
        <v>0</v>
      </c>
    </row>
    <row r="3080" spans="4:8" outlineLevel="1" x14ac:dyDescent="0.2">
      <c r="D3080" s="49" t="str">
        <f>SD_DETAILED_COST_WKSHT!D335</f>
        <v>Personnel Category 9</v>
      </c>
      <c r="E3080" s="115">
        <f>IF(DD_LVL2_ACTV_9_Currency_Selected=2,SD_DETAILED_COST_WKSHT!$F335*SD_DETAILED_COST_WKSHT!G335,SD_DETAILED_COST_WKSHT!$F335*(SD_DETAILED_COST_WKSHT!G335*LVL2_ACTV_9_Exchange_Rate))</f>
        <v>0</v>
      </c>
      <c r="F3080" s="115">
        <f>IF(DD_LVL2_ACTV_9_Currency_Selected=2,SD_DETAILED_COST_WKSHT!$F335*SD_DETAILED_COST_WKSHT!H335,SD_DETAILED_COST_WKSHT!$F335*(SD_DETAILED_COST_WKSHT!H335*LVL2_ACTV_9_Exchange_Rate))</f>
        <v>0</v>
      </c>
      <c r="G3080" s="116">
        <f t="shared" si="292"/>
        <v>0</v>
      </c>
      <c r="H3080" s="116">
        <f t="shared" si="293"/>
        <v>0</v>
      </c>
    </row>
    <row r="3081" spans="4:8" outlineLevel="1" x14ac:dyDescent="0.2">
      <c r="D3081" s="49" t="str">
        <f>SD_DETAILED_COST_WKSHT!D336</f>
        <v>Personnel Category 10</v>
      </c>
      <c r="E3081" s="115">
        <f>IF(DD_LVL2_ACTV_9_Currency_Selected=2,SD_DETAILED_COST_WKSHT!$F336*SD_DETAILED_COST_WKSHT!G336,SD_DETAILED_COST_WKSHT!$F336*(SD_DETAILED_COST_WKSHT!G336*LVL2_ACTV_9_Exchange_Rate))</f>
        <v>0</v>
      </c>
      <c r="F3081" s="115">
        <f>IF(DD_LVL2_ACTV_9_Currency_Selected=2,SD_DETAILED_COST_WKSHT!$F336*SD_DETAILED_COST_WKSHT!H336,SD_DETAILED_COST_WKSHT!$F336*(SD_DETAILED_COST_WKSHT!H336*LVL2_ACTV_9_Exchange_Rate))</f>
        <v>0</v>
      </c>
      <c r="G3081" s="116">
        <f t="shared" si="292"/>
        <v>0</v>
      </c>
      <c r="H3081" s="116">
        <f t="shared" si="293"/>
        <v>0</v>
      </c>
    </row>
    <row r="3082" spans="4:8" outlineLevel="1" x14ac:dyDescent="0.2">
      <c r="D3082" s="49" t="str">
        <f>SD_DETAILED_COST_WKSHT!D337</f>
        <v>Personnel Category 11</v>
      </c>
      <c r="E3082" s="115">
        <f>IF(DD_LVL2_ACTV_9_Currency_Selected=2,SD_DETAILED_COST_WKSHT!$F337*SD_DETAILED_COST_WKSHT!G337,SD_DETAILED_COST_WKSHT!$F337*(SD_DETAILED_COST_WKSHT!G337*LVL2_ACTV_9_Exchange_Rate))</f>
        <v>0</v>
      </c>
      <c r="F3082" s="115">
        <f>IF(DD_LVL2_ACTV_9_Currency_Selected=2,SD_DETAILED_COST_WKSHT!$F337*SD_DETAILED_COST_WKSHT!H337,SD_DETAILED_COST_WKSHT!$F337*(SD_DETAILED_COST_WKSHT!H337*LVL2_ACTV_9_Exchange_Rate))</f>
        <v>0</v>
      </c>
      <c r="G3082" s="116">
        <f t="shared" si="292"/>
        <v>0</v>
      </c>
      <c r="H3082" s="116">
        <f t="shared" si="293"/>
        <v>0</v>
      </c>
    </row>
    <row r="3083" spans="4:8" outlineLevel="1" x14ac:dyDescent="0.2">
      <c r="D3083" s="49" t="str">
        <f>SD_DETAILED_COST_WKSHT!D338</f>
        <v>Personnel Category 12</v>
      </c>
      <c r="E3083" s="115">
        <f>IF(DD_LVL2_ACTV_9_Currency_Selected=2,SD_DETAILED_COST_WKSHT!$F338*SD_DETAILED_COST_WKSHT!G338,SD_DETAILED_COST_WKSHT!$F338*(SD_DETAILED_COST_WKSHT!G338*LVL2_ACTV_9_Exchange_Rate))</f>
        <v>0</v>
      </c>
      <c r="F3083" s="115">
        <f>IF(DD_LVL2_ACTV_9_Currency_Selected=2,SD_DETAILED_COST_WKSHT!$F338*SD_DETAILED_COST_WKSHT!H338,SD_DETAILED_COST_WKSHT!$F338*(SD_DETAILED_COST_WKSHT!H338*LVL2_ACTV_9_Exchange_Rate))</f>
        <v>0</v>
      </c>
      <c r="G3083" s="116">
        <f t="shared" si="292"/>
        <v>0</v>
      </c>
      <c r="H3083" s="116">
        <f t="shared" si="293"/>
        <v>0</v>
      </c>
    </row>
    <row r="3084" spans="4:8" outlineLevel="1" x14ac:dyDescent="0.2">
      <c r="D3084" s="49" t="str">
        <f>SD_DETAILED_COST_WKSHT!D339</f>
        <v>Personnel Category 13</v>
      </c>
      <c r="E3084" s="115">
        <f>IF(DD_LVL2_ACTV_9_Currency_Selected=2,SD_DETAILED_COST_WKSHT!$F339*SD_DETAILED_COST_WKSHT!G339,SD_DETAILED_COST_WKSHT!$F339*(SD_DETAILED_COST_WKSHT!G339*LVL2_ACTV_9_Exchange_Rate))</f>
        <v>0</v>
      </c>
      <c r="F3084" s="115">
        <f>IF(DD_LVL2_ACTV_9_Currency_Selected=2,SD_DETAILED_COST_WKSHT!$F339*SD_DETAILED_COST_WKSHT!H339,SD_DETAILED_COST_WKSHT!$F339*(SD_DETAILED_COST_WKSHT!H339*LVL2_ACTV_9_Exchange_Rate))</f>
        <v>0</v>
      </c>
      <c r="G3084" s="116">
        <f t="shared" si="292"/>
        <v>0</v>
      </c>
      <c r="H3084" s="116">
        <f t="shared" si="293"/>
        <v>0</v>
      </c>
    </row>
    <row r="3085" spans="4:8" outlineLevel="1" x14ac:dyDescent="0.2">
      <c r="D3085" s="49" t="str">
        <f>SD_DETAILED_COST_WKSHT!D340</f>
        <v>Personnel Category 14</v>
      </c>
      <c r="E3085" s="115">
        <f>IF(DD_LVL2_ACTV_9_Currency_Selected=2,SD_DETAILED_COST_WKSHT!$F340*SD_DETAILED_COST_WKSHT!G340,SD_DETAILED_COST_WKSHT!$F340*(SD_DETAILED_COST_WKSHT!G340*LVL2_ACTV_9_Exchange_Rate))</f>
        <v>0</v>
      </c>
      <c r="F3085" s="115">
        <f>IF(DD_LVL2_ACTV_9_Currency_Selected=2,SD_DETAILED_COST_WKSHT!$F340*SD_DETAILED_COST_WKSHT!H340,SD_DETAILED_COST_WKSHT!$F340*(SD_DETAILED_COST_WKSHT!H340*LVL2_ACTV_9_Exchange_Rate))</f>
        <v>0</v>
      </c>
      <c r="G3085" s="116">
        <f t="shared" si="292"/>
        <v>0</v>
      </c>
      <c r="H3085" s="116">
        <f t="shared" si="293"/>
        <v>0</v>
      </c>
    </row>
    <row r="3086" spans="4:8" outlineLevel="1" x14ac:dyDescent="0.2">
      <c r="D3086" s="49" t="str">
        <f>SD_DETAILED_COST_WKSHT!D341</f>
        <v>Personnel Category 15</v>
      </c>
      <c r="E3086" s="115">
        <f>IF(DD_LVL2_ACTV_9_Currency_Selected=2,SD_DETAILED_COST_WKSHT!$F341*SD_DETAILED_COST_WKSHT!G341,SD_DETAILED_COST_WKSHT!$F341*(SD_DETAILED_COST_WKSHT!G341*LVL2_ACTV_9_Exchange_Rate))</f>
        <v>0</v>
      </c>
      <c r="F3086" s="115">
        <f>IF(DD_LVL2_ACTV_9_Currency_Selected=2,SD_DETAILED_COST_WKSHT!$F341*SD_DETAILED_COST_WKSHT!H341,SD_DETAILED_COST_WKSHT!$F341*(SD_DETAILED_COST_WKSHT!H341*LVL2_ACTV_9_Exchange_Rate))</f>
        <v>0</v>
      </c>
      <c r="G3086" s="116">
        <f t="shared" si="292"/>
        <v>0</v>
      </c>
      <c r="H3086" s="116">
        <f t="shared" si="293"/>
        <v>0</v>
      </c>
    </row>
    <row r="3087" spans="4:8" outlineLevel="1" x14ac:dyDescent="0.2">
      <c r="D3087" s="48" t="str">
        <f>Lang_Personnel</f>
        <v>Personnel</v>
      </c>
      <c r="E3087" s="120">
        <f>SUM(E3072:E3086)</f>
        <v>0</v>
      </c>
      <c r="F3087" s="120">
        <f>SUM(F3072:F3086)</f>
        <v>0</v>
      </c>
      <c r="G3087" s="121">
        <f>SUM(G3072:G3086)</f>
        <v>0</v>
      </c>
      <c r="H3087" s="121">
        <f>SUM(H3072:H3086)</f>
        <v>0</v>
      </c>
    </row>
    <row r="3088" spans="4:8" outlineLevel="1" x14ac:dyDescent="0.2"/>
    <row r="3089" spans="1:8" outlineLevel="1" x14ac:dyDescent="0.2"/>
    <row r="3090" spans="1:8" outlineLevel="1" x14ac:dyDescent="0.2">
      <c r="D3090" s="47" t="str">
        <f>Lang_GoTo&amp;" "&amp;HL_LVL2_ACTV_9_Personnel_Assumptions</f>
        <v>Go to Large Group Vaccination Activity (100 people vaccinated) - Detailed Personnel Cost Assumptions</v>
      </c>
    </row>
    <row r="3091" spans="1:8" outlineLevel="1" x14ac:dyDescent="0.2">
      <c r="D3091" s="47" t="str">
        <f>Lang_GoTo&amp;" "&amp;HL_LVL2_ACTV_9_Cost_Summary_Output</f>
        <v>Go to Large Group Vaccination Activity (100 people vaccinated) Detailed Cost Summary</v>
      </c>
    </row>
    <row r="3093" spans="1:8" s="13" customFormat="1" x14ac:dyDescent="0.2">
      <c r="A3093" s="6" t="s">
        <v>127</v>
      </c>
      <c r="B3093" s="13" t="str">
        <f>C3095&amp;" "&amp;Lang_Allowances_Outputs</f>
        <v>Large Group Vaccination Activity (100 people vaccinated) Allowances - Outputs</v>
      </c>
    </row>
    <row r="3094" spans="1:8" outlineLevel="1" x14ac:dyDescent="0.2"/>
    <row r="3095" spans="1:8" outlineLevel="1" x14ac:dyDescent="0.2">
      <c r="C3095" s="114" t="str">
        <f>HL_LVL2_ACTV_9_Name</f>
        <v>Large Group Vaccination Activity (100 people vaccinated)</v>
      </c>
    </row>
    <row r="3096" spans="1:8" outlineLevel="1" x14ac:dyDescent="0.2">
      <c r="E3096" s="63" t="str">
        <f>SD_Lu!$D$137&amp;" "&amp;Lang_Cost&amp;" ("&amp;SD_Lu!$D$118&amp;")"</f>
        <v>Financial Cost (LCU)</v>
      </c>
      <c r="F3096" s="63" t="str">
        <f>SD_Lu!$D$138&amp;" "&amp;Lang_Cost&amp;" ("&amp;SD_Lu!$D$118&amp;")"</f>
        <v>Economic Cost (LCU)</v>
      </c>
      <c r="G3096" s="63" t="str">
        <f>SD_Lu!$D$137&amp;" "&amp;Lang_Cost&amp;" ("&amp;SD_Lu!$D$117&amp;")"</f>
        <v>Financial Cost (USD)</v>
      </c>
      <c r="H3096" s="63" t="str">
        <f>SD_Lu!$D$138&amp;" "&amp;Lang_Cost&amp;" ("&amp;SD_Lu!$D$117&amp;")"</f>
        <v>Economic Cost (USD)</v>
      </c>
    </row>
    <row r="3097" spans="1:8" outlineLevel="1" x14ac:dyDescent="0.2">
      <c r="D3097" s="49" t="str">
        <f>SD_DETAILED_COST_WKSHT!D350</f>
        <v>Allowances Category 1</v>
      </c>
      <c r="E3097" s="115">
        <f>IF(DD_LVL2_ACTV_9_Currency_Selected=2,SD_DETAILED_COST_WKSHT!$F350*SD_DETAILED_COST_WKSHT!G350,SD_DETAILED_COST_WKSHT!$F350*(SD_DETAILED_COST_WKSHT!G350*LVL2_ACTV_9_Exchange_Rate))</f>
        <v>0</v>
      </c>
      <c r="F3097" s="115">
        <f>IF(DD_LVL2_ACTV_9_Currency_Selected=2,SD_DETAILED_COST_WKSHT!$F350*SD_DETAILED_COST_WKSHT!H350,SD_DETAILED_COST_WKSHT!$F350*(SD_DETAILED_COST_WKSHT!H350*LVL2_ACTV_9_Exchange_Rate))</f>
        <v>0</v>
      </c>
      <c r="G3097" s="116">
        <f t="shared" ref="G3097:G3106" si="294">E3097/LVL2_ACTV_9_Exchange_Rate</f>
        <v>0</v>
      </c>
      <c r="H3097" s="116">
        <f t="shared" ref="H3097:H3106" si="295">F3097/LVL2_ACTV_9_Exchange_Rate</f>
        <v>0</v>
      </c>
    </row>
    <row r="3098" spans="1:8" outlineLevel="1" x14ac:dyDescent="0.2">
      <c r="D3098" s="49" t="str">
        <f>SD_DETAILED_COST_WKSHT!D351</f>
        <v>Allowances Category 2</v>
      </c>
      <c r="E3098" s="115">
        <f>IF(DD_LVL2_ACTV_9_Currency_Selected=2,SD_DETAILED_COST_WKSHT!$F351*SD_DETAILED_COST_WKSHT!G351,SD_DETAILED_COST_WKSHT!$F351*(SD_DETAILED_COST_WKSHT!G351*LVL2_ACTV_9_Exchange_Rate))</f>
        <v>0</v>
      </c>
      <c r="F3098" s="115">
        <f>IF(DD_LVL2_ACTV_9_Currency_Selected=2,SD_DETAILED_COST_WKSHT!$F351*SD_DETAILED_COST_WKSHT!H351,SD_DETAILED_COST_WKSHT!$F351*(SD_DETAILED_COST_WKSHT!H351*LVL2_ACTV_9_Exchange_Rate))</f>
        <v>0</v>
      </c>
      <c r="G3098" s="116">
        <f t="shared" si="294"/>
        <v>0</v>
      </c>
      <c r="H3098" s="116">
        <f t="shared" si="295"/>
        <v>0</v>
      </c>
    </row>
    <row r="3099" spans="1:8" outlineLevel="1" x14ac:dyDescent="0.2">
      <c r="D3099" s="49" t="str">
        <f>SD_DETAILED_COST_WKSHT!D352</f>
        <v>Allowances Category 3</v>
      </c>
      <c r="E3099" s="115">
        <f>IF(DD_LVL2_ACTV_9_Currency_Selected=2,SD_DETAILED_COST_WKSHT!$F352*SD_DETAILED_COST_WKSHT!G352,SD_DETAILED_COST_WKSHT!$F352*(SD_DETAILED_COST_WKSHT!G352*LVL2_ACTV_9_Exchange_Rate))</f>
        <v>0</v>
      </c>
      <c r="F3099" s="115">
        <f>IF(DD_LVL2_ACTV_9_Currency_Selected=2,SD_DETAILED_COST_WKSHT!$F352*SD_DETAILED_COST_WKSHT!H352,SD_DETAILED_COST_WKSHT!$F352*(SD_DETAILED_COST_WKSHT!H352*LVL2_ACTV_9_Exchange_Rate))</f>
        <v>0</v>
      </c>
      <c r="G3099" s="116">
        <f t="shared" si="294"/>
        <v>0</v>
      </c>
      <c r="H3099" s="116">
        <f t="shared" si="295"/>
        <v>0</v>
      </c>
    </row>
    <row r="3100" spans="1:8" outlineLevel="1" x14ac:dyDescent="0.2">
      <c r="D3100" s="49" t="str">
        <f>SD_DETAILED_COST_WKSHT!D353</f>
        <v>Allowances Category 4</v>
      </c>
      <c r="E3100" s="115">
        <f>IF(DD_LVL2_ACTV_9_Currency_Selected=2,SD_DETAILED_COST_WKSHT!$F353*SD_DETAILED_COST_WKSHT!G353,SD_DETAILED_COST_WKSHT!$F353*(SD_DETAILED_COST_WKSHT!G353*LVL2_ACTV_9_Exchange_Rate))</f>
        <v>0</v>
      </c>
      <c r="F3100" s="115">
        <f>IF(DD_LVL2_ACTV_9_Currency_Selected=2,SD_DETAILED_COST_WKSHT!$F353*SD_DETAILED_COST_WKSHT!H353,SD_DETAILED_COST_WKSHT!$F353*(SD_DETAILED_COST_WKSHT!H353*LVL2_ACTV_9_Exchange_Rate))</f>
        <v>0</v>
      </c>
      <c r="G3100" s="116">
        <f t="shared" si="294"/>
        <v>0</v>
      </c>
      <c r="H3100" s="116">
        <f t="shared" si="295"/>
        <v>0</v>
      </c>
    </row>
    <row r="3101" spans="1:8" outlineLevel="1" x14ac:dyDescent="0.2">
      <c r="D3101" s="49" t="str">
        <f>SD_DETAILED_COST_WKSHT!D354</f>
        <v>Allowances Category 5</v>
      </c>
      <c r="E3101" s="115">
        <f>IF(DD_LVL2_ACTV_9_Currency_Selected=2,SD_DETAILED_COST_WKSHT!$F354*SD_DETAILED_COST_WKSHT!G354,SD_DETAILED_COST_WKSHT!$F354*(SD_DETAILED_COST_WKSHT!G354*LVL2_ACTV_9_Exchange_Rate))</f>
        <v>0</v>
      </c>
      <c r="F3101" s="115">
        <f>IF(DD_LVL2_ACTV_9_Currency_Selected=2,SD_DETAILED_COST_WKSHT!$F354*SD_DETAILED_COST_WKSHT!H354,SD_DETAILED_COST_WKSHT!$F354*(SD_DETAILED_COST_WKSHT!H354*LVL2_ACTV_9_Exchange_Rate))</f>
        <v>0</v>
      </c>
      <c r="G3101" s="116">
        <f t="shared" si="294"/>
        <v>0</v>
      </c>
      <c r="H3101" s="116">
        <f t="shared" si="295"/>
        <v>0</v>
      </c>
    </row>
    <row r="3102" spans="1:8" outlineLevel="1" x14ac:dyDescent="0.2">
      <c r="D3102" s="49" t="str">
        <f>SD_DETAILED_COST_WKSHT!D355</f>
        <v>Allowances Category 6</v>
      </c>
      <c r="E3102" s="115">
        <f>IF(DD_LVL2_ACTV_9_Currency_Selected=2,SD_DETAILED_COST_WKSHT!$F355*SD_DETAILED_COST_WKSHT!G355,SD_DETAILED_COST_WKSHT!$F355*(SD_DETAILED_COST_WKSHT!G355*LVL2_ACTV_9_Exchange_Rate))</f>
        <v>0</v>
      </c>
      <c r="F3102" s="115">
        <f>IF(DD_LVL2_ACTV_9_Currency_Selected=2,SD_DETAILED_COST_WKSHT!$F355*SD_DETAILED_COST_WKSHT!H355,SD_DETAILED_COST_WKSHT!$F355*(SD_DETAILED_COST_WKSHT!H355*LVL2_ACTV_9_Exchange_Rate))</f>
        <v>0</v>
      </c>
      <c r="G3102" s="116">
        <f t="shared" si="294"/>
        <v>0</v>
      </c>
      <c r="H3102" s="116">
        <f t="shared" si="295"/>
        <v>0</v>
      </c>
    </row>
    <row r="3103" spans="1:8" outlineLevel="1" x14ac:dyDescent="0.2">
      <c r="D3103" s="49" t="str">
        <f>SD_DETAILED_COST_WKSHT!D356</f>
        <v>Allowances Category 7</v>
      </c>
      <c r="E3103" s="115">
        <f>IF(DD_LVL2_ACTV_9_Currency_Selected=2,SD_DETAILED_COST_WKSHT!$F356*SD_DETAILED_COST_WKSHT!G356,SD_DETAILED_COST_WKSHT!$F356*(SD_DETAILED_COST_WKSHT!G356*LVL2_ACTV_9_Exchange_Rate))</f>
        <v>0</v>
      </c>
      <c r="F3103" s="115">
        <f>IF(DD_LVL2_ACTV_9_Currency_Selected=2,SD_DETAILED_COST_WKSHT!$F356*SD_DETAILED_COST_WKSHT!H356,SD_DETAILED_COST_WKSHT!$F356*(SD_DETAILED_COST_WKSHT!H356*LVL2_ACTV_9_Exchange_Rate))</f>
        <v>0</v>
      </c>
      <c r="G3103" s="116">
        <f t="shared" si="294"/>
        <v>0</v>
      </c>
      <c r="H3103" s="116">
        <f t="shared" si="295"/>
        <v>0</v>
      </c>
    </row>
    <row r="3104" spans="1:8" outlineLevel="1" x14ac:dyDescent="0.2">
      <c r="D3104" s="49" t="str">
        <f>SD_DETAILED_COST_WKSHT!D357</f>
        <v>Allowances Category 8</v>
      </c>
      <c r="E3104" s="115">
        <f>IF(DD_LVL2_ACTV_9_Currency_Selected=2,SD_DETAILED_COST_WKSHT!$F357*SD_DETAILED_COST_WKSHT!G357,SD_DETAILED_COST_WKSHT!$F357*(SD_DETAILED_COST_WKSHT!G357*LVL2_ACTV_9_Exchange_Rate))</f>
        <v>0</v>
      </c>
      <c r="F3104" s="115">
        <f>IF(DD_LVL2_ACTV_9_Currency_Selected=2,SD_DETAILED_COST_WKSHT!$F357*SD_DETAILED_COST_WKSHT!H357,SD_DETAILED_COST_WKSHT!$F357*(SD_DETAILED_COST_WKSHT!H357*LVL2_ACTV_9_Exchange_Rate))</f>
        <v>0</v>
      </c>
      <c r="G3104" s="116">
        <f t="shared" si="294"/>
        <v>0</v>
      </c>
      <c r="H3104" s="116">
        <f t="shared" si="295"/>
        <v>0</v>
      </c>
    </row>
    <row r="3105" spans="1:8" outlineLevel="1" x14ac:dyDescent="0.2">
      <c r="D3105" s="49" t="str">
        <f>SD_DETAILED_COST_WKSHT!D358</f>
        <v>Allowances Category 9</v>
      </c>
      <c r="E3105" s="115">
        <f>IF(DD_LVL2_ACTV_9_Currency_Selected=2,SD_DETAILED_COST_WKSHT!$F358*SD_DETAILED_COST_WKSHT!G358,SD_DETAILED_COST_WKSHT!$F358*(SD_DETAILED_COST_WKSHT!G358*LVL2_ACTV_9_Exchange_Rate))</f>
        <v>0</v>
      </c>
      <c r="F3105" s="115">
        <f>IF(DD_LVL2_ACTV_9_Currency_Selected=2,SD_DETAILED_COST_WKSHT!$F358*SD_DETAILED_COST_WKSHT!H358,SD_DETAILED_COST_WKSHT!$F358*(SD_DETAILED_COST_WKSHT!H358*LVL2_ACTV_9_Exchange_Rate))</f>
        <v>0</v>
      </c>
      <c r="G3105" s="116">
        <f t="shared" si="294"/>
        <v>0</v>
      </c>
      <c r="H3105" s="116">
        <f t="shared" si="295"/>
        <v>0</v>
      </c>
    </row>
    <row r="3106" spans="1:8" outlineLevel="1" x14ac:dyDescent="0.2">
      <c r="D3106" s="49" t="str">
        <f>SD_DETAILED_COST_WKSHT!D359</f>
        <v>Allowances Category 10</v>
      </c>
      <c r="E3106" s="115">
        <f>IF(DD_LVL2_ACTV_9_Currency_Selected=2,SD_DETAILED_COST_WKSHT!$F359*SD_DETAILED_COST_WKSHT!G359,SD_DETAILED_COST_WKSHT!$F359*(SD_DETAILED_COST_WKSHT!G359*LVL2_ACTV_9_Exchange_Rate))</f>
        <v>0</v>
      </c>
      <c r="F3106" s="115">
        <f>IF(DD_LVL2_ACTV_9_Currency_Selected=2,SD_DETAILED_COST_WKSHT!$F359*SD_DETAILED_COST_WKSHT!H359,SD_DETAILED_COST_WKSHT!$F359*(SD_DETAILED_COST_WKSHT!H359*LVL2_ACTV_9_Exchange_Rate))</f>
        <v>0</v>
      </c>
      <c r="G3106" s="116">
        <f t="shared" si="294"/>
        <v>0</v>
      </c>
      <c r="H3106" s="116">
        <f t="shared" si="295"/>
        <v>0</v>
      </c>
    </row>
    <row r="3107" spans="1:8" outlineLevel="1" x14ac:dyDescent="0.2">
      <c r="D3107" s="48" t="str">
        <f>Lang_Allowances</f>
        <v>Allowances</v>
      </c>
      <c r="E3107" s="120">
        <f>SUM(E3097:E3106)</f>
        <v>0</v>
      </c>
      <c r="F3107" s="120">
        <f>SUM(F3097:F3106)</f>
        <v>0</v>
      </c>
      <c r="G3107" s="121">
        <f>SUM(G3097:G3106)</f>
        <v>0</v>
      </c>
      <c r="H3107" s="121">
        <f>SUM(H3097:H3106)</f>
        <v>0</v>
      </c>
    </row>
    <row r="3108" spans="1:8" outlineLevel="1" x14ac:dyDescent="0.2"/>
    <row r="3109" spans="1:8" outlineLevel="1" x14ac:dyDescent="0.2"/>
    <row r="3110" spans="1:8" outlineLevel="1" x14ac:dyDescent="0.2">
      <c r="D3110" s="47" t="str">
        <f>Lang_GoTo&amp;" "&amp;HL_LVL2_ACTV_9_Ass_A</f>
        <v>Go to Large Group Vaccination Activity (100 people vaccinated) - Detailed Allowance Cost Assumptions</v>
      </c>
    </row>
    <row r="3111" spans="1:8" outlineLevel="1" x14ac:dyDescent="0.2">
      <c r="D3111" s="47" t="str">
        <f>Lang_GoTo&amp;" "&amp;HL_LVL2_ACTV_9_Cost_Summary_Output</f>
        <v>Go to Large Group Vaccination Activity (100 people vaccinated) Detailed Cost Summary</v>
      </c>
    </row>
    <row r="3112" spans="1:8" s="10" customFormat="1" x14ac:dyDescent="0.2"/>
    <row r="3113" spans="1:8" s="13" customFormat="1" x14ac:dyDescent="0.2">
      <c r="A3113" s="12" t="s">
        <v>127</v>
      </c>
      <c r="B3113" s="13" t="str">
        <f>C3115&amp;" "&amp;Lang_Supplies_And_Materials_Outputs</f>
        <v>Small Group Vaccination Activity (30 people vaccinated) Supplies and Materials - Outputs</v>
      </c>
    </row>
    <row r="3114" spans="1:8" s="10" customFormat="1" outlineLevel="1" x14ac:dyDescent="0.2"/>
    <row r="3115" spans="1:8" s="10" customFormat="1" outlineLevel="1" x14ac:dyDescent="0.2">
      <c r="C3115" s="114" t="str">
        <f>HL_LVL2_ACTV_13_Name</f>
        <v>Small Group Vaccination Activity (30 people vaccinated)</v>
      </c>
    </row>
    <row r="3116" spans="1:8" s="10" customFormat="1" outlineLevel="1" x14ac:dyDescent="0.2">
      <c r="E3116" s="86" t="str">
        <f>SD_Lu!$D$102&amp;" "&amp;Lang_Cost&amp;" ("&amp;SD_Lu!$D$83&amp;")"</f>
        <v>Financial Cost (LCU)</v>
      </c>
      <c r="F3116" s="86" t="str">
        <f>SD_Lu!$D$103&amp;" "&amp;Lang_Cost&amp;" ("&amp;SD_Lu!$D$83&amp;")"</f>
        <v>Economic Cost (LCU)</v>
      </c>
      <c r="G3116" s="86" t="str">
        <f>SD_Lu!$D$102&amp;" "&amp;Lang_Cost&amp;" ("&amp;SD_Lu!$D$82&amp;")"</f>
        <v>Financial Cost (USD)</v>
      </c>
      <c r="H3116" s="86" t="str">
        <f>SD_Lu!$D$103&amp;" "&amp;Lang_Cost&amp;" ("&amp;SD_Lu!$D$82&amp;")"</f>
        <v>Economic Cost (USD)</v>
      </c>
    </row>
    <row r="3117" spans="1:8" s="10" customFormat="1" outlineLevel="1" x14ac:dyDescent="0.2">
      <c r="D3117" s="49" t="str">
        <f>SD_DETAILED_COST_WKSHT!D269</f>
        <v>Supplies and Materials Category 1</v>
      </c>
      <c r="E3117" s="115">
        <f>IF(DD_LVL2_ACTV_13_Currency_Selected=2,SD_DETAILED_COST_WKSHT!$F269*SD_DETAILED_COST_WKSHT!G269,SD_DETAILED_COST_WKSHT!$F269*(SD_DETAILED_COST_WKSHT!G269*LVL2_ACTV_13_Exchange_Rate))</f>
        <v>0</v>
      </c>
      <c r="F3117" s="115">
        <f>IF(DD_LVL2_ACTV_13_Currency_Selected=2,SD_DETAILED_COST_WKSHT!$F269*SD_DETAILED_COST_WKSHT!H269,SD_DETAILED_COST_WKSHT!$F269*(SD_DETAILED_COST_WKSHT!H269*LVL2_ACTV_13_Exchange_Rate))</f>
        <v>0</v>
      </c>
      <c r="G3117" s="116">
        <f t="shared" ref="G3117:G3126" si="296">E3117/LVL2_ACTV_13_Exchange_Rate</f>
        <v>0</v>
      </c>
      <c r="H3117" s="116">
        <f t="shared" ref="H3117:H3126" si="297">F3117/LVL2_ACTV_13_Exchange_Rate</f>
        <v>0</v>
      </c>
    </row>
    <row r="3118" spans="1:8" s="10" customFormat="1" outlineLevel="1" x14ac:dyDescent="0.2">
      <c r="D3118" s="49" t="str">
        <f>SD_DETAILED_COST_WKSHT!D270</f>
        <v>Supplies and Materials Category 2</v>
      </c>
      <c r="E3118" s="115">
        <f>IF(DD_LVL2_ACTV_13_Currency_Selected=2,SD_DETAILED_COST_WKSHT!$F270*SD_DETAILED_COST_WKSHT!G270,SD_DETAILED_COST_WKSHT!$F270*(SD_DETAILED_COST_WKSHT!G270*LVL2_ACTV_13_Exchange_Rate))</f>
        <v>0</v>
      </c>
      <c r="F3118" s="115">
        <f>IF(DD_LVL2_ACTV_13_Currency_Selected=2,SD_DETAILED_COST_WKSHT!$F270*SD_DETAILED_COST_WKSHT!H270,SD_DETAILED_COST_WKSHT!$F270*(SD_DETAILED_COST_WKSHT!H270*LVL2_ACTV_13_Exchange_Rate))</f>
        <v>0</v>
      </c>
      <c r="G3118" s="116">
        <f t="shared" si="296"/>
        <v>0</v>
      </c>
      <c r="H3118" s="116">
        <f t="shared" si="297"/>
        <v>0</v>
      </c>
    </row>
    <row r="3119" spans="1:8" s="10" customFormat="1" outlineLevel="1" x14ac:dyDescent="0.2">
      <c r="D3119" s="49" t="str">
        <f>SD_DETAILED_COST_WKSHT!D271</f>
        <v>Supplies and Materials Category 3</v>
      </c>
      <c r="E3119" s="115">
        <f>IF(DD_LVL2_ACTV_13_Currency_Selected=2,SD_DETAILED_COST_WKSHT!$F271*SD_DETAILED_COST_WKSHT!G271,SD_DETAILED_COST_WKSHT!$F271*(SD_DETAILED_COST_WKSHT!G271*LVL2_ACTV_13_Exchange_Rate))</f>
        <v>0</v>
      </c>
      <c r="F3119" s="115">
        <f>IF(DD_LVL2_ACTV_13_Currency_Selected=2,SD_DETAILED_COST_WKSHT!$F271*SD_DETAILED_COST_WKSHT!H271,SD_DETAILED_COST_WKSHT!$F271*(SD_DETAILED_COST_WKSHT!H271*LVL2_ACTV_13_Exchange_Rate))</f>
        <v>0</v>
      </c>
      <c r="G3119" s="116">
        <f t="shared" si="296"/>
        <v>0</v>
      </c>
      <c r="H3119" s="116">
        <f t="shared" si="297"/>
        <v>0</v>
      </c>
    </row>
    <row r="3120" spans="1:8" s="10" customFormat="1" outlineLevel="1" x14ac:dyDescent="0.2">
      <c r="D3120" s="49" t="str">
        <f>SD_DETAILED_COST_WKSHT!D272</f>
        <v>Supplies and Materials Category 4</v>
      </c>
      <c r="E3120" s="115">
        <f>IF(DD_LVL2_ACTV_13_Currency_Selected=2,SD_DETAILED_COST_WKSHT!$F272*SD_DETAILED_COST_WKSHT!G272,SD_DETAILED_COST_WKSHT!$F272*(SD_DETAILED_COST_WKSHT!G272*LVL2_ACTV_13_Exchange_Rate))</f>
        <v>0</v>
      </c>
      <c r="F3120" s="115">
        <f>IF(DD_LVL2_ACTV_13_Currency_Selected=2,SD_DETAILED_COST_WKSHT!$F272*SD_DETAILED_COST_WKSHT!H272,SD_DETAILED_COST_WKSHT!$F272*(SD_DETAILED_COST_WKSHT!H272*LVL2_ACTV_13_Exchange_Rate))</f>
        <v>0</v>
      </c>
      <c r="G3120" s="116">
        <f t="shared" si="296"/>
        <v>0</v>
      </c>
      <c r="H3120" s="116">
        <f t="shared" si="297"/>
        <v>0</v>
      </c>
    </row>
    <row r="3121" spans="1:8" s="10" customFormat="1" outlineLevel="1" x14ac:dyDescent="0.2">
      <c r="D3121" s="49" t="str">
        <f>SD_DETAILED_COST_WKSHT!D273</f>
        <v>Supplies and Materials Category 5</v>
      </c>
      <c r="E3121" s="115">
        <f>IF(DD_LVL2_ACTV_13_Currency_Selected=2,SD_DETAILED_COST_WKSHT!$F273*SD_DETAILED_COST_WKSHT!G273,SD_DETAILED_COST_WKSHT!$F273*(SD_DETAILED_COST_WKSHT!G273*LVL2_ACTV_13_Exchange_Rate))</f>
        <v>0</v>
      </c>
      <c r="F3121" s="115">
        <f>IF(DD_LVL2_ACTV_13_Currency_Selected=2,SD_DETAILED_COST_WKSHT!$F273*SD_DETAILED_COST_WKSHT!H273,SD_DETAILED_COST_WKSHT!$F273*(SD_DETAILED_COST_WKSHT!H273*LVL2_ACTV_13_Exchange_Rate))</f>
        <v>0</v>
      </c>
      <c r="G3121" s="116">
        <f t="shared" si="296"/>
        <v>0</v>
      </c>
      <c r="H3121" s="116">
        <f t="shared" si="297"/>
        <v>0</v>
      </c>
    </row>
    <row r="3122" spans="1:8" s="10" customFormat="1" outlineLevel="1" x14ac:dyDescent="0.2">
      <c r="D3122" s="49" t="str">
        <f>SD_DETAILED_COST_WKSHT!D274</f>
        <v>Supplies and Materials Category 6</v>
      </c>
      <c r="E3122" s="115">
        <f>IF(DD_LVL2_ACTV_13_Currency_Selected=2,SD_DETAILED_COST_WKSHT!$F274*SD_DETAILED_COST_WKSHT!G274,SD_DETAILED_COST_WKSHT!$F274*(SD_DETAILED_COST_WKSHT!G274*LVL2_ACTV_13_Exchange_Rate))</f>
        <v>0</v>
      </c>
      <c r="F3122" s="115">
        <f>IF(DD_LVL2_ACTV_13_Currency_Selected=2,SD_DETAILED_COST_WKSHT!$F274*SD_DETAILED_COST_WKSHT!H274,SD_DETAILED_COST_WKSHT!$F274*(SD_DETAILED_COST_WKSHT!H274*LVL2_ACTV_13_Exchange_Rate))</f>
        <v>0</v>
      </c>
      <c r="G3122" s="116">
        <f t="shared" si="296"/>
        <v>0</v>
      </c>
      <c r="H3122" s="116">
        <f t="shared" si="297"/>
        <v>0</v>
      </c>
    </row>
    <row r="3123" spans="1:8" s="10" customFormat="1" outlineLevel="1" x14ac:dyDescent="0.2">
      <c r="D3123" s="49" t="str">
        <f>SD_DETAILED_COST_WKSHT!D275</f>
        <v>Supplies and Materials Category 7</v>
      </c>
      <c r="E3123" s="115">
        <f>IF(DD_LVL2_ACTV_13_Currency_Selected=2,SD_DETAILED_COST_WKSHT!$F275*SD_DETAILED_COST_WKSHT!G275,SD_DETAILED_COST_WKSHT!$F275*(SD_DETAILED_COST_WKSHT!G275*LVL2_ACTV_13_Exchange_Rate))</f>
        <v>0</v>
      </c>
      <c r="F3123" s="115">
        <f>IF(DD_LVL2_ACTV_13_Currency_Selected=2,SD_DETAILED_COST_WKSHT!$F275*SD_DETAILED_COST_WKSHT!H275,SD_DETAILED_COST_WKSHT!$F275*(SD_DETAILED_COST_WKSHT!H275*LVL2_ACTV_13_Exchange_Rate))</f>
        <v>0</v>
      </c>
      <c r="G3123" s="116">
        <f t="shared" si="296"/>
        <v>0</v>
      </c>
      <c r="H3123" s="116">
        <f t="shared" si="297"/>
        <v>0</v>
      </c>
    </row>
    <row r="3124" spans="1:8" s="10" customFormat="1" outlineLevel="1" x14ac:dyDescent="0.2">
      <c r="D3124" s="49" t="str">
        <f>SD_DETAILED_COST_WKSHT!D276</f>
        <v>Supplies and Materials Category 8</v>
      </c>
      <c r="E3124" s="115">
        <f>IF(DD_LVL2_ACTV_13_Currency_Selected=2,SD_DETAILED_COST_WKSHT!$F276*SD_DETAILED_COST_WKSHT!G276,SD_DETAILED_COST_WKSHT!$F276*(SD_DETAILED_COST_WKSHT!G276*LVL2_ACTV_13_Exchange_Rate))</f>
        <v>0</v>
      </c>
      <c r="F3124" s="115">
        <f>IF(DD_LVL2_ACTV_13_Currency_Selected=2,SD_DETAILED_COST_WKSHT!$F276*SD_DETAILED_COST_WKSHT!H276,SD_DETAILED_COST_WKSHT!$F276*(SD_DETAILED_COST_WKSHT!H276*LVL2_ACTV_13_Exchange_Rate))</f>
        <v>0</v>
      </c>
      <c r="G3124" s="116">
        <f t="shared" si="296"/>
        <v>0</v>
      </c>
      <c r="H3124" s="116">
        <f t="shared" si="297"/>
        <v>0</v>
      </c>
    </row>
    <row r="3125" spans="1:8" s="10" customFormat="1" outlineLevel="1" x14ac:dyDescent="0.2">
      <c r="D3125" s="49" t="str">
        <f>SD_DETAILED_COST_WKSHT!D277</f>
        <v>Supplies and Materials Category 9</v>
      </c>
      <c r="E3125" s="115">
        <f>IF(DD_LVL2_ACTV_13_Currency_Selected=2,SD_DETAILED_COST_WKSHT!$F277*SD_DETAILED_COST_WKSHT!G277,SD_DETAILED_COST_WKSHT!$F277*(SD_DETAILED_COST_WKSHT!G277*LVL2_ACTV_13_Exchange_Rate))</f>
        <v>0</v>
      </c>
      <c r="F3125" s="115">
        <f>IF(DD_LVL2_ACTV_13_Currency_Selected=2,SD_DETAILED_COST_WKSHT!$F277*SD_DETAILED_COST_WKSHT!H277,SD_DETAILED_COST_WKSHT!$F277*(SD_DETAILED_COST_WKSHT!H277*LVL2_ACTV_13_Exchange_Rate))</f>
        <v>0</v>
      </c>
      <c r="G3125" s="116">
        <f t="shared" si="296"/>
        <v>0</v>
      </c>
      <c r="H3125" s="116">
        <f t="shared" si="297"/>
        <v>0</v>
      </c>
    </row>
    <row r="3126" spans="1:8" s="10" customFormat="1" outlineLevel="1" x14ac:dyDescent="0.2">
      <c r="D3126" s="49" t="str">
        <f>SD_DETAILED_COST_WKSHT!D278</f>
        <v>Supplies and Materials Category 10</v>
      </c>
      <c r="E3126" s="115">
        <f>IF(DD_LVL2_ACTV_13_Currency_Selected=2,SD_DETAILED_COST_WKSHT!$F278*SD_DETAILED_COST_WKSHT!G278,SD_DETAILED_COST_WKSHT!$F278*(SD_DETAILED_COST_WKSHT!G278*LVL2_ACTV_13_Exchange_Rate))</f>
        <v>0</v>
      </c>
      <c r="F3126" s="115">
        <f>IF(DD_LVL2_ACTV_13_Currency_Selected=2,SD_DETAILED_COST_WKSHT!$F278*SD_DETAILED_COST_WKSHT!H278,SD_DETAILED_COST_WKSHT!$F278*(SD_DETAILED_COST_WKSHT!H278*LVL2_ACTV_13_Exchange_Rate))</f>
        <v>0</v>
      </c>
      <c r="G3126" s="116">
        <f t="shared" si="296"/>
        <v>0</v>
      </c>
      <c r="H3126" s="116">
        <f t="shared" si="297"/>
        <v>0</v>
      </c>
    </row>
    <row r="3127" spans="1:8" s="10" customFormat="1" outlineLevel="1" x14ac:dyDescent="0.2">
      <c r="D3127" s="48" t="str">
        <f>Lang_Supplies_And_Materials</f>
        <v>Supplies and Materials</v>
      </c>
      <c r="E3127" s="120">
        <f>SUM(E3117:E3126)</f>
        <v>0</v>
      </c>
      <c r="F3127" s="120">
        <f>SUM(F3117:F3126)</f>
        <v>0</v>
      </c>
      <c r="G3127" s="121">
        <f>SUM(G3117:G3126)</f>
        <v>0</v>
      </c>
      <c r="H3127" s="121">
        <f>SUM(H3117:H3126)</f>
        <v>0</v>
      </c>
    </row>
    <row r="3128" spans="1:8" s="10" customFormat="1" outlineLevel="1" x14ac:dyDescent="0.2"/>
    <row r="3129" spans="1:8" s="10" customFormat="1" outlineLevel="1" x14ac:dyDescent="0.2"/>
    <row r="3130" spans="1:8" s="10" customFormat="1" outlineLevel="1" x14ac:dyDescent="0.2">
      <c r="D3130" s="76" t="str">
        <f>Lang_GoTo&amp;" "&amp;HL_LVL2_ACTV_13_Supplies_and_Materials</f>
        <v>Go to Small Group Vaccination Activity (30 people vaccinated) - Detailed Supply and Material Cost Assumptions</v>
      </c>
    </row>
    <row r="3131" spans="1:8" s="10" customFormat="1" outlineLevel="1" x14ac:dyDescent="0.2">
      <c r="D3131" s="76" t="str">
        <f>Lang_GoTo&amp;" "&amp;HL_LVL2_ACTV_13_Cost_Summary_Output</f>
        <v>Go to Small Group Vaccination Activity (30 people vaccinated) Detailed Cost Summary</v>
      </c>
    </row>
    <row r="3133" spans="1:8" s="13" customFormat="1" x14ac:dyDescent="0.2">
      <c r="A3133" s="6" t="s">
        <v>127</v>
      </c>
      <c r="B3133" s="13" t="str">
        <f>C3135&amp;" "&amp;Lang_Supplies_And_Materials_Outputs</f>
        <v>Large Group Vaccination Activity (100 people vaccinated) Supplies and Materials - Outputs</v>
      </c>
    </row>
    <row r="3134" spans="1:8" outlineLevel="1" x14ac:dyDescent="0.2"/>
    <row r="3135" spans="1:8" outlineLevel="1" x14ac:dyDescent="0.2">
      <c r="C3135" s="114" t="str">
        <f>HL_LVL2_ACTV_9_Name</f>
        <v>Large Group Vaccination Activity (100 people vaccinated)</v>
      </c>
    </row>
    <row r="3136" spans="1:8" outlineLevel="1" x14ac:dyDescent="0.2">
      <c r="E3136" s="63" t="str">
        <f>SD_Lu!$D$137&amp;" "&amp;Lang_Cost&amp;" ("&amp;SD_Lu!$D$118&amp;")"</f>
        <v>Financial Cost (LCU)</v>
      </c>
      <c r="F3136" s="63" t="str">
        <f>SD_Lu!$D$138&amp;" "&amp;Lang_Cost&amp;" ("&amp;SD_Lu!$D$118&amp;")"</f>
        <v>Economic Cost (LCU)</v>
      </c>
      <c r="G3136" s="63" t="str">
        <f>SD_Lu!$D$137&amp;" "&amp;Lang_Cost&amp;" ("&amp;SD_Lu!$D$117&amp;")"</f>
        <v>Financial Cost (USD)</v>
      </c>
      <c r="H3136" s="63" t="str">
        <f>SD_Lu!$D$138&amp;" "&amp;Lang_Cost&amp;" ("&amp;SD_Lu!$D$117&amp;")"</f>
        <v>Economic Cost (USD)</v>
      </c>
    </row>
    <row r="3137" spans="4:8" outlineLevel="1" x14ac:dyDescent="0.2">
      <c r="D3137" s="49" t="str">
        <f>SD_DETAILED_COST_WKSHT!D368</f>
        <v>Supplies and Materials Category 1</v>
      </c>
      <c r="E3137" s="115">
        <f>IF(DD_LVL2_ACTV_9_Currency_Selected=2,SD_DETAILED_COST_WKSHT!$F368*SD_DETAILED_COST_WKSHT!G368,SD_DETAILED_COST_WKSHT!$F368*(SD_DETAILED_COST_WKSHT!G368*LVL2_ACTV_9_Exchange_Rate))</f>
        <v>0</v>
      </c>
      <c r="F3137" s="115">
        <f>IF(DD_LVL2_ACTV_9_Currency_Selected=2,SD_DETAILED_COST_WKSHT!$F368*SD_DETAILED_COST_WKSHT!H368,SD_DETAILED_COST_WKSHT!$F368*(SD_DETAILED_COST_WKSHT!H368*LVL2_ACTV_9_Exchange_Rate))</f>
        <v>0</v>
      </c>
      <c r="G3137" s="116">
        <f t="shared" ref="G3137:G3146" si="298">E3137/LVL2_ACTV_9_Exchange_Rate</f>
        <v>0</v>
      </c>
      <c r="H3137" s="116">
        <f t="shared" ref="H3137:H3146" si="299">F3137/LVL2_ACTV_9_Exchange_Rate</f>
        <v>0</v>
      </c>
    </row>
    <row r="3138" spans="4:8" outlineLevel="1" x14ac:dyDescent="0.2">
      <c r="D3138" s="49" t="str">
        <f>SD_DETAILED_COST_WKSHT!D369</f>
        <v>Supplies and Materials Category 2</v>
      </c>
      <c r="E3138" s="115">
        <f>IF(DD_LVL2_ACTV_9_Currency_Selected=2,SD_DETAILED_COST_WKSHT!$F369*SD_DETAILED_COST_WKSHT!G369,SD_DETAILED_COST_WKSHT!$F369*(SD_DETAILED_COST_WKSHT!G369*LVL2_ACTV_9_Exchange_Rate))</f>
        <v>0</v>
      </c>
      <c r="F3138" s="115">
        <f>IF(DD_LVL2_ACTV_9_Currency_Selected=2,SD_DETAILED_COST_WKSHT!$F369*SD_DETAILED_COST_WKSHT!H369,SD_DETAILED_COST_WKSHT!$F369*(SD_DETAILED_COST_WKSHT!H369*LVL2_ACTV_9_Exchange_Rate))</f>
        <v>0</v>
      </c>
      <c r="G3138" s="116">
        <f t="shared" si="298"/>
        <v>0</v>
      </c>
      <c r="H3138" s="116">
        <f t="shared" si="299"/>
        <v>0</v>
      </c>
    </row>
    <row r="3139" spans="4:8" outlineLevel="1" x14ac:dyDescent="0.2">
      <c r="D3139" s="49" t="str">
        <f>SD_DETAILED_COST_WKSHT!D370</f>
        <v>Supplies and Materials Category 3</v>
      </c>
      <c r="E3139" s="115">
        <f>IF(DD_LVL2_ACTV_9_Currency_Selected=2,SD_DETAILED_COST_WKSHT!$F370*SD_DETAILED_COST_WKSHT!G370,SD_DETAILED_COST_WKSHT!$F370*(SD_DETAILED_COST_WKSHT!G370*LVL2_ACTV_9_Exchange_Rate))</f>
        <v>0</v>
      </c>
      <c r="F3139" s="115">
        <f>IF(DD_LVL2_ACTV_9_Currency_Selected=2,SD_DETAILED_COST_WKSHT!$F370*SD_DETAILED_COST_WKSHT!H370,SD_DETAILED_COST_WKSHT!$F370*(SD_DETAILED_COST_WKSHT!H370*LVL2_ACTV_9_Exchange_Rate))</f>
        <v>0</v>
      </c>
      <c r="G3139" s="116">
        <f t="shared" si="298"/>
        <v>0</v>
      </c>
      <c r="H3139" s="116">
        <f t="shared" si="299"/>
        <v>0</v>
      </c>
    </row>
    <row r="3140" spans="4:8" outlineLevel="1" x14ac:dyDescent="0.2">
      <c r="D3140" s="49" t="str">
        <f>SD_DETAILED_COST_WKSHT!D371</f>
        <v>Supplies and Materials Category 4</v>
      </c>
      <c r="E3140" s="115">
        <f>IF(DD_LVL2_ACTV_9_Currency_Selected=2,SD_DETAILED_COST_WKSHT!$F371*SD_DETAILED_COST_WKSHT!G371,SD_DETAILED_COST_WKSHT!$F371*(SD_DETAILED_COST_WKSHT!G371*LVL2_ACTV_9_Exchange_Rate))</f>
        <v>0</v>
      </c>
      <c r="F3140" s="115">
        <f>IF(DD_LVL2_ACTV_9_Currency_Selected=2,SD_DETAILED_COST_WKSHT!$F371*SD_DETAILED_COST_WKSHT!H371,SD_DETAILED_COST_WKSHT!$F371*(SD_DETAILED_COST_WKSHT!H371*LVL2_ACTV_9_Exchange_Rate))</f>
        <v>0</v>
      </c>
      <c r="G3140" s="116">
        <f t="shared" si="298"/>
        <v>0</v>
      </c>
      <c r="H3140" s="116">
        <f t="shared" si="299"/>
        <v>0</v>
      </c>
    </row>
    <row r="3141" spans="4:8" outlineLevel="1" x14ac:dyDescent="0.2">
      <c r="D3141" s="49" t="str">
        <f>SD_DETAILED_COST_WKSHT!D372</f>
        <v>Supplies and Materials Category 5</v>
      </c>
      <c r="E3141" s="115">
        <f>IF(DD_LVL2_ACTV_9_Currency_Selected=2,SD_DETAILED_COST_WKSHT!$F372*SD_DETAILED_COST_WKSHT!G372,SD_DETAILED_COST_WKSHT!$F372*(SD_DETAILED_COST_WKSHT!G372*LVL2_ACTV_9_Exchange_Rate))</f>
        <v>0</v>
      </c>
      <c r="F3141" s="115">
        <f>IF(DD_LVL2_ACTV_9_Currency_Selected=2,SD_DETAILED_COST_WKSHT!$F372*SD_DETAILED_COST_WKSHT!H372,SD_DETAILED_COST_WKSHT!$F372*(SD_DETAILED_COST_WKSHT!H372*LVL2_ACTV_9_Exchange_Rate))</f>
        <v>0</v>
      </c>
      <c r="G3141" s="116">
        <f t="shared" si="298"/>
        <v>0</v>
      </c>
      <c r="H3141" s="116">
        <f t="shared" si="299"/>
        <v>0</v>
      </c>
    </row>
    <row r="3142" spans="4:8" outlineLevel="1" x14ac:dyDescent="0.2">
      <c r="D3142" s="49" t="str">
        <f>SD_DETAILED_COST_WKSHT!D373</f>
        <v>Supplies and Materials Category 6</v>
      </c>
      <c r="E3142" s="115">
        <f>IF(DD_LVL2_ACTV_9_Currency_Selected=2,SD_DETAILED_COST_WKSHT!$F373*SD_DETAILED_COST_WKSHT!G373,SD_DETAILED_COST_WKSHT!$F373*(SD_DETAILED_COST_WKSHT!G373*LVL2_ACTV_9_Exchange_Rate))</f>
        <v>0</v>
      </c>
      <c r="F3142" s="115">
        <f>IF(DD_LVL2_ACTV_9_Currency_Selected=2,SD_DETAILED_COST_WKSHT!$F373*SD_DETAILED_COST_WKSHT!H373,SD_DETAILED_COST_WKSHT!$F373*(SD_DETAILED_COST_WKSHT!H373*LVL2_ACTV_9_Exchange_Rate))</f>
        <v>0</v>
      </c>
      <c r="G3142" s="116">
        <f t="shared" si="298"/>
        <v>0</v>
      </c>
      <c r="H3142" s="116">
        <f t="shared" si="299"/>
        <v>0</v>
      </c>
    </row>
    <row r="3143" spans="4:8" outlineLevel="1" x14ac:dyDescent="0.2">
      <c r="D3143" s="49" t="str">
        <f>SD_DETAILED_COST_WKSHT!D374</f>
        <v>Supplies and Materials Category 7</v>
      </c>
      <c r="E3143" s="115">
        <f>IF(DD_LVL2_ACTV_9_Currency_Selected=2,SD_DETAILED_COST_WKSHT!$F374*SD_DETAILED_COST_WKSHT!G374,SD_DETAILED_COST_WKSHT!$F374*(SD_DETAILED_COST_WKSHT!G374*LVL2_ACTV_9_Exchange_Rate))</f>
        <v>0</v>
      </c>
      <c r="F3143" s="115">
        <f>IF(DD_LVL2_ACTV_9_Currency_Selected=2,SD_DETAILED_COST_WKSHT!$F374*SD_DETAILED_COST_WKSHT!H374,SD_DETAILED_COST_WKSHT!$F374*(SD_DETAILED_COST_WKSHT!H374*LVL2_ACTV_9_Exchange_Rate))</f>
        <v>0</v>
      </c>
      <c r="G3143" s="116">
        <f t="shared" si="298"/>
        <v>0</v>
      </c>
      <c r="H3143" s="116">
        <f t="shared" si="299"/>
        <v>0</v>
      </c>
    </row>
    <row r="3144" spans="4:8" outlineLevel="1" x14ac:dyDescent="0.2">
      <c r="D3144" s="49" t="str">
        <f>SD_DETAILED_COST_WKSHT!D375</f>
        <v>Supplies and Materials Category 8</v>
      </c>
      <c r="E3144" s="115">
        <f>IF(DD_LVL2_ACTV_9_Currency_Selected=2,SD_DETAILED_COST_WKSHT!$F375*SD_DETAILED_COST_WKSHT!G375,SD_DETAILED_COST_WKSHT!$F375*(SD_DETAILED_COST_WKSHT!G375*LVL2_ACTV_9_Exchange_Rate))</f>
        <v>0</v>
      </c>
      <c r="F3144" s="115">
        <f>IF(DD_LVL2_ACTV_9_Currency_Selected=2,SD_DETAILED_COST_WKSHT!$F375*SD_DETAILED_COST_WKSHT!H375,SD_DETAILED_COST_WKSHT!$F375*(SD_DETAILED_COST_WKSHT!H375*LVL2_ACTV_9_Exchange_Rate))</f>
        <v>0</v>
      </c>
      <c r="G3144" s="116">
        <f t="shared" si="298"/>
        <v>0</v>
      </c>
      <c r="H3144" s="116">
        <f t="shared" si="299"/>
        <v>0</v>
      </c>
    </row>
    <row r="3145" spans="4:8" outlineLevel="1" x14ac:dyDescent="0.2">
      <c r="D3145" s="49" t="str">
        <f>SD_DETAILED_COST_WKSHT!D376</f>
        <v>Supplies and Materials Category 9</v>
      </c>
      <c r="E3145" s="115">
        <f>IF(DD_LVL2_ACTV_9_Currency_Selected=2,SD_DETAILED_COST_WKSHT!$F376*SD_DETAILED_COST_WKSHT!G376,SD_DETAILED_COST_WKSHT!$F376*(SD_DETAILED_COST_WKSHT!G376*LVL2_ACTV_9_Exchange_Rate))</f>
        <v>0</v>
      </c>
      <c r="F3145" s="115">
        <f>IF(DD_LVL2_ACTV_9_Currency_Selected=2,SD_DETAILED_COST_WKSHT!$F376*SD_DETAILED_COST_WKSHT!H376,SD_DETAILED_COST_WKSHT!$F376*(SD_DETAILED_COST_WKSHT!H376*LVL2_ACTV_9_Exchange_Rate))</f>
        <v>0</v>
      </c>
      <c r="G3145" s="116">
        <f t="shared" si="298"/>
        <v>0</v>
      </c>
      <c r="H3145" s="116">
        <f t="shared" si="299"/>
        <v>0</v>
      </c>
    </row>
    <row r="3146" spans="4:8" outlineLevel="1" x14ac:dyDescent="0.2">
      <c r="D3146" s="49" t="str">
        <f>SD_DETAILED_COST_WKSHT!D377</f>
        <v>Supplies and Materials Category 10</v>
      </c>
      <c r="E3146" s="115">
        <f>IF(DD_LVL2_ACTV_9_Currency_Selected=2,SD_DETAILED_COST_WKSHT!$F377*SD_DETAILED_COST_WKSHT!G377,SD_DETAILED_COST_WKSHT!$F377*(SD_DETAILED_COST_WKSHT!G377*LVL2_ACTV_9_Exchange_Rate))</f>
        <v>0</v>
      </c>
      <c r="F3146" s="115">
        <f>IF(DD_LVL2_ACTV_9_Currency_Selected=2,SD_DETAILED_COST_WKSHT!$F377*SD_DETAILED_COST_WKSHT!H377,SD_DETAILED_COST_WKSHT!$F377*(SD_DETAILED_COST_WKSHT!H377*LVL2_ACTV_9_Exchange_Rate))</f>
        <v>0</v>
      </c>
      <c r="G3146" s="116">
        <f t="shared" si="298"/>
        <v>0</v>
      </c>
      <c r="H3146" s="116">
        <f t="shared" si="299"/>
        <v>0</v>
      </c>
    </row>
    <row r="3147" spans="4:8" outlineLevel="1" x14ac:dyDescent="0.2">
      <c r="D3147" s="48" t="str">
        <f>Lang_Supplies_And_Materials</f>
        <v>Supplies and Materials</v>
      </c>
      <c r="E3147" s="120">
        <f>SUM(E3137:E3146)</f>
        <v>0</v>
      </c>
      <c r="F3147" s="120">
        <f>SUM(F3137:F3146)</f>
        <v>0</v>
      </c>
      <c r="G3147" s="121">
        <f>SUM(G3137:G3146)</f>
        <v>0</v>
      </c>
      <c r="H3147" s="121">
        <f>SUM(H3137:H3146)</f>
        <v>0</v>
      </c>
    </row>
    <row r="3148" spans="4:8" outlineLevel="1" x14ac:dyDescent="0.2"/>
    <row r="3149" spans="4:8" outlineLevel="1" x14ac:dyDescent="0.2"/>
    <row r="3150" spans="4:8" outlineLevel="1" x14ac:dyDescent="0.2">
      <c r="D3150" s="47" t="str">
        <f>Lang_GoTo&amp;" "&amp;HL_LVL2_ACTV_9_Supplies_and_Materials</f>
        <v>Go to Large Group Vaccination Activity (100 people vaccinated) - Detailed Supply and Material Cost Assumptions</v>
      </c>
    </row>
    <row r="3151" spans="4:8" outlineLevel="1" x14ac:dyDescent="0.2">
      <c r="D3151" s="47" t="str">
        <f>Lang_GoTo&amp;" "&amp;HL_LVL2_ACTV_9_Cost_Summary_Output</f>
        <v>Go to Large Group Vaccination Activity (100 people vaccinated) Detailed Cost Summary</v>
      </c>
    </row>
    <row r="3152" spans="4:8" s="10" customFormat="1" x14ac:dyDescent="0.2"/>
    <row r="3153" spans="1:8" s="13" customFormat="1" x14ac:dyDescent="0.2">
      <c r="A3153" s="12" t="s">
        <v>127</v>
      </c>
      <c r="B3153" s="13" t="str">
        <f>C3155&amp;" "&amp;Lang_Other_Direct_Costs_Outputs</f>
        <v>Small Group Vaccination Activity (30 people vaccinated) Other Direct Costs - Outputs</v>
      </c>
    </row>
    <row r="3154" spans="1:8" s="10" customFormat="1" outlineLevel="1" x14ac:dyDescent="0.2"/>
    <row r="3155" spans="1:8" s="10" customFormat="1" outlineLevel="1" x14ac:dyDescent="0.2">
      <c r="C3155" s="114" t="str">
        <f>HL_LVL2_ACTV_13_Name</f>
        <v>Small Group Vaccination Activity (30 people vaccinated)</v>
      </c>
    </row>
    <row r="3156" spans="1:8" s="10" customFormat="1" outlineLevel="1" x14ac:dyDescent="0.2">
      <c r="E3156" s="86" t="str">
        <f>SD_Lu!$D$102&amp;" "&amp;Lang_Cost&amp;" ("&amp;SD_Lu!$D$83&amp;")"</f>
        <v>Financial Cost (LCU)</v>
      </c>
      <c r="F3156" s="86" t="str">
        <f>SD_Lu!$D$103&amp;" "&amp;Lang_Cost&amp;" ("&amp;SD_Lu!$D$83&amp;")"</f>
        <v>Economic Cost (LCU)</v>
      </c>
      <c r="G3156" s="86" t="str">
        <f>SD_Lu!$D$102&amp;" "&amp;Lang_Cost&amp;" ("&amp;SD_Lu!$D$82&amp;")"</f>
        <v>Financial Cost (USD)</v>
      </c>
      <c r="H3156" s="86" t="str">
        <f>SD_Lu!$D$103&amp;" "&amp;Lang_Cost&amp;" ("&amp;SD_Lu!$D$82&amp;")"</f>
        <v>Economic Cost (USD)</v>
      </c>
    </row>
    <row r="3157" spans="1:8" s="10" customFormat="1" outlineLevel="1" x14ac:dyDescent="0.2">
      <c r="D3157" s="49" t="str">
        <f>SD_DETAILED_COST_WKSHT!D287</f>
        <v>Other Direct Costs (ODC) Category 1</v>
      </c>
      <c r="E3157" s="115">
        <f>IF(DD_LVL2_ACTV_13_Currency_Selected=2,SD_DETAILED_COST_WKSHT!$F287*SD_DETAILED_COST_WKSHT!G287,SD_DETAILED_COST_WKSHT!$F287*(SD_DETAILED_COST_WKSHT!G287*LVL2_ACTV_13_Exchange_Rate))</f>
        <v>0</v>
      </c>
      <c r="F3157" s="115">
        <f>IF(DD_LVL2_ACTV_13_Currency_Selected=2,SD_DETAILED_COST_WKSHT!$F287*SD_DETAILED_COST_WKSHT!H287,SD_DETAILED_COST_WKSHT!$F287*(SD_DETAILED_COST_WKSHT!H287*LVL2_ACTV_13_Exchange_Rate))</f>
        <v>0</v>
      </c>
      <c r="G3157" s="116">
        <f t="shared" ref="G3157:G3166" si="300">E3157/LVL2_ACTV_13_Exchange_Rate</f>
        <v>0</v>
      </c>
      <c r="H3157" s="116">
        <f t="shared" ref="H3157:H3166" si="301">F3157/LVL2_ACTV_13_Exchange_Rate</f>
        <v>0</v>
      </c>
    </row>
    <row r="3158" spans="1:8" s="10" customFormat="1" outlineLevel="1" x14ac:dyDescent="0.2">
      <c r="D3158" s="49" t="str">
        <f>SD_DETAILED_COST_WKSHT!D288</f>
        <v>Other Direct Costs (ODC) Category 2</v>
      </c>
      <c r="E3158" s="115">
        <f>IF(DD_LVL2_ACTV_13_Currency_Selected=2,SD_DETAILED_COST_WKSHT!$F288*SD_DETAILED_COST_WKSHT!G288,SD_DETAILED_COST_WKSHT!$F288*(SD_DETAILED_COST_WKSHT!G288*LVL2_ACTV_13_Exchange_Rate))</f>
        <v>0</v>
      </c>
      <c r="F3158" s="115">
        <f>IF(DD_LVL2_ACTV_13_Currency_Selected=2,SD_DETAILED_COST_WKSHT!$F288*SD_DETAILED_COST_WKSHT!H288,SD_DETAILED_COST_WKSHT!$F288*(SD_DETAILED_COST_WKSHT!H288*LVL2_ACTV_13_Exchange_Rate))</f>
        <v>0</v>
      </c>
      <c r="G3158" s="116">
        <f t="shared" si="300"/>
        <v>0</v>
      </c>
      <c r="H3158" s="116">
        <f t="shared" si="301"/>
        <v>0</v>
      </c>
    </row>
    <row r="3159" spans="1:8" s="10" customFormat="1" outlineLevel="1" x14ac:dyDescent="0.2">
      <c r="D3159" s="49" t="str">
        <f>SD_DETAILED_COST_WKSHT!D289</f>
        <v>Other Direct Costs (ODC) Category 3</v>
      </c>
      <c r="E3159" s="115">
        <f>IF(DD_LVL2_ACTV_13_Currency_Selected=2,SD_DETAILED_COST_WKSHT!$F289*SD_DETAILED_COST_WKSHT!G289,SD_DETAILED_COST_WKSHT!$F289*(SD_DETAILED_COST_WKSHT!G289*LVL2_ACTV_13_Exchange_Rate))</f>
        <v>0</v>
      </c>
      <c r="F3159" s="115">
        <f>IF(DD_LVL2_ACTV_13_Currency_Selected=2,SD_DETAILED_COST_WKSHT!$F289*SD_DETAILED_COST_WKSHT!H289,SD_DETAILED_COST_WKSHT!$F289*(SD_DETAILED_COST_WKSHT!H289*LVL2_ACTV_13_Exchange_Rate))</f>
        <v>0</v>
      </c>
      <c r="G3159" s="116">
        <f t="shared" si="300"/>
        <v>0</v>
      </c>
      <c r="H3159" s="116">
        <f t="shared" si="301"/>
        <v>0</v>
      </c>
    </row>
    <row r="3160" spans="1:8" s="10" customFormat="1" outlineLevel="1" x14ac:dyDescent="0.2">
      <c r="D3160" s="49" t="str">
        <f>SD_DETAILED_COST_WKSHT!D290</f>
        <v>Other Direct Costs (ODC) Category 4</v>
      </c>
      <c r="E3160" s="115">
        <f>IF(DD_LVL2_ACTV_13_Currency_Selected=2,SD_DETAILED_COST_WKSHT!$F290*SD_DETAILED_COST_WKSHT!G290,SD_DETAILED_COST_WKSHT!$F290*(SD_DETAILED_COST_WKSHT!G290*LVL2_ACTV_13_Exchange_Rate))</f>
        <v>0</v>
      </c>
      <c r="F3160" s="115">
        <f>IF(DD_LVL2_ACTV_13_Currency_Selected=2,SD_DETAILED_COST_WKSHT!$F290*SD_DETAILED_COST_WKSHT!H290,SD_DETAILED_COST_WKSHT!$F290*(SD_DETAILED_COST_WKSHT!H290*LVL2_ACTV_13_Exchange_Rate))</f>
        <v>0</v>
      </c>
      <c r="G3160" s="116">
        <f t="shared" si="300"/>
        <v>0</v>
      </c>
      <c r="H3160" s="116">
        <f t="shared" si="301"/>
        <v>0</v>
      </c>
    </row>
    <row r="3161" spans="1:8" s="10" customFormat="1" outlineLevel="1" x14ac:dyDescent="0.2">
      <c r="D3161" s="49" t="str">
        <f>SD_DETAILED_COST_WKSHT!D291</f>
        <v>Other Direct Costs (ODC) Category 5</v>
      </c>
      <c r="E3161" s="115">
        <f>IF(DD_LVL2_ACTV_13_Currency_Selected=2,SD_DETAILED_COST_WKSHT!$F291*SD_DETAILED_COST_WKSHT!G291,SD_DETAILED_COST_WKSHT!$F291*(SD_DETAILED_COST_WKSHT!G291*LVL2_ACTV_13_Exchange_Rate))</f>
        <v>0</v>
      </c>
      <c r="F3161" s="115">
        <f>IF(DD_LVL2_ACTV_13_Currency_Selected=2,SD_DETAILED_COST_WKSHT!$F291*SD_DETAILED_COST_WKSHT!H291,SD_DETAILED_COST_WKSHT!$F291*(SD_DETAILED_COST_WKSHT!H291*LVL2_ACTV_13_Exchange_Rate))</f>
        <v>0</v>
      </c>
      <c r="G3161" s="116">
        <f t="shared" si="300"/>
        <v>0</v>
      </c>
      <c r="H3161" s="116">
        <f t="shared" si="301"/>
        <v>0</v>
      </c>
    </row>
    <row r="3162" spans="1:8" s="10" customFormat="1" outlineLevel="1" x14ac:dyDescent="0.2">
      <c r="D3162" s="49" t="str">
        <f>SD_DETAILED_COST_WKSHT!D292</f>
        <v>Other Direct Costs (ODC) Category 6</v>
      </c>
      <c r="E3162" s="115">
        <f>IF(DD_LVL2_ACTV_13_Currency_Selected=2,SD_DETAILED_COST_WKSHT!$F292*SD_DETAILED_COST_WKSHT!G292,SD_DETAILED_COST_WKSHT!$F292*(SD_DETAILED_COST_WKSHT!G292*LVL2_ACTV_13_Exchange_Rate))</f>
        <v>0</v>
      </c>
      <c r="F3162" s="115">
        <f>IF(DD_LVL2_ACTV_13_Currency_Selected=2,SD_DETAILED_COST_WKSHT!$F292*SD_DETAILED_COST_WKSHT!H292,SD_DETAILED_COST_WKSHT!$F292*(SD_DETAILED_COST_WKSHT!H292*LVL2_ACTV_13_Exchange_Rate))</f>
        <v>0</v>
      </c>
      <c r="G3162" s="116">
        <f t="shared" si="300"/>
        <v>0</v>
      </c>
      <c r="H3162" s="116">
        <f t="shared" si="301"/>
        <v>0</v>
      </c>
    </row>
    <row r="3163" spans="1:8" s="10" customFormat="1" outlineLevel="1" x14ac:dyDescent="0.2">
      <c r="D3163" s="49" t="str">
        <f>SD_DETAILED_COST_WKSHT!D293</f>
        <v>Other Direct Costs (ODC) Category 7</v>
      </c>
      <c r="E3163" s="115">
        <f>IF(DD_LVL2_ACTV_13_Currency_Selected=2,SD_DETAILED_COST_WKSHT!$F293*SD_DETAILED_COST_WKSHT!G293,SD_DETAILED_COST_WKSHT!$F293*(SD_DETAILED_COST_WKSHT!G293*LVL2_ACTV_13_Exchange_Rate))</f>
        <v>0</v>
      </c>
      <c r="F3163" s="115">
        <f>IF(DD_LVL2_ACTV_13_Currency_Selected=2,SD_DETAILED_COST_WKSHT!$F293*SD_DETAILED_COST_WKSHT!H293,SD_DETAILED_COST_WKSHT!$F293*(SD_DETAILED_COST_WKSHT!H293*LVL2_ACTV_13_Exchange_Rate))</f>
        <v>0</v>
      </c>
      <c r="G3163" s="116">
        <f t="shared" si="300"/>
        <v>0</v>
      </c>
      <c r="H3163" s="116">
        <f t="shared" si="301"/>
        <v>0</v>
      </c>
    </row>
    <row r="3164" spans="1:8" s="10" customFormat="1" outlineLevel="1" x14ac:dyDescent="0.2">
      <c r="D3164" s="49" t="str">
        <f>SD_DETAILED_COST_WKSHT!D294</f>
        <v>Other Direct Costs (ODC) Category 8</v>
      </c>
      <c r="E3164" s="115">
        <f>IF(DD_LVL2_ACTV_13_Currency_Selected=2,SD_DETAILED_COST_WKSHT!$F294*SD_DETAILED_COST_WKSHT!G294,SD_DETAILED_COST_WKSHT!$F294*(SD_DETAILED_COST_WKSHT!G294*LVL2_ACTV_13_Exchange_Rate))</f>
        <v>0</v>
      </c>
      <c r="F3164" s="115">
        <f>IF(DD_LVL2_ACTV_13_Currency_Selected=2,SD_DETAILED_COST_WKSHT!$F294*SD_DETAILED_COST_WKSHT!H294,SD_DETAILED_COST_WKSHT!$F294*(SD_DETAILED_COST_WKSHT!H294*LVL2_ACTV_13_Exchange_Rate))</f>
        <v>0</v>
      </c>
      <c r="G3164" s="116">
        <f t="shared" si="300"/>
        <v>0</v>
      </c>
      <c r="H3164" s="116">
        <f t="shared" si="301"/>
        <v>0</v>
      </c>
    </row>
    <row r="3165" spans="1:8" s="10" customFormat="1" outlineLevel="1" x14ac:dyDescent="0.2">
      <c r="D3165" s="49" t="str">
        <f>SD_DETAILED_COST_WKSHT!D295</f>
        <v>Other Direct Costs (ODC) Category 9</v>
      </c>
      <c r="E3165" s="115">
        <f>IF(DD_LVL2_ACTV_13_Currency_Selected=2,SD_DETAILED_COST_WKSHT!$F295*SD_DETAILED_COST_WKSHT!G295,SD_DETAILED_COST_WKSHT!$F295*(SD_DETAILED_COST_WKSHT!G295*LVL2_ACTV_13_Exchange_Rate))</f>
        <v>0</v>
      </c>
      <c r="F3165" s="115">
        <f>IF(DD_LVL2_ACTV_13_Currency_Selected=2,SD_DETAILED_COST_WKSHT!$F295*SD_DETAILED_COST_WKSHT!H295,SD_DETAILED_COST_WKSHT!$F295*(SD_DETAILED_COST_WKSHT!H295*LVL2_ACTV_13_Exchange_Rate))</f>
        <v>0</v>
      </c>
      <c r="G3165" s="116">
        <f t="shared" si="300"/>
        <v>0</v>
      </c>
      <c r="H3165" s="116">
        <f t="shared" si="301"/>
        <v>0</v>
      </c>
    </row>
    <row r="3166" spans="1:8" s="10" customFormat="1" outlineLevel="1" x14ac:dyDescent="0.2">
      <c r="D3166" s="49" t="str">
        <f>SD_DETAILED_COST_WKSHT!D296</f>
        <v>Other Direct Costs (ODC) Category 10</v>
      </c>
      <c r="E3166" s="115">
        <f>IF(DD_LVL2_ACTV_13_Currency_Selected=2,SD_DETAILED_COST_WKSHT!$F296*SD_DETAILED_COST_WKSHT!G296,SD_DETAILED_COST_WKSHT!$F296*(SD_DETAILED_COST_WKSHT!G296*LVL2_ACTV_13_Exchange_Rate))</f>
        <v>0</v>
      </c>
      <c r="F3166" s="115">
        <f>IF(DD_LVL2_ACTV_13_Currency_Selected=2,SD_DETAILED_COST_WKSHT!$F296*SD_DETAILED_COST_WKSHT!H296,SD_DETAILED_COST_WKSHT!$F296*(SD_DETAILED_COST_WKSHT!H296*LVL2_ACTV_13_Exchange_Rate))</f>
        <v>0</v>
      </c>
      <c r="G3166" s="116">
        <f t="shared" si="300"/>
        <v>0</v>
      </c>
      <c r="H3166" s="116">
        <f t="shared" si="301"/>
        <v>0</v>
      </c>
    </row>
    <row r="3167" spans="1:8" s="10" customFormat="1" outlineLevel="1" x14ac:dyDescent="0.2">
      <c r="D3167" s="48" t="str">
        <f>Lang_Other_Direct_Costs</f>
        <v>Other Direct Costs</v>
      </c>
      <c r="E3167" s="120">
        <f>SUM(E3157:E3166)</f>
        <v>0</v>
      </c>
      <c r="F3167" s="120">
        <f>SUM(F3157:F3166)</f>
        <v>0</v>
      </c>
      <c r="G3167" s="121">
        <f>SUM(G3157:G3166)</f>
        <v>0</v>
      </c>
      <c r="H3167" s="121">
        <f>SUM(H3157:H3166)</f>
        <v>0</v>
      </c>
    </row>
    <row r="3168" spans="1:8" s="10" customFormat="1" outlineLevel="1" x14ac:dyDescent="0.2"/>
    <row r="3169" spans="1:8" s="10" customFormat="1" outlineLevel="1" x14ac:dyDescent="0.2">
      <c r="D3169" s="76" t="str">
        <f>Lang_GoTo&amp;" "&amp;HL_LVL2_ACTV_13_Other_Direct_Costs</f>
        <v>Go to Small Group Vaccination Activity (30 people vaccinated) - Detailed Other Direct Cost Assumptions</v>
      </c>
    </row>
    <row r="3170" spans="1:8" s="10" customFormat="1" outlineLevel="1" x14ac:dyDescent="0.2">
      <c r="D3170" s="76" t="str">
        <f>Lang_GoTo&amp;" "&amp;HL_LVL2_ACTV_13_Cost_Summary_Output</f>
        <v>Go to Small Group Vaccination Activity (30 people vaccinated) Detailed Cost Summary</v>
      </c>
    </row>
    <row r="3172" spans="1:8" s="13" customFormat="1" x14ac:dyDescent="0.2">
      <c r="A3172" s="6" t="s">
        <v>127</v>
      </c>
      <c r="B3172" s="13" t="str">
        <f>C3174&amp;" "&amp;Lang_Other_Direct_Costs_Outputs</f>
        <v>Large Group Vaccination Activity (100 people vaccinated) Other Direct Costs - Outputs</v>
      </c>
    </row>
    <row r="3173" spans="1:8" outlineLevel="1" x14ac:dyDescent="0.2"/>
    <row r="3174" spans="1:8" outlineLevel="1" x14ac:dyDescent="0.2">
      <c r="C3174" s="114" t="str">
        <f>HL_LVL2_ACTV_9_Name</f>
        <v>Large Group Vaccination Activity (100 people vaccinated)</v>
      </c>
    </row>
    <row r="3175" spans="1:8" outlineLevel="1" x14ac:dyDescent="0.2">
      <c r="E3175" s="63" t="str">
        <f>SD_Lu!$D$137&amp;" "&amp;Lang_Cost&amp;" ("&amp;SD_Lu!$D$118&amp;")"</f>
        <v>Financial Cost (LCU)</v>
      </c>
      <c r="F3175" s="63" t="str">
        <f>SD_Lu!$D$138&amp;" "&amp;Lang_Cost&amp;" ("&amp;SD_Lu!$D$118&amp;")"</f>
        <v>Economic Cost (LCU)</v>
      </c>
      <c r="G3175" s="63" t="str">
        <f>SD_Lu!$D$137&amp;" "&amp;Lang_Cost&amp;" ("&amp;SD_Lu!$D$117&amp;")"</f>
        <v>Financial Cost (USD)</v>
      </c>
      <c r="H3175" s="63" t="str">
        <f>SD_Lu!$D$138&amp;" "&amp;Lang_Cost&amp;" ("&amp;SD_Lu!$D$117&amp;")"</f>
        <v>Economic Cost (USD)</v>
      </c>
    </row>
    <row r="3176" spans="1:8" outlineLevel="1" x14ac:dyDescent="0.2">
      <c r="D3176" s="49" t="str">
        <f>SD_DETAILED_COST_WKSHT!D386</f>
        <v>Other Direct Costs (ODC) Category 1</v>
      </c>
      <c r="E3176" s="115">
        <f>IF(DD_LVL2_ACTV_9_Currency_Selected=2,SD_DETAILED_COST_WKSHT!$F386*SD_DETAILED_COST_WKSHT!G386,SD_DETAILED_COST_WKSHT!$F386*(SD_DETAILED_COST_WKSHT!G386*LVL2_ACTV_9_Exchange_Rate))</f>
        <v>0</v>
      </c>
      <c r="F3176" s="115">
        <f>IF(DD_LVL2_ACTV_9_Currency_Selected=2,SD_DETAILED_COST_WKSHT!$F386*SD_DETAILED_COST_WKSHT!H386,SD_DETAILED_COST_WKSHT!$F386*(SD_DETAILED_COST_WKSHT!H386*LVL2_ACTV_9_Exchange_Rate))</f>
        <v>0</v>
      </c>
      <c r="G3176" s="116">
        <f t="shared" ref="G3176:G3185" si="302">E3176/LVL2_ACTV_9_Exchange_Rate</f>
        <v>0</v>
      </c>
      <c r="H3176" s="116">
        <f t="shared" ref="H3176:H3185" si="303">F3176/LVL2_ACTV_9_Exchange_Rate</f>
        <v>0</v>
      </c>
    </row>
    <row r="3177" spans="1:8" outlineLevel="1" x14ac:dyDescent="0.2">
      <c r="D3177" s="49" t="str">
        <f>SD_DETAILED_COST_WKSHT!D387</f>
        <v>Other Direct Costs (ODC) Category 2</v>
      </c>
      <c r="E3177" s="115">
        <f>IF(DD_LVL2_ACTV_9_Currency_Selected=2,SD_DETAILED_COST_WKSHT!$F387*SD_DETAILED_COST_WKSHT!G387,SD_DETAILED_COST_WKSHT!$F387*(SD_DETAILED_COST_WKSHT!G387*LVL2_ACTV_9_Exchange_Rate))</f>
        <v>0</v>
      </c>
      <c r="F3177" s="115">
        <f>IF(DD_LVL2_ACTV_9_Currency_Selected=2,SD_DETAILED_COST_WKSHT!$F387*SD_DETAILED_COST_WKSHT!H387,SD_DETAILED_COST_WKSHT!$F387*(SD_DETAILED_COST_WKSHT!H387*LVL2_ACTV_9_Exchange_Rate))</f>
        <v>0</v>
      </c>
      <c r="G3177" s="116">
        <f t="shared" si="302"/>
        <v>0</v>
      </c>
      <c r="H3177" s="116">
        <f t="shared" si="303"/>
        <v>0</v>
      </c>
    </row>
    <row r="3178" spans="1:8" outlineLevel="1" x14ac:dyDescent="0.2">
      <c r="D3178" s="49" t="str">
        <f>SD_DETAILED_COST_WKSHT!D388</f>
        <v>Other Direct Costs (ODC) Category 3</v>
      </c>
      <c r="E3178" s="115">
        <f>IF(DD_LVL2_ACTV_9_Currency_Selected=2,SD_DETAILED_COST_WKSHT!$F388*SD_DETAILED_COST_WKSHT!G388,SD_DETAILED_COST_WKSHT!$F388*(SD_DETAILED_COST_WKSHT!G388*LVL2_ACTV_9_Exchange_Rate))</f>
        <v>0</v>
      </c>
      <c r="F3178" s="115">
        <f>IF(DD_LVL2_ACTV_9_Currency_Selected=2,SD_DETAILED_COST_WKSHT!$F388*SD_DETAILED_COST_WKSHT!H388,SD_DETAILED_COST_WKSHT!$F388*(SD_DETAILED_COST_WKSHT!H388*LVL2_ACTV_9_Exchange_Rate))</f>
        <v>0</v>
      </c>
      <c r="G3178" s="116">
        <f t="shared" si="302"/>
        <v>0</v>
      </c>
      <c r="H3178" s="116">
        <f t="shared" si="303"/>
        <v>0</v>
      </c>
    </row>
    <row r="3179" spans="1:8" outlineLevel="1" x14ac:dyDescent="0.2">
      <c r="D3179" s="49" t="str">
        <f>SD_DETAILED_COST_WKSHT!D389</f>
        <v>Other Direct Costs (ODC) Category 4</v>
      </c>
      <c r="E3179" s="115">
        <f>IF(DD_LVL2_ACTV_9_Currency_Selected=2,SD_DETAILED_COST_WKSHT!$F389*SD_DETAILED_COST_WKSHT!G389,SD_DETAILED_COST_WKSHT!$F389*(SD_DETAILED_COST_WKSHT!G389*LVL2_ACTV_9_Exchange_Rate))</f>
        <v>0</v>
      </c>
      <c r="F3179" s="115">
        <f>IF(DD_LVL2_ACTV_9_Currency_Selected=2,SD_DETAILED_COST_WKSHT!$F389*SD_DETAILED_COST_WKSHT!H389,SD_DETAILED_COST_WKSHT!$F389*(SD_DETAILED_COST_WKSHT!H389*LVL2_ACTV_9_Exchange_Rate))</f>
        <v>0</v>
      </c>
      <c r="G3179" s="116">
        <f t="shared" si="302"/>
        <v>0</v>
      </c>
      <c r="H3179" s="116">
        <f t="shared" si="303"/>
        <v>0</v>
      </c>
    </row>
    <row r="3180" spans="1:8" outlineLevel="1" x14ac:dyDescent="0.2">
      <c r="D3180" s="49" t="str">
        <f>SD_DETAILED_COST_WKSHT!D390</f>
        <v>Other Direct Costs (ODC) Category 5</v>
      </c>
      <c r="E3180" s="115">
        <f>IF(DD_LVL2_ACTV_9_Currency_Selected=2,SD_DETAILED_COST_WKSHT!$F390*SD_DETAILED_COST_WKSHT!G390,SD_DETAILED_COST_WKSHT!$F390*(SD_DETAILED_COST_WKSHT!G390*LVL2_ACTV_9_Exchange_Rate))</f>
        <v>0</v>
      </c>
      <c r="F3180" s="115">
        <f>IF(DD_LVL2_ACTV_9_Currency_Selected=2,SD_DETAILED_COST_WKSHT!$F390*SD_DETAILED_COST_WKSHT!H390,SD_DETAILED_COST_WKSHT!$F390*(SD_DETAILED_COST_WKSHT!H390*LVL2_ACTV_9_Exchange_Rate))</f>
        <v>0</v>
      </c>
      <c r="G3180" s="116">
        <f t="shared" si="302"/>
        <v>0</v>
      </c>
      <c r="H3180" s="116">
        <f t="shared" si="303"/>
        <v>0</v>
      </c>
    </row>
    <row r="3181" spans="1:8" outlineLevel="1" x14ac:dyDescent="0.2">
      <c r="D3181" s="49" t="str">
        <f>SD_DETAILED_COST_WKSHT!D391</f>
        <v>Other Direct Costs (ODC) Category 6</v>
      </c>
      <c r="E3181" s="115">
        <f>IF(DD_LVL2_ACTV_9_Currency_Selected=2,SD_DETAILED_COST_WKSHT!$F391*SD_DETAILED_COST_WKSHT!G391,SD_DETAILED_COST_WKSHT!$F391*(SD_DETAILED_COST_WKSHT!G391*LVL2_ACTV_9_Exchange_Rate))</f>
        <v>0</v>
      </c>
      <c r="F3181" s="115">
        <f>IF(DD_LVL2_ACTV_9_Currency_Selected=2,SD_DETAILED_COST_WKSHT!$F391*SD_DETAILED_COST_WKSHT!H391,SD_DETAILED_COST_WKSHT!$F391*(SD_DETAILED_COST_WKSHT!H391*LVL2_ACTV_9_Exchange_Rate))</f>
        <v>0</v>
      </c>
      <c r="G3181" s="116">
        <f t="shared" si="302"/>
        <v>0</v>
      </c>
      <c r="H3181" s="116">
        <f t="shared" si="303"/>
        <v>0</v>
      </c>
    </row>
    <row r="3182" spans="1:8" outlineLevel="1" x14ac:dyDescent="0.2">
      <c r="D3182" s="49" t="str">
        <f>SD_DETAILED_COST_WKSHT!D392</f>
        <v>Other Direct Costs (ODC) Category 7</v>
      </c>
      <c r="E3182" s="115">
        <f>IF(DD_LVL2_ACTV_9_Currency_Selected=2,SD_DETAILED_COST_WKSHT!$F392*SD_DETAILED_COST_WKSHT!G392,SD_DETAILED_COST_WKSHT!$F392*(SD_DETAILED_COST_WKSHT!G392*LVL2_ACTV_9_Exchange_Rate))</f>
        <v>0</v>
      </c>
      <c r="F3182" s="115">
        <f>IF(DD_LVL2_ACTV_9_Currency_Selected=2,SD_DETAILED_COST_WKSHT!$F392*SD_DETAILED_COST_WKSHT!H392,SD_DETAILED_COST_WKSHT!$F392*(SD_DETAILED_COST_WKSHT!H392*LVL2_ACTV_9_Exchange_Rate))</f>
        <v>0</v>
      </c>
      <c r="G3182" s="116">
        <f t="shared" si="302"/>
        <v>0</v>
      </c>
      <c r="H3182" s="116">
        <f t="shared" si="303"/>
        <v>0</v>
      </c>
    </row>
    <row r="3183" spans="1:8" outlineLevel="1" x14ac:dyDescent="0.2">
      <c r="D3183" s="49" t="str">
        <f>SD_DETAILED_COST_WKSHT!D393</f>
        <v>Other Direct Costs (ODC) Category 8</v>
      </c>
      <c r="E3183" s="115">
        <f>IF(DD_LVL2_ACTV_9_Currency_Selected=2,SD_DETAILED_COST_WKSHT!$F393*SD_DETAILED_COST_WKSHT!G393,SD_DETAILED_COST_WKSHT!$F393*(SD_DETAILED_COST_WKSHT!G393*LVL2_ACTV_9_Exchange_Rate))</f>
        <v>0</v>
      </c>
      <c r="F3183" s="115">
        <f>IF(DD_LVL2_ACTV_9_Currency_Selected=2,SD_DETAILED_COST_WKSHT!$F393*SD_DETAILED_COST_WKSHT!H393,SD_DETAILED_COST_WKSHT!$F393*(SD_DETAILED_COST_WKSHT!H393*LVL2_ACTV_9_Exchange_Rate))</f>
        <v>0</v>
      </c>
      <c r="G3183" s="116">
        <f t="shared" si="302"/>
        <v>0</v>
      </c>
      <c r="H3183" s="116">
        <f t="shared" si="303"/>
        <v>0</v>
      </c>
    </row>
    <row r="3184" spans="1:8" outlineLevel="1" x14ac:dyDescent="0.2">
      <c r="D3184" s="49" t="str">
        <f>SD_DETAILED_COST_WKSHT!D394</f>
        <v>Other Direct Costs (ODC) Category 9</v>
      </c>
      <c r="E3184" s="115">
        <f>IF(DD_LVL2_ACTV_9_Currency_Selected=2,SD_DETAILED_COST_WKSHT!$F394*SD_DETAILED_COST_WKSHT!G394,SD_DETAILED_COST_WKSHT!$F394*(SD_DETAILED_COST_WKSHT!G394*LVL2_ACTV_9_Exchange_Rate))</f>
        <v>0</v>
      </c>
      <c r="F3184" s="115">
        <f>IF(DD_LVL2_ACTV_9_Currency_Selected=2,SD_DETAILED_COST_WKSHT!$F394*SD_DETAILED_COST_WKSHT!H394,SD_DETAILED_COST_WKSHT!$F394*(SD_DETAILED_COST_WKSHT!H394*LVL2_ACTV_9_Exchange_Rate))</f>
        <v>0</v>
      </c>
      <c r="G3184" s="116">
        <f t="shared" si="302"/>
        <v>0</v>
      </c>
      <c r="H3184" s="116">
        <f t="shared" si="303"/>
        <v>0</v>
      </c>
    </row>
    <row r="3185" spans="4:8" outlineLevel="1" x14ac:dyDescent="0.2">
      <c r="D3185" s="49" t="str">
        <f>SD_DETAILED_COST_WKSHT!D395</f>
        <v>Other Direct Costs (ODC) Category 10</v>
      </c>
      <c r="E3185" s="115">
        <f>IF(DD_LVL2_ACTV_9_Currency_Selected=2,SD_DETAILED_COST_WKSHT!$F395*SD_DETAILED_COST_WKSHT!G395,SD_DETAILED_COST_WKSHT!$F395*(SD_DETAILED_COST_WKSHT!G395*LVL2_ACTV_9_Exchange_Rate))</f>
        <v>0</v>
      </c>
      <c r="F3185" s="115">
        <f>IF(DD_LVL2_ACTV_9_Currency_Selected=2,SD_DETAILED_COST_WKSHT!$F395*SD_DETAILED_COST_WKSHT!H395,SD_DETAILED_COST_WKSHT!$F395*(SD_DETAILED_COST_WKSHT!H395*LVL2_ACTV_9_Exchange_Rate))</f>
        <v>0</v>
      </c>
      <c r="G3185" s="116">
        <f t="shared" si="302"/>
        <v>0</v>
      </c>
      <c r="H3185" s="116">
        <f t="shared" si="303"/>
        <v>0</v>
      </c>
    </row>
    <row r="3186" spans="4:8" outlineLevel="1" x14ac:dyDescent="0.2">
      <c r="D3186" s="48" t="str">
        <f>Lang_Other_Direct_Costs</f>
        <v>Other Direct Costs</v>
      </c>
      <c r="E3186" s="120">
        <f>SUM(E3176:E3185)</f>
        <v>0</v>
      </c>
      <c r="F3186" s="120">
        <f>SUM(F3176:F3185)</f>
        <v>0</v>
      </c>
      <c r="G3186" s="121">
        <f>SUM(G3176:G3185)</f>
        <v>0</v>
      </c>
      <c r="H3186" s="121">
        <f>SUM(H3176:H3185)</f>
        <v>0</v>
      </c>
    </row>
    <row r="3187" spans="4:8" outlineLevel="1" x14ac:dyDescent="0.2"/>
    <row r="3188" spans="4:8" outlineLevel="1" x14ac:dyDescent="0.2">
      <c r="D3188" s="47" t="str">
        <f>Lang_GoTo&amp;" "&amp;HL_LVL2_ACTV_9_Other_Direct_Costs</f>
        <v>Go to Large Group Vaccination Activity (100 people vaccinated) - Detailed Other Direct Cost Assumptions</v>
      </c>
    </row>
    <row r="3189" spans="4:8" outlineLevel="1" x14ac:dyDescent="0.2">
      <c r="D3189" s="47" t="str">
        <f>Lang_GoTo&amp;" "&amp;HL_LVL2_ACTV_9_Cost_Summary_Output</f>
        <v>Go to Large Group Vaccination Activity (100 people vaccinated) Detailed Cost Summary</v>
      </c>
    </row>
  </sheetData>
  <hyperlinks>
    <hyperlink ref="A1" location="HL_Home" tooltip="Go to Table of Contents" display="HL_Home" xr:uid="{00000000-0004-0000-2C00-000000000000}"/>
    <hyperlink ref="D21" location="HL_TOP_ACTV_Personnel_Assumptions" tooltip="Click to follow hyperlink." display="HL_TOP_ACTV_Personnel_Assumptions" xr:uid="{00000000-0004-0000-2C00-000001000000}"/>
    <hyperlink ref="D41" location="HL_TOP_ACTV_Ass_A" tooltip="Click to follow hyperlink." display="HL_TOP_ACTV_Ass_A" xr:uid="{00000000-0004-0000-2C00-000002000000}"/>
    <hyperlink ref="D61" location="HL_TOP_ACTV_Supplies_and_Materials" tooltip="Click to follow hyperlink." display="HL_TOP_ACTV_Supplies_and_Materials" xr:uid="{00000000-0004-0000-2C00-000003000000}"/>
    <hyperlink ref="D80" location="HL_TOP_ACTV_Other_Direct_Costs" tooltip="Click to follow hyperlink." display="HL_TOP_ACTV_Other_Direct_Costs" xr:uid="{00000000-0004-0000-2C00-000004000000}"/>
    <hyperlink ref="D357" location="HL_TOP_ACTV_2_Personnel_Assumptions" tooltip="Click to follow hyperlink." display="HL_TOP_ACTV_2_Personnel_Assumptions" xr:uid="{00000000-0004-0000-2C00-000005000000}"/>
    <hyperlink ref="D377" location="HL_TOP_ACTV_2_Ass_A" tooltip="Click to follow hyperlink." display="HL_TOP_ACTV_2_Ass_A" xr:uid="{00000000-0004-0000-2C00-000006000000}"/>
    <hyperlink ref="D397" location="HL_TOP_ACTV_2_Supplies_and_Materials" tooltip="Click to follow hyperlink." display="HL_TOP_ACTV_2_Supplies_and_Materials" xr:uid="{00000000-0004-0000-2C00-000007000000}"/>
    <hyperlink ref="D416" location="HL_TOP_ACTV_2_Other_Direct_Costs" tooltip="Click to follow hyperlink." display="HL_TOP_ACTV_2_Other_Direct_Costs" xr:uid="{00000000-0004-0000-2C00-000008000000}"/>
    <hyperlink ref="D693" location="HL_TOP_ACTV_3_Personnel_Assumptions" tooltip="Click to follow hyperlink." display="HL_TOP_ACTV_3_Personnel_Assumptions" xr:uid="{00000000-0004-0000-2C00-000009000000}"/>
    <hyperlink ref="D713" location="HL_TOP_ACTV_3_Ass_A" tooltip="Click to follow hyperlink." display="HL_TOP_ACTV_3_Ass_A" xr:uid="{00000000-0004-0000-2C00-00000A000000}"/>
    <hyperlink ref="D733" location="HL_TOP_ACTV_3_Supplies_and_Materials" tooltip="Click to follow hyperlink." display="HL_TOP_ACTV_3_Supplies_and_Materials" xr:uid="{00000000-0004-0000-2C00-00000B000000}"/>
    <hyperlink ref="D752" location="HL_TOP_ACTV_3_Other_Direct_Costs" tooltip="Click to follow hyperlink." display="HL_TOP_ACTV_3_Other_Direct_Costs" xr:uid="{00000000-0004-0000-2C00-00000C000000}"/>
    <hyperlink ref="D1197" location="HL_TOP_ACTV_4_Personnel_Assumptions" tooltip="Click to follow hyperlink." display="HL_TOP_ACTV_4_Personnel_Assumptions" xr:uid="{00000000-0004-0000-2C00-00000D000000}"/>
    <hyperlink ref="D1217" location="HL_TOP_ACTV_4_Ass_A" tooltip="Click to follow hyperlink." display="HL_TOP_ACTV_4_Ass_A" xr:uid="{00000000-0004-0000-2C00-00000E000000}"/>
    <hyperlink ref="D1237" location="HL_TOP_ACTV_4_Supplies_and_Materials" tooltip="Click to follow hyperlink." display="HL_TOP_ACTV_4_Supplies_and_Materials" xr:uid="{00000000-0004-0000-2C00-00000F000000}"/>
    <hyperlink ref="D1256" location="HL_TOP_ACTV_4_Other_Direct_Costs" tooltip="Click to follow hyperlink." display="HL_TOP_ACTV_4_Other_Direct_Costs" xr:uid="{00000000-0004-0000-2C00-000010000000}"/>
    <hyperlink ref="D1869" location="HL_TOP_ACTV_5_Personnel_Assumptions" tooltip="Click to follow hyperlink." display="HL_TOP_ACTV_5_Personnel_Assumptions" xr:uid="{00000000-0004-0000-2C00-000011000000}"/>
    <hyperlink ref="D1889" location="HL_TOP_ACTV_5_Ass_A" tooltip="Click to follow hyperlink." display="HL_TOP_ACTV_5_Ass_A" xr:uid="{00000000-0004-0000-2C00-000012000000}"/>
    <hyperlink ref="D1909" location="HL_TOP_ACTV_5_Supplies_and_Materials" tooltip="Click to follow hyperlink." display="HL_TOP_ACTV_5_Supplies_and_Materials" xr:uid="{00000000-0004-0000-2C00-000013000000}"/>
    <hyperlink ref="D1928" location="HL_TOP_ACTV_5_Other_Direct_Costs" tooltip="Click to follow hyperlink." display="HL_TOP_ACTV_5_Other_Direct_Costs" xr:uid="{00000000-0004-0000-2C00-000014000000}"/>
    <hyperlink ref="D2457" location="HL_TOP_ACTV_6_Personnel_Assumptions" tooltip="Click to follow hyperlink." display="HL_TOP_ACTV_6_Personnel_Assumptions" xr:uid="{00000000-0004-0000-2C00-000015000000}"/>
    <hyperlink ref="D2477" location="HL_TOP_ACTV_6_Ass_A" tooltip="Click to follow hyperlink." display="HL_TOP_ACTV_6_Ass_A" xr:uid="{00000000-0004-0000-2C00-000016000000}"/>
    <hyperlink ref="D2497" location="HL_TOP_ACTV_6_Supplies_and_Materials" tooltip="Click to follow hyperlink." display="HL_TOP_ACTV_6_Supplies_and_Materials" xr:uid="{00000000-0004-0000-2C00-000017000000}"/>
    <hyperlink ref="D2516" location="HL_TOP_ACTV_6_Other_Direct_Costs" tooltip="Click to follow hyperlink." display="HL_TOP_ACTV_6_Other_Direct_Costs" xr:uid="{00000000-0004-0000-2C00-000018000000}"/>
    <hyperlink ref="D105" location="HL_TOP_ACTV_7_Personnel_Assumptions" tooltip="Click to follow hyperlink." display="HL_TOP_ACTV_7_Personnel_Assumptions" xr:uid="{00000000-0004-0000-2C00-000019000000}"/>
    <hyperlink ref="D125" location="HL_TOP_ACTV_7_Ass_A" tooltip="Click to follow hyperlink." display="HL_TOP_ACTV_7_Ass_A" xr:uid="{00000000-0004-0000-2C00-00001A000000}"/>
    <hyperlink ref="D145" location="HL_TOP_ACTV_7_Supplies_and_Materials" tooltip="Click to follow hyperlink." display="HL_TOP_ACTV_7_Supplies_and_Materials" xr:uid="{00000000-0004-0000-2C00-00001B000000}"/>
    <hyperlink ref="D164" location="HL_TOP_ACTV_7_Other_Direct_Costs" tooltip="Click to follow hyperlink." display="HL_TOP_ACTV_7_Other_Direct_Costs" xr:uid="{00000000-0004-0000-2C00-00001C000000}"/>
    <hyperlink ref="D777" location="HL_TOP_ACTV_10_Personnel_Assumptions" tooltip="Click to follow hyperlink." display="HL_TOP_ACTV_10_Personnel_Assumptions" xr:uid="{00000000-0004-0000-2C00-00001D000000}"/>
    <hyperlink ref="D797" location="HL_TOP_ACTV_10_Ass_A" tooltip="Click to follow hyperlink." display="HL_TOP_ACTV_10_Ass_A" xr:uid="{00000000-0004-0000-2C00-00001E000000}"/>
    <hyperlink ref="D817" location="HL_TOP_ACTV_10_Supplies_and_Materials" tooltip="Click to follow hyperlink." display="HL_TOP_ACTV_10_Supplies_and_Materials" xr:uid="{00000000-0004-0000-2C00-00001F000000}"/>
    <hyperlink ref="D836" location="HL_TOP_ACTV_10_Other_Direct_Costs" tooltip="Click to follow hyperlink." display="HL_TOP_ACTV_10_Other_Direct_Costs" xr:uid="{00000000-0004-0000-2C00-000020000000}"/>
    <hyperlink ref="D861" location="HL_TOP_ACTV_11_Personnel_Assumptions" tooltip="Click to follow hyperlink." display="HL_TOP_ACTV_11_Personnel_Assumptions" xr:uid="{00000000-0004-0000-2C00-000021000000}"/>
    <hyperlink ref="D881" location="HL_TOP_ACTV_11_Ass_A" tooltip="Click to follow hyperlink." display="HL_TOP_ACTV_11_Ass_A" xr:uid="{00000000-0004-0000-2C00-000022000000}"/>
    <hyperlink ref="D901" location="HL_TOP_ACTV_11_Supplies_and_Materials" tooltip="Click to follow hyperlink." display="HL_TOP_ACTV_11_Supplies_and_Materials" xr:uid="{00000000-0004-0000-2C00-000023000000}"/>
    <hyperlink ref="D920" location="HL_TOP_ACTV_11_Other_Direct_Costs" tooltip="Click to follow hyperlink." display="HL_TOP_ACTV_11_Other_Direct_Costs" xr:uid="{00000000-0004-0000-2C00-000024000000}"/>
    <hyperlink ref="D441" location="HL_TOP_ACTV_13_Personnel_Assumptions" tooltip="Click to follow hyperlink." display="HL_TOP_ACTV_13_Personnel_Assumptions" xr:uid="{00000000-0004-0000-2C00-000025000000}"/>
    <hyperlink ref="D461" location="HL_TOP_ACTV_13_Ass_A" tooltip="Click to follow hyperlink." display="HL_TOP_ACTV_13_Ass_A" xr:uid="{00000000-0004-0000-2C00-000026000000}"/>
    <hyperlink ref="D481" location="HL_TOP_ACTV_13_Supplies_and_Materials" tooltip="Click to follow hyperlink." display="HL_TOP_ACTV_13_Supplies_and_Materials" xr:uid="{00000000-0004-0000-2C00-000027000000}"/>
    <hyperlink ref="D500" location="HL_TOP_ACTV_13_Other_Direct_Costs" tooltip="Click to follow hyperlink." display="HL_TOP_ACTV_13_Other_Direct_Costs" xr:uid="{00000000-0004-0000-2C00-000028000000}"/>
    <hyperlink ref="D525" location="HL_TOP_ACTV_14_Personnel_Assumptions" tooltip="Click to follow hyperlink." display="HL_TOP_ACTV_14_Personnel_Assumptions" xr:uid="{00000000-0004-0000-2C00-000029000000}"/>
    <hyperlink ref="D545" location="HL_TOP_ACTV_14_Ass_A" tooltip="Click to follow hyperlink." display="HL_TOP_ACTV_14_Ass_A" xr:uid="{00000000-0004-0000-2C00-00002A000000}"/>
    <hyperlink ref="D565" location="HL_TOP_ACTV_14_Supplies_and_Materials" tooltip="Click to follow hyperlink." display="HL_TOP_ACTV_14_Supplies_and_Materials" xr:uid="{00000000-0004-0000-2C00-00002B000000}"/>
    <hyperlink ref="D584" location="HL_TOP_ACTV_14_Other_Direct_Costs" tooltip="Click to follow hyperlink." display="HL_TOP_ACTV_14_Other_Direct_Costs" xr:uid="{00000000-0004-0000-2C00-00002C000000}"/>
    <hyperlink ref="D1281" location="HL_TOP_ACTV_15_Personnel_Assumptions" tooltip="Click to follow hyperlink." display="HL_TOP_ACTV_15_Personnel_Assumptions" xr:uid="{00000000-0004-0000-2C00-00002D000000}"/>
    <hyperlink ref="D1301" location="HL_TOP_ACTV_15_Ass_A" tooltip="Click to follow hyperlink." display="HL_TOP_ACTV_15_Ass_A" xr:uid="{00000000-0004-0000-2C00-00002E000000}"/>
    <hyperlink ref="D1321" location="HL_TOP_ACTV_15_Supplies_and_Materials" tooltip="Click to follow hyperlink." display="HL_TOP_ACTV_15_Supplies_and_Materials" xr:uid="{00000000-0004-0000-2C00-00002F000000}"/>
    <hyperlink ref="D1340" location="HL_TOP_ACTV_15_Other_Direct_Costs" tooltip="Click to follow hyperlink." display="HL_TOP_ACTV_15_Other_Direct_Costs" xr:uid="{00000000-0004-0000-2C00-000030000000}"/>
    <hyperlink ref="D1365" location="HL_TOP_ACTV_16_Personnel_Assumptions" tooltip="Click to follow hyperlink." display="HL_TOP_ACTV_16_Personnel_Assumptions" xr:uid="{00000000-0004-0000-2C00-000031000000}"/>
    <hyperlink ref="D1385" location="HL_TOP_ACTV_16_Ass_A" tooltip="Click to follow hyperlink." display="HL_TOP_ACTV_16_Ass_A" xr:uid="{00000000-0004-0000-2C00-000032000000}"/>
    <hyperlink ref="D1405" location="HL_TOP_ACTV_16_Supplies_and_Materials" tooltip="Click to follow hyperlink." display="HL_TOP_ACTV_16_Supplies_and_Materials" xr:uid="{00000000-0004-0000-2C00-000033000000}"/>
    <hyperlink ref="D1424" location="HL_TOP_ACTV_16_Other_Direct_Costs" tooltip="Click to follow hyperlink." display="HL_TOP_ACTV_16_Other_Direct_Costs" xr:uid="{00000000-0004-0000-2C00-000034000000}"/>
    <hyperlink ref="D1953" location="HL_TOP_ACTV_17_Personnel_Assumptions" tooltip="Click to follow hyperlink." display="HL_TOP_ACTV_17_Personnel_Assumptions" xr:uid="{00000000-0004-0000-2C00-000035000000}"/>
    <hyperlink ref="D1973" location="HL_TOP_ACTV_17_Ass_A" tooltip="Click to follow hyperlink." display="HL_TOP_ACTV_17_Ass_A" xr:uid="{00000000-0004-0000-2C00-000036000000}"/>
    <hyperlink ref="D1993" location="HL_TOP_ACTV_17_Supplies_and_Materials" tooltip="Click to follow hyperlink." display="HL_TOP_ACTV_17_Supplies_and_Materials" xr:uid="{00000000-0004-0000-2C00-000037000000}"/>
    <hyperlink ref="D2012" location="HL_TOP_ACTV_17_Other_Direct_Costs" tooltip="Click to follow hyperlink." display="HL_TOP_ACTV_17_Other_Direct_Costs" xr:uid="{00000000-0004-0000-2C00-000038000000}"/>
    <hyperlink ref="D2037" location="HL_TOP_ACTV_18_Personnel_Assumptions" tooltip="Click to follow hyperlink." display="HL_TOP_ACTV_18_Personnel_Assumptions" xr:uid="{00000000-0004-0000-2C00-000039000000}"/>
    <hyperlink ref="D2057" location="HL_TOP_ACTV_18_Ass_A" tooltip="Click to follow hyperlink." display="HL_TOP_ACTV_18_Ass_A" xr:uid="{00000000-0004-0000-2C00-00003A000000}"/>
    <hyperlink ref="D2077" location="HL_TOP_ACTV_18_Supplies_and_Materials" tooltip="Click to follow hyperlink." display="HL_TOP_ACTV_18_Supplies_and_Materials" xr:uid="{00000000-0004-0000-2C00-00003B000000}"/>
    <hyperlink ref="D2096" location="HL_TOP_ACTV_18_Other_Direct_Costs" tooltip="Click to follow hyperlink." display="HL_TOP_ACTV_18_Other_Direct_Costs" xr:uid="{00000000-0004-0000-2C00-00003C000000}"/>
    <hyperlink ref="D2625" location="HL_TOP_ACTV_19_Personnel_Assumptions" tooltip="Click to follow hyperlink." display="HL_TOP_ACTV_19_Personnel_Assumptions" xr:uid="{00000000-0004-0000-2C00-00003D000000}"/>
    <hyperlink ref="D2645" location="HL_TOP_ACTV_19_Ass_A" tooltip="Click to follow hyperlink." display="HL_TOP_ACTV_19_Ass_A" xr:uid="{00000000-0004-0000-2C00-00003E000000}"/>
    <hyperlink ref="D2665" location="HL_TOP_ACTV_19_Supplies_and_Materials" tooltip="Click to follow hyperlink." display="HL_TOP_ACTV_19_Supplies_and_Materials" xr:uid="{00000000-0004-0000-2C00-00003F000000}"/>
    <hyperlink ref="D2684" location="HL_TOP_ACTV_19_Other_Direct_Costs" tooltip="Click to follow hyperlink." display="HL_TOP_ACTV_19_Other_Direct_Costs" xr:uid="{00000000-0004-0000-2C00-000040000000}"/>
    <hyperlink ref="D2541" location="HL_TOP_ACTV_20_Personnel_Assumptions" tooltip="Click to follow hyperlink." display="HL_TOP_ACTV_20_Personnel_Assumptions" xr:uid="{00000000-0004-0000-2C00-000041000000}"/>
    <hyperlink ref="D2561" location="HL_TOP_ACTV_20_Ass_A" tooltip="Click to follow hyperlink." display="HL_TOP_ACTV_20_Ass_A" xr:uid="{00000000-0004-0000-2C00-000042000000}"/>
    <hyperlink ref="D2581" location="HL_TOP_ACTV_20_Supplies_and_Materials" tooltip="Click to follow hyperlink." display="HL_TOP_ACTV_20_Supplies_and_Materials" xr:uid="{00000000-0004-0000-2C00-000043000000}"/>
    <hyperlink ref="D2600" location="HL_TOP_ACTV_20_Other_Direct_Costs" tooltip="Click to follow hyperlink." display="HL_TOP_ACTV_20_Other_Direct_Costs" xr:uid="{00000000-0004-0000-2C00-000044000000}"/>
    <hyperlink ref="D2121" location="HL_TOP_ACTV_8_Personnel_Assumptions" tooltip="Click to follow hyperlink." display="HL_TOP_ACTV_8_Personnel_Assumptions" xr:uid="{00000000-0004-0000-2C00-000045000000}"/>
    <hyperlink ref="D2141" location="HL_TOP_ACTV_8_Ass_A" tooltip="Click to follow hyperlink." display="HL_TOP_ACTV_8_Ass_A" xr:uid="{00000000-0004-0000-2C00-000046000000}"/>
    <hyperlink ref="D2161" location="HL_TOP_ACTV_8_Supplies_and_Materials" tooltip="Click to follow hyperlink." display="HL_TOP_ACTV_8_Supplies_and_Materials" xr:uid="{00000000-0004-0000-2C00-000047000000}"/>
    <hyperlink ref="D2180" location="HL_TOP_ACTV_8_Other_Direct_Costs" tooltip="Click to follow hyperlink." display="HL_TOP_ACTV_8_Other_Direct_Costs" xr:uid="{00000000-0004-0000-2C00-000048000000}"/>
    <hyperlink ref="D2852" location="HL_LVL2_ACTV_16_Other_Direct_Costs" tooltip="Click to follow hyperlink." display="HL_LVL2_ACTV_16_Other_Direct_Costs" xr:uid="{00000000-0004-0000-2C00-000049000000}"/>
    <hyperlink ref="D2768" location="HL_LVL2_ACTV_7_Other_Direct_Costs" tooltip="Click to follow hyperlink." display="HL_LVL2_ACTV_7_Other_Direct_Costs" xr:uid="{00000000-0004-0000-2C00-00004A000000}"/>
    <hyperlink ref="D2833" location="HL_LVL2_ACTV_16_Supplies_and_Materials" tooltip="Click to follow hyperlink." display="HL_LVL2_ACTV_16_Supplies_and_Materials" xr:uid="{00000000-0004-0000-2C00-00004B000000}"/>
    <hyperlink ref="D2749" location="HL_LVL2_ACTV_7_Supplies_and_Materials" tooltip="Click to follow hyperlink." display="HL_LVL2_ACTV_7_Supplies_and_Materials" xr:uid="{00000000-0004-0000-2C00-00004C000000}"/>
    <hyperlink ref="D2813" location="HL_LVL2_ACTV_16_Ass_A" tooltip="Click to follow hyperlink." display="HL_LVL2_ACTV_16_Ass_A" xr:uid="{00000000-0004-0000-2C00-00004D000000}"/>
    <hyperlink ref="D2729" location="HL_LVL2_ACTV_7_Ass_A" tooltip="Click to follow hyperlink." display="HL_LVL2_ACTV_7_Ass_A" xr:uid="{00000000-0004-0000-2C00-00004E000000}"/>
    <hyperlink ref="D2793" location="HL_LVL2_ACTV_16_Personnel_Assumptions" tooltip="Click to follow hyperlink." display="HL_LVL2_ACTV_16_Personnel_Assumptions" xr:uid="{00000000-0004-0000-2C00-00004F000000}"/>
    <hyperlink ref="D2709" location="HL_LVL2_ACTV_7_Personnel_Assumptions" tooltip="Click to follow hyperlink." display="HL_LVL2_ACTV_7_Personnel_Assumptions" xr:uid="{00000000-0004-0000-2C00-000050000000}"/>
    <hyperlink ref="D668" location="HL_LVL2_ACTV_2_Other_Direct_Costs" tooltip="Click to follow hyperlink." display="HL_LVL2_ACTV_2_Other_Direct_Costs" xr:uid="{00000000-0004-0000-2C00-000051000000}"/>
    <hyperlink ref="D649" location="HL_LVL2_ACTV_2_Supplies_and_Materials" tooltip="Click to follow hyperlink." display="HL_LVL2_ACTV_2_Supplies_and_Materials" xr:uid="{00000000-0004-0000-2C00-000052000000}"/>
    <hyperlink ref="D629" location="HL_LVL2_ACTV_2_Ass_A" tooltip="Click to follow hyperlink." display="HL_LVL2_ACTV_2_Ass_A" xr:uid="{00000000-0004-0000-2C00-000053000000}"/>
    <hyperlink ref="D609" location="HL_LVL2_ACTV_2_Personnel_Assumptions" tooltip="Click to follow hyperlink." display="HL_LVL2_ACTV_2_Personnel_Assumptions" xr:uid="{00000000-0004-0000-2C00-000054000000}"/>
    <hyperlink ref="D2432" location="HL_LVL2_ACTV_15_Other_Direct_Costs" tooltip="Click to follow hyperlink." display="HL_LVL2_ACTV_15_Other_Direct_Costs" xr:uid="{00000000-0004-0000-2C00-000055000000}"/>
    <hyperlink ref="D2348" location="HL_LVL2_ACTV_14_Other_Direct_Costs" tooltip="Click to follow hyperlink." display="HL_LVL2_ACTV_14_Other_Direct_Costs" xr:uid="{00000000-0004-0000-2C00-000056000000}"/>
    <hyperlink ref="D2264" location="HL_LVL2_ACTV_5_Other_Direct_Costs" tooltip="Click to follow hyperlink." display="HL_LVL2_ACTV_5_Other_Direct_Costs" xr:uid="{00000000-0004-0000-2C00-000057000000}"/>
    <hyperlink ref="D2413" location="HL_LVL2_ACTV_15_Supplies_and_Materials" tooltip="Click to follow hyperlink." display="HL_LVL2_ACTV_15_Supplies_and_Materials" xr:uid="{00000000-0004-0000-2C00-000058000000}"/>
    <hyperlink ref="D2329" location="HL_LVL2_ACTV_14_Supplies_and_Materials" tooltip="Click to follow hyperlink." display="HL_LVL2_ACTV_14_Supplies_and_Materials" xr:uid="{00000000-0004-0000-2C00-000059000000}"/>
    <hyperlink ref="D2245" location="HL_LVL2_ACTV_5_Supplies_and_Materials" tooltip="Click to follow hyperlink." display="HL_LVL2_ACTV_5_Supplies_and_Materials" xr:uid="{00000000-0004-0000-2C00-00005A000000}"/>
    <hyperlink ref="D2393" location="HL_LVL2_ACTV_15_Ass_A" tooltip="Click to follow hyperlink." display="HL_LVL2_ACTV_15_Ass_A" xr:uid="{00000000-0004-0000-2C00-00005B000000}"/>
    <hyperlink ref="D2309" location="HL_LVL2_ACTV_14_Ass_A" tooltip="Click to follow hyperlink." display="HL_LVL2_ACTV_14_Ass_A" xr:uid="{00000000-0004-0000-2C00-00005C000000}"/>
    <hyperlink ref="D2225" location="HL_LVL2_ACTV_5_Ass_A" tooltip="Click to follow hyperlink." display="HL_LVL2_ACTV_5_Ass_A" xr:uid="{00000000-0004-0000-2C00-00005D000000}"/>
    <hyperlink ref="D2373" location="HL_LVL2_ACTV_15_Personnel_Assumptions" tooltip="Click to follow hyperlink." display="HL_LVL2_ACTV_15_Personnel_Assumptions" xr:uid="{00000000-0004-0000-2C00-00005E000000}"/>
    <hyperlink ref="D2289" location="HL_LVL2_ACTV_14_Personnel_Assumptions" tooltip="Click to follow hyperlink." display="HL_LVL2_ACTV_14_Personnel_Assumptions" xr:uid="{00000000-0004-0000-2C00-00005F000000}"/>
    <hyperlink ref="D2205" location="HL_LVL2_ACTV_5_Personnel_Assumptions" tooltip="Click to follow hyperlink." display="HL_LVL2_ACTV_5_Personnel_Assumptions" xr:uid="{00000000-0004-0000-2C00-000060000000}"/>
    <hyperlink ref="D1844" location="HL_LVL2_ACTV_21_Other_Direct_Costs" tooltip="Click to follow hyperlink." display="HL_LVL2_ACTV_21_Other_Direct_Costs" xr:uid="{00000000-0004-0000-2C00-000061000000}"/>
    <hyperlink ref="D1760" location="HL_LVL2_ACTV_8_Other_Direct_Costs" tooltip="Click to follow hyperlink." display="HL_LVL2_ACTV_8_Other_Direct_Costs" xr:uid="{00000000-0004-0000-2C00-000062000000}"/>
    <hyperlink ref="D1676" location="HL_LVL2_ACTV_11_Other_Direct_Costs" tooltip="Click to follow hyperlink." display="HL_LVL2_ACTV_11_Other_Direct_Costs" xr:uid="{00000000-0004-0000-2C00-000063000000}"/>
    <hyperlink ref="D1592" location="HL_LVL2_ACTV_10_Other_Direct_Costs" tooltip="Click to follow hyperlink." display="HL_LVL2_ACTV_10_Other_Direct_Costs" xr:uid="{00000000-0004-0000-2C00-000064000000}"/>
    <hyperlink ref="D1508" location="HL_LVL2_ACTV_4_Other_Direct_Costs" tooltip="Click to follow hyperlink." display="HL_LVL2_ACTV_4_Other_Direct_Costs" xr:uid="{00000000-0004-0000-2C00-000065000000}"/>
    <hyperlink ref="D1825" location="HL_LVL2_ACTV_21_Supplies_and_Materials" tooltip="Click to follow hyperlink." display="HL_LVL2_ACTV_21_Supplies_and_Materials" xr:uid="{00000000-0004-0000-2C00-000066000000}"/>
    <hyperlink ref="D1741" location="HL_LVL2_ACTV_8_Supplies_and_Materials" tooltip="Click to follow hyperlink." display="HL_LVL2_ACTV_8_Supplies_and_Materials" xr:uid="{00000000-0004-0000-2C00-000067000000}"/>
    <hyperlink ref="D1657" location="HL_LVL2_ACTV_11_Supplies_and_Materials" tooltip="Click to follow hyperlink." display="HL_LVL2_ACTV_11_Supplies_and_Materials" xr:uid="{00000000-0004-0000-2C00-000068000000}"/>
    <hyperlink ref="D1573" location="HL_LVL2_ACTV_10_Supplies_and_Materials" tooltip="Click to follow hyperlink." display="HL_LVL2_ACTV_10_Supplies_and_Materials" xr:uid="{00000000-0004-0000-2C00-000069000000}"/>
    <hyperlink ref="D1489" location="HL_LVL2_ACTV_4_Supplies_and_Materials" tooltip="Click to follow hyperlink." display="HL_LVL2_ACTV_4_Supplies_and_Materials" xr:uid="{00000000-0004-0000-2C00-00006A000000}"/>
    <hyperlink ref="D1805" location="HL_LVL2_ACTV_21_Ass_A" tooltip="Click to follow hyperlink." display="HL_LVL2_ACTV_21_Ass_A" xr:uid="{00000000-0004-0000-2C00-00006B000000}"/>
    <hyperlink ref="D1721" location="HL_LVL2_ACTV_8_Ass_A" tooltip="Click to follow hyperlink." display="HL_LVL2_ACTV_8_Ass_A" xr:uid="{00000000-0004-0000-2C00-00006C000000}"/>
    <hyperlink ref="D1637" location="HL_LVL2_ACTV_11_Ass_A" tooltip="Click to follow hyperlink." display="HL_LVL2_ACTV_11_Ass_A" xr:uid="{00000000-0004-0000-2C00-00006D000000}"/>
    <hyperlink ref="D1553" location="HL_LVL2_ACTV_10_Ass_A" tooltip="Click to follow hyperlink." display="HL_LVL2_ACTV_10_Ass_A" xr:uid="{00000000-0004-0000-2C00-00006E000000}"/>
    <hyperlink ref="D1469" location="HL_LVL2_ACTV_4_Ass_A" tooltip="Click to follow hyperlink." display="HL_LVL2_ACTV_4_Ass_A" xr:uid="{00000000-0004-0000-2C00-00006F000000}"/>
    <hyperlink ref="D1785" location="HL_LVL2_ACTV_21_Personnel_Assumptions" tooltip="Click to follow hyperlink." display="HL_LVL2_ACTV_21_Personnel_Assumptions" xr:uid="{00000000-0004-0000-2C00-000070000000}"/>
    <hyperlink ref="D1701" location="HL_LVL2_ACTV_8_Personnel_Assumptions" tooltip="Click to follow hyperlink." display="HL_LVL2_ACTV_8_Personnel_Assumptions" xr:uid="{00000000-0004-0000-2C00-000071000000}"/>
    <hyperlink ref="D1617" location="HL_LVL2_ACTV_11_Personnel_Assumptions" tooltip="Click to follow hyperlink." display="HL_LVL2_ACTV_11_Personnel_Assumptions" xr:uid="{00000000-0004-0000-2C00-000072000000}"/>
    <hyperlink ref="D1533" location="HL_LVL2_ACTV_10_Personnel_Assumptions" tooltip="Click to follow hyperlink." display="HL_LVL2_ACTV_10_Personnel_Assumptions" xr:uid="{00000000-0004-0000-2C00-000073000000}"/>
    <hyperlink ref="D1449" location="HL_LVL2_ACTV_4_Personnel_Assumptions" tooltip="Click to follow hyperlink." display="HL_LVL2_ACTV_4_Personnel_Assumptions" xr:uid="{00000000-0004-0000-2C00-000074000000}"/>
    <hyperlink ref="D1172" location="HL_LVL2_ACTV_19_Other_Direct_Costs" tooltip="Click to follow hyperlink." display="HL_LVL2_ACTV_19_Other_Direct_Costs" xr:uid="{00000000-0004-0000-2C00-000075000000}"/>
    <hyperlink ref="D1088" location="HL_LVL2_ACTV_18_Other_Direct_Costs" tooltip="Click to follow hyperlink." display="HL_LVL2_ACTV_18_Other_Direct_Costs" xr:uid="{00000000-0004-0000-2C00-000076000000}"/>
    <hyperlink ref="D1004" location="HL_LVL2_ACTV_3_Other_Direct_Costs" tooltip="Click to follow hyperlink." display="HL_LVL2_ACTV_3_Other_Direct_Costs" xr:uid="{00000000-0004-0000-2C00-000077000000}"/>
    <hyperlink ref="D1153" location="HL_LVL2_ACTV_19_Supplies_and_Materials" tooltip="Click to follow hyperlink." display="HL_LVL2_ACTV_19_Supplies_and_Materials" xr:uid="{00000000-0004-0000-2C00-000078000000}"/>
    <hyperlink ref="D1069" location="HL_LVL2_ACTV_18_Supplies_and_Materials" tooltip="Click to follow hyperlink." display="HL_LVL2_ACTV_18_Supplies_and_Materials" xr:uid="{00000000-0004-0000-2C00-000079000000}"/>
    <hyperlink ref="D985" location="HL_LVL2_ACTV_3_Supplies_and_Materials" tooltip="Click to follow hyperlink." display="HL_LVL2_ACTV_3_Supplies_and_Materials" xr:uid="{00000000-0004-0000-2C00-00007A000000}"/>
    <hyperlink ref="D1133" location="HL_LVL2_ACTV_19_Ass_A" tooltip="Click to follow hyperlink." display="HL_LVL2_ACTV_19_Ass_A" xr:uid="{00000000-0004-0000-2C00-00007B000000}"/>
    <hyperlink ref="D1049" location="HL_LVL2_ACTV_18_Ass_A" tooltip="Click to follow hyperlink." display="HL_LVL2_ACTV_18_Ass_A" xr:uid="{00000000-0004-0000-2C00-00007C000000}"/>
    <hyperlink ref="D965" location="HL_LVL2_ACTV_3_Ass_A" tooltip="Click to follow hyperlink." display="HL_LVL2_ACTV_3_Ass_A" xr:uid="{00000000-0004-0000-2C00-00007D000000}"/>
    <hyperlink ref="D1113" location="HL_LVL2_ACTV_19_Personnel_Assumptions" tooltip="Click to follow hyperlink." display="HL_LVL2_ACTV_19_Personnel_Assumptions" xr:uid="{00000000-0004-0000-2C00-00007E000000}"/>
    <hyperlink ref="D1029" location="HL_LVL2_ACTV_18_Personnel_Assumptions" tooltip="Click to follow hyperlink." display="HL_LVL2_ACTV_18_Personnel_Assumptions" xr:uid="{00000000-0004-0000-2C00-00007F000000}"/>
    <hyperlink ref="D945" location="HL_LVL2_ACTV_3_Personnel_Assumptions" tooltip="Click to follow hyperlink." display="HL_LVL2_ACTV_3_Personnel_Assumptions" xr:uid="{00000000-0004-0000-2C00-000080000000}"/>
    <hyperlink ref="D3169" location="HL_LVL2_ACTV_13_Other_Direct_Costs" tooltip="Click to follow hyperlink." display="HL_LVL2_ACTV_13_Other_Direct_Costs" xr:uid="{00000000-0004-0000-2C00-000081000000}"/>
    <hyperlink ref="D3020" location="HL_LVL2_ACTV_12_Other_Direct_Costs" tooltip="Click to follow hyperlink." display="HL_LVL2_ACTV_12_Other_Direct_Costs" xr:uid="{00000000-0004-0000-2C00-000082000000}"/>
    <hyperlink ref="D2936" location="HL_LVL2_ACTV_6_Other_Direct_Costs" tooltip="Click to follow hyperlink." display="HL_LVL2_ACTV_6_Other_Direct_Costs" xr:uid="{00000000-0004-0000-2C00-000083000000}"/>
    <hyperlink ref="D3130" location="HL_LVL2_ACTV_13_Supplies_and_Materials" tooltip="Click to follow hyperlink." display="HL_LVL2_ACTV_13_Supplies_and_Materials" xr:uid="{00000000-0004-0000-2C00-000084000000}"/>
    <hyperlink ref="D3001" location="HL_LVL2_ACTV_12_Supplies_and_Materials" tooltip="Click to follow hyperlink." display="HL_LVL2_ACTV_12_Supplies_and_Materials" xr:uid="{00000000-0004-0000-2C00-000085000000}"/>
    <hyperlink ref="D2917" location="HL_LVL2_ACTV_6_Supplies_and_Materials" tooltip="Click to follow hyperlink." display="HL_LVL2_ACTV_6_Supplies_and_Materials" xr:uid="{00000000-0004-0000-2C00-000086000000}"/>
    <hyperlink ref="D3065" location="HL_LVL2_ACTV_13_Ass_A" tooltip="Click to follow hyperlink." display="HL_LVL2_ACTV_13_Ass_A" xr:uid="{00000000-0004-0000-2C00-000087000000}"/>
    <hyperlink ref="D2981" location="HL_LVL2_ACTV_12_Ass_A" tooltip="Click to follow hyperlink." display="HL_LVL2_ACTV_12_Ass_A" xr:uid="{00000000-0004-0000-2C00-000088000000}"/>
    <hyperlink ref="D2897" location="HL_LVL2_ACTV_6_Ass_A" tooltip="Click to follow hyperlink." display="HL_LVL2_ACTV_6_Ass_A" xr:uid="{00000000-0004-0000-2C00-000089000000}"/>
    <hyperlink ref="D2961" location="HL_LVL2_ACTV_13_Personnel_Assumptions" tooltip="Click to follow hyperlink." display="HL_LVL2_ACTV_13_Personnel_Assumptions" xr:uid="{00000000-0004-0000-2C00-00008A000000}"/>
    <hyperlink ref="D3045" location="HL_LVL2_ACTV_12_Personnel_Assumptions" tooltip="Click to follow hyperlink." display="HL_LVL2_ACTV_12_Personnel_Assumptions" xr:uid="{00000000-0004-0000-2C00-00008B000000}"/>
    <hyperlink ref="D2877" location="HL_LVL2_ACTV_6_Personnel_Assumptions" tooltip="Click to follow hyperlink." display="HL_LVL2_ACTV_6_Personnel_Assumptions" xr:uid="{00000000-0004-0000-2C00-00008C000000}"/>
    <hyperlink ref="D332" location="HL_LVL2_ACTV_20_Other_Direct_Costs" tooltip="Click to follow hyperlink." display="HL_LVL2_ACTV_20_Other_Direct_Costs" xr:uid="{00000000-0004-0000-2C00-00008D000000}"/>
    <hyperlink ref="D248" location="HL_LVL2_ACTV_Other_Direct_Costs" tooltip="Click to follow hyperlink." display="HL_LVL2_ACTV_Other_Direct_Costs" xr:uid="{00000000-0004-0000-2C00-00008E000000}"/>
    <hyperlink ref="D313" location="HL_LVL2_ACTV_20_Supplies_and_Materials" tooltip="Click to follow hyperlink." display="HL_LVL2_ACTV_20_Supplies_and_Materials" xr:uid="{00000000-0004-0000-2C00-00008F000000}"/>
    <hyperlink ref="D229" location="HL_LVL2_ACTV_Supplies_and_Materials" tooltip="Click to follow hyperlink." display="HL_LVL2_ACTV_Supplies_and_Materials" xr:uid="{00000000-0004-0000-2C00-000090000000}"/>
    <hyperlink ref="D293" location="HL_LVL2_ACTV_20_Ass_A" tooltip="Click to follow hyperlink." display="HL_LVL2_ACTV_20_Ass_A" xr:uid="{00000000-0004-0000-2C00-000091000000}"/>
    <hyperlink ref="D209" location="HL_LVL2_ACTV_Ass_A" tooltip="Click to follow hyperlink." display="HL_LVL2_ACTV_Ass_A" xr:uid="{00000000-0004-0000-2C00-000092000000}"/>
    <hyperlink ref="D273" location="HL_LVL2_ACTV_20_Personnel_Assumptions" tooltip="Click to follow hyperlink." display="HL_LVL2_ACTV_20_Personnel_Assumptions" xr:uid="{00000000-0004-0000-2C00-000093000000}"/>
    <hyperlink ref="D189" location="HL_LVL2_ACTV_Personnel_Assumptions" tooltip="Click to follow hyperlink." display="HL_LVL2_ACTV_Personnel_Assumptions" xr:uid="{00000000-0004-0000-2C00-000094000000}"/>
    <hyperlink ref="D3090" location="HL_LVL2_ACTV_9_Personnel_Assumptions" tooltip="Click to follow hyperlink." display="HL_LVL2_ACTV_9_Personnel_Assumptions" xr:uid="{00000000-0004-0000-2C00-000095000000}"/>
    <hyperlink ref="D3110" location="HL_LVL2_ACTV_9_Ass_A" tooltip="Click to follow hyperlink." display="HL_LVL2_ACTV_9_Ass_A" xr:uid="{00000000-0004-0000-2C00-000096000000}"/>
    <hyperlink ref="D3150" location="HL_LVL2_ACTV_9_Supplies_and_Materials" tooltip="Click to follow hyperlink." display="HL_LVL2_ACTV_9_Supplies_and_Materials" xr:uid="{00000000-0004-0000-2C00-000097000000}"/>
    <hyperlink ref="D3188" location="HL_LVL2_ACTV_9_Other_Direct_Costs" tooltip="Click to follow hyperlink." display="HL_LVL2_ACTV_9_Other_Direct_Costs" xr:uid="{00000000-0004-0000-2C00-000098000000}"/>
    <hyperlink ref="A2" location="HL_Err_Chk" tooltip="Go to Error Checks" display="HL_Err_Chk" xr:uid="{00000000-0004-0000-2C00-000099000000}"/>
  </hyperlinks>
  <pageMargins left="0.4" right="0.4" top="0.6" bottom="1" header="0" footer="0.3"/>
  <pageSetup orientation="landscape" r:id="rId1"/>
  <headerFooter>
    <oddFooter>&amp;L&amp;F
&amp;A
Printed: &amp;T on &amp;D&amp;CPage &amp;P of &amp;N</oddFooter>
  </headerFooter>
  <rowBreaks count="3" manualBreakCount="3">
    <brk id="22" max="16383" man="1"/>
    <brk id="42" max="16383" man="1"/>
    <brk id="62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2">
    <tabColor theme="7" tint="0.59996337778862885"/>
    <pageSetUpPr autoPageBreaks="0" fitToPage="1"/>
  </sheetPr>
  <dimension ref="C9:G13"/>
  <sheetViews>
    <sheetView showGridLines="0" zoomScaleNormal="100" workbookViewId="0">
      <selection activeCell="I511" sqref="I511"/>
    </sheetView>
  </sheetViews>
  <sheetFormatPr defaultColWidth="11.7109375" defaultRowHeight="12" x14ac:dyDescent="0.2"/>
  <cols>
    <col min="3" max="6" width="3.7109375" customWidth="1"/>
  </cols>
  <sheetData>
    <row r="9" spans="3:7" ht="15" x14ac:dyDescent="0.2">
      <c r="C9" s="31" t="str">
        <f>Lang_Variable_Lookup_Worksheets_Auto</f>
        <v>Variable Lookup Worksheets (AUTOGENERATED)</v>
      </c>
    </row>
    <row r="10" spans="3:7" ht="12.75" x14ac:dyDescent="0.2">
      <c r="C10" s="32" t="str">
        <f>Lang_Sub_Section_4_1</f>
        <v>Sub-Section 4.1.</v>
      </c>
    </row>
    <row r="11" spans="3:7" ht="12.75" x14ac:dyDescent="0.2">
      <c r="C11" s="45" t="str">
        <f ca="1">Model_Name</f>
        <v>Cervical Cancer Prevention and Control Costing (C4P) Tool (Cost Projection)</v>
      </c>
    </row>
    <row r="12" spans="3:7" ht="12.75" x14ac:dyDescent="0.2">
      <c r="C12" s="426" t="str">
        <f>Lang_Goto_TOC</f>
        <v>Go to Table of Contents</v>
      </c>
      <c r="D12" s="426"/>
      <c r="E12" s="426"/>
      <c r="F12" s="426"/>
      <c r="G12" s="426"/>
    </row>
    <row r="13" spans="3:7" x14ac:dyDescent="0.2">
      <c r="C13" s="38" t="s">
        <v>7</v>
      </c>
      <c r="D13" s="2" t="s">
        <v>8</v>
      </c>
    </row>
  </sheetData>
  <mergeCells count="1">
    <mergeCell ref="C12:G12"/>
  </mergeCells>
  <hyperlinks>
    <hyperlink ref="D13" location="HL_Sheet_Main_8" tooltip="Go to Next Sheet" display="HL_Sheet_Main_8" xr:uid="{00000000-0004-0000-2D00-000000000000}"/>
    <hyperlink ref="C13" location="HL_Sheet_Main_12" tooltip="Go to Previous Sheet" display="HL_Sheet_Main_12" xr:uid="{00000000-0004-0000-2D00-000001000000}"/>
    <hyperlink ref="C12" location="HL_Home" tooltip="Go to Table of Contents" display="HL_Home" xr:uid="{00000000-0004-0000-2D00-000002000000}"/>
    <hyperlink ref="C12:G12" location="Contents!A1" tooltip="Go to Table of Contents" display="Contents!A1" xr:uid="{00000000-0004-0000-2D00-000003000000}"/>
  </hyperlinks>
  <pageMargins left="0.39370078740157499" right="0.39370078740157499" top="0.59055118110236204" bottom="0.98425196850393704" header="0" footer="0.31496062992126"/>
  <pageSetup orientation="landscape" r:id="rId1"/>
  <headerFooter>
    <oddFooter>&amp;L&amp;F
&amp;A
Printed: &amp;T on &amp;D&amp;CPage &amp;P of &amp;N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0">
    <tabColor rgb="FF7030A0"/>
    <pageSetUpPr autoPageBreaks="0"/>
  </sheetPr>
  <dimension ref="A1:F91"/>
  <sheetViews>
    <sheetView showGridLines="0" zoomScaleNormal="100" workbookViewId="0">
      <pane xSplit="1" ySplit="2" topLeftCell="B39" activePane="bottomRight" state="frozen"/>
      <selection activeCell="I511" sqref="I511"/>
      <selection pane="topRight" activeCell="I511" sqref="I511"/>
      <selection pane="bottomLeft" activeCell="I511" sqref="I511"/>
      <selection pane="bottomRight" activeCell="I511" sqref="I511"/>
    </sheetView>
  </sheetViews>
  <sheetFormatPr defaultColWidth="11.7109375" defaultRowHeight="12" outlineLevelRow="1" x14ac:dyDescent="0.2"/>
  <cols>
    <col min="1" max="3" width="3.7109375" customWidth="1"/>
    <col min="4" max="4" width="35.7109375" customWidth="1"/>
    <col min="5" max="5" width="3.7109375" customWidth="1"/>
    <col min="6" max="6" width="35.7109375" customWidth="1"/>
    <col min="7" max="7" width="3.7109375" customWidth="1"/>
  </cols>
  <sheetData>
    <row r="1" spans="1:6" ht="15" x14ac:dyDescent="0.2">
      <c r="A1" s="2" t="s">
        <v>128</v>
      </c>
      <c r="B1" s="31" t="str">
        <f>Lang_Time_Series_Variables</f>
        <v>Time Series Variables</v>
      </c>
    </row>
    <row r="2" spans="1:6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3" spans="1:6" s="10" customFormat="1" x14ac:dyDescent="0.2"/>
    <row r="4" spans="1:6" s="13" customFormat="1" x14ac:dyDescent="0.2">
      <c r="A4" s="10"/>
      <c r="B4" s="13" t="str">
        <f>Lang_Time_Series_Lookups</f>
        <v>Time Series - Lookups</v>
      </c>
    </row>
    <row r="5" spans="1:6" s="65" customFormat="1" outlineLevel="1" x14ac:dyDescent="0.2">
      <c r="A5" s="10"/>
      <c r="B5" s="10"/>
      <c r="C5" s="494" t="s">
        <v>111</v>
      </c>
      <c r="D5" s="494"/>
      <c r="E5" s="494"/>
      <c r="F5" s="65" t="s">
        <v>21</v>
      </c>
    </row>
    <row r="6" spans="1:6" s="10" customFormat="1" outlineLevel="1" x14ac:dyDescent="0.2"/>
    <row r="7" spans="1:6" s="10" customFormat="1" outlineLevel="1" x14ac:dyDescent="0.2">
      <c r="D7" s="109" t="s">
        <v>111</v>
      </c>
      <c r="F7" s="50" t="s">
        <v>112</v>
      </c>
    </row>
    <row r="8" spans="1:6" s="10" customFormat="1" outlineLevel="1" x14ac:dyDescent="0.2">
      <c r="D8" s="110" t="str">
        <f>Lang_Cost_Projection</f>
        <v>Cost Projection</v>
      </c>
      <c r="F8" s="50"/>
    </row>
    <row r="9" spans="1:6" s="10" customFormat="1" outlineLevel="1" x14ac:dyDescent="0.2">
      <c r="D9" s="110" t="str">
        <f>Lang_Retrospective_Costing</f>
        <v>Retrospective Costing</v>
      </c>
      <c r="F9" s="50"/>
    </row>
    <row r="10" spans="1:6" s="10" customFormat="1" outlineLevel="1" x14ac:dyDescent="0.2"/>
    <row r="11" spans="1:6" s="65" customFormat="1" outlineLevel="1" x14ac:dyDescent="0.2">
      <c r="A11" s="10"/>
      <c r="B11" s="10"/>
      <c r="C11" s="494" t="s">
        <v>31</v>
      </c>
      <c r="D11" s="494"/>
      <c r="E11" s="494"/>
      <c r="F11" s="65" t="s">
        <v>21</v>
      </c>
    </row>
    <row r="12" spans="1:6" s="10" customFormat="1" outlineLevel="1" x14ac:dyDescent="0.2"/>
    <row r="13" spans="1:6" s="10" customFormat="1" outlineLevel="1" x14ac:dyDescent="0.2">
      <c r="D13" s="17" t="s">
        <v>32</v>
      </c>
      <c r="F13" s="50" t="s">
        <v>33</v>
      </c>
    </row>
    <row r="14" spans="1:6" s="10" customFormat="1" outlineLevel="1" x14ac:dyDescent="0.2">
      <c r="D14" s="40">
        <f>ROWS(D$14:D14)</f>
        <v>1</v>
      </c>
      <c r="F14" s="50" t="s">
        <v>39</v>
      </c>
    </row>
    <row r="15" spans="1:6" s="10" customFormat="1" outlineLevel="1" x14ac:dyDescent="0.2">
      <c r="D15" s="40">
        <f>ROWS(D$14:D15)</f>
        <v>2</v>
      </c>
      <c r="F15" s="50" t="s">
        <v>39</v>
      </c>
    </row>
    <row r="16" spans="1:6" s="10" customFormat="1" outlineLevel="1" x14ac:dyDescent="0.2">
      <c r="D16" s="40">
        <f>ROWS(D$14:D16)</f>
        <v>3</v>
      </c>
      <c r="F16" s="50" t="s">
        <v>39</v>
      </c>
    </row>
    <row r="17" spans="4:6" s="10" customFormat="1" outlineLevel="1" x14ac:dyDescent="0.2">
      <c r="D17" s="40">
        <f>ROWS(D$14:D17)</f>
        <v>4</v>
      </c>
      <c r="F17" s="50" t="s">
        <v>39</v>
      </c>
    </row>
    <row r="18" spans="4:6" s="10" customFormat="1" outlineLevel="1" x14ac:dyDescent="0.2">
      <c r="D18" s="40">
        <f>ROWS(D$14:D18)</f>
        <v>5</v>
      </c>
      <c r="F18" s="50" t="s">
        <v>39</v>
      </c>
    </row>
    <row r="19" spans="4:6" s="10" customFormat="1" outlineLevel="1" x14ac:dyDescent="0.2">
      <c r="D19" s="40">
        <f>ROWS(D$14:D19)</f>
        <v>6</v>
      </c>
      <c r="F19" s="50" t="s">
        <v>39</v>
      </c>
    </row>
    <row r="20" spans="4:6" s="10" customFormat="1" outlineLevel="1" x14ac:dyDescent="0.2">
      <c r="D20" s="40">
        <f>ROWS(D$14:D20)</f>
        <v>7</v>
      </c>
      <c r="F20" s="50" t="s">
        <v>39</v>
      </c>
    </row>
    <row r="21" spans="4:6" s="10" customFormat="1" outlineLevel="1" x14ac:dyDescent="0.2">
      <c r="D21" s="40">
        <f>ROWS(D$14:D21)</f>
        <v>8</v>
      </c>
      <c r="F21" s="50"/>
    </row>
    <row r="22" spans="4:6" s="10" customFormat="1" outlineLevel="1" x14ac:dyDescent="0.2">
      <c r="D22" s="40">
        <f>ROWS(D$14:D22)</f>
        <v>9</v>
      </c>
      <c r="F22" s="50" t="s">
        <v>39</v>
      </c>
    </row>
    <row r="23" spans="4:6" s="10" customFormat="1" outlineLevel="1" x14ac:dyDescent="0.2">
      <c r="D23" s="40">
        <f>ROWS(D$14:D23)</f>
        <v>10</v>
      </c>
      <c r="F23" s="50" t="s">
        <v>39</v>
      </c>
    </row>
    <row r="24" spans="4:6" s="10" customFormat="1" outlineLevel="1" x14ac:dyDescent="0.2">
      <c r="D24" s="40">
        <f>ROWS(D$14:D24)</f>
        <v>11</v>
      </c>
      <c r="F24" s="50" t="s">
        <v>39</v>
      </c>
    </row>
    <row r="25" spans="4:6" s="10" customFormat="1" outlineLevel="1" x14ac:dyDescent="0.2">
      <c r="D25" s="40">
        <f>ROWS(D$14:D25)</f>
        <v>12</v>
      </c>
      <c r="F25" s="50" t="s">
        <v>39</v>
      </c>
    </row>
    <row r="26" spans="4:6" s="10" customFormat="1" outlineLevel="1" x14ac:dyDescent="0.2">
      <c r="D26" s="40">
        <f>ROWS(D$14:D26)</f>
        <v>13</v>
      </c>
      <c r="F26" s="50" t="s">
        <v>39</v>
      </c>
    </row>
    <row r="27" spans="4:6" s="10" customFormat="1" outlineLevel="1" x14ac:dyDescent="0.2">
      <c r="D27" s="40">
        <f>ROWS(D$14:D27)</f>
        <v>14</v>
      </c>
      <c r="F27" s="50" t="s">
        <v>39</v>
      </c>
    </row>
    <row r="28" spans="4:6" s="10" customFormat="1" outlineLevel="1" x14ac:dyDescent="0.2">
      <c r="D28" s="40">
        <f>ROWS(D$14:D28)</f>
        <v>15</v>
      </c>
      <c r="F28" s="50" t="s">
        <v>39</v>
      </c>
    </row>
    <row r="29" spans="4:6" s="10" customFormat="1" outlineLevel="1" x14ac:dyDescent="0.2">
      <c r="D29" s="40">
        <f>ROWS(D$14:D29)</f>
        <v>16</v>
      </c>
      <c r="F29" s="50" t="s">
        <v>39</v>
      </c>
    </row>
    <row r="30" spans="4:6" s="10" customFormat="1" outlineLevel="1" x14ac:dyDescent="0.2">
      <c r="D30" s="40">
        <f>ROWS(D$14:D30)</f>
        <v>17</v>
      </c>
      <c r="F30" s="50" t="s">
        <v>39</v>
      </c>
    </row>
    <row r="31" spans="4:6" s="10" customFormat="1" outlineLevel="1" x14ac:dyDescent="0.2">
      <c r="D31" s="40">
        <f>ROWS(D$14:D31)</f>
        <v>18</v>
      </c>
      <c r="F31" s="50" t="s">
        <v>39</v>
      </c>
    </row>
    <row r="32" spans="4:6" s="10" customFormat="1" outlineLevel="1" x14ac:dyDescent="0.2">
      <c r="D32" s="40">
        <f>ROWS(D$14:D32)</f>
        <v>19</v>
      </c>
      <c r="F32" s="50" t="s">
        <v>39</v>
      </c>
    </row>
    <row r="33" spans="1:6" s="10" customFormat="1" outlineLevel="1" x14ac:dyDescent="0.2">
      <c r="D33" s="40">
        <f>ROWS(D$14:D33)</f>
        <v>20</v>
      </c>
      <c r="F33" s="50" t="s">
        <v>39</v>
      </c>
    </row>
    <row r="34" spans="1:6" s="10" customFormat="1" outlineLevel="1" x14ac:dyDescent="0.2">
      <c r="D34" s="40">
        <f>ROWS(D$14:D34)</f>
        <v>21</v>
      </c>
      <c r="F34" s="50" t="s">
        <v>39</v>
      </c>
    </row>
    <row r="35" spans="1:6" s="10" customFormat="1" outlineLevel="1" x14ac:dyDescent="0.2">
      <c r="D35" s="40">
        <f>ROWS(D$14:D35)</f>
        <v>22</v>
      </c>
      <c r="F35" s="50" t="s">
        <v>39</v>
      </c>
    </row>
    <row r="36" spans="1:6" s="10" customFormat="1" outlineLevel="1" x14ac:dyDescent="0.2">
      <c r="D36" s="40">
        <f>ROWS(D$14:D36)</f>
        <v>23</v>
      </c>
      <c r="F36" s="50" t="s">
        <v>39</v>
      </c>
    </row>
    <row r="37" spans="1:6" s="10" customFormat="1" outlineLevel="1" x14ac:dyDescent="0.2">
      <c r="D37" s="40">
        <f>ROWS(D$14:D37)</f>
        <v>24</v>
      </c>
      <c r="F37" s="50" t="s">
        <v>39</v>
      </c>
    </row>
    <row r="38" spans="1:6" s="10" customFormat="1" outlineLevel="1" x14ac:dyDescent="0.2">
      <c r="D38" s="40">
        <f>ROWS(D$14:D38)</f>
        <v>25</v>
      </c>
      <c r="F38" s="50" t="s">
        <v>39</v>
      </c>
    </row>
    <row r="39" spans="1:6" s="10" customFormat="1" outlineLevel="1" x14ac:dyDescent="0.2">
      <c r="D39" s="40">
        <f>ROWS(D$14:D39)</f>
        <v>26</v>
      </c>
      <c r="F39" s="50" t="s">
        <v>39</v>
      </c>
    </row>
    <row r="40" spans="1:6" s="10" customFormat="1" outlineLevel="1" x14ac:dyDescent="0.2">
      <c r="D40" s="40">
        <f>ROWS(D$14:D40)</f>
        <v>27</v>
      </c>
      <c r="F40" s="50" t="s">
        <v>39</v>
      </c>
    </row>
    <row r="41" spans="1:6" s="10" customFormat="1" outlineLevel="1" x14ac:dyDescent="0.2">
      <c r="D41" s="40">
        <f>ROWS(D$14:D41)</f>
        <v>28</v>
      </c>
      <c r="F41" s="50" t="s">
        <v>39</v>
      </c>
    </row>
    <row r="42" spans="1:6" s="10" customFormat="1" outlineLevel="1" x14ac:dyDescent="0.2">
      <c r="D42" s="40">
        <f>ROWS(D$14:D42)</f>
        <v>29</v>
      </c>
      <c r="F42" s="50" t="s">
        <v>39</v>
      </c>
    </row>
    <row r="43" spans="1:6" s="10" customFormat="1" outlineLevel="1" x14ac:dyDescent="0.2">
      <c r="D43" s="40">
        <f>ROWS(D$14:D43)</f>
        <v>30</v>
      </c>
      <c r="F43" s="50" t="s">
        <v>39</v>
      </c>
    </row>
    <row r="44" spans="1:6" s="10" customFormat="1" outlineLevel="1" x14ac:dyDescent="0.2">
      <c r="D44" s="40">
        <f>ROWS(D$14:D44)</f>
        <v>31</v>
      </c>
      <c r="F44" s="50" t="s">
        <v>39</v>
      </c>
    </row>
    <row r="45" spans="1:6" s="10" customFormat="1" outlineLevel="1" x14ac:dyDescent="0.2">
      <c r="D45" s="40">
        <f>ROWS(D$14:D45)</f>
        <v>32</v>
      </c>
      <c r="F45" s="50" t="s">
        <v>39</v>
      </c>
    </row>
    <row r="46" spans="1:6" s="10" customFormat="1" outlineLevel="1" x14ac:dyDescent="0.2"/>
    <row r="47" spans="1:6" s="65" customFormat="1" outlineLevel="1" x14ac:dyDescent="0.2">
      <c r="A47" s="10"/>
      <c r="B47" s="10"/>
      <c r="C47" s="494" t="s">
        <v>34</v>
      </c>
      <c r="D47" s="494"/>
      <c r="E47" s="494"/>
      <c r="F47" s="65" t="s">
        <v>21</v>
      </c>
    </row>
    <row r="48" spans="1:6" s="10" customFormat="1" outlineLevel="1" x14ac:dyDescent="0.2"/>
    <row r="49" spans="1:6" s="10" customFormat="1" outlineLevel="1" x14ac:dyDescent="0.2">
      <c r="D49" s="109" t="s">
        <v>35</v>
      </c>
      <c r="F49" s="50" t="s">
        <v>36</v>
      </c>
    </row>
    <row r="50" spans="1:6" s="10" customFormat="1" outlineLevel="1" x14ac:dyDescent="0.2">
      <c r="D50" s="111" t="str">
        <f>TEXT(DATE(1,ROWS(D$50:D50),1),"mmmm")</f>
        <v>January</v>
      </c>
      <c r="F50" s="50" t="s">
        <v>39</v>
      </c>
    </row>
    <row r="51" spans="1:6" s="10" customFormat="1" outlineLevel="1" x14ac:dyDescent="0.2">
      <c r="D51" s="111" t="str">
        <f>TEXT(DATE(1,ROWS(D$50:D51),1),"mmmm")</f>
        <v>February</v>
      </c>
      <c r="F51" s="50" t="s">
        <v>39</v>
      </c>
    </row>
    <row r="52" spans="1:6" s="10" customFormat="1" outlineLevel="1" x14ac:dyDescent="0.2">
      <c r="D52" s="111" t="str">
        <f>TEXT(DATE(1,ROWS(D$50:D52),1),"mmmm")</f>
        <v>March</v>
      </c>
      <c r="F52" s="50" t="s">
        <v>39</v>
      </c>
    </row>
    <row r="53" spans="1:6" s="10" customFormat="1" outlineLevel="1" x14ac:dyDescent="0.2">
      <c r="D53" s="111" t="str">
        <f>TEXT(DATE(1,ROWS(D$50:D53),1),"mmmm")</f>
        <v>April</v>
      </c>
      <c r="F53" s="50" t="s">
        <v>39</v>
      </c>
    </row>
    <row r="54" spans="1:6" s="10" customFormat="1" outlineLevel="1" x14ac:dyDescent="0.2">
      <c r="D54" s="111" t="str">
        <f>TEXT(DATE(1,ROWS(D$50:D54),1),"mmmm")</f>
        <v>May</v>
      </c>
      <c r="F54" s="50" t="s">
        <v>39</v>
      </c>
    </row>
    <row r="55" spans="1:6" s="10" customFormat="1" outlineLevel="1" x14ac:dyDescent="0.2">
      <c r="D55" s="111" t="str">
        <f>TEXT(DATE(1,ROWS(D$50:D55),1),"mmmm")</f>
        <v>June</v>
      </c>
      <c r="F55" s="50" t="s">
        <v>39</v>
      </c>
    </row>
    <row r="56" spans="1:6" s="10" customFormat="1" outlineLevel="1" x14ac:dyDescent="0.2">
      <c r="D56" s="111" t="str">
        <f>TEXT(DATE(1,ROWS(D$50:D56),1),"mmmm")</f>
        <v>July</v>
      </c>
      <c r="F56" s="50" t="s">
        <v>39</v>
      </c>
    </row>
    <row r="57" spans="1:6" s="10" customFormat="1" outlineLevel="1" x14ac:dyDescent="0.2">
      <c r="D57" s="111" t="str">
        <f>TEXT(DATE(1,ROWS(D$50:D57),1),"mmmm")</f>
        <v>August</v>
      </c>
      <c r="F57" s="50" t="s">
        <v>39</v>
      </c>
    </row>
    <row r="58" spans="1:6" s="10" customFormat="1" outlineLevel="1" x14ac:dyDescent="0.2">
      <c r="D58" s="111" t="str">
        <f>TEXT(DATE(1,ROWS(D$50:D58),1),"mmmm")</f>
        <v>September</v>
      </c>
      <c r="F58" s="50" t="s">
        <v>39</v>
      </c>
    </row>
    <row r="59" spans="1:6" s="10" customFormat="1" outlineLevel="1" x14ac:dyDescent="0.2">
      <c r="D59" s="111" t="str">
        <f>TEXT(DATE(1,ROWS(D$50:D59),1),"mmmm")</f>
        <v>October</v>
      </c>
      <c r="F59" s="50" t="s">
        <v>39</v>
      </c>
    </row>
    <row r="60" spans="1:6" s="10" customFormat="1" outlineLevel="1" x14ac:dyDescent="0.2">
      <c r="D60" s="111" t="str">
        <f>TEXT(DATE(1,ROWS(D$50:D60),1),"mmmm")</f>
        <v>November</v>
      </c>
      <c r="F60" s="50" t="s">
        <v>39</v>
      </c>
    </row>
    <row r="61" spans="1:6" s="10" customFormat="1" outlineLevel="1" x14ac:dyDescent="0.2">
      <c r="D61" s="111" t="str">
        <f>TEXT(DATE(1,ROWS(D$50:D61),1),"mmmm")</f>
        <v>December</v>
      </c>
      <c r="F61" s="50" t="s">
        <v>39</v>
      </c>
    </row>
    <row r="62" spans="1:6" s="10" customFormat="1" outlineLevel="1" x14ac:dyDescent="0.2"/>
    <row r="63" spans="1:6" s="65" customFormat="1" outlineLevel="1" x14ac:dyDescent="0.2">
      <c r="A63" s="10"/>
      <c r="B63" s="10"/>
      <c r="C63" s="65" t="s">
        <v>37</v>
      </c>
    </row>
    <row r="64" spans="1:6" s="10" customFormat="1" outlineLevel="1" x14ac:dyDescent="0.2"/>
    <row r="65" spans="1:6" s="10" customFormat="1" outlineLevel="1" x14ac:dyDescent="0.2">
      <c r="D65" s="109" t="s">
        <v>38</v>
      </c>
      <c r="F65" s="50" t="s">
        <v>39</v>
      </c>
    </row>
    <row r="66" spans="1:6" s="10" customFormat="1" outlineLevel="1" x14ac:dyDescent="0.2">
      <c r="D66" s="110">
        <v>60</v>
      </c>
      <c r="F66" s="50" t="s">
        <v>45</v>
      </c>
    </row>
    <row r="67" spans="1:6" s="10" customFormat="1" outlineLevel="1" x14ac:dyDescent="0.2">
      <c r="D67" s="110">
        <v>60</v>
      </c>
      <c r="F67" s="50" t="s">
        <v>46</v>
      </c>
    </row>
    <row r="68" spans="1:6" s="10" customFormat="1" outlineLevel="1" x14ac:dyDescent="0.2">
      <c r="D68" s="110">
        <v>24</v>
      </c>
      <c r="F68" s="50" t="s">
        <v>47</v>
      </c>
    </row>
    <row r="69" spans="1:6" s="10" customFormat="1" outlineLevel="1" x14ac:dyDescent="0.2">
      <c r="D69" s="110">
        <v>7</v>
      </c>
      <c r="F69" s="50" t="s">
        <v>48</v>
      </c>
    </row>
    <row r="70" spans="1:6" s="10" customFormat="1" outlineLevel="1" x14ac:dyDescent="0.2">
      <c r="D70" s="110">
        <v>3</v>
      </c>
      <c r="F70" s="50" t="s">
        <v>49</v>
      </c>
    </row>
    <row r="71" spans="1:6" s="10" customFormat="1" outlineLevel="1" x14ac:dyDescent="0.2">
      <c r="D71" s="110">
        <v>6</v>
      </c>
      <c r="F71" s="50" t="s">
        <v>50</v>
      </c>
    </row>
    <row r="72" spans="1:6" s="10" customFormat="1" outlineLevel="1" x14ac:dyDescent="0.2">
      <c r="D72" s="110">
        <v>12</v>
      </c>
      <c r="F72" s="50" t="s">
        <v>51</v>
      </c>
    </row>
    <row r="73" spans="1:6" s="10" customFormat="1" outlineLevel="1" x14ac:dyDescent="0.2">
      <c r="D73" s="110">
        <v>2</v>
      </c>
      <c r="F73" s="50" t="s">
        <v>52</v>
      </c>
    </row>
    <row r="74" spans="1:6" s="10" customFormat="1" outlineLevel="1" x14ac:dyDescent="0.2">
      <c r="D74" s="110">
        <v>4</v>
      </c>
      <c r="F74" s="50" t="s">
        <v>53</v>
      </c>
    </row>
    <row r="75" spans="1:6" s="10" customFormat="1" outlineLevel="1" x14ac:dyDescent="0.2">
      <c r="D75" s="110">
        <v>2</v>
      </c>
      <c r="F75" s="50" t="s">
        <v>54</v>
      </c>
    </row>
    <row r="76" spans="1:6" s="10" customFormat="1" outlineLevel="1" x14ac:dyDescent="0.2"/>
    <row r="77" spans="1:6" s="65" customFormat="1" outlineLevel="1" x14ac:dyDescent="0.2">
      <c r="A77" s="10"/>
      <c r="B77" s="10"/>
      <c r="C77" s="494" t="s">
        <v>40</v>
      </c>
      <c r="D77" s="494"/>
      <c r="E77" s="494"/>
      <c r="F77" s="65" t="s">
        <v>21</v>
      </c>
    </row>
    <row r="78" spans="1:6" s="10" customFormat="1" outlineLevel="1" x14ac:dyDescent="0.2"/>
    <row r="79" spans="1:6" s="10" customFormat="1" outlineLevel="1" x14ac:dyDescent="0.2">
      <c r="D79" s="109" t="s">
        <v>27</v>
      </c>
      <c r="F79" s="50" t="s">
        <v>41</v>
      </c>
    </row>
    <row r="80" spans="1:6" s="10" customFormat="1" outlineLevel="1" x14ac:dyDescent="0.2">
      <c r="D80" s="111" t="str">
        <f>TS_Currency&amp;CHOOSE(ROWS(D$80:D80),"","'000","Millions","Billions")</f>
        <v>$</v>
      </c>
      <c r="F80" s="50" t="s">
        <v>39</v>
      </c>
    </row>
    <row r="81" spans="1:6" s="10" customFormat="1" outlineLevel="1" x14ac:dyDescent="0.2">
      <c r="D81" s="111" t="str">
        <f>TS_Currency&amp;CHOOSE(ROWS(D$80:D81),"","'000","Millions","Billions")</f>
        <v>$'000</v>
      </c>
      <c r="F81" s="50" t="s">
        <v>39</v>
      </c>
    </row>
    <row r="82" spans="1:6" s="10" customFormat="1" outlineLevel="1" x14ac:dyDescent="0.2">
      <c r="D82" s="111" t="str">
        <f>TS_Currency&amp;CHOOSE(ROWS(D$80:D82),"","'000","Millions","Billions")</f>
        <v>$Millions</v>
      </c>
      <c r="F82" s="50" t="s">
        <v>39</v>
      </c>
    </row>
    <row r="83" spans="1:6" s="10" customFormat="1" outlineLevel="1" x14ac:dyDescent="0.2">
      <c r="D83" s="111" t="str">
        <f>TS_Currency&amp;CHOOSE(ROWS(D$80:D83),"","'000","Millions","Billions")</f>
        <v>$Billions</v>
      </c>
      <c r="F83" s="50" t="s">
        <v>39</v>
      </c>
    </row>
    <row r="84" spans="1:6" s="10" customFormat="1" outlineLevel="1" x14ac:dyDescent="0.2"/>
    <row r="85" spans="1:6" s="65" customFormat="1" outlineLevel="1" x14ac:dyDescent="0.2">
      <c r="A85" s="10"/>
      <c r="B85" s="10"/>
      <c r="C85" s="494" t="s">
        <v>42</v>
      </c>
      <c r="D85" s="494"/>
      <c r="E85" s="494"/>
      <c r="F85" s="65" t="s">
        <v>21</v>
      </c>
    </row>
    <row r="86" spans="1:6" s="10" customFormat="1" outlineLevel="1" x14ac:dyDescent="0.2"/>
    <row r="87" spans="1:6" s="10" customFormat="1" outlineLevel="1" x14ac:dyDescent="0.2">
      <c r="D87" s="109" t="s">
        <v>43</v>
      </c>
      <c r="F87" s="50" t="s">
        <v>44</v>
      </c>
    </row>
    <row r="88" spans="1:6" s="10" customFormat="1" outlineLevel="1" x14ac:dyDescent="0.2">
      <c r="D88" s="112">
        <v>1</v>
      </c>
      <c r="F88" s="50" t="s">
        <v>39</v>
      </c>
    </row>
    <row r="89" spans="1:6" s="10" customFormat="1" outlineLevel="1" x14ac:dyDescent="0.2">
      <c r="D89" s="112">
        <v>1000</v>
      </c>
      <c r="F89" s="50" t="s">
        <v>55</v>
      </c>
    </row>
    <row r="90" spans="1:6" s="10" customFormat="1" outlineLevel="1" x14ac:dyDescent="0.2">
      <c r="D90" s="112">
        <v>1000000</v>
      </c>
      <c r="F90" s="50" t="s">
        <v>56</v>
      </c>
    </row>
    <row r="91" spans="1:6" s="10" customFormat="1" outlineLevel="1" x14ac:dyDescent="0.2">
      <c r="D91" s="112">
        <v>1000000000</v>
      </c>
      <c r="F91" s="50" t="s">
        <v>57</v>
      </c>
    </row>
  </sheetData>
  <mergeCells count="5">
    <mergeCell ref="C77:E77"/>
    <mergeCell ref="C85:E85"/>
    <mergeCell ref="C5:E5"/>
    <mergeCell ref="C11:E11"/>
    <mergeCell ref="C47:E47"/>
  </mergeCells>
  <hyperlinks>
    <hyperlink ref="A1" location="HL_Home" tooltip="Go to Table of Contents" display="HL_Home" xr:uid="{00000000-0004-0000-2E00-000000000000}"/>
    <hyperlink ref="A2" location="HL_Err_Chk" tooltip="Go to Error Checks" display="HL_Err_Chk" xr:uid="{00000000-0004-0000-2E00-000001000000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8">
    <tabColor rgb="FF7030A0"/>
    <outlinePr summaryBelow="0"/>
    <pageSetUpPr autoPageBreaks="0"/>
  </sheetPr>
  <dimension ref="A1:F36"/>
  <sheetViews>
    <sheetView showGridLines="0" zoomScaleNormal="100" workbookViewId="0">
      <pane xSplit="1" ySplit="4" topLeftCell="B5" activePane="bottomRight" state="frozen"/>
      <selection activeCell="I511" sqref="I511"/>
      <selection pane="topRight" activeCell="I511" sqref="I511"/>
      <selection pane="bottomLeft" activeCell="I511" sqref="I511"/>
      <selection pane="bottomRight" activeCell="I511" sqref="I511"/>
    </sheetView>
  </sheetViews>
  <sheetFormatPr defaultColWidth="11.7109375" defaultRowHeight="12" outlineLevelRow="1" x14ac:dyDescent="0.2"/>
  <cols>
    <col min="1" max="3" width="3.7109375" customWidth="1"/>
    <col min="4" max="4" width="35.7109375" customWidth="1"/>
    <col min="5" max="5" width="3.7109375" customWidth="1"/>
    <col min="6" max="6" width="35.7109375" customWidth="1"/>
    <col min="7" max="7" width="3.7109375" customWidth="1"/>
  </cols>
  <sheetData>
    <row r="1" spans="1:6" ht="15" x14ac:dyDescent="0.2">
      <c r="A1" s="2" t="s">
        <v>128</v>
      </c>
      <c r="B1" s="31" t="str">
        <f>Lang_Analysis</f>
        <v>Analysis</v>
      </c>
    </row>
    <row r="2" spans="1:6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3" spans="1:6" ht="12.75" x14ac:dyDescent="0.2">
      <c r="B3" s="426" t="str">
        <f>Lang_Goto_TOC</f>
        <v>Go to Table of Contents</v>
      </c>
      <c r="C3" s="426"/>
      <c r="D3" s="426"/>
    </row>
    <row r="4" spans="1:6" x14ac:dyDescent="0.2">
      <c r="A4" s="2" t="s">
        <v>5</v>
      </c>
      <c r="B4" s="38" t="s">
        <v>7</v>
      </c>
      <c r="C4" s="39" t="s">
        <v>8</v>
      </c>
    </row>
    <row r="5" spans="1:6" s="10" customFormat="1" x14ac:dyDescent="0.2"/>
    <row r="6" spans="1:6" s="13" customFormat="1" x14ac:dyDescent="0.2">
      <c r="A6" s="10"/>
      <c r="B6" s="13" t="str">
        <f>Lang_Analysis_Lookups</f>
        <v>Analysis - Lookups</v>
      </c>
    </row>
    <row r="7" spans="1:6" s="10" customFormat="1" outlineLevel="1" x14ac:dyDescent="0.2"/>
    <row r="8" spans="1:6" s="10" customFormat="1" outlineLevel="1" x14ac:dyDescent="0.2"/>
    <row r="9" spans="1:6" s="65" customFormat="1" outlineLevel="1" x14ac:dyDescent="0.2">
      <c r="A9" s="10"/>
      <c r="B9" s="10"/>
      <c r="C9" s="494" t="s">
        <v>326</v>
      </c>
      <c r="D9" s="494"/>
      <c r="E9" s="494"/>
      <c r="F9" s="65" t="s">
        <v>21</v>
      </c>
    </row>
    <row r="10" spans="1:6" s="10" customFormat="1" outlineLevel="1" x14ac:dyDescent="0.2"/>
    <row r="11" spans="1:6" s="10" customFormat="1" outlineLevel="1" x14ac:dyDescent="0.2">
      <c r="D11" s="17" t="s">
        <v>341</v>
      </c>
      <c r="F11" s="50" t="s">
        <v>327</v>
      </c>
    </row>
    <row r="12" spans="1:6" s="10" customFormat="1" outlineLevel="1" x14ac:dyDescent="0.2">
      <c r="D12" s="40" t="str">
        <f>Developer_Only_To!E18</f>
        <v>USD</v>
      </c>
      <c r="F12" s="50"/>
    </row>
    <row r="13" spans="1:6" s="10" customFormat="1" outlineLevel="1" x14ac:dyDescent="0.2">
      <c r="D13" s="40" t="str">
        <f>Developer_Only_To!E19</f>
        <v>LCU</v>
      </c>
      <c r="F13" s="50"/>
    </row>
    <row r="14" spans="1:6" s="10" customFormat="1" outlineLevel="1" x14ac:dyDescent="0.2"/>
    <row r="15" spans="1:6" s="65" customFormat="1" outlineLevel="1" x14ac:dyDescent="0.2">
      <c r="A15" s="10"/>
      <c r="B15" s="10"/>
      <c r="C15" s="494" t="s">
        <v>220</v>
      </c>
      <c r="D15" s="494"/>
      <c r="E15" s="494"/>
      <c r="F15" s="65" t="s">
        <v>21</v>
      </c>
    </row>
    <row r="16" spans="1:6" s="10" customFormat="1" outlineLevel="1" x14ac:dyDescent="0.2"/>
    <row r="17" spans="1:6" s="10" customFormat="1" outlineLevel="1" x14ac:dyDescent="0.2">
      <c r="D17" s="109" t="s">
        <v>220</v>
      </c>
      <c r="F17" s="50" t="s">
        <v>342</v>
      </c>
    </row>
    <row r="18" spans="1:6" s="10" customFormat="1" outlineLevel="1" x14ac:dyDescent="0.2">
      <c r="D18" s="110" t="str">
        <f>Lang_Fin_Costs</f>
        <v>FINANCIAL COSTS</v>
      </c>
      <c r="F18" s="50"/>
    </row>
    <row r="19" spans="1:6" s="10" customFormat="1" outlineLevel="1" x14ac:dyDescent="0.2">
      <c r="D19" s="110" t="str">
        <f>Lang_Econ_Costs</f>
        <v>ECONOMIC COSTS</v>
      </c>
      <c r="F19" s="50"/>
    </row>
    <row r="20" spans="1:6" s="10" customFormat="1" outlineLevel="1" x14ac:dyDescent="0.2"/>
    <row r="21" spans="1:6" s="10" customFormat="1" outlineLevel="1" x14ac:dyDescent="0.2"/>
    <row r="22" spans="1:6" s="65" customFormat="1" outlineLevel="1" x14ac:dyDescent="0.2">
      <c r="A22" s="10"/>
      <c r="B22" s="10"/>
      <c r="C22" s="494" t="s">
        <v>452</v>
      </c>
      <c r="D22" s="494"/>
      <c r="E22" s="494"/>
      <c r="F22" s="65" t="s">
        <v>21</v>
      </c>
    </row>
    <row r="23" spans="1:6" s="10" customFormat="1" outlineLevel="1" x14ac:dyDescent="0.2"/>
    <row r="24" spans="1:6" s="10" customFormat="1" outlineLevel="1" x14ac:dyDescent="0.2">
      <c r="D24" s="17" t="s">
        <v>466</v>
      </c>
      <c r="F24" s="50" t="s">
        <v>467</v>
      </c>
    </row>
    <row r="25" spans="1:6" s="10" customFormat="1" outlineLevel="1" x14ac:dyDescent="0.2">
      <c r="D25" s="40" t="str">
        <f>Analysis!D945</f>
        <v>HPV 1</v>
      </c>
      <c r="F25" s="50"/>
    </row>
    <row r="26" spans="1:6" s="10" customFormat="1" outlineLevel="1" x14ac:dyDescent="0.2">
      <c r="D26" s="40" t="str">
        <f>Analysis!D946</f>
        <v>HPV 2</v>
      </c>
      <c r="F26" s="50"/>
    </row>
    <row r="27" spans="1:6" s="10" customFormat="1" outlineLevel="1" x14ac:dyDescent="0.2"/>
    <row r="28" spans="1:6" s="10" customFormat="1" outlineLevel="1" x14ac:dyDescent="0.2"/>
    <row r="29" spans="1:6" s="10" customFormat="1" outlineLevel="1" x14ac:dyDescent="0.2"/>
    <row r="30" spans="1:6" s="10" customFormat="1" outlineLevel="1" x14ac:dyDescent="0.2"/>
    <row r="31" spans="1:6" s="10" customFormat="1" outlineLevel="1" x14ac:dyDescent="0.2"/>
    <row r="32" spans="1:6" s="10" customFormat="1" outlineLevel="1" x14ac:dyDescent="0.2"/>
    <row r="33" s="10" customFormat="1" outlineLevel="1" x14ac:dyDescent="0.2"/>
    <row r="34" s="10" customFormat="1" outlineLevel="1" x14ac:dyDescent="0.2"/>
    <row r="35" s="10" customFormat="1" outlineLevel="1" x14ac:dyDescent="0.2"/>
    <row r="36" s="10" customFormat="1" outlineLevel="1" x14ac:dyDescent="0.2"/>
  </sheetData>
  <mergeCells count="4">
    <mergeCell ref="B3:D3"/>
    <mergeCell ref="C9:E9"/>
    <mergeCell ref="C15:E15"/>
    <mergeCell ref="C22:E22"/>
  </mergeCells>
  <hyperlinks>
    <hyperlink ref="A4" location="$B$5" tooltip="Go to Top of Sheet" display="$B$5" xr:uid="{00000000-0004-0000-2F00-000000000000}"/>
    <hyperlink ref="B4" location="HL_Sheet_Main_5" tooltip="Go to Previous Sheet" display="HL_Sheet_Main_5" xr:uid="{00000000-0004-0000-2F00-000001000000}"/>
    <hyperlink ref="C4" location="HL_Sheet_Main_25" tooltip="Go to Next Sheet" display="HL_Sheet_Main_25" xr:uid="{00000000-0004-0000-2F00-000002000000}"/>
    <hyperlink ref="A1" location="HL_Home" tooltip="Go to Table of Contents" display="HL_Home" xr:uid="{00000000-0004-0000-2F00-000003000000}"/>
    <hyperlink ref="B3" location="HL_Home" tooltip="Go to Table of Contents" display="HL_Home" xr:uid="{00000000-0004-0000-2F00-000004000000}"/>
    <hyperlink ref="A2" location="HL_Err_Chk" tooltip="Go to Error Checks" display="HL_Err_Chk" xr:uid="{00000000-0004-0000-2F00-000005000000}"/>
    <hyperlink ref="B3:D3" location="Contents!A1" tooltip="Go to Table of Contents" display="Contents!A1" xr:uid="{00000000-0004-0000-2F00-000006000000}"/>
  </hyperlinks>
  <pageMargins left="0.4" right="0.4" top="0.6" bottom="1" header="0" footer="0.3"/>
  <pageSetup orientation="landscape" horizontalDpi="0" verticalDpi="0" r:id="rId1"/>
  <headerFooter>
    <oddFooter>&amp;L&amp;F
&amp;A
Printed: &amp;T on &amp;D&amp;CPage &amp;P of 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3">
    <tabColor rgb="FF7030A0"/>
    <outlinePr summaryBelow="0"/>
    <pageSetUpPr autoPageBreaks="0"/>
  </sheetPr>
  <dimension ref="A1:F23"/>
  <sheetViews>
    <sheetView showGridLines="0" zoomScaleNormal="100" workbookViewId="0">
      <pane xSplit="1" ySplit="4" topLeftCell="B5" activePane="bottomRight" state="frozen"/>
      <selection activeCell="I511" sqref="I511"/>
      <selection pane="topRight" activeCell="I511" sqref="I511"/>
      <selection pane="bottomLeft" activeCell="I511" sqref="I511"/>
      <selection pane="bottomRight" activeCell="I511" sqref="I511"/>
    </sheetView>
  </sheetViews>
  <sheetFormatPr defaultColWidth="11.7109375" defaultRowHeight="12" outlineLevelRow="1" x14ac:dyDescent="0.2"/>
  <cols>
    <col min="1" max="3" width="3.7109375" customWidth="1"/>
    <col min="4" max="4" width="35.7109375" customWidth="1"/>
    <col min="5" max="5" width="3.7109375" customWidth="1"/>
    <col min="6" max="6" width="35.7109375" customWidth="1"/>
    <col min="7" max="7" width="3.7109375" customWidth="1"/>
  </cols>
  <sheetData>
    <row r="1" spans="1:6" ht="15" x14ac:dyDescent="0.2">
      <c r="A1" s="2" t="s">
        <v>128</v>
      </c>
      <c r="B1" s="31" t="str">
        <f>Lang_Vaccine</f>
        <v>Vaccine</v>
      </c>
    </row>
    <row r="2" spans="1:6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3" spans="1:6" ht="12.75" x14ac:dyDescent="0.2">
      <c r="B3" s="426" t="str">
        <f>Lang_Goto_TOC</f>
        <v>Go to Table of Contents</v>
      </c>
      <c r="C3" s="426"/>
      <c r="D3" s="426"/>
    </row>
    <row r="4" spans="1:6" x14ac:dyDescent="0.2">
      <c r="A4" s="2" t="s">
        <v>5</v>
      </c>
      <c r="B4" s="38" t="s">
        <v>7</v>
      </c>
      <c r="C4" s="39" t="s">
        <v>8</v>
      </c>
    </row>
    <row r="5" spans="1:6" s="10" customFormat="1" x14ac:dyDescent="0.2"/>
    <row r="6" spans="1:6" s="13" customFormat="1" x14ac:dyDescent="0.2">
      <c r="A6" s="10"/>
      <c r="B6" s="13" t="str">
        <f>Lang_Vaccine_Lookups</f>
        <v>Vaccine - Lookups</v>
      </c>
    </row>
    <row r="7" spans="1:6" s="10" customFormat="1" outlineLevel="1" x14ac:dyDescent="0.2"/>
    <row r="8" spans="1:6" s="10" customFormat="1" outlineLevel="1" x14ac:dyDescent="0.2"/>
    <row r="9" spans="1:6" s="65" customFormat="1" outlineLevel="1" x14ac:dyDescent="0.2">
      <c r="A9" s="10"/>
      <c r="B9" s="10"/>
      <c r="C9" s="494" t="s">
        <v>78</v>
      </c>
      <c r="D9" s="494"/>
      <c r="E9" s="494"/>
      <c r="F9" s="65" t="s">
        <v>21</v>
      </c>
    </row>
    <row r="10" spans="1:6" s="10" customFormat="1" outlineLevel="1" x14ac:dyDescent="0.2"/>
    <row r="11" spans="1:6" s="10" customFormat="1" outlineLevel="1" x14ac:dyDescent="0.2">
      <c r="D11" s="17" t="s">
        <v>78</v>
      </c>
      <c r="F11" s="50" t="s">
        <v>89</v>
      </c>
    </row>
    <row r="12" spans="1:6" s="10" customFormat="1" outlineLevel="1" x14ac:dyDescent="0.2">
      <c r="D12" s="40" t="str">
        <f>'VACCS_&amp;_SUPPLIES'!D155</f>
        <v>USD</v>
      </c>
      <c r="F12" s="50"/>
    </row>
    <row r="13" spans="1:6" s="10" customFormat="1" outlineLevel="1" x14ac:dyDescent="0.2">
      <c r="D13" s="40" t="str">
        <f>'VACCS_&amp;_SUPPLIES'!D156</f>
        <v>LCU</v>
      </c>
      <c r="F13" s="50"/>
    </row>
    <row r="14" spans="1:6" s="10" customFormat="1" outlineLevel="1" x14ac:dyDescent="0.2"/>
    <row r="15" spans="1:6" s="10" customFormat="1" outlineLevel="1" x14ac:dyDescent="0.2"/>
    <row r="16" spans="1:6" s="10" customFormat="1" outlineLevel="1" x14ac:dyDescent="0.2"/>
    <row r="17" s="10" customFormat="1" outlineLevel="1" x14ac:dyDescent="0.2"/>
    <row r="18" s="10" customFormat="1" outlineLevel="1" x14ac:dyDescent="0.2"/>
    <row r="19" s="10" customFormat="1" outlineLevel="1" x14ac:dyDescent="0.2"/>
    <row r="20" s="10" customFormat="1" outlineLevel="1" x14ac:dyDescent="0.2"/>
    <row r="21" s="10" customFormat="1" outlineLevel="1" x14ac:dyDescent="0.2"/>
    <row r="22" s="10" customFormat="1" outlineLevel="1" x14ac:dyDescent="0.2"/>
    <row r="23" s="10" customFormat="1" outlineLevel="1" x14ac:dyDescent="0.2"/>
  </sheetData>
  <mergeCells count="2">
    <mergeCell ref="B3:D3"/>
    <mergeCell ref="C9:E9"/>
  </mergeCells>
  <hyperlinks>
    <hyperlink ref="A4" location="$B$5" tooltip="Go to Top of Sheet" display="$B$5" xr:uid="{00000000-0004-0000-3000-000000000000}"/>
    <hyperlink ref="B4" location="HL_Sheet_Main_8" tooltip="Go to Previous Sheet" display="HL_Sheet_Main_8" xr:uid="{00000000-0004-0000-3000-000001000000}"/>
    <hyperlink ref="C4" location="HL_Sheet_Main_15" tooltip="Go to Next Sheet" display="HL_Sheet_Main_15" xr:uid="{00000000-0004-0000-3000-000002000000}"/>
    <hyperlink ref="A1" location="HL_Home" tooltip="Go to Table of Contents" display="HL_Home" xr:uid="{00000000-0004-0000-3000-000003000000}"/>
    <hyperlink ref="B3" location="HL_Home" tooltip="Go to Table of Contents" display="HL_Home" xr:uid="{00000000-0004-0000-3000-000004000000}"/>
    <hyperlink ref="A2" location="HL_Err_Chk" tooltip="Go to Error Checks" display="HL_Err_Chk" xr:uid="{00000000-0004-0000-3000-000005000000}"/>
    <hyperlink ref="B3:D3" location="Contents!A1" tooltip="Go to Table of Contents" display="Contents!A1" xr:uid="{00000000-0004-0000-3000-000006000000}"/>
  </hyperlinks>
  <pageMargins left="0.4" right="0.4" top="0.6" bottom="1" header="0" footer="0.3"/>
  <pageSetup orientation="landscape" r:id="rId1"/>
  <headerFooter>
    <oddFooter>&amp;L&amp;F
&amp;A
Printed: &amp;T on &amp;D&amp;CPage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rgb="FF7030A0"/>
    <pageSetUpPr autoPageBreaks="0" fitToPage="1"/>
  </sheetPr>
  <dimension ref="C9:G20"/>
  <sheetViews>
    <sheetView showGridLines="0" zoomScaleNormal="100" workbookViewId="0">
      <selection activeCell="I511" sqref="I511"/>
    </sheetView>
  </sheetViews>
  <sheetFormatPr defaultColWidth="11.7109375" defaultRowHeight="12" x14ac:dyDescent="0.2"/>
  <cols>
    <col min="3" max="6" width="3.7109375" customWidth="1"/>
  </cols>
  <sheetData>
    <row r="9" spans="3:7" ht="15" x14ac:dyDescent="0.2">
      <c r="C9" s="31" t="str">
        <f>Lang_Present_Outputs</f>
        <v>Presentation Outputs</v>
      </c>
    </row>
    <row r="10" spans="3:7" ht="12.75" x14ac:dyDescent="0.2">
      <c r="C10" s="32" t="str">
        <f>Lang_Section_1</f>
        <v>Section 1.</v>
      </c>
    </row>
    <row r="11" spans="3:7" ht="12.75" x14ac:dyDescent="0.2">
      <c r="C11" s="45" t="str">
        <f ca="1">Model_Name</f>
        <v>Cervical Cancer Prevention and Control Costing (C4P) Tool (Cost Projection)</v>
      </c>
    </row>
    <row r="12" spans="3:7" ht="12.75" x14ac:dyDescent="0.2">
      <c r="C12" s="426" t="str">
        <f>Lang_Goto_TOC</f>
        <v>Go to Table of Contents</v>
      </c>
      <c r="D12" s="426"/>
      <c r="E12" s="426"/>
      <c r="F12" s="426"/>
      <c r="G12" s="426"/>
    </row>
    <row r="13" spans="3:7" x14ac:dyDescent="0.2">
      <c r="C13" s="38" t="s">
        <v>7</v>
      </c>
      <c r="D13" s="39" t="s">
        <v>8</v>
      </c>
    </row>
    <row r="17" spans="3:3" x14ac:dyDescent="0.2">
      <c r="C17" s="23"/>
    </row>
    <row r="18" spans="3:3" x14ac:dyDescent="0.2">
      <c r="C18" s="37"/>
    </row>
    <row r="19" spans="3:3" x14ac:dyDescent="0.2">
      <c r="C19" s="37"/>
    </row>
    <row r="20" spans="3:3" x14ac:dyDescent="0.2">
      <c r="C20" s="37"/>
    </row>
  </sheetData>
  <mergeCells count="1">
    <mergeCell ref="C12:G12"/>
  </mergeCells>
  <hyperlinks>
    <hyperlink ref="C13" location="HL_Sheet_Main_2" tooltip="Go to Previous Sheet" display="HL_Sheet_Main_2" xr:uid="{00000000-0004-0000-0400-000000000000}"/>
    <hyperlink ref="D13" location="HL_Sheet_Main_21" tooltip="Go to Next Sheet" display="HL_Sheet_Main_21" xr:uid="{00000000-0004-0000-0400-000001000000}"/>
    <hyperlink ref="C12" location="HL_Home" tooltip="Go to Table of Contents" display="HL_Home" xr:uid="{00000000-0004-0000-0400-000002000000}"/>
    <hyperlink ref="C12:G12" location="Contents!A1" tooltip="Go to Table of Contents" display="Contents!A1" xr:uid="{00000000-0004-0000-0400-000003000000}"/>
  </hyperlinks>
  <pageMargins left="0.4" right="0.4" top="0.6" bottom="1" header="0" footer="0.3"/>
  <pageSetup orientation="landscape" horizontalDpi="0" verticalDpi="0" r:id="rId1"/>
  <headerFooter>
    <oddFooter>&amp;L&amp;F
&amp;A
Printed: &amp;T on &amp;D&amp;CPage &amp;P of &amp;N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4">
    <tabColor rgb="FF7030A0"/>
    <outlinePr summaryBelow="0"/>
    <pageSetUpPr autoPageBreaks="0"/>
  </sheetPr>
  <dimension ref="A1:F27"/>
  <sheetViews>
    <sheetView showGridLines="0" zoomScaleNormal="100" workbookViewId="0">
      <pane xSplit="1" ySplit="2" topLeftCell="B3" activePane="bottomRight" state="frozen"/>
      <selection activeCell="I511" sqref="I511"/>
      <selection pane="topRight" activeCell="I511" sqref="I511"/>
      <selection pane="bottomLeft" activeCell="I511" sqref="I511"/>
      <selection pane="bottomRight" activeCell="I511" sqref="I511"/>
    </sheetView>
  </sheetViews>
  <sheetFormatPr defaultColWidth="11.7109375" defaultRowHeight="12" outlineLevelRow="1" x14ac:dyDescent="0.2"/>
  <cols>
    <col min="1" max="3" width="3.7109375" customWidth="1"/>
    <col min="4" max="4" width="35.7109375" customWidth="1"/>
    <col min="5" max="5" width="3.7109375" customWidth="1"/>
    <col min="6" max="6" width="35.7109375" customWidth="1"/>
    <col min="7" max="7" width="3.7109375" customWidth="1"/>
  </cols>
  <sheetData>
    <row r="1" spans="1:6" ht="15" x14ac:dyDescent="0.2">
      <c r="A1" s="2" t="s">
        <v>128</v>
      </c>
      <c r="B1" s="31" t="str">
        <f>Lang_Custom_Labels_Variables</f>
        <v>Custom Labels Variables</v>
      </c>
    </row>
    <row r="2" spans="1:6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3" spans="1:6" s="10" customFormat="1" x14ac:dyDescent="0.2"/>
    <row r="4" spans="1:6" s="13" customFormat="1" x14ac:dyDescent="0.2">
      <c r="A4" s="10"/>
      <c r="B4" s="13" t="str">
        <f>Lang_Custom_Labels_Lookups</f>
        <v>Custom Labels - Lookups</v>
      </c>
    </row>
    <row r="5" spans="1:6" s="10" customFormat="1" outlineLevel="1" x14ac:dyDescent="0.2"/>
    <row r="6" spans="1:6" s="65" customFormat="1" outlineLevel="1" x14ac:dyDescent="0.2">
      <c r="A6" s="10"/>
      <c r="B6" s="10"/>
      <c r="C6" s="494" t="s">
        <v>148</v>
      </c>
      <c r="D6" s="494"/>
      <c r="E6" s="494"/>
      <c r="F6" s="65" t="s">
        <v>21</v>
      </c>
    </row>
    <row r="7" spans="1:6" s="10" customFormat="1" outlineLevel="1" x14ac:dyDescent="0.2"/>
    <row r="8" spans="1:6" s="10" customFormat="1" outlineLevel="1" x14ac:dyDescent="0.2">
      <c r="D8" s="17" t="s">
        <v>148</v>
      </c>
      <c r="F8" s="50" t="s">
        <v>150</v>
      </c>
    </row>
    <row r="9" spans="1:6" s="10" customFormat="1" outlineLevel="1" x14ac:dyDescent="0.2">
      <c r="D9" s="40" t="str">
        <f>LABELS!E8</f>
        <v>Test  Country AA</v>
      </c>
      <c r="F9" s="50"/>
    </row>
    <row r="10" spans="1:6" s="10" customFormat="1" outlineLevel="1" x14ac:dyDescent="0.2"/>
    <row r="11" spans="1:6" s="65" customFormat="1" x14ac:dyDescent="0.2">
      <c r="A11" s="10"/>
      <c r="B11" s="10"/>
      <c r="C11" s="494" t="s">
        <v>139</v>
      </c>
      <c r="D11" s="494"/>
      <c r="E11" s="494"/>
      <c r="F11" s="65" t="s">
        <v>21</v>
      </c>
    </row>
    <row r="12" spans="1:6" s="10" customFormat="1" x14ac:dyDescent="0.2"/>
    <row r="13" spans="1:6" s="10" customFormat="1" x14ac:dyDescent="0.2">
      <c r="D13" s="17" t="s">
        <v>140</v>
      </c>
      <c r="F13" s="50" t="s">
        <v>274</v>
      </c>
    </row>
    <row r="14" spans="1:6" s="10" customFormat="1" x14ac:dyDescent="0.2">
      <c r="D14" s="40" t="str">
        <f>LABELS!E21</f>
        <v>Target Group Name1</v>
      </c>
      <c r="F14" s="50"/>
    </row>
    <row r="15" spans="1:6" s="10" customFormat="1" x14ac:dyDescent="0.2">
      <c r="D15" s="40" t="str">
        <f>LABELS!E22</f>
        <v>Target Group Name2</v>
      </c>
      <c r="F15" s="50"/>
    </row>
    <row r="16" spans="1:6" s="10" customFormat="1" x14ac:dyDescent="0.2"/>
    <row r="17" spans="1:6" s="65" customFormat="1" x14ac:dyDescent="0.2">
      <c r="A17" s="10"/>
      <c r="B17" s="10"/>
      <c r="C17" s="494" t="s">
        <v>275</v>
      </c>
      <c r="D17" s="494"/>
      <c r="E17" s="494"/>
      <c r="F17" s="65" t="s">
        <v>21</v>
      </c>
    </row>
    <row r="18" spans="1:6" s="10" customFormat="1" x14ac:dyDescent="0.2"/>
    <row r="19" spans="1:6" s="10" customFormat="1" x14ac:dyDescent="0.2">
      <c r="D19" s="17" t="s">
        <v>276</v>
      </c>
      <c r="F19" s="50" t="s">
        <v>277</v>
      </c>
    </row>
    <row r="20" spans="1:6" s="10" customFormat="1" x14ac:dyDescent="0.2">
      <c r="D20" s="40" t="str">
        <f>LABELS!E25</f>
        <v>IN-SCHOOL</v>
      </c>
      <c r="F20" s="50"/>
    </row>
    <row r="21" spans="1:6" s="10" customFormat="1" x14ac:dyDescent="0.2">
      <c r="D21" s="40" t="str">
        <f>LABELS!E26</f>
        <v>OUT OF SCHOOL</v>
      </c>
      <c r="F21" s="50"/>
    </row>
    <row r="22" spans="1:6" s="10" customFormat="1" x14ac:dyDescent="0.2"/>
    <row r="23" spans="1:6" s="65" customFormat="1" x14ac:dyDescent="0.2">
      <c r="A23" s="10"/>
      <c r="B23" s="10"/>
      <c r="C23" s="494" t="s">
        <v>447</v>
      </c>
      <c r="D23" s="494"/>
      <c r="E23" s="494"/>
      <c r="F23" s="65" t="s">
        <v>21</v>
      </c>
    </row>
    <row r="24" spans="1:6" s="10" customFormat="1" x14ac:dyDescent="0.2"/>
    <row r="25" spans="1:6" s="10" customFormat="1" x14ac:dyDescent="0.2">
      <c r="D25" s="17" t="s">
        <v>448</v>
      </c>
      <c r="F25" s="50" t="s">
        <v>449</v>
      </c>
    </row>
    <row r="26" spans="1:6" s="10" customFormat="1" x14ac:dyDescent="0.2">
      <c r="D26" s="40" t="str">
        <f>LABELS!E53</f>
        <v>Single Vaccination Service Delivery Type 1</v>
      </c>
      <c r="F26" s="50"/>
    </row>
    <row r="27" spans="1:6" x14ac:dyDescent="0.2">
      <c r="D27" s="40" t="str">
        <f>LABELS!E54</f>
        <v>Single Vaccination Service Delivery Type 2</v>
      </c>
      <c r="F27" s="15"/>
    </row>
  </sheetData>
  <mergeCells count="4">
    <mergeCell ref="C6:E6"/>
    <mergeCell ref="C11:E11"/>
    <mergeCell ref="C17:E17"/>
    <mergeCell ref="C23:E23"/>
  </mergeCells>
  <hyperlinks>
    <hyperlink ref="A1" location="HL_Home" tooltip="Go to Table of Contents" display="HL_Home" xr:uid="{00000000-0004-0000-3100-000000000000}"/>
    <hyperlink ref="A2" location="HL_Err_Chk" tooltip="Go to Error Checks" display="HL_Err_Chk" xr:uid="{00000000-0004-0000-3100-000001000000}"/>
  </hyperlinks>
  <pageMargins left="0.4" right="0.4" top="0.6" bottom="1" header="0" footer="0.3"/>
  <pageSetup orientation="landscape" r:id="rId1"/>
  <headerFooter>
    <oddFooter>&amp;L&amp;F
&amp;A
Printed: &amp;T on &amp;D&amp;CPage &amp;P of 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5">
    <tabColor rgb="FF7030A0"/>
    <outlinePr summaryBelow="0"/>
    <pageSetUpPr autoPageBreaks="0"/>
  </sheetPr>
  <dimension ref="A1:F27"/>
  <sheetViews>
    <sheetView showGridLines="0" zoomScaleNormal="100" workbookViewId="0">
      <pane xSplit="1" ySplit="2" topLeftCell="B3" activePane="bottomRight" state="frozen"/>
      <selection activeCell="I511" sqref="I511"/>
      <selection pane="topRight" activeCell="I511" sqref="I511"/>
      <selection pane="bottomLeft" activeCell="I511" sqref="I511"/>
      <selection pane="bottomRight" activeCell="I511" sqref="I511"/>
    </sheetView>
  </sheetViews>
  <sheetFormatPr defaultColWidth="11.7109375" defaultRowHeight="12" outlineLevelRow="1" x14ac:dyDescent="0.2"/>
  <cols>
    <col min="1" max="3" width="3.7109375" customWidth="1"/>
    <col min="4" max="4" width="35.7109375" customWidth="1"/>
    <col min="5" max="5" width="3.7109375" customWidth="1"/>
    <col min="6" max="6" width="35.7109375" customWidth="1"/>
    <col min="7" max="7" width="3.7109375" customWidth="1"/>
  </cols>
  <sheetData>
    <row r="1" spans="1:6" ht="15" x14ac:dyDescent="0.2">
      <c r="A1" s="2" t="s">
        <v>128</v>
      </c>
      <c r="B1" s="31" t="str">
        <f>Lang_Econ_Variables</f>
        <v>Economic Variables</v>
      </c>
    </row>
    <row r="2" spans="1:6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3" spans="1:6" s="10" customFormat="1" x14ac:dyDescent="0.2"/>
    <row r="4" spans="1:6" s="13" customFormat="1" x14ac:dyDescent="0.2">
      <c r="A4" s="10"/>
      <c r="B4" s="13" t="str">
        <f>Lang_Econ_Lookups</f>
        <v>Economic - Lookups</v>
      </c>
    </row>
    <row r="5" spans="1:6" s="10" customFormat="1" outlineLevel="1" x14ac:dyDescent="0.2"/>
    <row r="6" spans="1:6" s="65" customFormat="1" outlineLevel="1" x14ac:dyDescent="0.2">
      <c r="A6" s="10"/>
      <c r="B6" s="10"/>
      <c r="C6" s="494" t="s">
        <v>65</v>
      </c>
      <c r="D6" s="494"/>
      <c r="E6" s="494"/>
      <c r="F6" s="65" t="s">
        <v>21</v>
      </c>
    </row>
    <row r="7" spans="1:6" s="10" customFormat="1" outlineLevel="1" x14ac:dyDescent="0.2"/>
    <row r="8" spans="1:6" s="10" customFormat="1" outlineLevel="1" x14ac:dyDescent="0.2">
      <c r="D8" s="17" t="s">
        <v>215</v>
      </c>
      <c r="F8" s="15" t="s">
        <v>229</v>
      </c>
    </row>
    <row r="9" spans="1:6" s="10" customFormat="1" outlineLevel="1" x14ac:dyDescent="0.2">
      <c r="D9" s="40" t="str">
        <f>ECONOMICS!E7</f>
        <v>United States Dollars</v>
      </c>
      <c r="F9" s="15"/>
    </row>
    <row r="10" spans="1:6" s="10" customFormat="1" outlineLevel="1" x14ac:dyDescent="0.2">
      <c r="D10" s="40" t="str">
        <f>ECONOMICS!E8</f>
        <v>Local Currency Unit</v>
      </c>
      <c r="F10" s="15"/>
    </row>
    <row r="11" spans="1:6" s="10" customFormat="1" outlineLevel="1" x14ac:dyDescent="0.2"/>
    <row r="12" spans="1:6" s="65" customFormat="1" outlineLevel="1" x14ac:dyDescent="0.2">
      <c r="A12" s="10"/>
      <c r="B12" s="10"/>
      <c r="C12" s="494" t="s">
        <v>233</v>
      </c>
      <c r="D12" s="494"/>
      <c r="E12" s="494"/>
      <c r="F12" s="65" t="s">
        <v>21</v>
      </c>
    </row>
    <row r="13" spans="1:6" s="10" customFormat="1" outlineLevel="1" x14ac:dyDescent="0.2"/>
    <row r="14" spans="1:6" s="10" customFormat="1" outlineLevel="1" x14ac:dyDescent="0.2">
      <c r="D14" s="17" t="s">
        <v>80</v>
      </c>
      <c r="F14" s="15" t="s">
        <v>234</v>
      </c>
    </row>
    <row r="15" spans="1:6" s="10" customFormat="1" outlineLevel="1" x14ac:dyDescent="0.2">
      <c r="D15" s="40" t="str">
        <f>ECONOMICS!F7</f>
        <v>USD</v>
      </c>
      <c r="F15" s="15"/>
    </row>
    <row r="16" spans="1:6" s="10" customFormat="1" outlineLevel="1" x14ac:dyDescent="0.2">
      <c r="D16" s="40" t="str">
        <f>ECONOMICS!F8</f>
        <v>LCU</v>
      </c>
      <c r="F16" s="15"/>
    </row>
    <row r="17" spans="1:6" s="10" customFormat="1" outlineLevel="1" x14ac:dyDescent="0.2"/>
    <row r="18" spans="1:6" s="65" customFormat="1" outlineLevel="1" x14ac:dyDescent="0.2">
      <c r="A18" s="10"/>
      <c r="B18" s="10"/>
      <c r="C18" s="494" t="s">
        <v>230</v>
      </c>
      <c r="D18" s="494"/>
      <c r="E18" s="494"/>
      <c r="F18" s="65" t="s">
        <v>21</v>
      </c>
    </row>
    <row r="19" spans="1:6" s="10" customFormat="1" outlineLevel="1" x14ac:dyDescent="0.2"/>
    <row r="20" spans="1:6" s="10" customFormat="1" outlineLevel="1" x14ac:dyDescent="0.2">
      <c r="D20" s="17" t="s">
        <v>230</v>
      </c>
      <c r="F20" s="15" t="s">
        <v>231</v>
      </c>
    </row>
    <row r="21" spans="1:6" s="10" customFormat="1" outlineLevel="1" x14ac:dyDescent="0.2">
      <c r="D21" s="40">
        <f>ECONOMICS!E13</f>
        <v>1234.5</v>
      </c>
      <c r="F21" s="15"/>
    </row>
    <row r="22" spans="1:6" s="10" customFormat="1" outlineLevel="1" x14ac:dyDescent="0.2"/>
    <row r="23" spans="1:6" s="10" customFormat="1" outlineLevel="1" x14ac:dyDescent="0.2"/>
    <row r="24" spans="1:6" s="65" customFormat="1" outlineLevel="1" x14ac:dyDescent="0.2">
      <c r="A24" s="10"/>
      <c r="B24" s="10"/>
      <c r="C24" s="494" t="s">
        <v>81</v>
      </c>
      <c r="D24" s="494"/>
      <c r="E24" s="494"/>
      <c r="F24" s="65" t="s">
        <v>21</v>
      </c>
    </row>
    <row r="25" spans="1:6" s="10" customFormat="1" outlineLevel="1" x14ac:dyDescent="0.2"/>
    <row r="26" spans="1:6" s="10" customFormat="1" outlineLevel="1" x14ac:dyDescent="0.2">
      <c r="D26" s="17" t="s">
        <v>81</v>
      </c>
      <c r="F26" s="15" t="s">
        <v>232</v>
      </c>
    </row>
    <row r="27" spans="1:6" s="10" customFormat="1" outlineLevel="1" x14ac:dyDescent="0.2">
      <c r="D27" s="40">
        <f>ECONOMICS!E15</f>
        <v>0.03</v>
      </c>
      <c r="F27" s="15"/>
    </row>
  </sheetData>
  <mergeCells count="4">
    <mergeCell ref="C6:E6"/>
    <mergeCell ref="C18:E18"/>
    <mergeCell ref="C24:E24"/>
    <mergeCell ref="C12:E12"/>
  </mergeCells>
  <hyperlinks>
    <hyperlink ref="A1" location="HL_Home" tooltip="Go to Table of Contents" display="HL_Home" xr:uid="{00000000-0004-0000-3200-000000000000}"/>
    <hyperlink ref="A2" location="HL_Err_Chk" tooltip="Go to Error Checks" display="HL_Err_Chk" xr:uid="{00000000-0004-0000-3200-000001000000}"/>
  </hyperlinks>
  <pageMargins left="0.4" right="0.4" top="0.6" bottom="1" header="0" footer="0.3"/>
  <pageSetup orientation="landscape" r:id="rId1"/>
  <headerFooter>
    <oddFooter>&amp;L&amp;F
&amp;A
Printed: &amp;T on &amp;D&amp;CPage &amp;P of 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6">
    <tabColor rgb="FF7030A0"/>
    <outlinePr summaryBelow="0"/>
    <pageSetUpPr autoPageBreaks="0"/>
  </sheetPr>
  <dimension ref="A1:F21"/>
  <sheetViews>
    <sheetView showGridLines="0" zoomScaleNormal="100" workbookViewId="0">
      <pane xSplit="1" ySplit="4" topLeftCell="B5" activePane="bottomRight" state="frozen"/>
      <selection activeCell="I511" sqref="I511"/>
      <selection pane="topRight" activeCell="I511" sqref="I511"/>
      <selection pane="bottomLeft" activeCell="I511" sqref="I511"/>
      <selection pane="bottomRight" activeCell="I511" sqref="I511"/>
    </sheetView>
  </sheetViews>
  <sheetFormatPr defaultColWidth="11.7109375" defaultRowHeight="12" outlineLevelRow="1" x14ac:dyDescent="0.2"/>
  <cols>
    <col min="1" max="3" width="3.7109375" customWidth="1"/>
    <col min="4" max="4" width="35.7109375" customWidth="1"/>
    <col min="5" max="5" width="3.7109375" customWidth="1"/>
    <col min="6" max="6" width="35.7109375" customWidth="1"/>
    <col min="7" max="7" width="3.7109375" customWidth="1"/>
  </cols>
  <sheetData>
    <row r="1" spans="1:6" ht="15" x14ac:dyDescent="0.2">
      <c r="A1" s="2" t="s">
        <v>128</v>
      </c>
      <c r="B1" s="31" t="str">
        <f>Lang_Counts_Variables</f>
        <v>Counts Variables</v>
      </c>
    </row>
    <row r="2" spans="1:6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3" spans="1:6" ht="12.75" x14ac:dyDescent="0.2">
      <c r="B3" s="426" t="str">
        <f>Lang_Goto_TOC</f>
        <v>Go to Table of Contents</v>
      </c>
      <c r="C3" s="426"/>
      <c r="D3" s="426"/>
    </row>
    <row r="4" spans="1:6" x14ac:dyDescent="0.2">
      <c r="A4" s="2" t="s">
        <v>5</v>
      </c>
      <c r="B4" s="38" t="s">
        <v>7</v>
      </c>
      <c r="C4" s="39" t="s">
        <v>8</v>
      </c>
    </row>
    <row r="6" spans="1:6" s="13" customFormat="1" x14ac:dyDescent="0.2">
      <c r="A6"/>
      <c r="B6" s="13" t="str">
        <f>Lang_Counts_Lookups</f>
        <v>Counts - Lookups</v>
      </c>
    </row>
    <row r="7" spans="1:6" outlineLevel="1" x14ac:dyDescent="0.2"/>
    <row r="8" spans="1:6" s="65" customFormat="1" outlineLevel="1" x14ac:dyDescent="0.2">
      <c r="A8"/>
      <c r="B8"/>
      <c r="C8" s="494" t="s">
        <v>139</v>
      </c>
      <c r="D8" s="494"/>
      <c r="E8" s="494"/>
      <c r="F8" s="65" t="s">
        <v>21</v>
      </c>
    </row>
    <row r="9" spans="1:6" outlineLevel="1" x14ac:dyDescent="0.2"/>
    <row r="10" spans="1:6" outlineLevel="1" x14ac:dyDescent="0.2">
      <c r="D10" s="17" t="s">
        <v>140</v>
      </c>
      <c r="F10" s="15" t="s">
        <v>141</v>
      </c>
    </row>
    <row r="11" spans="1:6" outlineLevel="1" x14ac:dyDescent="0.2">
      <c r="D11" s="40" t="str">
        <f>COUNTS!D157</f>
        <v>Target Group Name1</v>
      </c>
      <c r="F11" s="15"/>
    </row>
    <row r="12" spans="1:6" outlineLevel="1" x14ac:dyDescent="0.2">
      <c r="D12" s="40" t="str">
        <f>COUNTS!D158</f>
        <v>Target Group Name2</v>
      </c>
      <c r="F12" s="15"/>
    </row>
    <row r="13" spans="1:6" outlineLevel="1" x14ac:dyDescent="0.2"/>
    <row r="14" spans="1:6" outlineLevel="1" x14ac:dyDescent="0.2"/>
    <row r="15" spans="1:6" s="65" customFormat="1" outlineLevel="1" x14ac:dyDescent="0.2">
      <c r="A15"/>
      <c r="B15"/>
      <c r="C15" s="494" t="s">
        <v>142</v>
      </c>
      <c r="D15" s="494"/>
      <c r="E15" s="494"/>
      <c r="F15" s="65" t="s">
        <v>21</v>
      </c>
    </row>
    <row r="16" spans="1:6" outlineLevel="1" x14ac:dyDescent="0.2"/>
    <row r="17" spans="4:6" outlineLevel="1" x14ac:dyDescent="0.2">
      <c r="D17" s="17" t="s">
        <v>143</v>
      </c>
      <c r="F17" s="15" t="s">
        <v>144</v>
      </c>
    </row>
    <row r="18" spans="4:6" outlineLevel="1" x14ac:dyDescent="0.2">
      <c r="D18" s="40" t="str">
        <f>COUNTS!D161</f>
        <v>IN-SCHOOL</v>
      </c>
      <c r="F18" s="15"/>
    </row>
    <row r="19" spans="4:6" outlineLevel="1" x14ac:dyDescent="0.2">
      <c r="D19" s="40" t="str">
        <f>COUNTS!D162</f>
        <v>OUT OF SCHOOL</v>
      </c>
      <c r="F19" s="15"/>
    </row>
    <row r="20" spans="4:6" outlineLevel="1" x14ac:dyDescent="0.2"/>
    <row r="21" spans="4:6" outlineLevel="1" x14ac:dyDescent="0.2"/>
  </sheetData>
  <mergeCells count="3">
    <mergeCell ref="B3:D3"/>
    <mergeCell ref="C8:E8"/>
    <mergeCell ref="C15:E15"/>
  </mergeCells>
  <hyperlinks>
    <hyperlink ref="A4" location="$B$5" tooltip="Go to Top of Sheet" display="$B$5" xr:uid="{00000000-0004-0000-3300-000000000000}"/>
    <hyperlink ref="B4" location="HL_Sheet_Main_18" tooltip="Go to Previous Sheet" display="HL_Sheet_Main_18" xr:uid="{00000000-0004-0000-3300-000001000000}"/>
    <hyperlink ref="C4" location="HL_Sheet_Main_66" tooltip="Go to Next Sheet" display="HL_Sheet_Main_66" xr:uid="{00000000-0004-0000-3300-000002000000}"/>
    <hyperlink ref="A1" location="HL_Home" tooltip="Go to Table of Contents" display="HL_Home" xr:uid="{00000000-0004-0000-3300-000003000000}"/>
    <hyperlink ref="B3" location="HL_Home" tooltip="Go to Table of Contents" display="HL_Home" xr:uid="{00000000-0004-0000-3300-000004000000}"/>
    <hyperlink ref="A2" location="HL_Err_Chk" tooltip="Go to Error Checks" display="HL_Err_Chk" xr:uid="{00000000-0004-0000-3300-000005000000}"/>
    <hyperlink ref="B3:D3" location="Contents!A1" tooltip="Go to Table of Contents" display="Contents!A1" xr:uid="{00000000-0004-0000-3300-000006000000}"/>
  </hyperlinks>
  <pageMargins left="0.4" right="0.4" top="0.6" bottom="1" header="0" footer="0.3"/>
  <pageSetup orientation="landscape" r:id="rId1"/>
  <headerFooter>
    <oddFooter>&amp;L&amp;F
&amp;A
Printed: &amp;T on &amp;D&amp;CPage &amp;P of 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7">
    <tabColor rgb="FF7030A0"/>
    <outlinePr summaryBelow="0"/>
    <pageSetUpPr autoPageBreaks="0"/>
  </sheetPr>
  <dimension ref="A1:F37"/>
  <sheetViews>
    <sheetView showGridLines="0" zoomScaleNormal="100" workbookViewId="0">
      <pane xSplit="1" ySplit="4" topLeftCell="B5" activePane="bottomRight" state="frozen"/>
      <selection activeCell="I511" sqref="I511"/>
      <selection pane="topRight" activeCell="I511" sqref="I511"/>
      <selection pane="bottomLeft" activeCell="I511" sqref="I511"/>
      <selection pane="bottomRight" activeCell="I511" sqref="I511"/>
    </sheetView>
  </sheetViews>
  <sheetFormatPr defaultColWidth="11.7109375" defaultRowHeight="12" x14ac:dyDescent="0.2"/>
  <cols>
    <col min="1" max="3" width="3.7109375" customWidth="1"/>
    <col min="4" max="4" width="35.7109375" customWidth="1"/>
    <col min="5" max="5" width="3.7109375" customWidth="1"/>
    <col min="6" max="6" width="35.7109375" customWidth="1"/>
    <col min="7" max="7" width="3.7109375" customWidth="1"/>
  </cols>
  <sheetData>
    <row r="1" spans="1:6" ht="15" x14ac:dyDescent="0.2">
      <c r="A1" s="2" t="s">
        <v>128</v>
      </c>
      <c r="B1" s="31" t="str">
        <f>Lang_Coverage_Variables</f>
        <v>Coverage Variables</v>
      </c>
    </row>
    <row r="2" spans="1:6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3" spans="1:6" ht="12.75" x14ac:dyDescent="0.2">
      <c r="B3" s="426" t="str">
        <f>Lang_Goto_TOC</f>
        <v>Go to Table of Contents</v>
      </c>
      <c r="C3" s="426"/>
      <c r="D3" s="426"/>
    </row>
    <row r="4" spans="1:6" x14ac:dyDescent="0.2">
      <c r="A4" s="2" t="s">
        <v>5</v>
      </c>
      <c r="B4" s="38" t="s">
        <v>7</v>
      </c>
      <c r="C4" s="39" t="s">
        <v>8</v>
      </c>
    </row>
    <row r="5" spans="1:6" s="10" customFormat="1" x14ac:dyDescent="0.2"/>
    <row r="6" spans="1:6" s="13" customFormat="1" x14ac:dyDescent="0.2">
      <c r="A6" s="10"/>
      <c r="B6" s="13" t="str">
        <f>Lang_Coverage_Lookups</f>
        <v>Coverage - Lookups</v>
      </c>
    </row>
    <row r="7" spans="1:6" s="10" customFormat="1" x14ac:dyDescent="0.2"/>
    <row r="8" spans="1:6" s="10" customFormat="1" x14ac:dyDescent="0.2"/>
    <row r="9" spans="1:6" s="65" customFormat="1" x14ac:dyDescent="0.2">
      <c r="A9" s="10"/>
      <c r="B9" s="10"/>
      <c r="C9" s="494" t="s">
        <v>145</v>
      </c>
      <c r="D9" s="494"/>
      <c r="E9" s="494"/>
      <c r="F9" s="65" t="s">
        <v>21</v>
      </c>
    </row>
    <row r="11" spans="1:6" x14ac:dyDescent="0.2">
      <c r="D11" s="17" t="s">
        <v>146</v>
      </c>
      <c r="F11" s="15" t="s">
        <v>282</v>
      </c>
    </row>
    <row r="12" spans="1:6" x14ac:dyDescent="0.2">
      <c r="D12" s="40" t="str">
        <f>Developer_Only_To!D42</f>
        <v>Test  Country AA</v>
      </c>
      <c r="F12" s="15"/>
    </row>
    <row r="15" spans="1:6" s="65" customFormat="1" x14ac:dyDescent="0.2">
      <c r="A15"/>
      <c r="B15"/>
      <c r="C15" s="494" t="s">
        <v>139</v>
      </c>
      <c r="D15" s="494"/>
      <c r="E15" s="494"/>
      <c r="F15" s="65" t="s">
        <v>21</v>
      </c>
    </row>
    <row r="17" spans="1:6" x14ac:dyDescent="0.2">
      <c r="D17" s="17" t="s">
        <v>140</v>
      </c>
      <c r="F17" s="15" t="s">
        <v>283</v>
      </c>
    </row>
    <row r="18" spans="1:6" x14ac:dyDescent="0.2">
      <c r="D18" s="40" t="str">
        <f>Developer_Only_To!D29</f>
        <v>Target Group Name1</v>
      </c>
      <c r="F18" s="15"/>
    </row>
    <row r="19" spans="1:6" x14ac:dyDescent="0.2">
      <c r="D19" s="40" t="str">
        <f>Developer_Only_To!D30</f>
        <v>Target Group Name2</v>
      </c>
      <c r="F19" s="15"/>
    </row>
    <row r="22" spans="1:6" s="65" customFormat="1" x14ac:dyDescent="0.2">
      <c r="A22"/>
      <c r="B22"/>
      <c r="C22" s="494" t="s">
        <v>142</v>
      </c>
      <c r="D22" s="494"/>
      <c r="E22" s="494"/>
      <c r="F22" s="65" t="s">
        <v>21</v>
      </c>
    </row>
    <row r="24" spans="1:6" x14ac:dyDescent="0.2">
      <c r="D24" s="17" t="s">
        <v>143</v>
      </c>
      <c r="F24" s="15" t="s">
        <v>284</v>
      </c>
    </row>
    <row r="25" spans="1:6" x14ac:dyDescent="0.2">
      <c r="D25" s="40" t="str">
        <f>Developer_Only_To!D35</f>
        <v>IN-SCHOOL</v>
      </c>
      <c r="F25" s="15"/>
    </row>
    <row r="26" spans="1:6" x14ac:dyDescent="0.2">
      <c r="D26" s="40" t="str">
        <f>Developer_Only_To!D36</f>
        <v>OUT OF SCHOOL</v>
      </c>
      <c r="F26" s="15"/>
    </row>
    <row r="28" spans="1:6" s="65" customFormat="1" x14ac:dyDescent="0.2">
      <c r="A28"/>
      <c r="B28"/>
      <c r="C28" s="494" t="s">
        <v>280</v>
      </c>
      <c r="D28" s="494"/>
      <c r="E28" s="494"/>
      <c r="F28" s="65" t="s">
        <v>21</v>
      </c>
    </row>
    <row r="30" spans="1:6" x14ac:dyDescent="0.2">
      <c r="D30" s="17" t="s">
        <v>285</v>
      </c>
      <c r="F30" s="15" t="s">
        <v>286</v>
      </c>
    </row>
    <row r="31" spans="1:6" x14ac:dyDescent="0.2">
      <c r="D31" s="40" t="str">
        <f>Developer_Only_To!D45</f>
        <v>HPV 1</v>
      </c>
      <c r="F31" s="15"/>
    </row>
    <row r="32" spans="1:6" x14ac:dyDescent="0.2">
      <c r="D32" s="40" t="str">
        <f>Developer_Only_To!D46</f>
        <v>HPV 2</v>
      </c>
      <c r="F32" s="15"/>
    </row>
    <row r="33" spans="1:6" s="65" customFormat="1" x14ac:dyDescent="0.2">
      <c r="A33"/>
      <c r="B33"/>
      <c r="C33" s="494" t="s">
        <v>348</v>
      </c>
      <c r="D33" s="494"/>
      <c r="E33" s="494"/>
      <c r="F33" s="65" t="s">
        <v>21</v>
      </c>
    </row>
    <row r="35" spans="1:6" x14ac:dyDescent="0.2">
      <c r="D35" s="17" t="s">
        <v>350</v>
      </c>
      <c r="F35" s="15" t="s">
        <v>351</v>
      </c>
    </row>
    <row r="36" spans="1:6" x14ac:dyDescent="0.2">
      <c r="D36" s="16" t="str">
        <f>Lang_Numbers</f>
        <v>Numbers (#)</v>
      </c>
      <c r="F36" s="15"/>
    </row>
    <row r="37" spans="1:6" x14ac:dyDescent="0.2">
      <c r="D37" s="16" t="str">
        <f>Lang_Proportions</f>
        <v>Proportions (%)</v>
      </c>
      <c r="F37" s="15"/>
    </row>
  </sheetData>
  <mergeCells count="6">
    <mergeCell ref="C33:E33"/>
    <mergeCell ref="B3:D3"/>
    <mergeCell ref="C22:E22"/>
    <mergeCell ref="C28:E28"/>
    <mergeCell ref="C9:E9"/>
    <mergeCell ref="C15:E15"/>
  </mergeCells>
  <hyperlinks>
    <hyperlink ref="A4" location="$B$5" tooltip="Go to Top of Sheet" display="$B$5" xr:uid="{00000000-0004-0000-3400-000000000000}"/>
    <hyperlink ref="B4" location="HL_Sheet_Main_34" tooltip="Go to Previous Sheet" display="HL_Sheet_Main_34" xr:uid="{00000000-0004-0000-3400-000001000000}"/>
    <hyperlink ref="C4" location="HL_Sheet_Main_16" tooltip="Go to Next Sheet" display="HL_Sheet_Main_16" xr:uid="{00000000-0004-0000-3400-000002000000}"/>
    <hyperlink ref="A1" location="HL_Home" tooltip="Go to Table of Contents" display="HL_Home" xr:uid="{00000000-0004-0000-3400-000003000000}"/>
    <hyperlink ref="B3" location="HL_Home" tooltip="Go to Table of Contents" display="HL_Home" xr:uid="{00000000-0004-0000-3400-000004000000}"/>
    <hyperlink ref="A2" location="HL_Err_Chk" tooltip="Go to Error Checks" display="HL_Err_Chk" xr:uid="{00000000-0004-0000-3400-000005000000}"/>
    <hyperlink ref="B3:D3" location="Contents!A1" tooltip="Go to Table of Contents" display="Contents!A1" xr:uid="{00000000-0004-0000-3400-000006000000}"/>
  </hyperlinks>
  <pageMargins left="0.4" right="0.4" top="0.6" bottom="1" header="0" footer="0.3"/>
  <pageSetup orientation="landscape" horizontalDpi="0" verticalDpi="0" r:id="rId1"/>
  <headerFooter>
    <oddFooter>&amp;L&amp;F
&amp;A
Printed: &amp;T on &amp;D&amp;CPage &amp;P of 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8">
    <tabColor rgb="FF7030A0"/>
    <outlinePr summaryBelow="0"/>
    <pageSetUpPr autoPageBreaks="0"/>
  </sheetPr>
  <dimension ref="A1:F142"/>
  <sheetViews>
    <sheetView showGridLines="0" zoomScaleNormal="100" workbookViewId="0">
      <pane xSplit="1" ySplit="2" topLeftCell="B3" activePane="bottomRight" state="frozen"/>
      <selection activeCell="I511" sqref="I511"/>
      <selection pane="topRight" activeCell="I511" sqref="I511"/>
      <selection pane="bottomLeft" activeCell="I511" sqref="I511"/>
      <selection pane="bottomRight" activeCell="I511" sqref="I511"/>
    </sheetView>
  </sheetViews>
  <sheetFormatPr defaultColWidth="11.7109375" defaultRowHeight="12" outlineLevelRow="1" x14ac:dyDescent="0.2"/>
  <cols>
    <col min="1" max="3" width="3.7109375" customWidth="1"/>
    <col min="4" max="4" width="35.7109375" customWidth="1"/>
    <col min="5" max="5" width="3.7109375" customWidth="1"/>
    <col min="6" max="6" width="35.7109375" customWidth="1"/>
    <col min="7" max="7" width="3.7109375" customWidth="1"/>
  </cols>
  <sheetData>
    <row r="1" spans="1:6" ht="15" x14ac:dyDescent="0.2">
      <c r="A1" s="2" t="s">
        <v>128</v>
      </c>
      <c r="B1" s="31" t="str">
        <f>Lang_Microplanning_Activity_Variables</f>
        <v>Microplanning Activity Variables</v>
      </c>
    </row>
    <row r="2" spans="1:6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3" spans="1:6" s="10" customFormat="1" x14ac:dyDescent="0.2"/>
    <row r="4" spans="1:6" s="13" customFormat="1" x14ac:dyDescent="0.2">
      <c r="A4" s="10"/>
      <c r="B4" s="13" t="str">
        <f>Lang_Microplanning_Level_1_1_Lookups</f>
        <v>Microplanning Level 1 (1) - Lookups</v>
      </c>
    </row>
    <row r="5" spans="1:6" s="10" customFormat="1" outlineLevel="1" x14ac:dyDescent="0.2"/>
    <row r="6" spans="1:6" s="10" customFormat="1" outlineLevel="1" x14ac:dyDescent="0.2"/>
    <row r="7" spans="1:6" s="65" customFormat="1" outlineLevel="1" x14ac:dyDescent="0.2">
      <c r="A7" s="10"/>
      <c r="B7" s="10"/>
      <c r="C7" s="494" t="s">
        <v>65</v>
      </c>
      <c r="D7" s="494"/>
      <c r="E7" s="494"/>
      <c r="F7" s="65" t="s">
        <v>21</v>
      </c>
    </row>
    <row r="8" spans="1:6" s="10" customFormat="1" outlineLevel="1" x14ac:dyDescent="0.2"/>
    <row r="9" spans="1:6" s="10" customFormat="1" outlineLevel="1" x14ac:dyDescent="0.2">
      <c r="D9" s="17" t="s">
        <v>215</v>
      </c>
      <c r="F9" s="15" t="s">
        <v>237</v>
      </c>
    </row>
    <row r="10" spans="1:6" s="10" customFormat="1" outlineLevel="1" x14ac:dyDescent="0.2">
      <c r="D10" s="40" t="str">
        <f>MICRO_DETAILED_COST_WKSHT!D19</f>
        <v>USD</v>
      </c>
      <c r="F10" s="15"/>
    </row>
    <row r="11" spans="1:6" s="10" customFormat="1" outlineLevel="1" x14ac:dyDescent="0.2">
      <c r="D11" s="40" t="str">
        <f>MICRO_DETAILED_COST_WKSHT!D20</f>
        <v>LCU</v>
      </c>
      <c r="F11" s="15"/>
    </row>
    <row r="12" spans="1:6" s="10" customFormat="1" outlineLevel="1" x14ac:dyDescent="0.2"/>
    <row r="13" spans="1:6" s="10" customFormat="1" outlineLevel="1" x14ac:dyDescent="0.2"/>
    <row r="14" spans="1:6" s="65" customFormat="1" outlineLevel="1" x14ac:dyDescent="0.2">
      <c r="A14" s="10"/>
      <c r="B14" s="10"/>
      <c r="C14" s="494" t="s">
        <v>66</v>
      </c>
      <c r="D14" s="494"/>
      <c r="E14" s="494"/>
      <c r="F14" s="65" t="s">
        <v>21</v>
      </c>
    </row>
    <row r="15" spans="1:6" s="10" customFormat="1" outlineLevel="1" x14ac:dyDescent="0.2"/>
    <row r="16" spans="1:6" s="10" customFormat="1" outlineLevel="1" x14ac:dyDescent="0.2">
      <c r="D16" s="17" t="s">
        <v>67</v>
      </c>
      <c r="F16" s="15" t="s">
        <v>238</v>
      </c>
    </row>
    <row r="17" spans="1:6" s="10" customFormat="1" outlineLevel="1" x14ac:dyDescent="0.2">
      <c r="D17" s="16" t="str">
        <f>Lang_Cost_Projection</f>
        <v>Cost Projection</v>
      </c>
      <c r="F17" s="15"/>
    </row>
    <row r="18" spans="1:6" s="10" customFormat="1" outlineLevel="1" x14ac:dyDescent="0.2">
      <c r="D18" s="16" t="str">
        <f>Lang_Retrospective_Costing</f>
        <v>Retrospective Costing</v>
      </c>
      <c r="F18" s="15"/>
    </row>
    <row r="19" spans="1:6" s="10" customFormat="1" outlineLevel="1" x14ac:dyDescent="0.2"/>
    <row r="20" spans="1:6" s="10" customFormat="1" outlineLevel="1" x14ac:dyDescent="0.2"/>
    <row r="21" spans="1:6" s="65" customFormat="1" outlineLevel="1" x14ac:dyDescent="0.2">
      <c r="A21" s="10"/>
      <c r="B21" s="10"/>
      <c r="C21" s="494" t="s">
        <v>218</v>
      </c>
      <c r="D21" s="494"/>
      <c r="E21" s="494"/>
      <c r="F21" s="65" t="s">
        <v>21</v>
      </c>
    </row>
    <row r="22" spans="1:6" s="10" customFormat="1" outlineLevel="1" x14ac:dyDescent="0.2"/>
    <row r="23" spans="1:6" s="10" customFormat="1" outlineLevel="1" x14ac:dyDescent="0.2">
      <c r="D23" s="17" t="s">
        <v>218</v>
      </c>
      <c r="F23" s="15" t="s">
        <v>239</v>
      </c>
    </row>
    <row r="24" spans="1:6" s="10" customFormat="1" outlineLevel="1" x14ac:dyDescent="0.2">
      <c r="D24" s="16" t="str">
        <f>Lang_Introduction</f>
        <v>Introduction</v>
      </c>
      <c r="F24" s="15"/>
    </row>
    <row r="25" spans="1:6" s="10" customFormat="1" outlineLevel="1" x14ac:dyDescent="0.2">
      <c r="D25" s="16" t="str">
        <f>Lang_Recurrent</f>
        <v>Recurrent</v>
      </c>
      <c r="F25" s="15"/>
    </row>
    <row r="26" spans="1:6" s="10" customFormat="1" outlineLevel="1" x14ac:dyDescent="0.2"/>
    <row r="27" spans="1:6" s="65" customFormat="1" outlineLevel="1" x14ac:dyDescent="0.2">
      <c r="A27" s="10"/>
      <c r="B27" s="10"/>
      <c r="C27" s="494" t="s">
        <v>220</v>
      </c>
      <c r="D27" s="494"/>
      <c r="E27" s="494"/>
      <c r="F27" s="65" t="s">
        <v>21</v>
      </c>
    </row>
    <row r="28" spans="1:6" s="10" customFormat="1" outlineLevel="1" x14ac:dyDescent="0.2"/>
    <row r="29" spans="1:6" s="10" customFormat="1" outlineLevel="1" x14ac:dyDescent="0.2">
      <c r="D29" s="17" t="s">
        <v>220</v>
      </c>
      <c r="F29" s="15" t="s">
        <v>240</v>
      </c>
    </row>
    <row r="30" spans="1:6" s="10" customFormat="1" outlineLevel="1" x14ac:dyDescent="0.2">
      <c r="D30" s="16" t="str">
        <f>Lang_Fin</f>
        <v>Financial</v>
      </c>
      <c r="F30" s="15"/>
    </row>
    <row r="31" spans="1:6" s="10" customFormat="1" outlineLevel="1" x14ac:dyDescent="0.2">
      <c r="D31" s="16" t="str">
        <f>Lang_Econ</f>
        <v>Economic</v>
      </c>
      <c r="F31" s="15"/>
    </row>
    <row r="32" spans="1:6" s="10" customFormat="1" outlineLevel="1" x14ac:dyDescent="0.2"/>
    <row r="33" spans="1:6" s="65" customFormat="1" outlineLevel="1" x14ac:dyDescent="0.2">
      <c r="A33" s="10"/>
      <c r="B33" s="10"/>
      <c r="C33" s="494" t="s">
        <v>221</v>
      </c>
      <c r="D33" s="494"/>
      <c r="E33" s="494"/>
      <c r="F33" s="65" t="s">
        <v>21</v>
      </c>
    </row>
    <row r="34" spans="1:6" s="10" customFormat="1" outlineLevel="1" x14ac:dyDescent="0.2"/>
    <row r="35" spans="1:6" s="10" customFormat="1" outlineLevel="1" x14ac:dyDescent="0.2">
      <c r="D35" s="17" t="s">
        <v>221</v>
      </c>
      <c r="F35" s="15" t="s">
        <v>241</v>
      </c>
    </row>
    <row r="36" spans="1:6" s="10" customFormat="1" outlineLevel="1" x14ac:dyDescent="0.2">
      <c r="D36" s="16" t="str">
        <f>Lang_Use_Detailed_Cost_Worksheet</f>
        <v>Use Detailed Cost Worksheet</v>
      </c>
      <c r="F36" s="15"/>
    </row>
    <row r="37" spans="1:6" s="10" customFormat="1" outlineLevel="1" x14ac:dyDescent="0.2">
      <c r="D37" s="16" t="str">
        <f>Lang_Enter_Cost_Estimates_Directly</f>
        <v>Enter Cost Estimates Directly</v>
      </c>
      <c r="F37" s="15"/>
    </row>
    <row r="39" spans="1:6" s="13" customFormat="1" x14ac:dyDescent="0.2">
      <c r="A39"/>
      <c r="B39" s="13" t="str">
        <f>Lang_Microplanning_Level_1_2_Lookups</f>
        <v>Microplanning Level 1 (2) - Lookups</v>
      </c>
    </row>
    <row r="40" spans="1:6" outlineLevel="1" x14ac:dyDescent="0.2"/>
    <row r="41" spans="1:6" outlineLevel="1" x14ac:dyDescent="0.2"/>
    <row r="42" spans="1:6" s="65" customFormat="1" outlineLevel="1" x14ac:dyDescent="0.2">
      <c r="A42"/>
      <c r="B42"/>
      <c r="C42" s="494" t="s">
        <v>65</v>
      </c>
      <c r="D42" s="494"/>
      <c r="E42" s="494"/>
      <c r="F42" s="65" t="s">
        <v>21</v>
      </c>
    </row>
    <row r="43" spans="1:6" outlineLevel="1" x14ac:dyDescent="0.2"/>
    <row r="44" spans="1:6" outlineLevel="1" x14ac:dyDescent="0.2">
      <c r="D44" s="17" t="s">
        <v>215</v>
      </c>
      <c r="F44" s="15" t="s">
        <v>237</v>
      </c>
    </row>
    <row r="45" spans="1:6" outlineLevel="1" x14ac:dyDescent="0.2">
      <c r="D45" s="40" t="str">
        <f>MICRO_DETAILED_COST_WKSHT!D111</f>
        <v>USD</v>
      </c>
      <c r="F45" s="15"/>
    </row>
    <row r="46" spans="1:6" outlineLevel="1" x14ac:dyDescent="0.2">
      <c r="D46" s="40" t="str">
        <f>MICRO_DETAILED_COST_WKSHT!D112</f>
        <v>LCU</v>
      </c>
      <c r="F46" s="15"/>
    </row>
    <row r="47" spans="1:6" outlineLevel="1" x14ac:dyDescent="0.2"/>
    <row r="48" spans="1:6" outlineLevel="1" x14ac:dyDescent="0.2"/>
    <row r="49" spans="1:6" s="65" customFormat="1" outlineLevel="1" x14ac:dyDescent="0.2">
      <c r="A49"/>
      <c r="B49"/>
      <c r="C49" s="494" t="s">
        <v>66</v>
      </c>
      <c r="D49" s="494"/>
      <c r="E49" s="494"/>
      <c r="F49" s="65" t="s">
        <v>21</v>
      </c>
    </row>
    <row r="50" spans="1:6" outlineLevel="1" x14ac:dyDescent="0.2"/>
    <row r="51" spans="1:6" outlineLevel="1" x14ac:dyDescent="0.2">
      <c r="D51" s="17" t="s">
        <v>67</v>
      </c>
      <c r="F51" s="15" t="s">
        <v>238</v>
      </c>
    </row>
    <row r="52" spans="1:6" outlineLevel="1" x14ac:dyDescent="0.2">
      <c r="D52" s="16" t="str">
        <f>Lang_Cost_Projection</f>
        <v>Cost Projection</v>
      </c>
      <c r="F52" s="15"/>
    </row>
    <row r="53" spans="1:6" outlineLevel="1" x14ac:dyDescent="0.2">
      <c r="D53" s="16" t="str">
        <f>Lang_Retrospective_Costing</f>
        <v>Retrospective Costing</v>
      </c>
      <c r="F53" s="15"/>
    </row>
    <row r="54" spans="1:6" outlineLevel="1" x14ac:dyDescent="0.2"/>
    <row r="55" spans="1:6" outlineLevel="1" x14ac:dyDescent="0.2"/>
    <row r="56" spans="1:6" s="65" customFormat="1" outlineLevel="1" x14ac:dyDescent="0.2">
      <c r="A56"/>
      <c r="B56"/>
      <c r="C56" s="494" t="s">
        <v>218</v>
      </c>
      <c r="D56" s="494"/>
      <c r="E56" s="494"/>
      <c r="F56" s="65" t="s">
        <v>21</v>
      </c>
    </row>
    <row r="57" spans="1:6" outlineLevel="1" x14ac:dyDescent="0.2"/>
    <row r="58" spans="1:6" outlineLevel="1" x14ac:dyDescent="0.2">
      <c r="D58" s="17" t="s">
        <v>218</v>
      </c>
      <c r="F58" s="15" t="s">
        <v>239</v>
      </c>
    </row>
    <row r="59" spans="1:6" outlineLevel="1" x14ac:dyDescent="0.2">
      <c r="D59" s="16" t="str">
        <f>Lang_Introduction</f>
        <v>Introduction</v>
      </c>
      <c r="F59" s="15"/>
    </row>
    <row r="60" spans="1:6" outlineLevel="1" x14ac:dyDescent="0.2">
      <c r="D60" s="16" t="str">
        <f>Lang_Recurrent</f>
        <v>Recurrent</v>
      </c>
      <c r="F60" s="15"/>
    </row>
    <row r="61" spans="1:6" outlineLevel="1" x14ac:dyDescent="0.2"/>
    <row r="62" spans="1:6" s="65" customFormat="1" outlineLevel="1" x14ac:dyDescent="0.2">
      <c r="A62"/>
      <c r="B62"/>
      <c r="C62" s="494" t="s">
        <v>220</v>
      </c>
      <c r="D62" s="494"/>
      <c r="E62" s="494"/>
      <c r="F62" s="65" t="s">
        <v>21</v>
      </c>
    </row>
    <row r="63" spans="1:6" outlineLevel="1" x14ac:dyDescent="0.2"/>
    <row r="64" spans="1:6" outlineLevel="1" x14ac:dyDescent="0.2">
      <c r="D64" s="17" t="s">
        <v>220</v>
      </c>
      <c r="F64" s="15" t="s">
        <v>240</v>
      </c>
    </row>
    <row r="65" spans="1:6" outlineLevel="1" x14ac:dyDescent="0.2">
      <c r="D65" s="16" t="str">
        <f>Lang_Fin</f>
        <v>Financial</v>
      </c>
      <c r="F65" s="15"/>
    </row>
    <row r="66" spans="1:6" outlineLevel="1" x14ac:dyDescent="0.2">
      <c r="D66" s="16" t="str">
        <f>Lang_Econ</f>
        <v>Economic</v>
      </c>
      <c r="F66" s="15"/>
    </row>
    <row r="67" spans="1:6" outlineLevel="1" x14ac:dyDescent="0.2"/>
    <row r="68" spans="1:6" s="65" customFormat="1" outlineLevel="1" x14ac:dyDescent="0.2">
      <c r="A68"/>
      <c r="B68"/>
      <c r="C68" s="494" t="s">
        <v>221</v>
      </c>
      <c r="D68" s="494"/>
      <c r="E68" s="494"/>
      <c r="F68" s="65" t="s">
        <v>21</v>
      </c>
    </row>
    <row r="69" spans="1:6" outlineLevel="1" x14ac:dyDescent="0.2"/>
    <row r="70" spans="1:6" outlineLevel="1" x14ac:dyDescent="0.2">
      <c r="D70" s="17" t="s">
        <v>221</v>
      </c>
      <c r="F70" s="15" t="s">
        <v>241</v>
      </c>
    </row>
    <row r="71" spans="1:6" outlineLevel="1" x14ac:dyDescent="0.2">
      <c r="D71" s="16" t="str">
        <f>Lang_Use_Detailed_Cost_Worksheet</f>
        <v>Use Detailed Cost Worksheet</v>
      </c>
      <c r="F71" s="15"/>
    </row>
    <row r="72" spans="1:6" outlineLevel="1" x14ac:dyDescent="0.2">
      <c r="D72" s="16" t="str">
        <f>Lang_Enter_Cost_Estimates_Directly</f>
        <v>Enter Cost Estimates Directly</v>
      </c>
      <c r="F72" s="15"/>
    </row>
    <row r="74" spans="1:6" s="13" customFormat="1" x14ac:dyDescent="0.2">
      <c r="A74"/>
      <c r="B74" s="13" t="str">
        <f>Lang_Microplanning_Level_2_1_Lookups</f>
        <v>Microplanning Level 2 (1) - Lookups</v>
      </c>
    </row>
    <row r="75" spans="1:6" outlineLevel="1" x14ac:dyDescent="0.2"/>
    <row r="76" spans="1:6" outlineLevel="1" x14ac:dyDescent="0.2"/>
    <row r="77" spans="1:6" s="65" customFormat="1" outlineLevel="1" x14ac:dyDescent="0.2">
      <c r="A77"/>
      <c r="B77"/>
      <c r="C77" s="494" t="s">
        <v>65</v>
      </c>
      <c r="D77" s="494"/>
      <c r="E77" s="494"/>
      <c r="F77" s="65" t="s">
        <v>21</v>
      </c>
    </row>
    <row r="78" spans="1:6" outlineLevel="1" x14ac:dyDescent="0.2"/>
    <row r="79" spans="1:6" outlineLevel="1" x14ac:dyDescent="0.2">
      <c r="D79" s="17" t="s">
        <v>215</v>
      </c>
      <c r="F79" s="15" t="s">
        <v>242</v>
      </c>
    </row>
    <row r="80" spans="1:6" outlineLevel="1" x14ac:dyDescent="0.2">
      <c r="D80" s="40" t="str">
        <f>MICRO_DETAILED_COST_WKSHT!D210</f>
        <v>USD</v>
      </c>
      <c r="F80" s="15"/>
    </row>
    <row r="81" spans="1:6" outlineLevel="1" x14ac:dyDescent="0.2">
      <c r="D81" s="40" t="str">
        <f>MICRO_DETAILED_COST_WKSHT!D211</f>
        <v>LCU</v>
      </c>
      <c r="F81" s="15"/>
    </row>
    <row r="82" spans="1:6" outlineLevel="1" x14ac:dyDescent="0.2"/>
    <row r="83" spans="1:6" outlineLevel="1" x14ac:dyDescent="0.2"/>
    <row r="84" spans="1:6" s="65" customFormat="1" outlineLevel="1" x14ac:dyDescent="0.2">
      <c r="A84"/>
      <c r="B84"/>
      <c r="C84" s="494" t="s">
        <v>66</v>
      </c>
      <c r="D84" s="494"/>
      <c r="E84" s="494"/>
      <c r="F84" s="65" t="s">
        <v>21</v>
      </c>
    </row>
    <row r="85" spans="1:6" outlineLevel="1" x14ac:dyDescent="0.2"/>
    <row r="86" spans="1:6" outlineLevel="1" x14ac:dyDescent="0.2">
      <c r="D86" s="17" t="s">
        <v>67</v>
      </c>
      <c r="F86" s="15" t="s">
        <v>243</v>
      </c>
    </row>
    <row r="87" spans="1:6" outlineLevel="1" x14ac:dyDescent="0.2">
      <c r="D87" s="16" t="str">
        <f>Lang_Cost_Projection</f>
        <v>Cost Projection</v>
      </c>
      <c r="F87" s="15"/>
    </row>
    <row r="88" spans="1:6" outlineLevel="1" x14ac:dyDescent="0.2">
      <c r="D88" s="16" t="str">
        <f>Lang_Retrospective_Costing</f>
        <v>Retrospective Costing</v>
      </c>
      <c r="F88" s="15"/>
    </row>
    <row r="89" spans="1:6" outlineLevel="1" x14ac:dyDescent="0.2"/>
    <row r="90" spans="1:6" outlineLevel="1" x14ac:dyDescent="0.2"/>
    <row r="91" spans="1:6" s="65" customFormat="1" outlineLevel="1" x14ac:dyDescent="0.2">
      <c r="A91"/>
      <c r="B91"/>
      <c r="C91" s="494" t="s">
        <v>218</v>
      </c>
      <c r="D91" s="494"/>
      <c r="E91" s="494"/>
      <c r="F91" s="65" t="s">
        <v>21</v>
      </c>
    </row>
    <row r="92" spans="1:6" outlineLevel="1" x14ac:dyDescent="0.2"/>
    <row r="93" spans="1:6" outlineLevel="1" x14ac:dyDescent="0.2">
      <c r="D93" s="17" t="s">
        <v>218</v>
      </c>
      <c r="F93" s="15" t="s">
        <v>244</v>
      </c>
    </row>
    <row r="94" spans="1:6" outlineLevel="1" x14ac:dyDescent="0.2">
      <c r="D94" s="16" t="str">
        <f>Lang_Introduction</f>
        <v>Introduction</v>
      </c>
      <c r="F94" s="15"/>
    </row>
    <row r="95" spans="1:6" outlineLevel="1" x14ac:dyDescent="0.2">
      <c r="D95" s="16" t="str">
        <f>Lang_Recurrent</f>
        <v>Recurrent</v>
      </c>
      <c r="F95" s="15"/>
    </row>
    <row r="96" spans="1:6" outlineLevel="1" x14ac:dyDescent="0.2"/>
    <row r="97" spans="1:6" s="65" customFormat="1" outlineLevel="1" x14ac:dyDescent="0.2">
      <c r="A97"/>
      <c r="B97"/>
      <c r="C97" s="494" t="s">
        <v>220</v>
      </c>
      <c r="D97" s="494"/>
      <c r="E97" s="494"/>
      <c r="F97" s="65" t="s">
        <v>21</v>
      </c>
    </row>
    <row r="98" spans="1:6" outlineLevel="1" x14ac:dyDescent="0.2"/>
    <row r="99" spans="1:6" outlineLevel="1" x14ac:dyDescent="0.2">
      <c r="D99" s="17" t="s">
        <v>220</v>
      </c>
      <c r="F99" s="15" t="s">
        <v>245</v>
      </c>
    </row>
    <row r="100" spans="1:6" outlineLevel="1" x14ac:dyDescent="0.2">
      <c r="D100" s="16" t="str">
        <f>Lang_Fin</f>
        <v>Financial</v>
      </c>
      <c r="F100" s="15"/>
    </row>
    <row r="101" spans="1:6" outlineLevel="1" x14ac:dyDescent="0.2">
      <c r="D101" s="16" t="str">
        <f>Lang_Econ</f>
        <v>Economic</v>
      </c>
      <c r="F101" s="15"/>
    </row>
    <row r="102" spans="1:6" outlineLevel="1" x14ac:dyDescent="0.2"/>
    <row r="103" spans="1:6" s="65" customFormat="1" outlineLevel="1" x14ac:dyDescent="0.2">
      <c r="A103"/>
      <c r="B103"/>
      <c r="C103" s="494" t="s">
        <v>221</v>
      </c>
      <c r="D103" s="494"/>
      <c r="E103" s="494"/>
      <c r="F103" s="65" t="s">
        <v>21</v>
      </c>
    </row>
    <row r="104" spans="1:6" outlineLevel="1" x14ac:dyDescent="0.2"/>
    <row r="105" spans="1:6" outlineLevel="1" x14ac:dyDescent="0.2">
      <c r="D105" s="17" t="s">
        <v>221</v>
      </c>
      <c r="F105" s="15" t="s">
        <v>246</v>
      </c>
    </row>
    <row r="106" spans="1:6" outlineLevel="1" x14ac:dyDescent="0.2">
      <c r="D106" s="16" t="str">
        <f>Lang_Use_Detailed_Cost_Worksheet</f>
        <v>Use Detailed Cost Worksheet</v>
      </c>
      <c r="F106" s="15"/>
    </row>
    <row r="107" spans="1:6" outlineLevel="1" x14ac:dyDescent="0.2">
      <c r="D107" s="16" t="str">
        <f>Lang_Enter_Cost_Estimates_Directly</f>
        <v>Enter Cost Estimates Directly</v>
      </c>
      <c r="F107" s="15"/>
    </row>
    <row r="109" spans="1:6" s="13" customFormat="1" x14ac:dyDescent="0.2">
      <c r="A109"/>
      <c r="B109" s="13" t="str">
        <f>Lang_Microplanning_Level_2_2_Lookups</f>
        <v>Microplanning Level 2 (2) - Lookups</v>
      </c>
    </row>
    <row r="110" spans="1:6" outlineLevel="1" x14ac:dyDescent="0.2"/>
    <row r="111" spans="1:6" outlineLevel="1" x14ac:dyDescent="0.2"/>
    <row r="112" spans="1:6" s="65" customFormat="1" outlineLevel="1" x14ac:dyDescent="0.2">
      <c r="A112"/>
      <c r="B112"/>
      <c r="C112" s="494" t="s">
        <v>65</v>
      </c>
      <c r="D112" s="494"/>
      <c r="E112" s="494"/>
      <c r="F112" s="65" t="s">
        <v>21</v>
      </c>
    </row>
    <row r="113" spans="1:6" outlineLevel="1" x14ac:dyDescent="0.2"/>
    <row r="114" spans="1:6" outlineLevel="1" x14ac:dyDescent="0.2">
      <c r="D114" s="17" t="s">
        <v>215</v>
      </c>
      <c r="F114" s="15" t="s">
        <v>242</v>
      </c>
    </row>
    <row r="115" spans="1:6" outlineLevel="1" x14ac:dyDescent="0.2">
      <c r="D115" s="40" t="str">
        <f>MICRO_DETAILED_COST_WKSHT!D309</f>
        <v>USD</v>
      </c>
      <c r="F115" s="15"/>
    </row>
    <row r="116" spans="1:6" outlineLevel="1" x14ac:dyDescent="0.2">
      <c r="D116" s="40" t="str">
        <f>MICRO_DETAILED_COST_WKSHT!D310</f>
        <v>LCU</v>
      </c>
      <c r="F116" s="15"/>
    </row>
    <row r="117" spans="1:6" outlineLevel="1" x14ac:dyDescent="0.2"/>
    <row r="118" spans="1:6" outlineLevel="1" x14ac:dyDescent="0.2"/>
    <row r="119" spans="1:6" s="65" customFormat="1" outlineLevel="1" x14ac:dyDescent="0.2">
      <c r="A119"/>
      <c r="B119"/>
      <c r="C119" s="494" t="s">
        <v>66</v>
      </c>
      <c r="D119" s="494"/>
      <c r="E119" s="494"/>
      <c r="F119" s="65" t="s">
        <v>21</v>
      </c>
    </row>
    <row r="120" spans="1:6" outlineLevel="1" x14ac:dyDescent="0.2"/>
    <row r="121" spans="1:6" outlineLevel="1" x14ac:dyDescent="0.2">
      <c r="D121" s="17" t="s">
        <v>67</v>
      </c>
      <c r="F121" s="15" t="s">
        <v>243</v>
      </c>
    </row>
    <row r="122" spans="1:6" outlineLevel="1" x14ac:dyDescent="0.2">
      <c r="D122" s="16" t="str">
        <f>Lang_Cost_Projection</f>
        <v>Cost Projection</v>
      </c>
      <c r="F122" s="15"/>
    </row>
    <row r="123" spans="1:6" outlineLevel="1" x14ac:dyDescent="0.2">
      <c r="D123" s="16" t="str">
        <f>Lang_Retrospective_Costing</f>
        <v>Retrospective Costing</v>
      </c>
      <c r="F123" s="15"/>
    </row>
    <row r="124" spans="1:6" outlineLevel="1" x14ac:dyDescent="0.2"/>
    <row r="125" spans="1:6" outlineLevel="1" x14ac:dyDescent="0.2"/>
    <row r="126" spans="1:6" s="65" customFormat="1" outlineLevel="1" x14ac:dyDescent="0.2">
      <c r="A126"/>
      <c r="B126"/>
      <c r="C126" s="494" t="s">
        <v>218</v>
      </c>
      <c r="D126" s="494"/>
      <c r="E126" s="494"/>
      <c r="F126" s="65" t="s">
        <v>21</v>
      </c>
    </row>
    <row r="127" spans="1:6" outlineLevel="1" x14ac:dyDescent="0.2"/>
    <row r="128" spans="1:6" outlineLevel="1" x14ac:dyDescent="0.2">
      <c r="D128" s="17" t="s">
        <v>218</v>
      </c>
      <c r="F128" s="15" t="s">
        <v>244</v>
      </c>
    </row>
    <row r="129" spans="1:6" outlineLevel="1" x14ac:dyDescent="0.2">
      <c r="D129" s="16" t="str">
        <f>Lang_Introduction</f>
        <v>Introduction</v>
      </c>
      <c r="F129" s="15"/>
    </row>
    <row r="130" spans="1:6" outlineLevel="1" x14ac:dyDescent="0.2">
      <c r="D130" s="16" t="str">
        <f>Lang_Recurrent</f>
        <v>Recurrent</v>
      </c>
      <c r="F130" s="15"/>
    </row>
    <row r="131" spans="1:6" outlineLevel="1" x14ac:dyDescent="0.2"/>
    <row r="132" spans="1:6" s="65" customFormat="1" outlineLevel="1" x14ac:dyDescent="0.2">
      <c r="A132"/>
      <c r="B132"/>
      <c r="C132" s="494" t="s">
        <v>220</v>
      </c>
      <c r="D132" s="494"/>
      <c r="E132" s="494"/>
      <c r="F132" s="65" t="s">
        <v>21</v>
      </c>
    </row>
    <row r="133" spans="1:6" outlineLevel="1" x14ac:dyDescent="0.2"/>
    <row r="134" spans="1:6" outlineLevel="1" x14ac:dyDescent="0.2">
      <c r="D134" s="17" t="s">
        <v>220</v>
      </c>
      <c r="F134" s="15" t="s">
        <v>245</v>
      </c>
    </row>
    <row r="135" spans="1:6" outlineLevel="1" x14ac:dyDescent="0.2">
      <c r="D135" s="16" t="str">
        <f>Lang_Fin</f>
        <v>Financial</v>
      </c>
      <c r="F135" s="15"/>
    </row>
    <row r="136" spans="1:6" outlineLevel="1" x14ac:dyDescent="0.2">
      <c r="D136" s="16" t="str">
        <f>Lang_Econ</f>
        <v>Economic</v>
      </c>
      <c r="F136" s="15"/>
    </row>
    <row r="137" spans="1:6" outlineLevel="1" x14ac:dyDescent="0.2"/>
    <row r="138" spans="1:6" s="65" customFormat="1" outlineLevel="1" x14ac:dyDescent="0.2">
      <c r="A138"/>
      <c r="B138"/>
      <c r="C138" s="494" t="s">
        <v>221</v>
      </c>
      <c r="D138" s="494"/>
      <c r="E138" s="494"/>
      <c r="F138" s="65" t="s">
        <v>21</v>
      </c>
    </row>
    <row r="139" spans="1:6" outlineLevel="1" x14ac:dyDescent="0.2"/>
    <row r="140" spans="1:6" outlineLevel="1" x14ac:dyDescent="0.2">
      <c r="D140" s="17" t="s">
        <v>221</v>
      </c>
      <c r="F140" s="15" t="s">
        <v>246</v>
      </c>
    </row>
    <row r="141" spans="1:6" outlineLevel="1" x14ac:dyDescent="0.2">
      <c r="D141" s="16" t="str">
        <f>Lang_Use_Detailed_Cost_Worksheet</f>
        <v>Use Detailed Cost Worksheet</v>
      </c>
      <c r="F141" s="15"/>
    </row>
    <row r="142" spans="1:6" outlineLevel="1" x14ac:dyDescent="0.2">
      <c r="D142" s="16" t="str">
        <f>Lang_Enter_Cost_Estimates_Directly</f>
        <v>Enter Cost Estimates Directly</v>
      </c>
      <c r="F142" s="15"/>
    </row>
  </sheetData>
  <mergeCells count="20">
    <mergeCell ref="C42:E42"/>
    <mergeCell ref="C49:E49"/>
    <mergeCell ref="C56:E56"/>
    <mergeCell ref="C62:E62"/>
    <mergeCell ref="C68:E68"/>
    <mergeCell ref="C77:E77"/>
    <mergeCell ref="C84:E84"/>
    <mergeCell ref="C91:E91"/>
    <mergeCell ref="C97:E97"/>
    <mergeCell ref="C103:E103"/>
    <mergeCell ref="C112:E112"/>
    <mergeCell ref="C119:E119"/>
    <mergeCell ref="C126:E126"/>
    <mergeCell ref="C132:E132"/>
    <mergeCell ref="C138:E138"/>
    <mergeCell ref="C7:E7"/>
    <mergeCell ref="C14:E14"/>
    <mergeCell ref="C21:E21"/>
    <mergeCell ref="C27:E27"/>
    <mergeCell ref="C33:E33"/>
  </mergeCells>
  <hyperlinks>
    <hyperlink ref="A1" location="HL_Home" tooltip="Go to Table of Contents" display="HL_Home" xr:uid="{00000000-0004-0000-3500-000000000000}"/>
    <hyperlink ref="A2" location="HL_Err_Chk" tooltip="Go to Error Checks" display="HL_Err_Chk" xr:uid="{00000000-0004-0000-3500-000001000000}"/>
  </hyperlinks>
  <pageMargins left="0.4" right="0.4" top="0.6" bottom="1" header="0" footer="0.3"/>
  <pageSetup orientation="landscape" r:id="rId1"/>
  <headerFooter>
    <oddFooter>&amp;L&amp;F
&amp;A
Printed: &amp;T on &amp;D&amp;CPage &amp;P of 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9">
    <tabColor rgb="FF7030A0"/>
    <outlinePr summaryBelow="0"/>
    <pageSetUpPr autoPageBreaks="0"/>
  </sheetPr>
  <dimension ref="A1:F179"/>
  <sheetViews>
    <sheetView showGridLines="0" zoomScaleNormal="100" workbookViewId="0">
      <pane xSplit="1" ySplit="4" topLeftCell="B155" activePane="bottomRight" state="frozen"/>
      <selection activeCell="I511" sqref="I511"/>
      <selection pane="topRight" activeCell="I511" sqref="I511"/>
      <selection pane="bottomLeft" activeCell="I511" sqref="I511"/>
      <selection pane="bottomRight" activeCell="I511" sqref="I511"/>
    </sheetView>
  </sheetViews>
  <sheetFormatPr defaultColWidth="11.7109375" defaultRowHeight="12" outlineLevelRow="1" x14ac:dyDescent="0.2"/>
  <cols>
    <col min="1" max="3" width="3.7109375" customWidth="1"/>
    <col min="4" max="4" width="35.7109375" customWidth="1"/>
    <col min="5" max="5" width="3.7109375" customWidth="1"/>
    <col min="6" max="6" width="35.7109375" customWidth="1"/>
    <col min="7" max="7" width="3.7109375" customWidth="1"/>
  </cols>
  <sheetData>
    <row r="1" spans="1:6" ht="15" x14ac:dyDescent="0.2">
      <c r="A1" s="2" t="s">
        <v>128</v>
      </c>
      <c r="B1" s="31" t="str">
        <f>Lang_AEFI_Variables</f>
        <v>AEFI - Variables</v>
      </c>
    </row>
    <row r="2" spans="1:6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3" spans="1:6" ht="12.75" x14ac:dyDescent="0.2">
      <c r="B3" s="426" t="str">
        <f>Lang_Goto_TOC</f>
        <v>Go to Table of Contents</v>
      </c>
      <c r="C3" s="426"/>
      <c r="D3" s="426"/>
    </row>
    <row r="4" spans="1:6" x14ac:dyDescent="0.2">
      <c r="A4" s="2" t="s">
        <v>5</v>
      </c>
      <c r="B4" s="38" t="s">
        <v>7</v>
      </c>
      <c r="C4" s="39" t="s">
        <v>8</v>
      </c>
    </row>
    <row r="6" spans="1:6" s="13" customFormat="1" x14ac:dyDescent="0.2">
      <c r="A6"/>
      <c r="B6" s="13" t="str">
        <f>Lang_Other_Activity_Level_1_1_Lookups</f>
        <v>OTHER Activity Level 1 (1) - Lookups</v>
      </c>
    </row>
    <row r="7" spans="1:6" outlineLevel="1" x14ac:dyDescent="0.2"/>
    <row r="8" spans="1:6" outlineLevel="1" x14ac:dyDescent="0.2"/>
    <row r="9" spans="1:6" s="65" customFormat="1" outlineLevel="1" x14ac:dyDescent="0.2">
      <c r="A9"/>
      <c r="B9"/>
      <c r="C9" s="494" t="s">
        <v>65</v>
      </c>
      <c r="D9" s="494"/>
      <c r="E9" s="494"/>
      <c r="F9" s="65" t="s">
        <v>21</v>
      </c>
    </row>
    <row r="10" spans="1:6" outlineLevel="1" x14ac:dyDescent="0.2"/>
    <row r="11" spans="1:6" outlineLevel="1" x14ac:dyDescent="0.2">
      <c r="D11" s="17" t="s">
        <v>215</v>
      </c>
      <c r="F11" s="15" t="s">
        <v>237</v>
      </c>
    </row>
    <row r="12" spans="1:6" outlineLevel="1" x14ac:dyDescent="0.2">
      <c r="D12" s="40" t="str">
        <f>OTHER_DETAILED_COST_WKSHT!D19</f>
        <v>USD</v>
      </c>
      <c r="F12" s="15"/>
    </row>
    <row r="13" spans="1:6" outlineLevel="1" x14ac:dyDescent="0.2">
      <c r="D13" s="40" t="str">
        <f>OTHER_DETAILED_COST_WKSHT!D20</f>
        <v>LCU</v>
      </c>
      <c r="F13" s="15"/>
    </row>
    <row r="14" spans="1:6" outlineLevel="1" x14ac:dyDescent="0.2"/>
    <row r="15" spans="1:6" outlineLevel="1" x14ac:dyDescent="0.2"/>
    <row r="16" spans="1:6" s="65" customFormat="1" outlineLevel="1" x14ac:dyDescent="0.2">
      <c r="A16"/>
      <c r="B16"/>
      <c r="C16" s="494" t="s">
        <v>66</v>
      </c>
      <c r="D16" s="494"/>
      <c r="E16" s="494"/>
      <c r="F16" s="65" t="s">
        <v>21</v>
      </c>
    </row>
    <row r="17" spans="1:6" outlineLevel="1" x14ac:dyDescent="0.2"/>
    <row r="18" spans="1:6" outlineLevel="1" x14ac:dyDescent="0.2">
      <c r="D18" s="17" t="s">
        <v>67</v>
      </c>
      <c r="F18" s="15" t="s">
        <v>238</v>
      </c>
    </row>
    <row r="19" spans="1:6" outlineLevel="1" x14ac:dyDescent="0.2">
      <c r="D19" s="16" t="str">
        <f>Lang_Cost_Projection</f>
        <v>Cost Projection</v>
      </c>
      <c r="F19" s="15"/>
    </row>
    <row r="20" spans="1:6" outlineLevel="1" x14ac:dyDescent="0.2">
      <c r="D20" s="16" t="str">
        <f>Lang_Retrospective_Costing</f>
        <v>Retrospective Costing</v>
      </c>
      <c r="F20" s="15"/>
    </row>
    <row r="21" spans="1:6" outlineLevel="1" x14ac:dyDescent="0.2"/>
    <row r="22" spans="1:6" outlineLevel="1" x14ac:dyDescent="0.2"/>
    <row r="23" spans="1:6" s="65" customFormat="1" outlineLevel="1" x14ac:dyDescent="0.2">
      <c r="A23"/>
      <c r="B23"/>
      <c r="C23" s="494" t="s">
        <v>218</v>
      </c>
      <c r="D23" s="494"/>
      <c r="E23" s="494"/>
      <c r="F23" s="65" t="s">
        <v>21</v>
      </c>
    </row>
    <row r="24" spans="1:6" outlineLevel="1" x14ac:dyDescent="0.2"/>
    <row r="25" spans="1:6" outlineLevel="1" x14ac:dyDescent="0.2">
      <c r="D25" s="17" t="s">
        <v>218</v>
      </c>
      <c r="F25" s="15" t="s">
        <v>239</v>
      </c>
    </row>
    <row r="26" spans="1:6" outlineLevel="1" x14ac:dyDescent="0.2">
      <c r="D26" s="16" t="str">
        <f>Lang_Introduction</f>
        <v>Introduction</v>
      </c>
      <c r="F26" s="15"/>
    </row>
    <row r="27" spans="1:6" outlineLevel="1" x14ac:dyDescent="0.2">
      <c r="D27" s="16" t="str">
        <f>Lang_Recurrent</f>
        <v>Recurrent</v>
      </c>
      <c r="F27" s="15"/>
    </row>
    <row r="28" spans="1:6" outlineLevel="1" x14ac:dyDescent="0.2"/>
    <row r="29" spans="1:6" s="65" customFormat="1" outlineLevel="1" x14ac:dyDescent="0.2">
      <c r="A29"/>
      <c r="B29"/>
      <c r="C29" s="494" t="s">
        <v>220</v>
      </c>
      <c r="D29" s="494"/>
      <c r="E29" s="494"/>
      <c r="F29" s="65" t="s">
        <v>21</v>
      </c>
    </row>
    <row r="30" spans="1:6" outlineLevel="1" x14ac:dyDescent="0.2"/>
    <row r="31" spans="1:6" outlineLevel="1" x14ac:dyDescent="0.2">
      <c r="D31" s="17" t="s">
        <v>220</v>
      </c>
      <c r="F31" s="15" t="s">
        <v>240</v>
      </c>
    </row>
    <row r="32" spans="1:6" outlineLevel="1" x14ac:dyDescent="0.2">
      <c r="D32" s="16" t="str">
        <f>Lang_Fin</f>
        <v>Financial</v>
      </c>
      <c r="F32" s="15"/>
    </row>
    <row r="33" spans="1:6" outlineLevel="1" x14ac:dyDescent="0.2">
      <c r="D33" s="16" t="str">
        <f>Lang_Econ</f>
        <v>Economic</v>
      </c>
      <c r="F33" s="15"/>
    </row>
    <row r="34" spans="1:6" outlineLevel="1" x14ac:dyDescent="0.2"/>
    <row r="35" spans="1:6" s="65" customFormat="1" outlineLevel="1" x14ac:dyDescent="0.2">
      <c r="A35"/>
      <c r="B35"/>
      <c r="C35" s="494" t="s">
        <v>221</v>
      </c>
      <c r="D35" s="494"/>
      <c r="E35" s="494"/>
      <c r="F35" s="65" t="s">
        <v>21</v>
      </c>
    </row>
    <row r="36" spans="1:6" outlineLevel="1" x14ac:dyDescent="0.2"/>
    <row r="37" spans="1:6" outlineLevel="1" x14ac:dyDescent="0.2">
      <c r="D37" s="17" t="s">
        <v>221</v>
      </c>
      <c r="F37" s="15" t="s">
        <v>241</v>
      </c>
    </row>
    <row r="38" spans="1:6" outlineLevel="1" x14ac:dyDescent="0.2">
      <c r="D38" s="16" t="str">
        <f>Lang_Use_Detailed_Cost_Worksheet</f>
        <v>Use Detailed Cost Worksheet</v>
      </c>
      <c r="F38" s="15"/>
    </row>
    <row r="39" spans="1:6" outlineLevel="1" x14ac:dyDescent="0.2">
      <c r="D39" s="16" t="str">
        <f>Lang_Enter_Cost_Estimates_Directly</f>
        <v>Enter Cost Estimates Directly</v>
      </c>
      <c r="F39" s="15"/>
    </row>
    <row r="41" spans="1:6" s="13" customFormat="1" x14ac:dyDescent="0.2">
      <c r="A41"/>
      <c r="B41" s="13" t="str">
        <f>Lang_Other_Activity_Level_1_2_Lookups</f>
        <v>OTHER Activity Level 1 (2) - Lookups</v>
      </c>
    </row>
    <row r="42" spans="1:6" outlineLevel="1" x14ac:dyDescent="0.2"/>
    <row r="43" spans="1:6" outlineLevel="1" x14ac:dyDescent="0.2"/>
    <row r="44" spans="1:6" s="65" customFormat="1" outlineLevel="1" x14ac:dyDescent="0.2">
      <c r="A44"/>
      <c r="B44"/>
      <c r="C44" s="494" t="s">
        <v>65</v>
      </c>
      <c r="D44" s="494"/>
      <c r="E44" s="494"/>
      <c r="F44" s="65" t="s">
        <v>21</v>
      </c>
    </row>
    <row r="45" spans="1:6" outlineLevel="1" x14ac:dyDescent="0.2"/>
    <row r="46" spans="1:6" outlineLevel="1" x14ac:dyDescent="0.2">
      <c r="D46" s="17" t="s">
        <v>215</v>
      </c>
      <c r="F46" s="15" t="s">
        <v>237</v>
      </c>
    </row>
    <row r="47" spans="1:6" outlineLevel="1" x14ac:dyDescent="0.2">
      <c r="D47" s="40" t="str">
        <f>OTHER_DETAILED_COST_WKSHT!D116</f>
        <v>USD</v>
      </c>
      <c r="F47" s="15"/>
    </row>
    <row r="48" spans="1:6" outlineLevel="1" x14ac:dyDescent="0.2">
      <c r="D48" s="40" t="str">
        <f>OTHER_DETAILED_COST_WKSHT!D117</f>
        <v>LCU</v>
      </c>
      <c r="F48" s="15"/>
    </row>
    <row r="49" spans="1:6" outlineLevel="1" x14ac:dyDescent="0.2"/>
    <row r="50" spans="1:6" outlineLevel="1" x14ac:dyDescent="0.2"/>
    <row r="51" spans="1:6" s="65" customFormat="1" outlineLevel="1" x14ac:dyDescent="0.2">
      <c r="A51"/>
      <c r="B51"/>
      <c r="C51" s="494" t="s">
        <v>66</v>
      </c>
      <c r="D51" s="494"/>
      <c r="E51" s="494"/>
      <c r="F51" s="65" t="s">
        <v>21</v>
      </c>
    </row>
    <row r="52" spans="1:6" outlineLevel="1" x14ac:dyDescent="0.2"/>
    <row r="53" spans="1:6" outlineLevel="1" x14ac:dyDescent="0.2">
      <c r="D53" s="17" t="s">
        <v>67</v>
      </c>
      <c r="F53" s="15" t="s">
        <v>238</v>
      </c>
    </row>
    <row r="54" spans="1:6" outlineLevel="1" x14ac:dyDescent="0.2">
      <c r="D54" s="16" t="str">
        <f>Lang_Cost_Projection</f>
        <v>Cost Projection</v>
      </c>
      <c r="F54" s="15"/>
    </row>
    <row r="55" spans="1:6" outlineLevel="1" x14ac:dyDescent="0.2">
      <c r="D55" s="16" t="str">
        <f>Lang_Retrospective_Costing</f>
        <v>Retrospective Costing</v>
      </c>
      <c r="F55" s="15"/>
    </row>
    <row r="56" spans="1:6" outlineLevel="1" x14ac:dyDescent="0.2"/>
    <row r="57" spans="1:6" outlineLevel="1" x14ac:dyDescent="0.2"/>
    <row r="58" spans="1:6" s="65" customFormat="1" outlineLevel="1" x14ac:dyDescent="0.2">
      <c r="A58"/>
      <c r="B58"/>
      <c r="C58" s="494" t="s">
        <v>218</v>
      </c>
      <c r="D58" s="494"/>
      <c r="E58" s="494"/>
      <c r="F58" s="65" t="s">
        <v>21</v>
      </c>
    </row>
    <row r="59" spans="1:6" outlineLevel="1" x14ac:dyDescent="0.2"/>
    <row r="60" spans="1:6" outlineLevel="1" x14ac:dyDescent="0.2">
      <c r="D60" s="17" t="s">
        <v>218</v>
      </c>
      <c r="F60" s="15" t="s">
        <v>239</v>
      </c>
    </row>
    <row r="61" spans="1:6" outlineLevel="1" x14ac:dyDescent="0.2">
      <c r="D61" s="16" t="str">
        <f>Lang_Introduction</f>
        <v>Introduction</v>
      </c>
      <c r="F61" s="15"/>
    </row>
    <row r="62" spans="1:6" outlineLevel="1" x14ac:dyDescent="0.2">
      <c r="D62" s="16" t="str">
        <f>Lang_Recurrent</f>
        <v>Recurrent</v>
      </c>
      <c r="F62" s="15"/>
    </row>
    <row r="63" spans="1:6" outlineLevel="1" x14ac:dyDescent="0.2"/>
    <row r="64" spans="1:6" s="65" customFormat="1" outlineLevel="1" x14ac:dyDescent="0.2">
      <c r="A64"/>
      <c r="B64"/>
      <c r="C64" s="494" t="s">
        <v>220</v>
      </c>
      <c r="D64" s="494"/>
      <c r="E64" s="494"/>
      <c r="F64" s="65" t="s">
        <v>21</v>
      </c>
    </row>
    <row r="65" spans="1:6" outlineLevel="1" x14ac:dyDescent="0.2"/>
    <row r="66" spans="1:6" outlineLevel="1" x14ac:dyDescent="0.2">
      <c r="D66" s="17" t="s">
        <v>220</v>
      </c>
      <c r="F66" s="15" t="s">
        <v>240</v>
      </c>
    </row>
    <row r="67" spans="1:6" outlineLevel="1" x14ac:dyDescent="0.2">
      <c r="D67" s="16" t="str">
        <f>Lang_Fin</f>
        <v>Financial</v>
      </c>
      <c r="F67" s="15"/>
    </row>
    <row r="68" spans="1:6" outlineLevel="1" x14ac:dyDescent="0.2">
      <c r="D68" s="16" t="str">
        <f>Lang_Econ</f>
        <v>Economic</v>
      </c>
      <c r="F68" s="15"/>
    </row>
    <row r="69" spans="1:6" outlineLevel="1" x14ac:dyDescent="0.2"/>
    <row r="70" spans="1:6" s="65" customFormat="1" outlineLevel="1" x14ac:dyDescent="0.2">
      <c r="A70"/>
      <c r="B70"/>
      <c r="C70" s="494" t="s">
        <v>221</v>
      </c>
      <c r="D70" s="494"/>
      <c r="E70" s="494"/>
      <c r="F70" s="65" t="s">
        <v>21</v>
      </c>
    </row>
    <row r="71" spans="1:6" outlineLevel="1" x14ac:dyDescent="0.2"/>
    <row r="72" spans="1:6" outlineLevel="1" x14ac:dyDescent="0.2">
      <c r="D72" s="17" t="s">
        <v>221</v>
      </c>
      <c r="F72" s="15" t="s">
        <v>241</v>
      </c>
    </row>
    <row r="73" spans="1:6" outlineLevel="1" x14ac:dyDescent="0.2">
      <c r="D73" s="16" t="str">
        <f>Lang_Use_Detailed_Cost_Worksheet</f>
        <v>Use Detailed Cost Worksheet</v>
      </c>
      <c r="F73" s="15"/>
    </row>
    <row r="74" spans="1:6" outlineLevel="1" x14ac:dyDescent="0.2">
      <c r="D74" s="16" t="str">
        <f>Lang_Enter_Cost_Estimates_Directly</f>
        <v>Enter Cost Estimates Directly</v>
      </c>
      <c r="F74" s="15"/>
    </row>
    <row r="76" spans="1:6" s="13" customFormat="1" x14ac:dyDescent="0.2">
      <c r="A76"/>
      <c r="B76" s="13" t="str">
        <f>Lang_Other_Activity_Level_1_3_Lookups</f>
        <v>OTHER Activity Level 1 (3) - Lookups</v>
      </c>
    </row>
    <row r="77" spans="1:6" outlineLevel="1" x14ac:dyDescent="0.2"/>
    <row r="78" spans="1:6" outlineLevel="1" x14ac:dyDescent="0.2"/>
    <row r="79" spans="1:6" s="65" customFormat="1" outlineLevel="1" x14ac:dyDescent="0.2">
      <c r="A79"/>
      <c r="B79"/>
      <c r="C79" s="494" t="s">
        <v>65</v>
      </c>
      <c r="D79" s="494"/>
      <c r="E79" s="494"/>
      <c r="F79" s="65" t="s">
        <v>21</v>
      </c>
    </row>
    <row r="80" spans="1:6" outlineLevel="1" x14ac:dyDescent="0.2"/>
    <row r="81" spans="1:6" outlineLevel="1" x14ac:dyDescent="0.2">
      <c r="D81" s="17" t="s">
        <v>215</v>
      </c>
      <c r="F81" s="15" t="s">
        <v>237</v>
      </c>
    </row>
    <row r="82" spans="1:6" outlineLevel="1" x14ac:dyDescent="0.2">
      <c r="D82" s="40" t="str">
        <f>OTHER_DETAILED_COST_WKSHT!D213</f>
        <v>USD</v>
      </c>
      <c r="F82" s="15"/>
    </row>
    <row r="83" spans="1:6" outlineLevel="1" x14ac:dyDescent="0.2">
      <c r="D83" s="40" t="str">
        <f>OTHER_DETAILED_COST_WKSHT!D214</f>
        <v>LCU</v>
      </c>
      <c r="F83" s="15"/>
    </row>
    <row r="84" spans="1:6" outlineLevel="1" x14ac:dyDescent="0.2"/>
    <row r="85" spans="1:6" outlineLevel="1" x14ac:dyDescent="0.2"/>
    <row r="86" spans="1:6" s="65" customFormat="1" outlineLevel="1" x14ac:dyDescent="0.2">
      <c r="A86"/>
      <c r="B86"/>
      <c r="C86" s="494" t="s">
        <v>66</v>
      </c>
      <c r="D86" s="494"/>
      <c r="E86" s="494"/>
      <c r="F86" s="65" t="s">
        <v>21</v>
      </c>
    </row>
    <row r="87" spans="1:6" outlineLevel="1" x14ac:dyDescent="0.2"/>
    <row r="88" spans="1:6" outlineLevel="1" x14ac:dyDescent="0.2">
      <c r="D88" s="17" t="s">
        <v>67</v>
      </c>
      <c r="F88" s="15" t="s">
        <v>238</v>
      </c>
    </row>
    <row r="89" spans="1:6" outlineLevel="1" x14ac:dyDescent="0.2">
      <c r="D89" s="16" t="str">
        <f>Lang_Cost_Projection</f>
        <v>Cost Projection</v>
      </c>
      <c r="F89" s="15"/>
    </row>
    <row r="90" spans="1:6" outlineLevel="1" x14ac:dyDescent="0.2">
      <c r="D90" s="16" t="str">
        <f>Lang_Retrospective_Costing</f>
        <v>Retrospective Costing</v>
      </c>
      <c r="F90" s="15"/>
    </row>
    <row r="91" spans="1:6" outlineLevel="1" x14ac:dyDescent="0.2"/>
    <row r="92" spans="1:6" outlineLevel="1" x14ac:dyDescent="0.2"/>
    <row r="93" spans="1:6" s="65" customFormat="1" outlineLevel="1" x14ac:dyDescent="0.2">
      <c r="A93"/>
      <c r="B93"/>
      <c r="C93" s="494" t="s">
        <v>218</v>
      </c>
      <c r="D93" s="494"/>
      <c r="E93" s="494"/>
      <c r="F93" s="65" t="s">
        <v>21</v>
      </c>
    </row>
    <row r="94" spans="1:6" outlineLevel="1" x14ac:dyDescent="0.2"/>
    <row r="95" spans="1:6" outlineLevel="1" x14ac:dyDescent="0.2">
      <c r="D95" s="17" t="s">
        <v>218</v>
      </c>
      <c r="F95" s="15" t="s">
        <v>239</v>
      </c>
    </row>
    <row r="96" spans="1:6" outlineLevel="1" x14ac:dyDescent="0.2">
      <c r="D96" s="16" t="str">
        <f>Lang_Introduction</f>
        <v>Introduction</v>
      </c>
      <c r="F96" s="15"/>
    </row>
    <row r="97" spans="1:6" outlineLevel="1" x14ac:dyDescent="0.2">
      <c r="D97" s="16" t="str">
        <f>Lang_Recurrent</f>
        <v>Recurrent</v>
      </c>
      <c r="F97" s="15"/>
    </row>
    <row r="98" spans="1:6" outlineLevel="1" x14ac:dyDescent="0.2"/>
    <row r="99" spans="1:6" s="65" customFormat="1" outlineLevel="1" x14ac:dyDescent="0.2">
      <c r="A99"/>
      <c r="B99"/>
      <c r="C99" s="494" t="s">
        <v>220</v>
      </c>
      <c r="D99" s="494"/>
      <c r="E99" s="494"/>
      <c r="F99" s="65" t="s">
        <v>21</v>
      </c>
    </row>
    <row r="100" spans="1:6" outlineLevel="1" x14ac:dyDescent="0.2"/>
    <row r="101" spans="1:6" outlineLevel="1" x14ac:dyDescent="0.2">
      <c r="D101" s="17" t="s">
        <v>220</v>
      </c>
      <c r="F101" s="15" t="s">
        <v>240</v>
      </c>
    </row>
    <row r="102" spans="1:6" outlineLevel="1" x14ac:dyDescent="0.2">
      <c r="D102" s="16" t="str">
        <f>Lang_Fin</f>
        <v>Financial</v>
      </c>
      <c r="F102" s="15"/>
    </row>
    <row r="103" spans="1:6" outlineLevel="1" x14ac:dyDescent="0.2">
      <c r="D103" s="16" t="str">
        <f>Lang_Econ</f>
        <v>Economic</v>
      </c>
      <c r="F103" s="15"/>
    </row>
    <row r="104" spans="1:6" outlineLevel="1" x14ac:dyDescent="0.2"/>
    <row r="105" spans="1:6" s="65" customFormat="1" outlineLevel="1" x14ac:dyDescent="0.2">
      <c r="A105"/>
      <c r="B105"/>
      <c r="C105" s="494" t="s">
        <v>221</v>
      </c>
      <c r="D105" s="494"/>
      <c r="E105" s="494"/>
      <c r="F105" s="65" t="s">
        <v>21</v>
      </c>
    </row>
    <row r="106" spans="1:6" outlineLevel="1" x14ac:dyDescent="0.2"/>
    <row r="107" spans="1:6" outlineLevel="1" x14ac:dyDescent="0.2">
      <c r="D107" s="17" t="s">
        <v>221</v>
      </c>
      <c r="F107" s="15" t="s">
        <v>241</v>
      </c>
    </row>
    <row r="108" spans="1:6" outlineLevel="1" x14ac:dyDescent="0.2">
      <c r="D108" s="16" t="str">
        <f>Lang_Use_Detailed_Cost_Worksheet</f>
        <v>Use Detailed Cost Worksheet</v>
      </c>
      <c r="F108" s="15"/>
    </row>
    <row r="109" spans="1:6" outlineLevel="1" x14ac:dyDescent="0.2">
      <c r="D109" s="16" t="str">
        <f>Lang_Enter_Cost_Estimates_Directly</f>
        <v>Enter Cost Estimates Directly</v>
      </c>
      <c r="F109" s="15"/>
    </row>
    <row r="111" spans="1:6" s="13" customFormat="1" x14ac:dyDescent="0.2">
      <c r="A111"/>
      <c r="B111" s="13" t="str">
        <f>Lang_Other_Activity_Level_2_1_Lookups</f>
        <v>OTHER Activity Level 2 (1) - Lookups</v>
      </c>
    </row>
    <row r="112" spans="1:6" outlineLevel="1" x14ac:dyDescent="0.2"/>
    <row r="113" spans="1:6" outlineLevel="1" x14ac:dyDescent="0.2"/>
    <row r="114" spans="1:6" s="65" customFormat="1" outlineLevel="1" x14ac:dyDescent="0.2">
      <c r="A114"/>
      <c r="B114"/>
      <c r="C114" s="494" t="s">
        <v>65</v>
      </c>
      <c r="D114" s="494"/>
      <c r="E114" s="494"/>
      <c r="F114" s="65" t="s">
        <v>21</v>
      </c>
    </row>
    <row r="115" spans="1:6" outlineLevel="1" x14ac:dyDescent="0.2"/>
    <row r="116" spans="1:6" outlineLevel="1" x14ac:dyDescent="0.2">
      <c r="D116" s="17" t="s">
        <v>215</v>
      </c>
      <c r="F116" s="15" t="s">
        <v>242</v>
      </c>
    </row>
    <row r="117" spans="1:6" outlineLevel="1" x14ac:dyDescent="0.2">
      <c r="D117" s="40" t="str">
        <f>OTHER_DETAILED_COST_WKSHT!D312</f>
        <v>USD</v>
      </c>
      <c r="F117" s="15"/>
    </row>
    <row r="118" spans="1:6" outlineLevel="1" x14ac:dyDescent="0.2">
      <c r="D118" s="40" t="str">
        <f>OTHER_DETAILED_COST_WKSHT!D313</f>
        <v>LCU</v>
      </c>
      <c r="F118" s="15"/>
    </row>
    <row r="119" spans="1:6" outlineLevel="1" x14ac:dyDescent="0.2"/>
    <row r="120" spans="1:6" outlineLevel="1" x14ac:dyDescent="0.2"/>
    <row r="121" spans="1:6" s="65" customFormat="1" outlineLevel="1" x14ac:dyDescent="0.2">
      <c r="A121"/>
      <c r="B121"/>
      <c r="C121" s="494" t="s">
        <v>66</v>
      </c>
      <c r="D121" s="494"/>
      <c r="E121" s="494"/>
      <c r="F121" s="65" t="s">
        <v>21</v>
      </c>
    </row>
    <row r="122" spans="1:6" outlineLevel="1" x14ac:dyDescent="0.2"/>
    <row r="123" spans="1:6" outlineLevel="1" x14ac:dyDescent="0.2">
      <c r="D123" s="17" t="s">
        <v>67</v>
      </c>
      <c r="F123" s="15" t="s">
        <v>243</v>
      </c>
    </row>
    <row r="124" spans="1:6" outlineLevel="1" x14ac:dyDescent="0.2">
      <c r="D124" s="16" t="str">
        <f>Lang_Cost_Projection</f>
        <v>Cost Projection</v>
      </c>
      <c r="F124" s="15"/>
    </row>
    <row r="125" spans="1:6" outlineLevel="1" x14ac:dyDescent="0.2">
      <c r="D125" s="16" t="str">
        <f>Lang_Retrospective_Costing</f>
        <v>Retrospective Costing</v>
      </c>
      <c r="F125" s="15"/>
    </row>
    <row r="126" spans="1:6" outlineLevel="1" x14ac:dyDescent="0.2"/>
    <row r="127" spans="1:6" outlineLevel="1" x14ac:dyDescent="0.2"/>
    <row r="128" spans="1:6" s="65" customFormat="1" outlineLevel="1" x14ac:dyDescent="0.2">
      <c r="A128"/>
      <c r="B128"/>
      <c r="C128" s="494" t="s">
        <v>218</v>
      </c>
      <c r="D128" s="494"/>
      <c r="E128" s="494"/>
      <c r="F128" s="65" t="s">
        <v>21</v>
      </c>
    </row>
    <row r="129" spans="1:6" outlineLevel="1" x14ac:dyDescent="0.2"/>
    <row r="130" spans="1:6" outlineLevel="1" x14ac:dyDescent="0.2">
      <c r="D130" s="17" t="s">
        <v>218</v>
      </c>
      <c r="F130" s="15" t="s">
        <v>244</v>
      </c>
    </row>
    <row r="131" spans="1:6" outlineLevel="1" x14ac:dyDescent="0.2">
      <c r="D131" s="16" t="str">
        <f>Lang_Introduction</f>
        <v>Introduction</v>
      </c>
      <c r="F131" s="15"/>
    </row>
    <row r="132" spans="1:6" outlineLevel="1" x14ac:dyDescent="0.2">
      <c r="D132" s="16" t="str">
        <f>Lang_Recurrent</f>
        <v>Recurrent</v>
      </c>
      <c r="F132" s="15"/>
    </row>
    <row r="133" spans="1:6" outlineLevel="1" x14ac:dyDescent="0.2"/>
    <row r="134" spans="1:6" s="65" customFormat="1" outlineLevel="1" x14ac:dyDescent="0.2">
      <c r="A134"/>
      <c r="B134"/>
      <c r="C134" s="494" t="s">
        <v>220</v>
      </c>
      <c r="D134" s="494"/>
      <c r="E134" s="494"/>
      <c r="F134" s="65" t="s">
        <v>21</v>
      </c>
    </row>
    <row r="135" spans="1:6" outlineLevel="1" x14ac:dyDescent="0.2"/>
    <row r="136" spans="1:6" outlineLevel="1" x14ac:dyDescent="0.2">
      <c r="D136" s="17" t="s">
        <v>220</v>
      </c>
      <c r="F136" s="15" t="s">
        <v>245</v>
      </c>
    </row>
    <row r="137" spans="1:6" outlineLevel="1" x14ac:dyDescent="0.2">
      <c r="D137" s="16" t="str">
        <f>Lang_Fin</f>
        <v>Financial</v>
      </c>
      <c r="F137" s="15"/>
    </row>
    <row r="138" spans="1:6" outlineLevel="1" x14ac:dyDescent="0.2">
      <c r="D138" s="16" t="str">
        <f>Lang_Econ</f>
        <v>Economic</v>
      </c>
      <c r="F138" s="15"/>
    </row>
    <row r="139" spans="1:6" outlineLevel="1" x14ac:dyDescent="0.2"/>
    <row r="140" spans="1:6" s="65" customFormat="1" outlineLevel="1" x14ac:dyDescent="0.2">
      <c r="A140"/>
      <c r="B140"/>
      <c r="C140" s="494" t="s">
        <v>221</v>
      </c>
      <c r="D140" s="494"/>
      <c r="E140" s="494"/>
      <c r="F140" s="65" t="s">
        <v>21</v>
      </c>
    </row>
    <row r="141" spans="1:6" outlineLevel="1" x14ac:dyDescent="0.2"/>
    <row r="142" spans="1:6" outlineLevel="1" x14ac:dyDescent="0.2">
      <c r="D142" s="17" t="s">
        <v>221</v>
      </c>
      <c r="F142" s="15" t="s">
        <v>246</v>
      </c>
    </row>
    <row r="143" spans="1:6" outlineLevel="1" x14ac:dyDescent="0.2">
      <c r="D143" s="16" t="str">
        <f>Lang_Use_Detailed_Cost_Worksheet</f>
        <v>Use Detailed Cost Worksheet</v>
      </c>
      <c r="F143" s="15"/>
    </row>
    <row r="144" spans="1:6" outlineLevel="1" x14ac:dyDescent="0.2">
      <c r="D144" s="16" t="str">
        <f>Lang_Enter_Cost_Estimates_Directly</f>
        <v>Enter Cost Estimates Directly</v>
      </c>
      <c r="F144" s="15"/>
    </row>
    <row r="146" spans="1:6" s="13" customFormat="1" x14ac:dyDescent="0.2">
      <c r="A146"/>
      <c r="B146" s="13" t="str">
        <f>Lang_Other_Activity_Level_2_2_Lookups</f>
        <v>OTHER Activity Level 2 (2) - Lookups</v>
      </c>
    </row>
    <row r="147" spans="1:6" outlineLevel="1" x14ac:dyDescent="0.2"/>
    <row r="148" spans="1:6" outlineLevel="1" x14ac:dyDescent="0.2"/>
    <row r="149" spans="1:6" s="65" customFormat="1" outlineLevel="1" x14ac:dyDescent="0.2">
      <c r="A149"/>
      <c r="B149"/>
      <c r="C149" s="494" t="s">
        <v>65</v>
      </c>
      <c r="D149" s="494"/>
      <c r="E149" s="494"/>
      <c r="F149" s="65" t="s">
        <v>21</v>
      </c>
    </row>
    <row r="150" spans="1:6" outlineLevel="1" x14ac:dyDescent="0.2"/>
    <row r="151" spans="1:6" outlineLevel="1" x14ac:dyDescent="0.2">
      <c r="D151" s="17" t="s">
        <v>215</v>
      </c>
      <c r="F151" s="15" t="s">
        <v>242</v>
      </c>
    </row>
    <row r="152" spans="1:6" outlineLevel="1" x14ac:dyDescent="0.2">
      <c r="D152" s="40" t="str">
        <f>OTHER_DETAILED_COST_WKSHT!D411</f>
        <v>USD</v>
      </c>
      <c r="F152" s="15"/>
    </row>
    <row r="153" spans="1:6" outlineLevel="1" x14ac:dyDescent="0.2">
      <c r="D153" s="40" t="str">
        <f>OTHER_DETAILED_COST_WKSHT!D412</f>
        <v>LCU</v>
      </c>
      <c r="F153" s="15"/>
    </row>
    <row r="154" spans="1:6" outlineLevel="1" x14ac:dyDescent="0.2"/>
    <row r="155" spans="1:6" outlineLevel="1" x14ac:dyDescent="0.2"/>
    <row r="156" spans="1:6" s="65" customFormat="1" outlineLevel="1" x14ac:dyDescent="0.2">
      <c r="A156"/>
      <c r="B156"/>
      <c r="C156" s="494" t="s">
        <v>66</v>
      </c>
      <c r="D156" s="494"/>
      <c r="E156" s="494"/>
      <c r="F156" s="65" t="s">
        <v>21</v>
      </c>
    </row>
    <row r="157" spans="1:6" outlineLevel="1" x14ac:dyDescent="0.2"/>
    <row r="158" spans="1:6" outlineLevel="1" x14ac:dyDescent="0.2">
      <c r="D158" s="17" t="s">
        <v>67</v>
      </c>
      <c r="F158" s="15" t="s">
        <v>243</v>
      </c>
    </row>
    <row r="159" spans="1:6" outlineLevel="1" x14ac:dyDescent="0.2">
      <c r="D159" s="16" t="str">
        <f>Lang_Cost_Projection</f>
        <v>Cost Projection</v>
      </c>
      <c r="F159" s="15"/>
    </row>
    <row r="160" spans="1:6" outlineLevel="1" x14ac:dyDescent="0.2">
      <c r="D160" s="16" t="str">
        <f>Lang_Retrospective_Costing</f>
        <v>Retrospective Costing</v>
      </c>
      <c r="F160" s="15"/>
    </row>
    <row r="161" spans="1:6" outlineLevel="1" x14ac:dyDescent="0.2"/>
    <row r="162" spans="1:6" outlineLevel="1" x14ac:dyDescent="0.2"/>
    <row r="163" spans="1:6" s="65" customFormat="1" outlineLevel="1" x14ac:dyDescent="0.2">
      <c r="A163"/>
      <c r="B163"/>
      <c r="C163" s="494" t="s">
        <v>218</v>
      </c>
      <c r="D163" s="494"/>
      <c r="E163" s="494"/>
      <c r="F163" s="65" t="s">
        <v>21</v>
      </c>
    </row>
    <row r="164" spans="1:6" outlineLevel="1" x14ac:dyDescent="0.2"/>
    <row r="165" spans="1:6" outlineLevel="1" x14ac:dyDescent="0.2">
      <c r="D165" s="17" t="s">
        <v>218</v>
      </c>
      <c r="F165" s="15" t="s">
        <v>244</v>
      </c>
    </row>
    <row r="166" spans="1:6" outlineLevel="1" x14ac:dyDescent="0.2">
      <c r="D166" s="16" t="str">
        <f>Lang_Introduction</f>
        <v>Introduction</v>
      </c>
      <c r="F166" s="15"/>
    </row>
    <row r="167" spans="1:6" outlineLevel="1" x14ac:dyDescent="0.2">
      <c r="D167" s="16" t="str">
        <f>Lang_Recurrent</f>
        <v>Recurrent</v>
      </c>
      <c r="F167" s="15"/>
    </row>
    <row r="168" spans="1:6" outlineLevel="1" x14ac:dyDescent="0.2"/>
    <row r="169" spans="1:6" s="65" customFormat="1" outlineLevel="1" x14ac:dyDescent="0.2">
      <c r="A169"/>
      <c r="B169"/>
      <c r="C169" s="494" t="s">
        <v>220</v>
      </c>
      <c r="D169" s="494"/>
      <c r="E169" s="494"/>
      <c r="F169" s="65" t="s">
        <v>21</v>
      </c>
    </row>
    <row r="170" spans="1:6" outlineLevel="1" x14ac:dyDescent="0.2"/>
    <row r="171" spans="1:6" outlineLevel="1" x14ac:dyDescent="0.2">
      <c r="D171" s="17" t="s">
        <v>220</v>
      </c>
      <c r="F171" s="15" t="s">
        <v>245</v>
      </c>
    </row>
    <row r="172" spans="1:6" outlineLevel="1" x14ac:dyDescent="0.2">
      <c r="D172" s="16" t="str">
        <f>Lang_Fin</f>
        <v>Financial</v>
      </c>
      <c r="F172" s="15"/>
    </row>
    <row r="173" spans="1:6" outlineLevel="1" x14ac:dyDescent="0.2">
      <c r="D173" s="16" t="str">
        <f>Lang_Econ</f>
        <v>Economic</v>
      </c>
      <c r="F173" s="15"/>
    </row>
    <row r="174" spans="1:6" outlineLevel="1" x14ac:dyDescent="0.2"/>
    <row r="175" spans="1:6" s="65" customFormat="1" outlineLevel="1" x14ac:dyDescent="0.2">
      <c r="A175"/>
      <c r="B175"/>
      <c r="C175" s="494" t="s">
        <v>221</v>
      </c>
      <c r="D175" s="494"/>
      <c r="E175" s="494"/>
      <c r="F175" s="65" t="s">
        <v>21</v>
      </c>
    </row>
    <row r="176" spans="1:6" outlineLevel="1" x14ac:dyDescent="0.2"/>
    <row r="177" spans="4:6" outlineLevel="1" x14ac:dyDescent="0.2">
      <c r="D177" s="17" t="s">
        <v>221</v>
      </c>
      <c r="F177" s="15" t="s">
        <v>246</v>
      </c>
    </row>
    <row r="178" spans="4:6" outlineLevel="1" x14ac:dyDescent="0.2">
      <c r="D178" s="16" t="str">
        <f>Lang_Use_Detailed_Cost_Worksheet</f>
        <v>Use Detailed Cost Worksheet</v>
      </c>
      <c r="F178" s="15"/>
    </row>
    <row r="179" spans="4:6" outlineLevel="1" x14ac:dyDescent="0.2">
      <c r="D179" s="16" t="str">
        <f>Lang_Enter_Cost_Estimates_Directly</f>
        <v>Enter Cost Estimates Directly</v>
      </c>
      <c r="F179" s="15"/>
    </row>
  </sheetData>
  <mergeCells count="26">
    <mergeCell ref="C149:E149"/>
    <mergeCell ref="C156:E156"/>
    <mergeCell ref="C163:E163"/>
    <mergeCell ref="C169:E169"/>
    <mergeCell ref="C175:E175"/>
    <mergeCell ref="C44:E44"/>
    <mergeCell ref="C51:E51"/>
    <mergeCell ref="C58:E58"/>
    <mergeCell ref="C64:E64"/>
    <mergeCell ref="C70:E70"/>
    <mergeCell ref="C140:E140"/>
    <mergeCell ref="B3:D3"/>
    <mergeCell ref="C9:E9"/>
    <mergeCell ref="C16:E16"/>
    <mergeCell ref="C23:E23"/>
    <mergeCell ref="C29:E29"/>
    <mergeCell ref="C35:E35"/>
    <mergeCell ref="C114:E114"/>
    <mergeCell ref="C121:E121"/>
    <mergeCell ref="C128:E128"/>
    <mergeCell ref="C134:E134"/>
    <mergeCell ref="C79:E79"/>
    <mergeCell ref="C86:E86"/>
    <mergeCell ref="C93:E93"/>
    <mergeCell ref="C99:E99"/>
    <mergeCell ref="C105:E105"/>
  </mergeCells>
  <hyperlinks>
    <hyperlink ref="A4" location="$B$5" tooltip="Go to Top of Sheet" display="$B$5" xr:uid="{00000000-0004-0000-3600-000000000000}"/>
    <hyperlink ref="B4" location="HL_Sheet_Main_16" tooltip="Go to Previous Sheet" display="HL_Sheet_Main_16" xr:uid="{00000000-0004-0000-3600-000001000000}"/>
    <hyperlink ref="A1" location="HL_Home" tooltip="Go to Table of Contents" display="HL_Home" xr:uid="{00000000-0004-0000-3600-000002000000}"/>
    <hyperlink ref="C4" location="HL_Sheet_Main_33" tooltip="Go to Next Sheet" display="HL_Sheet_Main_33" xr:uid="{00000000-0004-0000-3600-000003000000}"/>
    <hyperlink ref="B3" location="HL_Home" tooltip="Go to Table of Contents" display="HL_Home" xr:uid="{00000000-0004-0000-3600-000004000000}"/>
    <hyperlink ref="A2" location="HL_Err_Chk" tooltip="Go to Error Checks" display="HL_Err_Chk" xr:uid="{00000000-0004-0000-3600-000005000000}"/>
    <hyperlink ref="B3:D3" location="Contents!A1" tooltip="Go to Table of Contents" display="Contents!A1" xr:uid="{00000000-0004-0000-3600-000006000000}"/>
  </hyperlinks>
  <pageMargins left="0.4" right="0.4" top="0.6" bottom="1" header="0" footer="0.3"/>
  <pageSetup orientation="landscape" horizontalDpi="0" verticalDpi="0" r:id="rId1"/>
  <headerFooter>
    <oddFooter>&amp;L&amp;F
&amp;A
Printed: &amp;T on &amp;D&amp;CPage &amp;P of 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7030A0"/>
    <outlinePr summaryBelow="0"/>
    <pageSetUpPr autoPageBreaks="0"/>
  </sheetPr>
  <dimension ref="A1:F19"/>
  <sheetViews>
    <sheetView showGridLines="0" zoomScaleNormal="100" workbookViewId="0">
      <pane xSplit="1" ySplit="2" topLeftCell="B3" activePane="bottomRight" state="frozen"/>
      <selection activeCell="I511" sqref="I511"/>
      <selection pane="topRight" activeCell="I511" sqref="I511"/>
      <selection pane="bottomLeft" activeCell="I511" sqref="I511"/>
      <selection pane="bottomRight" activeCell="I511" sqref="I511"/>
    </sheetView>
  </sheetViews>
  <sheetFormatPr defaultColWidth="11.7109375" defaultRowHeight="12" x14ac:dyDescent="0.2"/>
  <cols>
    <col min="1" max="3" width="3.7109375" customWidth="1"/>
    <col min="4" max="4" width="35.7109375" customWidth="1"/>
    <col min="5" max="5" width="3.7109375" customWidth="1"/>
    <col min="6" max="6" width="35.7109375" customWidth="1"/>
    <col min="7" max="7" width="3.7109375" customWidth="1"/>
  </cols>
  <sheetData>
    <row r="1" spans="1:6" ht="15" x14ac:dyDescent="0.2">
      <c r="A1" s="2" t="s">
        <v>128</v>
      </c>
      <c r="B1" s="31" t="str">
        <f>Lang_Cold_Chain_Expansion</f>
        <v>Cold Chain Expansion</v>
      </c>
    </row>
    <row r="2" spans="1:6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5" spans="1:6" s="13" customFormat="1" x14ac:dyDescent="0.2">
      <c r="A5"/>
      <c r="B5" s="13" t="str">
        <f>Lang_Cold_Chain_Expansion_Lookups</f>
        <v>Cold Chain Expansion - Lookups</v>
      </c>
    </row>
    <row r="9" spans="1:6" x14ac:dyDescent="0.2">
      <c r="C9" s="65" t="s">
        <v>65</v>
      </c>
      <c r="F9" s="65" t="s">
        <v>21</v>
      </c>
    </row>
    <row r="11" spans="1:6" x14ac:dyDescent="0.2">
      <c r="D11" s="17" t="s">
        <v>529</v>
      </c>
      <c r="F11" s="15" t="s">
        <v>530</v>
      </c>
    </row>
    <row r="12" spans="1:6" x14ac:dyDescent="0.2">
      <c r="D12" s="40" t="str">
        <f>COLD_CHAIN_EXPANS!B41</f>
        <v>USD</v>
      </c>
      <c r="F12" s="15"/>
    </row>
    <row r="13" spans="1:6" x14ac:dyDescent="0.2">
      <c r="D13" s="40" t="str">
        <f>COLD_CHAIN_EXPANS!B42</f>
        <v>LCU</v>
      </c>
      <c r="F13" s="15"/>
    </row>
    <row r="15" spans="1:6" x14ac:dyDescent="0.2">
      <c r="C15" s="65" t="s">
        <v>531</v>
      </c>
      <c r="F15" s="65" t="s">
        <v>21</v>
      </c>
    </row>
    <row r="17" spans="4:6" x14ac:dyDescent="0.2">
      <c r="D17" s="17" t="s">
        <v>531</v>
      </c>
      <c r="F17" s="15" t="s">
        <v>532</v>
      </c>
    </row>
    <row r="18" spans="4:6" x14ac:dyDescent="0.2">
      <c r="D18" s="16" t="str">
        <f>Lang_Fin</f>
        <v>Financial</v>
      </c>
      <c r="F18" s="15"/>
    </row>
    <row r="19" spans="4:6" x14ac:dyDescent="0.2">
      <c r="D19" s="16" t="str">
        <f>Lang_Econ</f>
        <v>Economic</v>
      </c>
      <c r="F19" s="15"/>
    </row>
  </sheetData>
  <hyperlinks>
    <hyperlink ref="A1" location="HL_Home" tooltip="Go to Table of Contents" display="HL_Home" xr:uid="{00000000-0004-0000-3700-000000000000}"/>
    <hyperlink ref="A2" location="HL_Err_Chk" tooltip="Go to Error Checks" display="HL_Err_Chk" xr:uid="{00000000-0004-0000-3700-000001000000}"/>
  </hyperlinks>
  <pageMargins left="0.4" right="0.4" top="0.6" bottom="1" header="0" footer="0.3"/>
  <pageSetup orientation="landscape" horizontalDpi="0" verticalDpi="0" r:id="rId1"/>
  <headerFooter>
    <oddFooter>&amp;L&amp;F
&amp;A
Printed: &amp;T on &amp;D&amp;CPage &amp;P of 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7030A0"/>
    <outlinePr summaryBelow="0"/>
    <pageSetUpPr autoPageBreaks="0"/>
  </sheetPr>
  <dimension ref="A1:F21"/>
  <sheetViews>
    <sheetView showGridLines="0" zoomScaleNormal="100" workbookViewId="0">
      <pane xSplit="1" ySplit="4" topLeftCell="B5" activePane="bottomRight" state="frozen"/>
      <selection activeCell="I511" sqref="I511"/>
      <selection pane="topRight" activeCell="I511" sqref="I511"/>
      <selection pane="bottomLeft" activeCell="I511" sqref="I511"/>
      <selection pane="bottomRight" activeCell="I511" sqref="I511"/>
    </sheetView>
  </sheetViews>
  <sheetFormatPr defaultColWidth="11.7109375" defaultRowHeight="12" x14ac:dyDescent="0.2"/>
  <cols>
    <col min="1" max="3" width="3.7109375" customWidth="1"/>
    <col min="4" max="4" width="35.7109375" customWidth="1"/>
    <col min="5" max="5" width="3.7109375" customWidth="1"/>
    <col min="6" max="6" width="35.7109375" customWidth="1"/>
    <col min="7" max="7" width="3.7109375" customWidth="1"/>
  </cols>
  <sheetData>
    <row r="1" spans="1:6" ht="15" x14ac:dyDescent="0.2">
      <c r="B1" s="31" t="str">
        <f>Lang_Other_Capital_Investments</f>
        <v>Other Capital Investments</v>
      </c>
    </row>
    <row r="2" spans="1:6" ht="12.75" x14ac:dyDescent="0.2">
      <c r="B2" s="45" t="str">
        <f ca="1">Model_Name</f>
        <v>Cervical Cancer Prevention and Control Costing (C4P) Tool (Cost Projection)</v>
      </c>
    </row>
    <row r="3" spans="1:6" ht="12.75" x14ac:dyDescent="0.2">
      <c r="B3" s="426" t="str">
        <f>Lang_Goto_TOC</f>
        <v>Go to Table of Contents</v>
      </c>
      <c r="C3" s="426"/>
      <c r="D3" s="426"/>
    </row>
    <row r="4" spans="1:6" x14ac:dyDescent="0.2">
      <c r="A4" s="2" t="s">
        <v>5</v>
      </c>
      <c r="B4" s="38" t="s">
        <v>7</v>
      </c>
      <c r="C4" s="39" t="s">
        <v>8</v>
      </c>
    </row>
    <row r="7" spans="1:6" s="13" customFormat="1" x14ac:dyDescent="0.2">
      <c r="A7"/>
      <c r="B7" s="13" t="str">
        <f>Lang_Other_Capital_Investments_Lookups</f>
        <v>Other Capital Investments - Lookups</v>
      </c>
    </row>
    <row r="11" spans="1:6" x14ac:dyDescent="0.2">
      <c r="C11" s="65" t="s">
        <v>65</v>
      </c>
      <c r="F11" s="65" t="s">
        <v>21</v>
      </c>
    </row>
    <row r="13" spans="1:6" x14ac:dyDescent="0.2">
      <c r="D13" s="17" t="s">
        <v>529</v>
      </c>
      <c r="F13" s="15" t="s">
        <v>560</v>
      </c>
    </row>
    <row r="14" spans="1:6" x14ac:dyDescent="0.2">
      <c r="D14" s="40" t="str">
        <f>CAPITAL_INVESTS_OTH!B42</f>
        <v>USD</v>
      </c>
      <c r="F14" s="15"/>
    </row>
    <row r="15" spans="1:6" x14ac:dyDescent="0.2">
      <c r="D15" s="40" t="str">
        <f>CAPITAL_INVESTS_OTH!B43</f>
        <v>LCU</v>
      </c>
      <c r="F15" s="15"/>
    </row>
    <row r="17" spans="3:6" x14ac:dyDescent="0.2">
      <c r="C17" s="65" t="s">
        <v>531</v>
      </c>
      <c r="F17" s="65" t="s">
        <v>21</v>
      </c>
    </row>
    <row r="19" spans="3:6" x14ac:dyDescent="0.2">
      <c r="D19" s="17" t="s">
        <v>531</v>
      </c>
      <c r="F19" s="15" t="s">
        <v>561</v>
      </c>
    </row>
    <row r="20" spans="3:6" x14ac:dyDescent="0.2">
      <c r="D20" s="16" t="str">
        <f>Lang_Fin</f>
        <v>Financial</v>
      </c>
      <c r="F20" s="15"/>
    </row>
    <row r="21" spans="3:6" x14ac:dyDescent="0.2">
      <c r="D21" s="16" t="str">
        <f>Lang_Econ</f>
        <v>Economic</v>
      </c>
      <c r="F21" s="15"/>
    </row>
  </sheetData>
  <mergeCells count="1">
    <mergeCell ref="B3:D3"/>
  </mergeCells>
  <hyperlinks>
    <hyperlink ref="A4" location="$B$5" tooltip="Go to Top of Sheet" display="$B$5" xr:uid="{00000000-0004-0000-3800-000000000000}"/>
    <hyperlink ref="B4" location="HL_Sheet_Main_33" tooltip="Go to Previous Sheet" display="HL_Sheet_Main_33" xr:uid="{00000000-0004-0000-3800-000001000000}"/>
    <hyperlink ref="C4" location="HL_Sheet_Main_23" tooltip="Go to Next Sheet" display="HL_Sheet_Main_23" xr:uid="{00000000-0004-0000-3800-000002000000}"/>
    <hyperlink ref="B3" location="HL_Home" tooltip="Go to Table of Contents" display="HL_Home" xr:uid="{00000000-0004-0000-3800-000003000000}"/>
    <hyperlink ref="B3:D3" location="Contents!A1" tooltip="Go to Table of Contents" display="Contents!A1" xr:uid="{00000000-0004-0000-3800-000004000000}"/>
  </hyperlinks>
  <pageMargins left="0.4" right="0.4" top="0.6" bottom="1" header="0" footer="0.3"/>
  <pageSetup orientation="landscape" horizontalDpi="0" verticalDpi="0" r:id="rId1"/>
  <headerFooter>
    <oddFooter>&amp;L&amp;F
&amp;A
Printed: &amp;T on &amp;D&amp;CPage &amp;P of 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0">
    <tabColor rgb="FF7030A0"/>
    <outlinePr summaryBelow="0"/>
    <pageSetUpPr autoPageBreaks="0"/>
  </sheetPr>
  <dimension ref="A1:F142"/>
  <sheetViews>
    <sheetView showGridLines="0" zoomScaleNormal="100" workbookViewId="0">
      <pane xSplit="1" ySplit="2" topLeftCell="B3" activePane="bottomRight" state="frozen"/>
      <selection activeCell="I511" sqref="I511"/>
      <selection pane="topRight" activeCell="I511" sqref="I511"/>
      <selection pane="bottomLeft" activeCell="I511" sqref="I511"/>
      <selection pane="bottomRight" activeCell="I511" sqref="I511"/>
    </sheetView>
  </sheetViews>
  <sheetFormatPr defaultColWidth="11.7109375" defaultRowHeight="12" outlineLevelRow="1" x14ac:dyDescent="0.2"/>
  <cols>
    <col min="1" max="3" width="3.7109375" customWidth="1"/>
    <col min="4" max="4" width="35.7109375" customWidth="1"/>
    <col min="5" max="5" width="3.7109375" customWidth="1"/>
    <col min="6" max="6" width="35.7109375" customWidth="1"/>
    <col min="7" max="7" width="3.7109375" customWidth="1"/>
  </cols>
  <sheetData>
    <row r="1" spans="1:6" ht="15" x14ac:dyDescent="0.2">
      <c r="A1" s="2" t="s">
        <v>128</v>
      </c>
      <c r="B1" s="31" t="str">
        <f>Lang_Training_Activity_Variables</f>
        <v>Training Activity Variables</v>
      </c>
    </row>
    <row r="2" spans="1:6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4" spans="1:6" s="13" customFormat="1" x14ac:dyDescent="0.2">
      <c r="A4"/>
      <c r="B4" s="13" t="str">
        <f>Lang_Training_Level_1_1_Lookups</f>
        <v>Training Level 1 (1) - Lookups</v>
      </c>
    </row>
    <row r="5" spans="1:6" outlineLevel="1" x14ac:dyDescent="0.2"/>
    <row r="6" spans="1:6" outlineLevel="1" x14ac:dyDescent="0.2"/>
    <row r="7" spans="1:6" s="65" customFormat="1" outlineLevel="1" x14ac:dyDescent="0.2">
      <c r="A7"/>
      <c r="B7"/>
      <c r="C7" s="494" t="s">
        <v>65</v>
      </c>
      <c r="D7" s="494"/>
      <c r="E7" s="494"/>
      <c r="F7" s="65" t="s">
        <v>21</v>
      </c>
    </row>
    <row r="8" spans="1:6" outlineLevel="1" x14ac:dyDescent="0.2"/>
    <row r="9" spans="1:6" outlineLevel="1" x14ac:dyDescent="0.2">
      <c r="D9" s="17" t="s">
        <v>215</v>
      </c>
      <c r="F9" s="15" t="s">
        <v>237</v>
      </c>
    </row>
    <row r="10" spans="1:6" outlineLevel="1" x14ac:dyDescent="0.2">
      <c r="D10" s="40" t="str">
        <f>TRAIN_DETAILED_COST_WKSHT!D19</f>
        <v>USD</v>
      </c>
      <c r="F10" s="15"/>
    </row>
    <row r="11" spans="1:6" outlineLevel="1" x14ac:dyDescent="0.2">
      <c r="D11" s="40" t="str">
        <f>TRAIN_DETAILED_COST_WKSHT!D20</f>
        <v>LCU</v>
      </c>
      <c r="F11" s="15"/>
    </row>
    <row r="12" spans="1:6" outlineLevel="1" x14ac:dyDescent="0.2"/>
    <row r="13" spans="1:6" outlineLevel="1" x14ac:dyDescent="0.2"/>
    <row r="14" spans="1:6" s="65" customFormat="1" outlineLevel="1" x14ac:dyDescent="0.2">
      <c r="A14"/>
      <c r="B14"/>
      <c r="C14" s="494" t="s">
        <v>66</v>
      </c>
      <c r="D14" s="494"/>
      <c r="E14" s="494"/>
      <c r="F14" s="65" t="s">
        <v>21</v>
      </c>
    </row>
    <row r="15" spans="1:6" outlineLevel="1" x14ac:dyDescent="0.2"/>
    <row r="16" spans="1:6" outlineLevel="1" x14ac:dyDescent="0.2">
      <c r="D16" s="17" t="s">
        <v>67</v>
      </c>
      <c r="F16" s="15" t="s">
        <v>238</v>
      </c>
    </row>
    <row r="17" spans="1:6" outlineLevel="1" x14ac:dyDescent="0.2">
      <c r="D17" s="16" t="str">
        <f>Lang_Cost_Projection</f>
        <v>Cost Projection</v>
      </c>
      <c r="F17" s="15"/>
    </row>
    <row r="18" spans="1:6" outlineLevel="1" x14ac:dyDescent="0.2">
      <c r="D18" s="16" t="str">
        <f>Lang_Retrospective_Costing</f>
        <v>Retrospective Costing</v>
      </c>
      <c r="F18" s="15"/>
    </row>
    <row r="19" spans="1:6" outlineLevel="1" x14ac:dyDescent="0.2"/>
    <row r="20" spans="1:6" outlineLevel="1" x14ac:dyDescent="0.2"/>
    <row r="21" spans="1:6" s="65" customFormat="1" outlineLevel="1" x14ac:dyDescent="0.2">
      <c r="A21"/>
      <c r="B21"/>
      <c r="C21" s="494" t="s">
        <v>218</v>
      </c>
      <c r="D21" s="494"/>
      <c r="E21" s="494"/>
      <c r="F21" s="65" t="s">
        <v>21</v>
      </c>
    </row>
    <row r="22" spans="1:6" outlineLevel="1" x14ac:dyDescent="0.2"/>
    <row r="23" spans="1:6" outlineLevel="1" x14ac:dyDescent="0.2">
      <c r="D23" s="17" t="s">
        <v>218</v>
      </c>
      <c r="F23" s="15" t="s">
        <v>239</v>
      </c>
    </row>
    <row r="24" spans="1:6" outlineLevel="1" x14ac:dyDescent="0.2">
      <c r="D24" s="16" t="str">
        <f>Lang_Introduction</f>
        <v>Introduction</v>
      </c>
      <c r="F24" s="15"/>
    </row>
    <row r="25" spans="1:6" outlineLevel="1" x14ac:dyDescent="0.2">
      <c r="D25" s="16" t="str">
        <f>Lang_Recurrent</f>
        <v>Recurrent</v>
      </c>
      <c r="F25" s="15"/>
    </row>
    <row r="26" spans="1:6" outlineLevel="1" x14ac:dyDescent="0.2"/>
    <row r="27" spans="1:6" s="65" customFormat="1" outlineLevel="1" x14ac:dyDescent="0.2">
      <c r="A27"/>
      <c r="B27"/>
      <c r="C27" s="494" t="s">
        <v>220</v>
      </c>
      <c r="D27" s="494"/>
      <c r="E27" s="494"/>
      <c r="F27" s="65" t="s">
        <v>21</v>
      </c>
    </row>
    <row r="28" spans="1:6" outlineLevel="1" x14ac:dyDescent="0.2"/>
    <row r="29" spans="1:6" outlineLevel="1" x14ac:dyDescent="0.2">
      <c r="D29" s="17" t="s">
        <v>220</v>
      </c>
      <c r="F29" s="15" t="s">
        <v>240</v>
      </c>
    </row>
    <row r="30" spans="1:6" outlineLevel="1" x14ac:dyDescent="0.2">
      <c r="D30" s="16" t="str">
        <f>Lang_Fin</f>
        <v>Financial</v>
      </c>
      <c r="F30" s="15"/>
    </row>
    <row r="31" spans="1:6" outlineLevel="1" x14ac:dyDescent="0.2">
      <c r="D31" s="16" t="str">
        <f>Lang_Econ</f>
        <v>Economic</v>
      </c>
      <c r="F31" s="15"/>
    </row>
    <row r="32" spans="1:6" outlineLevel="1" x14ac:dyDescent="0.2"/>
    <row r="33" spans="1:6" s="65" customFormat="1" outlineLevel="1" x14ac:dyDescent="0.2">
      <c r="A33"/>
      <c r="B33"/>
      <c r="C33" s="494" t="s">
        <v>221</v>
      </c>
      <c r="D33" s="494"/>
      <c r="E33" s="494"/>
      <c r="F33" s="65" t="s">
        <v>21</v>
      </c>
    </row>
    <row r="34" spans="1:6" outlineLevel="1" x14ac:dyDescent="0.2"/>
    <row r="35" spans="1:6" outlineLevel="1" x14ac:dyDescent="0.2">
      <c r="D35" s="17" t="s">
        <v>221</v>
      </c>
      <c r="F35" s="15" t="s">
        <v>241</v>
      </c>
    </row>
    <row r="36" spans="1:6" outlineLevel="1" x14ac:dyDescent="0.2">
      <c r="D36" s="16" t="str">
        <f>Lang_Use_Detailed_Cost_Worksheet</f>
        <v>Use Detailed Cost Worksheet</v>
      </c>
      <c r="F36" s="15"/>
    </row>
    <row r="37" spans="1:6" outlineLevel="1" x14ac:dyDescent="0.2">
      <c r="D37" s="16" t="str">
        <f>Lang_Enter_Cost_Estimates_Directly</f>
        <v>Enter Cost Estimates Directly</v>
      </c>
      <c r="F37" s="15"/>
    </row>
    <row r="39" spans="1:6" s="13" customFormat="1" x14ac:dyDescent="0.2">
      <c r="A39"/>
      <c r="B39" s="13" t="str">
        <f>Lang_Training_Level_1_2_Lookups</f>
        <v>Training Level 1 (2) - Lookups</v>
      </c>
    </row>
    <row r="40" spans="1:6" outlineLevel="1" x14ac:dyDescent="0.2"/>
    <row r="41" spans="1:6" outlineLevel="1" x14ac:dyDescent="0.2"/>
    <row r="42" spans="1:6" s="65" customFormat="1" outlineLevel="1" x14ac:dyDescent="0.2">
      <c r="A42"/>
      <c r="B42"/>
      <c r="C42" s="494" t="s">
        <v>65</v>
      </c>
      <c r="D42" s="494"/>
      <c r="E42" s="494"/>
      <c r="F42" s="65" t="s">
        <v>21</v>
      </c>
    </row>
    <row r="43" spans="1:6" outlineLevel="1" x14ac:dyDescent="0.2"/>
    <row r="44" spans="1:6" outlineLevel="1" x14ac:dyDescent="0.2">
      <c r="D44" s="17" t="s">
        <v>215</v>
      </c>
      <c r="F44" s="15" t="s">
        <v>237</v>
      </c>
    </row>
    <row r="45" spans="1:6" outlineLevel="1" x14ac:dyDescent="0.2">
      <c r="D45" s="40" t="str">
        <f>TRAIN_DETAILED_COST_WKSHT!D116</f>
        <v>USD</v>
      </c>
      <c r="F45" s="15"/>
    </row>
    <row r="46" spans="1:6" outlineLevel="1" x14ac:dyDescent="0.2">
      <c r="D46" s="40" t="str">
        <f>TRAIN_DETAILED_COST_WKSHT!D117</f>
        <v>LCU</v>
      </c>
      <c r="F46" s="15"/>
    </row>
    <row r="47" spans="1:6" outlineLevel="1" x14ac:dyDescent="0.2"/>
    <row r="48" spans="1:6" outlineLevel="1" x14ac:dyDescent="0.2"/>
    <row r="49" spans="1:6" s="65" customFormat="1" outlineLevel="1" x14ac:dyDescent="0.2">
      <c r="A49"/>
      <c r="B49"/>
      <c r="C49" s="494" t="s">
        <v>66</v>
      </c>
      <c r="D49" s="494"/>
      <c r="E49" s="494"/>
      <c r="F49" s="65" t="s">
        <v>21</v>
      </c>
    </row>
    <row r="50" spans="1:6" outlineLevel="1" x14ac:dyDescent="0.2"/>
    <row r="51" spans="1:6" outlineLevel="1" x14ac:dyDescent="0.2">
      <c r="D51" s="17" t="s">
        <v>67</v>
      </c>
      <c r="F51" s="15" t="s">
        <v>238</v>
      </c>
    </row>
    <row r="52" spans="1:6" outlineLevel="1" x14ac:dyDescent="0.2">
      <c r="D52" s="16" t="str">
        <f>Lang_Cost_Projection</f>
        <v>Cost Projection</v>
      </c>
      <c r="F52" s="15"/>
    </row>
    <row r="53" spans="1:6" outlineLevel="1" x14ac:dyDescent="0.2">
      <c r="D53" s="16" t="str">
        <f>Lang_Retrospective_Costing</f>
        <v>Retrospective Costing</v>
      </c>
      <c r="F53" s="15"/>
    </row>
    <row r="54" spans="1:6" outlineLevel="1" x14ac:dyDescent="0.2"/>
    <row r="55" spans="1:6" outlineLevel="1" x14ac:dyDescent="0.2"/>
    <row r="56" spans="1:6" s="65" customFormat="1" outlineLevel="1" x14ac:dyDescent="0.2">
      <c r="A56"/>
      <c r="B56"/>
      <c r="C56" s="494" t="s">
        <v>218</v>
      </c>
      <c r="D56" s="494"/>
      <c r="E56" s="494"/>
      <c r="F56" s="65" t="s">
        <v>21</v>
      </c>
    </row>
    <row r="57" spans="1:6" outlineLevel="1" x14ac:dyDescent="0.2"/>
    <row r="58" spans="1:6" outlineLevel="1" x14ac:dyDescent="0.2">
      <c r="D58" s="17" t="s">
        <v>218</v>
      </c>
      <c r="F58" s="15" t="s">
        <v>239</v>
      </c>
    </row>
    <row r="59" spans="1:6" outlineLevel="1" x14ac:dyDescent="0.2">
      <c r="D59" s="16" t="str">
        <f>Lang_Introduction</f>
        <v>Introduction</v>
      </c>
      <c r="F59" s="15"/>
    </row>
    <row r="60" spans="1:6" outlineLevel="1" x14ac:dyDescent="0.2">
      <c r="D60" s="16" t="str">
        <f>Lang_Recurrent</f>
        <v>Recurrent</v>
      </c>
      <c r="F60" s="15"/>
    </row>
    <row r="61" spans="1:6" outlineLevel="1" x14ac:dyDescent="0.2"/>
    <row r="62" spans="1:6" s="65" customFormat="1" outlineLevel="1" x14ac:dyDescent="0.2">
      <c r="A62"/>
      <c r="B62"/>
      <c r="C62" s="494" t="s">
        <v>220</v>
      </c>
      <c r="D62" s="494"/>
      <c r="E62" s="494"/>
      <c r="F62" s="65" t="s">
        <v>21</v>
      </c>
    </row>
    <row r="63" spans="1:6" outlineLevel="1" x14ac:dyDescent="0.2"/>
    <row r="64" spans="1:6" outlineLevel="1" x14ac:dyDescent="0.2">
      <c r="D64" s="17" t="s">
        <v>220</v>
      </c>
      <c r="F64" s="15" t="s">
        <v>240</v>
      </c>
    </row>
    <row r="65" spans="1:6" outlineLevel="1" x14ac:dyDescent="0.2">
      <c r="D65" s="16" t="str">
        <f>Lang_Fin</f>
        <v>Financial</v>
      </c>
      <c r="F65" s="15"/>
    </row>
    <row r="66" spans="1:6" outlineLevel="1" x14ac:dyDescent="0.2">
      <c r="D66" s="16" t="str">
        <f>Lang_Econ</f>
        <v>Economic</v>
      </c>
      <c r="F66" s="15"/>
    </row>
    <row r="67" spans="1:6" outlineLevel="1" x14ac:dyDescent="0.2"/>
    <row r="68" spans="1:6" s="65" customFormat="1" outlineLevel="1" x14ac:dyDescent="0.2">
      <c r="A68"/>
      <c r="B68"/>
      <c r="C68" s="494" t="s">
        <v>221</v>
      </c>
      <c r="D68" s="494"/>
      <c r="E68" s="494"/>
      <c r="F68" s="65" t="s">
        <v>21</v>
      </c>
    </row>
    <row r="69" spans="1:6" outlineLevel="1" x14ac:dyDescent="0.2"/>
    <row r="70" spans="1:6" outlineLevel="1" x14ac:dyDescent="0.2">
      <c r="D70" s="17" t="s">
        <v>221</v>
      </c>
      <c r="F70" s="15" t="s">
        <v>241</v>
      </c>
    </row>
    <row r="71" spans="1:6" outlineLevel="1" x14ac:dyDescent="0.2">
      <c r="D71" s="16" t="str">
        <f>Lang_Use_Detailed_Cost_Worksheet</f>
        <v>Use Detailed Cost Worksheet</v>
      </c>
      <c r="F71" s="15"/>
    </row>
    <row r="72" spans="1:6" outlineLevel="1" x14ac:dyDescent="0.2">
      <c r="D72" s="16" t="str">
        <f>Lang_Enter_Cost_Estimates_Directly</f>
        <v>Enter Cost Estimates Directly</v>
      </c>
      <c r="F72" s="15"/>
    </row>
    <row r="74" spans="1:6" s="13" customFormat="1" x14ac:dyDescent="0.2">
      <c r="A74"/>
      <c r="B74" s="13" t="str">
        <f>Lang_Training_Level_1_3_Lookups</f>
        <v>Training Level 1 (3) - Lookups</v>
      </c>
    </row>
    <row r="75" spans="1:6" outlineLevel="1" x14ac:dyDescent="0.2"/>
    <row r="76" spans="1:6" outlineLevel="1" x14ac:dyDescent="0.2"/>
    <row r="77" spans="1:6" s="65" customFormat="1" outlineLevel="1" x14ac:dyDescent="0.2">
      <c r="A77"/>
      <c r="B77"/>
      <c r="C77" s="494" t="s">
        <v>65</v>
      </c>
      <c r="D77" s="494"/>
      <c r="E77" s="494"/>
      <c r="F77" s="65" t="s">
        <v>21</v>
      </c>
    </row>
    <row r="78" spans="1:6" outlineLevel="1" x14ac:dyDescent="0.2"/>
    <row r="79" spans="1:6" outlineLevel="1" x14ac:dyDescent="0.2">
      <c r="D79" s="17" t="s">
        <v>215</v>
      </c>
      <c r="F79" s="15" t="s">
        <v>237</v>
      </c>
    </row>
    <row r="80" spans="1:6" outlineLevel="1" x14ac:dyDescent="0.2">
      <c r="D80" s="40" t="str">
        <f>TRAIN_DETAILED_COST_WKSHT!D213</f>
        <v>USD</v>
      </c>
      <c r="F80" s="15"/>
    </row>
    <row r="81" spans="1:6" outlineLevel="1" x14ac:dyDescent="0.2">
      <c r="D81" s="40" t="str">
        <f>TRAIN_DETAILED_COST_WKSHT!D214</f>
        <v>LCU</v>
      </c>
      <c r="F81" s="15"/>
    </row>
    <row r="82" spans="1:6" outlineLevel="1" x14ac:dyDescent="0.2"/>
    <row r="83" spans="1:6" outlineLevel="1" x14ac:dyDescent="0.2"/>
    <row r="84" spans="1:6" s="65" customFormat="1" outlineLevel="1" x14ac:dyDescent="0.2">
      <c r="A84"/>
      <c r="B84"/>
      <c r="C84" s="494" t="s">
        <v>66</v>
      </c>
      <c r="D84" s="494"/>
      <c r="E84" s="494"/>
      <c r="F84" s="65" t="s">
        <v>21</v>
      </c>
    </row>
    <row r="85" spans="1:6" outlineLevel="1" x14ac:dyDescent="0.2"/>
    <row r="86" spans="1:6" outlineLevel="1" x14ac:dyDescent="0.2">
      <c r="D86" s="17" t="s">
        <v>67</v>
      </c>
      <c r="F86" s="15" t="s">
        <v>238</v>
      </c>
    </row>
    <row r="87" spans="1:6" outlineLevel="1" x14ac:dyDescent="0.2">
      <c r="D87" s="16" t="str">
        <f>Lang_Cost_Projection</f>
        <v>Cost Projection</v>
      </c>
      <c r="F87" s="15"/>
    </row>
    <row r="88" spans="1:6" outlineLevel="1" x14ac:dyDescent="0.2">
      <c r="D88" s="16" t="str">
        <f>Lang_Retrospective_Costing</f>
        <v>Retrospective Costing</v>
      </c>
      <c r="F88" s="15"/>
    </row>
    <row r="89" spans="1:6" outlineLevel="1" x14ac:dyDescent="0.2"/>
    <row r="90" spans="1:6" outlineLevel="1" x14ac:dyDescent="0.2"/>
    <row r="91" spans="1:6" s="65" customFormat="1" outlineLevel="1" x14ac:dyDescent="0.2">
      <c r="A91"/>
      <c r="B91"/>
      <c r="C91" s="494" t="s">
        <v>218</v>
      </c>
      <c r="D91" s="494"/>
      <c r="E91" s="494"/>
      <c r="F91" s="65" t="s">
        <v>21</v>
      </c>
    </row>
    <row r="92" spans="1:6" outlineLevel="1" x14ac:dyDescent="0.2"/>
    <row r="93" spans="1:6" outlineLevel="1" x14ac:dyDescent="0.2">
      <c r="D93" s="17" t="s">
        <v>218</v>
      </c>
      <c r="F93" s="15" t="s">
        <v>239</v>
      </c>
    </row>
    <row r="94" spans="1:6" outlineLevel="1" x14ac:dyDescent="0.2">
      <c r="D94" s="16" t="str">
        <f>Lang_Introduction</f>
        <v>Introduction</v>
      </c>
      <c r="F94" s="15"/>
    </row>
    <row r="95" spans="1:6" outlineLevel="1" x14ac:dyDescent="0.2">
      <c r="D95" s="16" t="str">
        <f>Lang_Recurrent</f>
        <v>Recurrent</v>
      </c>
      <c r="F95" s="15"/>
    </row>
    <row r="96" spans="1:6" outlineLevel="1" x14ac:dyDescent="0.2"/>
    <row r="97" spans="1:6" s="65" customFormat="1" outlineLevel="1" x14ac:dyDescent="0.2">
      <c r="A97"/>
      <c r="B97"/>
      <c r="C97" s="494" t="s">
        <v>220</v>
      </c>
      <c r="D97" s="494"/>
      <c r="E97" s="494"/>
      <c r="F97" s="65" t="s">
        <v>21</v>
      </c>
    </row>
    <row r="98" spans="1:6" outlineLevel="1" x14ac:dyDescent="0.2"/>
    <row r="99" spans="1:6" outlineLevel="1" x14ac:dyDescent="0.2">
      <c r="D99" s="17" t="s">
        <v>220</v>
      </c>
      <c r="F99" s="15" t="s">
        <v>240</v>
      </c>
    </row>
    <row r="100" spans="1:6" outlineLevel="1" x14ac:dyDescent="0.2">
      <c r="D100" s="16" t="str">
        <f>Lang_Fin</f>
        <v>Financial</v>
      </c>
      <c r="F100" s="15"/>
    </row>
    <row r="101" spans="1:6" outlineLevel="1" x14ac:dyDescent="0.2">
      <c r="D101" s="16" t="str">
        <f>Lang_Econ</f>
        <v>Economic</v>
      </c>
      <c r="F101" s="15"/>
    </row>
    <row r="102" spans="1:6" outlineLevel="1" x14ac:dyDescent="0.2"/>
    <row r="103" spans="1:6" s="65" customFormat="1" outlineLevel="1" x14ac:dyDescent="0.2">
      <c r="A103"/>
      <c r="B103"/>
      <c r="C103" s="494" t="s">
        <v>221</v>
      </c>
      <c r="D103" s="494"/>
      <c r="E103" s="494"/>
      <c r="F103" s="65" t="s">
        <v>21</v>
      </c>
    </row>
    <row r="104" spans="1:6" outlineLevel="1" x14ac:dyDescent="0.2"/>
    <row r="105" spans="1:6" outlineLevel="1" x14ac:dyDescent="0.2">
      <c r="D105" s="17" t="s">
        <v>221</v>
      </c>
      <c r="F105" s="15" t="s">
        <v>241</v>
      </c>
    </row>
    <row r="106" spans="1:6" outlineLevel="1" x14ac:dyDescent="0.2">
      <c r="D106" s="16" t="str">
        <f>Lang_Use_Detailed_Cost_Worksheet</f>
        <v>Use Detailed Cost Worksheet</v>
      </c>
      <c r="F106" s="15"/>
    </row>
    <row r="107" spans="1:6" outlineLevel="1" x14ac:dyDescent="0.2">
      <c r="D107" s="16" t="str">
        <f>Lang_Enter_Cost_Estimates_Directly</f>
        <v>Enter Cost Estimates Directly</v>
      </c>
      <c r="F107" s="15"/>
    </row>
    <row r="109" spans="1:6" s="13" customFormat="1" x14ac:dyDescent="0.2">
      <c r="A109"/>
      <c r="B109" s="13" t="str">
        <f>Lang_Training_Level_2_1_Lookups</f>
        <v>Training Level 2 (1) - Lookups</v>
      </c>
    </row>
    <row r="110" spans="1:6" outlineLevel="1" x14ac:dyDescent="0.2"/>
    <row r="111" spans="1:6" outlineLevel="1" x14ac:dyDescent="0.2"/>
    <row r="112" spans="1:6" s="65" customFormat="1" outlineLevel="1" x14ac:dyDescent="0.2">
      <c r="A112"/>
      <c r="B112"/>
      <c r="C112" s="494" t="s">
        <v>65</v>
      </c>
      <c r="D112" s="494"/>
      <c r="E112" s="494"/>
      <c r="F112" s="65" t="s">
        <v>21</v>
      </c>
    </row>
    <row r="113" spans="1:6" outlineLevel="1" x14ac:dyDescent="0.2"/>
    <row r="114" spans="1:6" outlineLevel="1" x14ac:dyDescent="0.2">
      <c r="D114" s="17" t="s">
        <v>215</v>
      </c>
      <c r="F114" s="15" t="s">
        <v>242</v>
      </c>
    </row>
    <row r="115" spans="1:6" outlineLevel="1" x14ac:dyDescent="0.2">
      <c r="D115" s="40" t="str">
        <f>TRAIN_DETAILED_COST_WKSHT!D312</f>
        <v>USD</v>
      </c>
      <c r="F115" s="15"/>
    </row>
    <row r="116" spans="1:6" outlineLevel="1" x14ac:dyDescent="0.2">
      <c r="D116" s="40" t="str">
        <f>TRAIN_DETAILED_COST_WKSHT!D313</f>
        <v>LCU</v>
      </c>
      <c r="F116" s="15"/>
    </row>
    <row r="117" spans="1:6" outlineLevel="1" x14ac:dyDescent="0.2"/>
    <row r="118" spans="1:6" outlineLevel="1" x14ac:dyDescent="0.2"/>
    <row r="119" spans="1:6" s="65" customFormat="1" outlineLevel="1" x14ac:dyDescent="0.2">
      <c r="A119"/>
      <c r="B119"/>
      <c r="C119" s="494" t="s">
        <v>66</v>
      </c>
      <c r="D119" s="494"/>
      <c r="E119" s="494"/>
      <c r="F119" s="65" t="s">
        <v>21</v>
      </c>
    </row>
    <row r="120" spans="1:6" outlineLevel="1" x14ac:dyDescent="0.2"/>
    <row r="121" spans="1:6" outlineLevel="1" x14ac:dyDescent="0.2">
      <c r="D121" s="17" t="s">
        <v>67</v>
      </c>
      <c r="F121" s="15" t="s">
        <v>243</v>
      </c>
    </row>
    <row r="122" spans="1:6" outlineLevel="1" x14ac:dyDescent="0.2">
      <c r="D122" s="16" t="str">
        <f>Lang_Cost_Projection</f>
        <v>Cost Projection</v>
      </c>
      <c r="F122" s="15"/>
    </row>
    <row r="123" spans="1:6" outlineLevel="1" x14ac:dyDescent="0.2">
      <c r="D123" s="16" t="str">
        <f>Lang_Retrospective_Costing</f>
        <v>Retrospective Costing</v>
      </c>
      <c r="F123" s="15"/>
    </row>
    <row r="124" spans="1:6" outlineLevel="1" x14ac:dyDescent="0.2"/>
    <row r="125" spans="1:6" outlineLevel="1" x14ac:dyDescent="0.2"/>
    <row r="126" spans="1:6" s="65" customFormat="1" outlineLevel="1" x14ac:dyDescent="0.2">
      <c r="A126"/>
      <c r="B126"/>
      <c r="C126" s="494" t="s">
        <v>218</v>
      </c>
      <c r="D126" s="494"/>
      <c r="E126" s="494"/>
      <c r="F126" s="65" t="s">
        <v>21</v>
      </c>
    </row>
    <row r="127" spans="1:6" outlineLevel="1" x14ac:dyDescent="0.2"/>
    <row r="128" spans="1:6" outlineLevel="1" x14ac:dyDescent="0.2">
      <c r="D128" s="17" t="s">
        <v>218</v>
      </c>
      <c r="F128" s="15" t="s">
        <v>244</v>
      </c>
    </row>
    <row r="129" spans="1:6" outlineLevel="1" x14ac:dyDescent="0.2">
      <c r="D129" s="16" t="str">
        <f>Lang_Introduction</f>
        <v>Introduction</v>
      </c>
      <c r="F129" s="15"/>
    </row>
    <row r="130" spans="1:6" outlineLevel="1" x14ac:dyDescent="0.2">
      <c r="D130" s="16" t="str">
        <f>Lang_Recurrent</f>
        <v>Recurrent</v>
      </c>
      <c r="F130" s="15"/>
    </row>
    <row r="131" spans="1:6" outlineLevel="1" x14ac:dyDescent="0.2"/>
    <row r="132" spans="1:6" s="65" customFormat="1" outlineLevel="1" x14ac:dyDescent="0.2">
      <c r="A132"/>
      <c r="B132"/>
      <c r="C132" s="494" t="s">
        <v>220</v>
      </c>
      <c r="D132" s="494"/>
      <c r="E132" s="494"/>
      <c r="F132" s="65" t="s">
        <v>21</v>
      </c>
    </row>
    <row r="133" spans="1:6" outlineLevel="1" x14ac:dyDescent="0.2"/>
    <row r="134" spans="1:6" outlineLevel="1" x14ac:dyDescent="0.2">
      <c r="D134" s="17" t="s">
        <v>220</v>
      </c>
      <c r="F134" s="15" t="s">
        <v>245</v>
      </c>
    </row>
    <row r="135" spans="1:6" outlineLevel="1" x14ac:dyDescent="0.2">
      <c r="D135" s="16" t="str">
        <f>Lang_Fin</f>
        <v>Financial</v>
      </c>
      <c r="F135" s="15"/>
    </row>
    <row r="136" spans="1:6" outlineLevel="1" x14ac:dyDescent="0.2">
      <c r="D136" s="16" t="str">
        <f>Lang_Econ</f>
        <v>Economic</v>
      </c>
      <c r="F136" s="15"/>
    </row>
    <row r="137" spans="1:6" outlineLevel="1" x14ac:dyDescent="0.2"/>
    <row r="138" spans="1:6" s="65" customFormat="1" outlineLevel="1" x14ac:dyDescent="0.2">
      <c r="A138"/>
      <c r="B138"/>
      <c r="C138" s="494" t="s">
        <v>221</v>
      </c>
      <c r="D138" s="494"/>
      <c r="E138" s="494"/>
      <c r="F138" s="65" t="s">
        <v>21</v>
      </c>
    </row>
    <row r="139" spans="1:6" outlineLevel="1" x14ac:dyDescent="0.2"/>
    <row r="140" spans="1:6" outlineLevel="1" x14ac:dyDescent="0.2">
      <c r="D140" s="17" t="s">
        <v>221</v>
      </c>
      <c r="F140" s="15" t="s">
        <v>246</v>
      </c>
    </row>
    <row r="141" spans="1:6" outlineLevel="1" x14ac:dyDescent="0.2">
      <c r="D141" s="16" t="str">
        <f>Lang_Use_Detailed_Cost_Worksheet</f>
        <v>Use Detailed Cost Worksheet</v>
      </c>
      <c r="F141" s="15"/>
    </row>
    <row r="142" spans="1:6" outlineLevel="1" x14ac:dyDescent="0.2">
      <c r="D142" s="16" t="str">
        <f>Lang_Enter_Cost_Estimates_Directly</f>
        <v>Enter Cost Estimates Directly</v>
      </c>
      <c r="F142" s="15"/>
    </row>
  </sheetData>
  <mergeCells count="20">
    <mergeCell ref="C77:E77"/>
    <mergeCell ref="C84:E84"/>
    <mergeCell ref="C91:E91"/>
    <mergeCell ref="C97:E97"/>
    <mergeCell ref="C103:E103"/>
    <mergeCell ref="C42:E42"/>
    <mergeCell ref="C49:E49"/>
    <mergeCell ref="C56:E56"/>
    <mergeCell ref="C62:E62"/>
    <mergeCell ref="C68:E68"/>
    <mergeCell ref="C112:E112"/>
    <mergeCell ref="C119:E119"/>
    <mergeCell ref="C126:E126"/>
    <mergeCell ref="C132:E132"/>
    <mergeCell ref="C138:E138"/>
    <mergeCell ref="C7:E7"/>
    <mergeCell ref="C14:E14"/>
    <mergeCell ref="C21:E21"/>
    <mergeCell ref="C27:E27"/>
    <mergeCell ref="C33:E33"/>
  </mergeCells>
  <hyperlinks>
    <hyperlink ref="A1" location="HL_Home" tooltip="Go to Table of Contents" display="HL_Home" xr:uid="{00000000-0004-0000-3900-000000000000}"/>
    <hyperlink ref="A2" location="HL_Err_Chk" tooltip="Go to Error Checks" display="HL_Err_Chk" xr:uid="{00000000-0004-0000-3900-000001000000}"/>
  </hyperlinks>
  <pageMargins left="0.4" right="0.4" top="0.6" bottom="1" header="0" footer="0.3"/>
  <pageSetup orientation="landscape" r:id="rId1"/>
  <headerFooter>
    <oddFooter>&amp;L&amp;F
&amp;A
Printed: &amp;T on &amp;D&amp;CPage &amp;P of 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1">
    <tabColor rgb="FF7030A0"/>
    <outlinePr summaryBelow="0"/>
    <pageSetUpPr autoPageBreaks="0"/>
  </sheetPr>
  <dimension ref="A1:F214"/>
  <sheetViews>
    <sheetView showGridLines="0" zoomScaleNormal="100" workbookViewId="0">
      <pane xSplit="1" ySplit="4" topLeftCell="B5" activePane="bottomRight" state="frozen"/>
      <selection activeCell="I511" sqref="I511"/>
      <selection pane="topRight" activeCell="I511" sqref="I511"/>
      <selection pane="bottomLeft" activeCell="I511" sqref="I511"/>
      <selection pane="bottomRight" activeCell="I511" sqref="I511"/>
    </sheetView>
  </sheetViews>
  <sheetFormatPr defaultColWidth="11.7109375" defaultRowHeight="12" outlineLevelRow="1" x14ac:dyDescent="0.2"/>
  <cols>
    <col min="1" max="3" width="3.7109375" customWidth="1"/>
    <col min="4" max="4" width="35.7109375" customWidth="1"/>
    <col min="5" max="5" width="3.7109375" customWidth="1"/>
    <col min="6" max="6" width="35.7109375" customWidth="1"/>
    <col min="7" max="7" width="3.7109375" customWidth="1"/>
  </cols>
  <sheetData>
    <row r="1" spans="1:6" ht="15" x14ac:dyDescent="0.2">
      <c r="A1" s="2" t="s">
        <v>128</v>
      </c>
      <c r="B1" s="31" t="str">
        <f>Lang_Sensitisation_Activity_Variables</f>
        <v>Sensitisation Activity Variables</v>
      </c>
    </row>
    <row r="2" spans="1:6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3" spans="1:6" ht="12.75" x14ac:dyDescent="0.2">
      <c r="B3" s="426" t="str">
        <f>Lang_Goto_TOC</f>
        <v>Go to Table of Contents</v>
      </c>
      <c r="C3" s="426"/>
      <c r="D3" s="426"/>
    </row>
    <row r="4" spans="1:6" x14ac:dyDescent="0.2">
      <c r="A4" s="2" t="s">
        <v>5</v>
      </c>
      <c r="B4" s="38" t="s">
        <v>7</v>
      </c>
      <c r="C4" s="39" t="s">
        <v>8</v>
      </c>
    </row>
    <row r="6" spans="1:6" s="13" customFormat="1" x14ac:dyDescent="0.2">
      <c r="A6"/>
      <c r="B6" s="13" t="str">
        <f>Lang_Sensitization_Level_1_1_Lookups</f>
        <v>Sensitization Level 1 (1) - Lookups</v>
      </c>
    </row>
    <row r="7" spans="1:6" outlineLevel="1" x14ac:dyDescent="0.2"/>
    <row r="8" spans="1:6" outlineLevel="1" x14ac:dyDescent="0.2"/>
    <row r="9" spans="1:6" s="65" customFormat="1" outlineLevel="1" x14ac:dyDescent="0.2">
      <c r="A9"/>
      <c r="B9"/>
      <c r="C9" s="494" t="s">
        <v>65</v>
      </c>
      <c r="D9" s="494"/>
      <c r="E9" s="494"/>
      <c r="F9" s="65" t="s">
        <v>21</v>
      </c>
    </row>
    <row r="10" spans="1:6" outlineLevel="1" x14ac:dyDescent="0.2"/>
    <row r="11" spans="1:6" outlineLevel="1" x14ac:dyDescent="0.2">
      <c r="D11" s="17" t="s">
        <v>215</v>
      </c>
      <c r="F11" s="15" t="s">
        <v>237</v>
      </c>
    </row>
    <row r="12" spans="1:6" outlineLevel="1" x14ac:dyDescent="0.2">
      <c r="D12" s="40" t="str">
        <f>SENS_DETAILED_COST_WKSHT!D19</f>
        <v>USD</v>
      </c>
      <c r="F12" s="15"/>
    </row>
    <row r="13" spans="1:6" outlineLevel="1" x14ac:dyDescent="0.2">
      <c r="D13" s="40" t="str">
        <f>SENS_DETAILED_COST_WKSHT!D20</f>
        <v>LCU</v>
      </c>
      <c r="F13" s="15"/>
    </row>
    <row r="14" spans="1:6" outlineLevel="1" x14ac:dyDescent="0.2"/>
    <row r="15" spans="1:6" outlineLevel="1" x14ac:dyDescent="0.2"/>
    <row r="16" spans="1:6" s="65" customFormat="1" outlineLevel="1" x14ac:dyDescent="0.2">
      <c r="A16"/>
      <c r="B16"/>
      <c r="C16" s="494" t="s">
        <v>66</v>
      </c>
      <c r="D16" s="494"/>
      <c r="E16" s="494"/>
      <c r="F16" s="65" t="s">
        <v>21</v>
      </c>
    </row>
    <row r="17" spans="1:6" outlineLevel="1" x14ac:dyDescent="0.2"/>
    <row r="18" spans="1:6" outlineLevel="1" x14ac:dyDescent="0.2">
      <c r="D18" s="17" t="s">
        <v>67</v>
      </c>
      <c r="F18" s="15" t="s">
        <v>238</v>
      </c>
    </row>
    <row r="19" spans="1:6" outlineLevel="1" x14ac:dyDescent="0.2">
      <c r="D19" s="16" t="str">
        <f>Lang_Cost_Projection</f>
        <v>Cost Projection</v>
      </c>
      <c r="F19" s="15"/>
    </row>
    <row r="20" spans="1:6" outlineLevel="1" x14ac:dyDescent="0.2">
      <c r="D20" s="16" t="str">
        <f>Lang_Retrospective_Costing</f>
        <v>Retrospective Costing</v>
      </c>
      <c r="F20" s="15"/>
    </row>
    <row r="21" spans="1:6" outlineLevel="1" x14ac:dyDescent="0.2"/>
    <row r="22" spans="1:6" outlineLevel="1" x14ac:dyDescent="0.2"/>
    <row r="23" spans="1:6" s="65" customFormat="1" outlineLevel="1" x14ac:dyDescent="0.2">
      <c r="A23"/>
      <c r="B23"/>
      <c r="C23" s="494" t="s">
        <v>218</v>
      </c>
      <c r="D23" s="494"/>
      <c r="E23" s="494"/>
      <c r="F23" s="65" t="s">
        <v>21</v>
      </c>
    </row>
    <row r="24" spans="1:6" outlineLevel="1" x14ac:dyDescent="0.2"/>
    <row r="25" spans="1:6" outlineLevel="1" x14ac:dyDescent="0.2">
      <c r="D25" s="17" t="s">
        <v>218</v>
      </c>
      <c r="F25" s="15" t="s">
        <v>239</v>
      </c>
    </row>
    <row r="26" spans="1:6" outlineLevel="1" x14ac:dyDescent="0.2">
      <c r="D26" s="16" t="str">
        <f>Lang_Introduction</f>
        <v>Introduction</v>
      </c>
      <c r="F26" s="15"/>
    </row>
    <row r="27" spans="1:6" outlineLevel="1" x14ac:dyDescent="0.2">
      <c r="D27" s="16" t="str">
        <f>Lang_Recurrent</f>
        <v>Recurrent</v>
      </c>
      <c r="F27" s="15"/>
    </row>
    <row r="28" spans="1:6" outlineLevel="1" x14ac:dyDescent="0.2"/>
    <row r="29" spans="1:6" s="65" customFormat="1" outlineLevel="1" x14ac:dyDescent="0.2">
      <c r="A29"/>
      <c r="B29"/>
      <c r="C29" s="494" t="s">
        <v>220</v>
      </c>
      <c r="D29" s="494"/>
      <c r="E29" s="494"/>
      <c r="F29" s="65" t="s">
        <v>21</v>
      </c>
    </row>
    <row r="30" spans="1:6" outlineLevel="1" x14ac:dyDescent="0.2"/>
    <row r="31" spans="1:6" outlineLevel="1" x14ac:dyDescent="0.2">
      <c r="D31" s="17" t="s">
        <v>220</v>
      </c>
      <c r="F31" s="15" t="s">
        <v>240</v>
      </c>
    </row>
    <row r="32" spans="1:6" outlineLevel="1" x14ac:dyDescent="0.2">
      <c r="D32" s="16" t="str">
        <f>Lang_Fin</f>
        <v>Financial</v>
      </c>
      <c r="F32" s="15"/>
    </row>
    <row r="33" spans="1:6" outlineLevel="1" x14ac:dyDescent="0.2">
      <c r="D33" s="16" t="str">
        <f>Lang_Econ</f>
        <v>Economic</v>
      </c>
      <c r="F33" s="15"/>
    </row>
    <row r="34" spans="1:6" outlineLevel="1" x14ac:dyDescent="0.2"/>
    <row r="35" spans="1:6" s="65" customFormat="1" outlineLevel="1" x14ac:dyDescent="0.2">
      <c r="A35"/>
      <c r="B35"/>
      <c r="C35" s="494" t="s">
        <v>221</v>
      </c>
      <c r="D35" s="494"/>
      <c r="E35" s="494"/>
      <c r="F35" s="65" t="s">
        <v>21</v>
      </c>
    </row>
    <row r="36" spans="1:6" outlineLevel="1" x14ac:dyDescent="0.2"/>
    <row r="37" spans="1:6" outlineLevel="1" x14ac:dyDescent="0.2">
      <c r="D37" s="17" t="s">
        <v>221</v>
      </c>
      <c r="F37" s="15" t="s">
        <v>241</v>
      </c>
    </row>
    <row r="38" spans="1:6" outlineLevel="1" x14ac:dyDescent="0.2">
      <c r="D38" s="16" t="str">
        <f>Lang_Use_Detailed_Cost_Worksheet</f>
        <v>Use Detailed Cost Worksheet</v>
      </c>
      <c r="F38" s="15"/>
    </row>
    <row r="39" spans="1:6" outlineLevel="1" x14ac:dyDescent="0.2">
      <c r="D39" s="16" t="str">
        <f>Lang_Enter_Cost_Estimates_Directly</f>
        <v>Enter Cost Estimates Directly</v>
      </c>
      <c r="F39" s="15"/>
    </row>
    <row r="41" spans="1:6" s="13" customFormat="1" x14ac:dyDescent="0.2">
      <c r="A41"/>
      <c r="B41" s="13" t="str">
        <f>Lang_Sensitization_Level_1_2_Lookups</f>
        <v>Sensitization Level 1 (2) - Lookups</v>
      </c>
    </row>
    <row r="42" spans="1:6" outlineLevel="1" x14ac:dyDescent="0.2"/>
    <row r="43" spans="1:6" outlineLevel="1" x14ac:dyDescent="0.2"/>
    <row r="44" spans="1:6" s="65" customFormat="1" outlineLevel="1" x14ac:dyDescent="0.2">
      <c r="A44"/>
      <c r="B44"/>
      <c r="C44" s="494" t="s">
        <v>65</v>
      </c>
      <c r="D44" s="494"/>
      <c r="E44" s="494"/>
      <c r="F44" s="65" t="s">
        <v>21</v>
      </c>
    </row>
    <row r="45" spans="1:6" outlineLevel="1" x14ac:dyDescent="0.2"/>
    <row r="46" spans="1:6" outlineLevel="1" x14ac:dyDescent="0.2">
      <c r="D46" s="17" t="s">
        <v>215</v>
      </c>
      <c r="F46" s="15" t="s">
        <v>237</v>
      </c>
    </row>
    <row r="47" spans="1:6" outlineLevel="1" x14ac:dyDescent="0.2">
      <c r="D47" s="40" t="str">
        <f>SENS_DETAILED_COST_WKSHT!D116</f>
        <v>USD</v>
      </c>
      <c r="F47" s="15"/>
    </row>
    <row r="48" spans="1:6" outlineLevel="1" x14ac:dyDescent="0.2">
      <c r="D48" s="40" t="str">
        <f>SENS_DETAILED_COST_WKSHT!D117</f>
        <v>LCU</v>
      </c>
      <c r="F48" s="15"/>
    </row>
    <row r="49" spans="1:6" outlineLevel="1" x14ac:dyDescent="0.2"/>
    <row r="50" spans="1:6" outlineLevel="1" x14ac:dyDescent="0.2"/>
    <row r="51" spans="1:6" s="65" customFormat="1" outlineLevel="1" x14ac:dyDescent="0.2">
      <c r="A51"/>
      <c r="B51"/>
      <c r="C51" s="494" t="s">
        <v>66</v>
      </c>
      <c r="D51" s="494"/>
      <c r="E51" s="494"/>
      <c r="F51" s="65" t="s">
        <v>21</v>
      </c>
    </row>
    <row r="52" spans="1:6" outlineLevel="1" x14ac:dyDescent="0.2"/>
    <row r="53" spans="1:6" outlineLevel="1" x14ac:dyDescent="0.2">
      <c r="D53" s="17" t="s">
        <v>67</v>
      </c>
      <c r="F53" s="15" t="s">
        <v>238</v>
      </c>
    </row>
    <row r="54" spans="1:6" outlineLevel="1" x14ac:dyDescent="0.2">
      <c r="D54" s="16" t="str">
        <f>Lang_Cost_Projection</f>
        <v>Cost Projection</v>
      </c>
      <c r="F54" s="15"/>
    </row>
    <row r="55" spans="1:6" outlineLevel="1" x14ac:dyDescent="0.2">
      <c r="D55" s="16" t="str">
        <f>Lang_Retrospective_Costing</f>
        <v>Retrospective Costing</v>
      </c>
      <c r="F55" s="15"/>
    </row>
    <row r="56" spans="1:6" outlineLevel="1" x14ac:dyDescent="0.2"/>
    <row r="57" spans="1:6" outlineLevel="1" x14ac:dyDescent="0.2"/>
    <row r="58" spans="1:6" s="65" customFormat="1" outlineLevel="1" x14ac:dyDescent="0.2">
      <c r="A58"/>
      <c r="B58"/>
      <c r="C58" s="494" t="s">
        <v>218</v>
      </c>
      <c r="D58" s="494"/>
      <c r="E58" s="494"/>
      <c r="F58" s="65" t="s">
        <v>21</v>
      </c>
    </row>
    <row r="59" spans="1:6" outlineLevel="1" x14ac:dyDescent="0.2"/>
    <row r="60" spans="1:6" outlineLevel="1" x14ac:dyDescent="0.2">
      <c r="D60" s="17" t="s">
        <v>218</v>
      </c>
      <c r="F60" s="15" t="s">
        <v>239</v>
      </c>
    </row>
    <row r="61" spans="1:6" outlineLevel="1" x14ac:dyDescent="0.2">
      <c r="D61" s="16" t="str">
        <f>Lang_Introduction</f>
        <v>Introduction</v>
      </c>
      <c r="F61" s="15"/>
    </row>
    <row r="62" spans="1:6" outlineLevel="1" x14ac:dyDescent="0.2">
      <c r="D62" s="16" t="str">
        <f>Lang_Recurrent</f>
        <v>Recurrent</v>
      </c>
      <c r="F62" s="15"/>
    </row>
    <row r="63" spans="1:6" outlineLevel="1" x14ac:dyDescent="0.2"/>
    <row r="64" spans="1:6" s="65" customFormat="1" outlineLevel="1" x14ac:dyDescent="0.2">
      <c r="A64"/>
      <c r="B64"/>
      <c r="C64" s="494" t="s">
        <v>220</v>
      </c>
      <c r="D64" s="494"/>
      <c r="E64" s="494"/>
      <c r="F64" s="65" t="s">
        <v>21</v>
      </c>
    </row>
    <row r="65" spans="1:6" outlineLevel="1" x14ac:dyDescent="0.2"/>
    <row r="66" spans="1:6" outlineLevel="1" x14ac:dyDescent="0.2">
      <c r="D66" s="17" t="s">
        <v>220</v>
      </c>
      <c r="F66" s="15" t="s">
        <v>240</v>
      </c>
    </row>
    <row r="67" spans="1:6" outlineLevel="1" x14ac:dyDescent="0.2">
      <c r="D67" s="16" t="str">
        <f>Lang_Fin</f>
        <v>Financial</v>
      </c>
      <c r="F67" s="15"/>
    </row>
    <row r="68" spans="1:6" outlineLevel="1" x14ac:dyDescent="0.2">
      <c r="D68" s="16" t="str">
        <f>Lang_Econ</f>
        <v>Economic</v>
      </c>
      <c r="F68" s="15"/>
    </row>
    <row r="69" spans="1:6" outlineLevel="1" x14ac:dyDescent="0.2"/>
    <row r="70" spans="1:6" s="65" customFormat="1" outlineLevel="1" x14ac:dyDescent="0.2">
      <c r="A70"/>
      <c r="B70"/>
      <c r="C70" s="494" t="s">
        <v>221</v>
      </c>
      <c r="D70" s="494"/>
      <c r="E70" s="494"/>
      <c r="F70" s="65" t="s">
        <v>21</v>
      </c>
    </row>
    <row r="71" spans="1:6" outlineLevel="1" x14ac:dyDescent="0.2"/>
    <row r="72" spans="1:6" outlineLevel="1" x14ac:dyDescent="0.2">
      <c r="D72" s="17" t="s">
        <v>221</v>
      </c>
      <c r="F72" s="15" t="s">
        <v>241</v>
      </c>
    </row>
    <row r="73" spans="1:6" outlineLevel="1" x14ac:dyDescent="0.2">
      <c r="D73" s="16" t="str">
        <f>Lang_Use_Detailed_Cost_Worksheet</f>
        <v>Use Detailed Cost Worksheet</v>
      </c>
      <c r="F73" s="15"/>
    </row>
    <row r="74" spans="1:6" outlineLevel="1" x14ac:dyDescent="0.2">
      <c r="D74" s="16" t="str">
        <f>Lang_Enter_Cost_Estimates_Directly</f>
        <v>Enter Cost Estimates Directly</v>
      </c>
      <c r="F74" s="15"/>
    </row>
    <row r="76" spans="1:6" s="13" customFormat="1" x14ac:dyDescent="0.2">
      <c r="A76"/>
      <c r="B76" s="13" t="str">
        <f>Lang_Sensitization_Level_1_3_Lookups</f>
        <v>Sensitization Level 1 (3) - Lookups</v>
      </c>
    </row>
    <row r="77" spans="1:6" outlineLevel="1" x14ac:dyDescent="0.2"/>
    <row r="78" spans="1:6" outlineLevel="1" x14ac:dyDescent="0.2"/>
    <row r="79" spans="1:6" s="65" customFormat="1" outlineLevel="1" x14ac:dyDescent="0.2">
      <c r="A79"/>
      <c r="B79"/>
      <c r="C79" s="494" t="s">
        <v>65</v>
      </c>
      <c r="D79" s="494"/>
      <c r="E79" s="494"/>
      <c r="F79" s="65" t="s">
        <v>21</v>
      </c>
    </row>
    <row r="80" spans="1:6" outlineLevel="1" x14ac:dyDescent="0.2"/>
    <row r="81" spans="1:6" outlineLevel="1" x14ac:dyDescent="0.2">
      <c r="D81" s="17" t="s">
        <v>215</v>
      </c>
      <c r="F81" s="15" t="s">
        <v>237</v>
      </c>
    </row>
    <row r="82" spans="1:6" outlineLevel="1" x14ac:dyDescent="0.2">
      <c r="D82" s="40" t="str">
        <f>SENS_DETAILED_COST_WKSHT!D213</f>
        <v>USD</v>
      </c>
      <c r="F82" s="15"/>
    </row>
    <row r="83" spans="1:6" outlineLevel="1" x14ac:dyDescent="0.2">
      <c r="D83" s="40" t="str">
        <f>SENS_DETAILED_COST_WKSHT!D214</f>
        <v>LCU</v>
      </c>
      <c r="F83" s="15"/>
    </row>
    <row r="84" spans="1:6" outlineLevel="1" x14ac:dyDescent="0.2"/>
    <row r="85" spans="1:6" outlineLevel="1" x14ac:dyDescent="0.2"/>
    <row r="86" spans="1:6" s="65" customFormat="1" outlineLevel="1" x14ac:dyDescent="0.2">
      <c r="A86"/>
      <c r="B86"/>
      <c r="C86" s="494" t="s">
        <v>66</v>
      </c>
      <c r="D86" s="494"/>
      <c r="E86" s="494"/>
      <c r="F86" s="65" t="s">
        <v>21</v>
      </c>
    </row>
    <row r="87" spans="1:6" outlineLevel="1" x14ac:dyDescent="0.2"/>
    <row r="88" spans="1:6" outlineLevel="1" x14ac:dyDescent="0.2">
      <c r="D88" s="17" t="s">
        <v>67</v>
      </c>
      <c r="F88" s="15" t="s">
        <v>238</v>
      </c>
    </row>
    <row r="89" spans="1:6" outlineLevel="1" x14ac:dyDescent="0.2">
      <c r="D89" s="16" t="str">
        <f>Lang_Cost_Projection</f>
        <v>Cost Projection</v>
      </c>
      <c r="F89" s="15"/>
    </row>
    <row r="90" spans="1:6" outlineLevel="1" x14ac:dyDescent="0.2">
      <c r="D90" s="16" t="str">
        <f>Lang_Retrospective_Costing</f>
        <v>Retrospective Costing</v>
      </c>
      <c r="F90" s="15"/>
    </row>
    <row r="91" spans="1:6" outlineLevel="1" x14ac:dyDescent="0.2"/>
    <row r="92" spans="1:6" outlineLevel="1" x14ac:dyDescent="0.2"/>
    <row r="93" spans="1:6" s="65" customFormat="1" outlineLevel="1" x14ac:dyDescent="0.2">
      <c r="A93"/>
      <c r="B93"/>
      <c r="C93" s="494" t="s">
        <v>218</v>
      </c>
      <c r="D93" s="494"/>
      <c r="E93" s="494"/>
      <c r="F93" s="65" t="s">
        <v>21</v>
      </c>
    </row>
    <row r="94" spans="1:6" outlineLevel="1" x14ac:dyDescent="0.2"/>
    <row r="95" spans="1:6" outlineLevel="1" x14ac:dyDescent="0.2">
      <c r="D95" s="17" t="s">
        <v>218</v>
      </c>
      <c r="F95" s="15" t="s">
        <v>239</v>
      </c>
    </row>
    <row r="96" spans="1:6" outlineLevel="1" x14ac:dyDescent="0.2">
      <c r="D96" s="16" t="str">
        <f>Lang_Introduction</f>
        <v>Introduction</v>
      </c>
      <c r="F96" s="15"/>
    </row>
    <row r="97" spans="1:6" outlineLevel="1" x14ac:dyDescent="0.2">
      <c r="D97" s="16" t="str">
        <f>Lang_Recurrent</f>
        <v>Recurrent</v>
      </c>
      <c r="F97" s="15"/>
    </row>
    <row r="98" spans="1:6" outlineLevel="1" x14ac:dyDescent="0.2"/>
    <row r="99" spans="1:6" s="65" customFormat="1" outlineLevel="1" x14ac:dyDescent="0.2">
      <c r="A99"/>
      <c r="B99"/>
      <c r="C99" s="494" t="s">
        <v>220</v>
      </c>
      <c r="D99" s="494"/>
      <c r="E99" s="494"/>
      <c r="F99" s="65" t="s">
        <v>21</v>
      </c>
    </row>
    <row r="100" spans="1:6" outlineLevel="1" x14ac:dyDescent="0.2"/>
    <row r="101" spans="1:6" outlineLevel="1" x14ac:dyDescent="0.2">
      <c r="D101" s="17" t="s">
        <v>220</v>
      </c>
      <c r="F101" s="15" t="s">
        <v>240</v>
      </c>
    </row>
    <row r="102" spans="1:6" outlineLevel="1" x14ac:dyDescent="0.2">
      <c r="D102" s="16" t="str">
        <f>Lang_Fin</f>
        <v>Financial</v>
      </c>
      <c r="F102" s="15"/>
    </row>
    <row r="103" spans="1:6" outlineLevel="1" x14ac:dyDescent="0.2">
      <c r="D103" s="16" t="str">
        <f>Lang_Econ</f>
        <v>Economic</v>
      </c>
      <c r="F103" s="15"/>
    </row>
    <row r="104" spans="1:6" outlineLevel="1" x14ac:dyDescent="0.2"/>
    <row r="105" spans="1:6" s="65" customFormat="1" outlineLevel="1" x14ac:dyDescent="0.2">
      <c r="A105"/>
      <c r="B105"/>
      <c r="C105" s="494" t="s">
        <v>221</v>
      </c>
      <c r="D105" s="494"/>
      <c r="E105" s="494"/>
      <c r="F105" s="65" t="s">
        <v>21</v>
      </c>
    </row>
    <row r="106" spans="1:6" outlineLevel="1" x14ac:dyDescent="0.2"/>
    <row r="107" spans="1:6" outlineLevel="1" x14ac:dyDescent="0.2">
      <c r="D107" s="17" t="s">
        <v>221</v>
      </c>
      <c r="F107" s="15" t="s">
        <v>241</v>
      </c>
    </row>
    <row r="108" spans="1:6" outlineLevel="1" x14ac:dyDescent="0.2">
      <c r="D108" s="16" t="str">
        <f>Lang_Use_Detailed_Cost_Worksheet</f>
        <v>Use Detailed Cost Worksheet</v>
      </c>
      <c r="F108" s="15"/>
    </row>
    <row r="109" spans="1:6" outlineLevel="1" x14ac:dyDescent="0.2">
      <c r="D109" s="16" t="str">
        <f>Lang_Enter_Cost_Estimates_Directly</f>
        <v>Enter Cost Estimates Directly</v>
      </c>
      <c r="F109" s="15"/>
    </row>
    <row r="111" spans="1:6" s="13" customFormat="1" x14ac:dyDescent="0.2">
      <c r="A111"/>
      <c r="B111" s="13" t="str">
        <f>Lang_Sensitization_Level_2_1_Lookups</f>
        <v>Sensitization Level 2 (1) - Lookups</v>
      </c>
    </row>
    <row r="112" spans="1:6" outlineLevel="1" x14ac:dyDescent="0.2"/>
    <row r="113" spans="1:6" outlineLevel="1" x14ac:dyDescent="0.2"/>
    <row r="114" spans="1:6" s="65" customFormat="1" outlineLevel="1" x14ac:dyDescent="0.2">
      <c r="A114"/>
      <c r="B114"/>
      <c r="C114" s="494" t="s">
        <v>65</v>
      </c>
      <c r="D114" s="494"/>
      <c r="E114" s="494"/>
      <c r="F114" s="65" t="s">
        <v>21</v>
      </c>
    </row>
    <row r="115" spans="1:6" outlineLevel="1" x14ac:dyDescent="0.2"/>
    <row r="116" spans="1:6" outlineLevel="1" x14ac:dyDescent="0.2">
      <c r="D116" s="17" t="s">
        <v>215</v>
      </c>
      <c r="F116" s="15" t="s">
        <v>242</v>
      </c>
    </row>
    <row r="117" spans="1:6" outlineLevel="1" x14ac:dyDescent="0.2">
      <c r="D117" s="40" t="str">
        <f>SENS_DETAILED_COST_WKSHT!D312</f>
        <v>USD</v>
      </c>
      <c r="F117" s="15"/>
    </row>
    <row r="118" spans="1:6" outlineLevel="1" x14ac:dyDescent="0.2">
      <c r="D118" s="40" t="str">
        <f>SENS_DETAILED_COST_WKSHT!D313</f>
        <v>LCU</v>
      </c>
      <c r="F118" s="15"/>
    </row>
    <row r="119" spans="1:6" outlineLevel="1" x14ac:dyDescent="0.2"/>
    <row r="120" spans="1:6" outlineLevel="1" x14ac:dyDescent="0.2"/>
    <row r="121" spans="1:6" s="65" customFormat="1" outlineLevel="1" x14ac:dyDescent="0.2">
      <c r="A121"/>
      <c r="B121"/>
      <c r="C121" s="494" t="s">
        <v>66</v>
      </c>
      <c r="D121" s="494"/>
      <c r="E121" s="494"/>
      <c r="F121" s="65" t="s">
        <v>21</v>
      </c>
    </row>
    <row r="122" spans="1:6" outlineLevel="1" x14ac:dyDescent="0.2"/>
    <row r="123" spans="1:6" outlineLevel="1" x14ac:dyDescent="0.2">
      <c r="D123" s="17" t="s">
        <v>67</v>
      </c>
      <c r="F123" s="15" t="s">
        <v>243</v>
      </c>
    </row>
    <row r="124" spans="1:6" outlineLevel="1" x14ac:dyDescent="0.2">
      <c r="D124" s="16" t="str">
        <f>Lang_Cost_Projection</f>
        <v>Cost Projection</v>
      </c>
      <c r="F124" s="15"/>
    </row>
    <row r="125" spans="1:6" outlineLevel="1" x14ac:dyDescent="0.2">
      <c r="D125" s="16" t="str">
        <f>Lang_Retrospective_Costing</f>
        <v>Retrospective Costing</v>
      </c>
      <c r="F125" s="15"/>
    </row>
    <row r="126" spans="1:6" outlineLevel="1" x14ac:dyDescent="0.2"/>
    <row r="127" spans="1:6" outlineLevel="1" x14ac:dyDescent="0.2"/>
    <row r="128" spans="1:6" s="65" customFormat="1" outlineLevel="1" x14ac:dyDescent="0.2">
      <c r="A128"/>
      <c r="B128"/>
      <c r="C128" s="494" t="s">
        <v>218</v>
      </c>
      <c r="D128" s="494"/>
      <c r="E128" s="494"/>
      <c r="F128" s="65" t="s">
        <v>21</v>
      </c>
    </row>
    <row r="129" spans="1:6" outlineLevel="1" x14ac:dyDescent="0.2"/>
    <row r="130" spans="1:6" outlineLevel="1" x14ac:dyDescent="0.2">
      <c r="D130" s="17" t="s">
        <v>218</v>
      </c>
      <c r="F130" s="15" t="s">
        <v>244</v>
      </c>
    </row>
    <row r="131" spans="1:6" outlineLevel="1" x14ac:dyDescent="0.2">
      <c r="D131" s="16" t="str">
        <f>Lang_Introduction</f>
        <v>Introduction</v>
      </c>
      <c r="F131" s="15"/>
    </row>
    <row r="132" spans="1:6" outlineLevel="1" x14ac:dyDescent="0.2">
      <c r="D132" s="16" t="str">
        <f>Lang_Recurrent</f>
        <v>Recurrent</v>
      </c>
      <c r="F132" s="15"/>
    </row>
    <row r="133" spans="1:6" outlineLevel="1" x14ac:dyDescent="0.2"/>
    <row r="134" spans="1:6" s="65" customFormat="1" outlineLevel="1" x14ac:dyDescent="0.2">
      <c r="A134"/>
      <c r="B134"/>
      <c r="C134" s="494" t="s">
        <v>220</v>
      </c>
      <c r="D134" s="494"/>
      <c r="E134" s="494"/>
      <c r="F134" s="65" t="s">
        <v>21</v>
      </c>
    </row>
    <row r="135" spans="1:6" outlineLevel="1" x14ac:dyDescent="0.2"/>
    <row r="136" spans="1:6" outlineLevel="1" x14ac:dyDescent="0.2">
      <c r="D136" s="17" t="s">
        <v>220</v>
      </c>
      <c r="F136" s="15" t="s">
        <v>245</v>
      </c>
    </row>
    <row r="137" spans="1:6" outlineLevel="1" x14ac:dyDescent="0.2">
      <c r="D137" s="16" t="str">
        <f>Lang_Fin</f>
        <v>Financial</v>
      </c>
      <c r="F137" s="15"/>
    </row>
    <row r="138" spans="1:6" outlineLevel="1" x14ac:dyDescent="0.2">
      <c r="D138" s="16" t="str">
        <f>Lang_Econ</f>
        <v>Economic</v>
      </c>
      <c r="F138" s="15"/>
    </row>
    <row r="139" spans="1:6" outlineLevel="1" x14ac:dyDescent="0.2"/>
    <row r="140" spans="1:6" s="65" customFormat="1" outlineLevel="1" x14ac:dyDescent="0.2">
      <c r="A140"/>
      <c r="B140"/>
      <c r="C140" s="494" t="s">
        <v>221</v>
      </c>
      <c r="D140" s="494"/>
      <c r="E140" s="494"/>
      <c r="F140" s="65" t="s">
        <v>21</v>
      </c>
    </row>
    <row r="141" spans="1:6" outlineLevel="1" x14ac:dyDescent="0.2"/>
    <row r="142" spans="1:6" outlineLevel="1" x14ac:dyDescent="0.2">
      <c r="D142" s="17" t="s">
        <v>221</v>
      </c>
      <c r="F142" s="15" t="s">
        <v>246</v>
      </c>
    </row>
    <row r="143" spans="1:6" outlineLevel="1" x14ac:dyDescent="0.2">
      <c r="D143" s="16" t="str">
        <f>Lang_Use_Detailed_Cost_Worksheet</f>
        <v>Use Detailed Cost Worksheet</v>
      </c>
      <c r="F143" s="15"/>
    </row>
    <row r="144" spans="1:6" outlineLevel="1" x14ac:dyDescent="0.2">
      <c r="D144" s="16" t="str">
        <f>Lang_Enter_Cost_Estimates_Directly</f>
        <v>Enter Cost Estimates Directly</v>
      </c>
      <c r="F144" s="15"/>
    </row>
    <row r="146" spans="1:6" s="13" customFormat="1" x14ac:dyDescent="0.2">
      <c r="A146"/>
      <c r="B146" s="13" t="str">
        <f>Lang_Sensitization_Level_2_2_Lookups</f>
        <v>Sensitization Level 2 (2) - Lookups</v>
      </c>
    </row>
    <row r="147" spans="1:6" outlineLevel="1" x14ac:dyDescent="0.2"/>
    <row r="148" spans="1:6" outlineLevel="1" x14ac:dyDescent="0.2"/>
    <row r="149" spans="1:6" s="65" customFormat="1" outlineLevel="1" x14ac:dyDescent="0.2">
      <c r="A149"/>
      <c r="B149"/>
      <c r="C149" s="494" t="s">
        <v>65</v>
      </c>
      <c r="D149" s="494"/>
      <c r="E149" s="494"/>
      <c r="F149" s="65" t="s">
        <v>21</v>
      </c>
    </row>
    <row r="150" spans="1:6" outlineLevel="1" x14ac:dyDescent="0.2"/>
    <row r="151" spans="1:6" outlineLevel="1" x14ac:dyDescent="0.2">
      <c r="D151" s="17" t="s">
        <v>215</v>
      </c>
      <c r="F151" s="15" t="s">
        <v>242</v>
      </c>
    </row>
    <row r="152" spans="1:6" outlineLevel="1" x14ac:dyDescent="0.2">
      <c r="D152" s="40" t="str">
        <f>SENS_DETAILED_COST_WKSHT!D411</f>
        <v>USD</v>
      </c>
      <c r="F152" s="15"/>
    </row>
    <row r="153" spans="1:6" outlineLevel="1" x14ac:dyDescent="0.2">
      <c r="D153" s="40" t="str">
        <f>SENS_DETAILED_COST_WKSHT!D412</f>
        <v>LCU</v>
      </c>
      <c r="F153" s="15"/>
    </row>
    <row r="154" spans="1:6" outlineLevel="1" x14ac:dyDescent="0.2"/>
    <row r="155" spans="1:6" outlineLevel="1" x14ac:dyDescent="0.2"/>
    <row r="156" spans="1:6" s="65" customFormat="1" outlineLevel="1" x14ac:dyDescent="0.2">
      <c r="A156"/>
      <c r="B156"/>
      <c r="C156" s="494" t="s">
        <v>66</v>
      </c>
      <c r="D156" s="494"/>
      <c r="E156" s="494"/>
      <c r="F156" s="65" t="s">
        <v>21</v>
      </c>
    </row>
    <row r="157" spans="1:6" outlineLevel="1" x14ac:dyDescent="0.2"/>
    <row r="158" spans="1:6" outlineLevel="1" x14ac:dyDescent="0.2">
      <c r="D158" s="17" t="s">
        <v>67</v>
      </c>
      <c r="F158" s="15" t="s">
        <v>243</v>
      </c>
    </row>
    <row r="159" spans="1:6" outlineLevel="1" x14ac:dyDescent="0.2">
      <c r="D159" s="16" t="str">
        <f>Lang_Cost_Projection</f>
        <v>Cost Projection</v>
      </c>
      <c r="F159" s="15"/>
    </row>
    <row r="160" spans="1:6" outlineLevel="1" x14ac:dyDescent="0.2">
      <c r="D160" s="16" t="str">
        <f>Lang_Retrospective_Costing</f>
        <v>Retrospective Costing</v>
      </c>
      <c r="F160" s="15"/>
    </row>
    <row r="161" spans="1:6" outlineLevel="1" x14ac:dyDescent="0.2"/>
    <row r="162" spans="1:6" outlineLevel="1" x14ac:dyDescent="0.2"/>
    <row r="163" spans="1:6" s="65" customFormat="1" outlineLevel="1" x14ac:dyDescent="0.2">
      <c r="A163"/>
      <c r="B163"/>
      <c r="C163" s="494" t="s">
        <v>218</v>
      </c>
      <c r="D163" s="494"/>
      <c r="E163" s="494"/>
      <c r="F163" s="65" t="s">
        <v>21</v>
      </c>
    </row>
    <row r="164" spans="1:6" outlineLevel="1" x14ac:dyDescent="0.2"/>
    <row r="165" spans="1:6" outlineLevel="1" x14ac:dyDescent="0.2">
      <c r="D165" s="17" t="s">
        <v>218</v>
      </c>
      <c r="F165" s="15" t="s">
        <v>244</v>
      </c>
    </row>
    <row r="166" spans="1:6" outlineLevel="1" x14ac:dyDescent="0.2">
      <c r="D166" s="16" t="str">
        <f>Lang_Introduction</f>
        <v>Introduction</v>
      </c>
      <c r="F166" s="15"/>
    </row>
    <row r="167" spans="1:6" outlineLevel="1" x14ac:dyDescent="0.2">
      <c r="D167" s="16" t="str">
        <f>Lang_Recurrent</f>
        <v>Recurrent</v>
      </c>
      <c r="F167" s="15"/>
    </row>
    <row r="168" spans="1:6" outlineLevel="1" x14ac:dyDescent="0.2"/>
    <row r="169" spans="1:6" s="65" customFormat="1" outlineLevel="1" x14ac:dyDescent="0.2">
      <c r="A169"/>
      <c r="B169"/>
      <c r="C169" s="494" t="s">
        <v>220</v>
      </c>
      <c r="D169" s="494"/>
      <c r="E169" s="494"/>
      <c r="F169" s="65" t="s">
        <v>21</v>
      </c>
    </row>
    <row r="170" spans="1:6" outlineLevel="1" x14ac:dyDescent="0.2"/>
    <row r="171" spans="1:6" outlineLevel="1" x14ac:dyDescent="0.2">
      <c r="D171" s="17" t="s">
        <v>220</v>
      </c>
      <c r="F171" s="15" t="s">
        <v>245</v>
      </c>
    </row>
    <row r="172" spans="1:6" outlineLevel="1" x14ac:dyDescent="0.2">
      <c r="D172" s="16" t="str">
        <f>Lang_Fin</f>
        <v>Financial</v>
      </c>
      <c r="F172" s="15"/>
    </row>
    <row r="173" spans="1:6" outlineLevel="1" x14ac:dyDescent="0.2">
      <c r="D173" s="16" t="str">
        <f>Lang_Econ</f>
        <v>Economic</v>
      </c>
      <c r="F173" s="15"/>
    </row>
    <row r="174" spans="1:6" outlineLevel="1" x14ac:dyDescent="0.2"/>
    <row r="175" spans="1:6" s="65" customFormat="1" outlineLevel="1" x14ac:dyDescent="0.2">
      <c r="A175"/>
      <c r="B175"/>
      <c r="C175" s="494" t="s">
        <v>221</v>
      </c>
      <c r="D175" s="494"/>
      <c r="E175" s="494"/>
      <c r="F175" s="65" t="s">
        <v>21</v>
      </c>
    </row>
    <row r="176" spans="1:6" outlineLevel="1" x14ac:dyDescent="0.2"/>
    <row r="177" spans="1:6" outlineLevel="1" x14ac:dyDescent="0.2">
      <c r="D177" s="17" t="s">
        <v>221</v>
      </c>
      <c r="F177" s="15" t="s">
        <v>246</v>
      </c>
    </row>
    <row r="178" spans="1:6" outlineLevel="1" x14ac:dyDescent="0.2">
      <c r="D178" s="16" t="str">
        <f>Lang_Use_Detailed_Cost_Worksheet</f>
        <v>Use Detailed Cost Worksheet</v>
      </c>
      <c r="F178" s="15"/>
    </row>
    <row r="179" spans="1:6" outlineLevel="1" x14ac:dyDescent="0.2">
      <c r="D179" s="16" t="str">
        <f>Lang_Enter_Cost_Estimates_Directly</f>
        <v>Enter Cost Estimates Directly</v>
      </c>
      <c r="F179" s="15"/>
    </row>
    <row r="181" spans="1:6" s="13" customFormat="1" x14ac:dyDescent="0.2">
      <c r="A181"/>
      <c r="B181" s="13" t="str">
        <f>Lang_Sensitization_Level_2_3_Lookups</f>
        <v>Sensitization Level 2 (3) - Lookups</v>
      </c>
    </row>
    <row r="182" spans="1:6" outlineLevel="1" x14ac:dyDescent="0.2"/>
    <row r="183" spans="1:6" outlineLevel="1" x14ac:dyDescent="0.2"/>
    <row r="184" spans="1:6" s="65" customFormat="1" outlineLevel="1" x14ac:dyDescent="0.2">
      <c r="A184"/>
      <c r="B184"/>
      <c r="C184" s="494" t="s">
        <v>65</v>
      </c>
      <c r="D184" s="494"/>
      <c r="E184" s="494"/>
      <c r="F184" s="65" t="s">
        <v>21</v>
      </c>
    </row>
    <row r="185" spans="1:6" outlineLevel="1" x14ac:dyDescent="0.2"/>
    <row r="186" spans="1:6" outlineLevel="1" x14ac:dyDescent="0.2">
      <c r="D186" s="17" t="s">
        <v>215</v>
      </c>
      <c r="F186" s="15" t="s">
        <v>242</v>
      </c>
    </row>
    <row r="187" spans="1:6" outlineLevel="1" x14ac:dyDescent="0.2">
      <c r="D187" s="40" t="str">
        <f>SENS_DETAILED_COST_WKSHT!D510</f>
        <v>USD</v>
      </c>
      <c r="F187" s="15"/>
    </row>
    <row r="188" spans="1:6" outlineLevel="1" x14ac:dyDescent="0.2">
      <c r="D188" s="40" t="str">
        <f>SENS_DETAILED_COST_WKSHT!D511</f>
        <v>LCU</v>
      </c>
      <c r="F188" s="15"/>
    </row>
    <row r="189" spans="1:6" outlineLevel="1" x14ac:dyDescent="0.2"/>
    <row r="190" spans="1:6" outlineLevel="1" x14ac:dyDescent="0.2"/>
    <row r="191" spans="1:6" s="65" customFormat="1" outlineLevel="1" x14ac:dyDescent="0.2">
      <c r="A191"/>
      <c r="B191"/>
      <c r="C191" s="494" t="s">
        <v>66</v>
      </c>
      <c r="D191" s="494"/>
      <c r="E191" s="494"/>
      <c r="F191" s="65" t="s">
        <v>21</v>
      </c>
    </row>
    <row r="192" spans="1:6" outlineLevel="1" x14ac:dyDescent="0.2"/>
    <row r="193" spans="1:6" outlineLevel="1" x14ac:dyDescent="0.2">
      <c r="D193" s="17" t="s">
        <v>67</v>
      </c>
      <c r="F193" s="15" t="s">
        <v>243</v>
      </c>
    </row>
    <row r="194" spans="1:6" outlineLevel="1" x14ac:dyDescent="0.2">
      <c r="D194" s="16" t="str">
        <f>Lang_Cost_Projection</f>
        <v>Cost Projection</v>
      </c>
      <c r="F194" s="15"/>
    </row>
    <row r="195" spans="1:6" outlineLevel="1" x14ac:dyDescent="0.2">
      <c r="D195" s="16" t="str">
        <f>Lang_Retrospective_Costing</f>
        <v>Retrospective Costing</v>
      </c>
      <c r="F195" s="15"/>
    </row>
    <row r="196" spans="1:6" outlineLevel="1" x14ac:dyDescent="0.2"/>
    <row r="197" spans="1:6" outlineLevel="1" x14ac:dyDescent="0.2"/>
    <row r="198" spans="1:6" s="65" customFormat="1" outlineLevel="1" x14ac:dyDescent="0.2">
      <c r="A198"/>
      <c r="B198"/>
      <c r="C198" s="494" t="s">
        <v>218</v>
      </c>
      <c r="D198" s="494"/>
      <c r="E198" s="494"/>
      <c r="F198" s="65" t="s">
        <v>21</v>
      </c>
    </row>
    <row r="199" spans="1:6" outlineLevel="1" x14ac:dyDescent="0.2"/>
    <row r="200" spans="1:6" outlineLevel="1" x14ac:dyDescent="0.2">
      <c r="D200" s="17" t="s">
        <v>218</v>
      </c>
      <c r="F200" s="15" t="s">
        <v>244</v>
      </c>
    </row>
    <row r="201" spans="1:6" outlineLevel="1" x14ac:dyDescent="0.2">
      <c r="D201" s="16" t="str">
        <f>Lang_Introduction</f>
        <v>Introduction</v>
      </c>
      <c r="F201" s="15"/>
    </row>
    <row r="202" spans="1:6" outlineLevel="1" x14ac:dyDescent="0.2">
      <c r="D202" s="16" t="str">
        <f>Lang_Recurrent</f>
        <v>Recurrent</v>
      </c>
      <c r="F202" s="15"/>
    </row>
    <row r="203" spans="1:6" outlineLevel="1" x14ac:dyDescent="0.2"/>
    <row r="204" spans="1:6" s="65" customFormat="1" outlineLevel="1" x14ac:dyDescent="0.2">
      <c r="A204"/>
      <c r="B204"/>
      <c r="C204" s="494" t="s">
        <v>220</v>
      </c>
      <c r="D204" s="494"/>
      <c r="E204" s="494"/>
      <c r="F204" s="65" t="s">
        <v>21</v>
      </c>
    </row>
    <row r="205" spans="1:6" outlineLevel="1" x14ac:dyDescent="0.2"/>
    <row r="206" spans="1:6" outlineLevel="1" x14ac:dyDescent="0.2">
      <c r="D206" s="17" t="s">
        <v>220</v>
      </c>
      <c r="F206" s="15" t="s">
        <v>245</v>
      </c>
    </row>
    <row r="207" spans="1:6" outlineLevel="1" x14ac:dyDescent="0.2">
      <c r="D207" s="16" t="str">
        <f>Lang_Fin</f>
        <v>Financial</v>
      </c>
      <c r="F207" s="15"/>
    </row>
    <row r="208" spans="1:6" outlineLevel="1" x14ac:dyDescent="0.2">
      <c r="D208" s="16" t="str">
        <f>Lang_Econ</f>
        <v>Economic</v>
      </c>
      <c r="F208" s="15"/>
    </row>
    <row r="209" spans="1:6" outlineLevel="1" x14ac:dyDescent="0.2"/>
    <row r="210" spans="1:6" s="65" customFormat="1" outlineLevel="1" x14ac:dyDescent="0.2">
      <c r="A210"/>
      <c r="B210"/>
      <c r="C210" s="494" t="s">
        <v>221</v>
      </c>
      <c r="D210" s="494"/>
      <c r="E210" s="494"/>
      <c r="F210" s="65" t="s">
        <v>21</v>
      </c>
    </row>
    <row r="211" spans="1:6" outlineLevel="1" x14ac:dyDescent="0.2"/>
    <row r="212" spans="1:6" outlineLevel="1" x14ac:dyDescent="0.2">
      <c r="D212" s="17" t="s">
        <v>221</v>
      </c>
      <c r="F212" s="15" t="s">
        <v>246</v>
      </c>
    </row>
    <row r="213" spans="1:6" outlineLevel="1" x14ac:dyDescent="0.2">
      <c r="D213" s="16" t="str">
        <f>Lang_Use_Detailed_Cost_Worksheet</f>
        <v>Use Detailed Cost Worksheet</v>
      </c>
      <c r="F213" s="15"/>
    </row>
    <row r="214" spans="1:6" outlineLevel="1" x14ac:dyDescent="0.2">
      <c r="D214" s="16" t="str">
        <f>Lang_Enter_Cost_Estimates_Directly</f>
        <v>Enter Cost Estimates Directly</v>
      </c>
      <c r="F214" s="15"/>
    </row>
  </sheetData>
  <mergeCells count="31">
    <mergeCell ref="C191:E191"/>
    <mergeCell ref="C198:E198"/>
    <mergeCell ref="C204:E204"/>
    <mergeCell ref="C210:E210"/>
    <mergeCell ref="C79:E79"/>
    <mergeCell ref="C86:E86"/>
    <mergeCell ref="C93:E93"/>
    <mergeCell ref="C99:E99"/>
    <mergeCell ref="C105:E105"/>
    <mergeCell ref="C114:E114"/>
    <mergeCell ref="C121:E121"/>
    <mergeCell ref="C128:E128"/>
    <mergeCell ref="C134:E134"/>
    <mergeCell ref="C140:E140"/>
    <mergeCell ref="C149:E149"/>
    <mergeCell ref="C156:E156"/>
    <mergeCell ref="C163:E163"/>
    <mergeCell ref="C169:E169"/>
    <mergeCell ref="C175:E175"/>
    <mergeCell ref="C184:E184"/>
    <mergeCell ref="B3:D3"/>
    <mergeCell ref="C16:E16"/>
    <mergeCell ref="C23:E23"/>
    <mergeCell ref="C29:E29"/>
    <mergeCell ref="C35:E35"/>
    <mergeCell ref="C9:E9"/>
    <mergeCell ref="C44:E44"/>
    <mergeCell ref="C51:E51"/>
    <mergeCell ref="C58:E58"/>
    <mergeCell ref="C64:E64"/>
    <mergeCell ref="C70:E70"/>
  </mergeCells>
  <hyperlinks>
    <hyperlink ref="A4" location="$B$5" tooltip="Go to Top of Sheet" display="$B$5" xr:uid="{00000000-0004-0000-3A00-000000000000}"/>
    <hyperlink ref="B4" location="HL_Sheet_Main_23" tooltip="Go to Previous Sheet" display="HL_Sheet_Main_23" xr:uid="{00000000-0004-0000-3A00-000001000000}"/>
    <hyperlink ref="C4" location="HL_Sheet_Main_30" tooltip="Go to Next Sheet" display="HL_Sheet_Main_30" xr:uid="{00000000-0004-0000-3A00-000002000000}"/>
    <hyperlink ref="A1" location="HL_Home" tooltip="Go to Table of Contents" display="HL_Home" xr:uid="{00000000-0004-0000-3A00-000003000000}"/>
    <hyperlink ref="B3" location="HL_Home" tooltip="Go to Table of Contents" display="HL_Home" xr:uid="{00000000-0004-0000-3A00-000004000000}"/>
    <hyperlink ref="A2" location="HL_Err_Chk" tooltip="Go to Error Checks" display="HL_Err_Chk" xr:uid="{00000000-0004-0000-3A00-000005000000}"/>
    <hyperlink ref="B3:D3" location="Contents!A1" tooltip="Go to Table of Contents" display="Contents!A1" xr:uid="{00000000-0004-0000-3A00-000006000000}"/>
  </hyperlinks>
  <pageMargins left="0.4" right="0.4" top="0.6" bottom="1" header="0" footer="0.3"/>
  <pageSetup orientation="landscape" r:id="rId1"/>
  <headerFooter>
    <oddFooter>&amp;L&amp;F
&amp;A
Printed: &amp;T on &amp;D&amp;CPage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9"/>
    <pageSetUpPr autoPageBreaks="0" fitToPage="1"/>
  </sheetPr>
  <dimension ref="A1:AAP98"/>
  <sheetViews>
    <sheetView showGridLines="0" zoomScale="80" zoomScaleNormal="80" workbookViewId="0">
      <pane xSplit="1" ySplit="2" topLeftCell="B3" activePane="bottomRight" state="frozen"/>
      <selection activeCell="I511" sqref="I511"/>
      <selection pane="topRight" activeCell="I511" sqref="I511"/>
      <selection pane="bottomLeft" activeCell="I511" sqref="I511"/>
      <selection pane="bottomRight" activeCell="C25" sqref="C25"/>
    </sheetView>
  </sheetViews>
  <sheetFormatPr defaultColWidth="0" defaultRowHeight="12" zeroHeight="1" x14ac:dyDescent="0.2"/>
  <cols>
    <col min="1" max="1" width="3.7109375" style="4" customWidth="1"/>
    <col min="2" max="2" width="19" style="4" customWidth="1"/>
    <col min="3" max="3" width="61.42578125" style="4" customWidth="1"/>
    <col min="4" max="4" width="13" style="4" customWidth="1"/>
    <col min="5" max="5" width="27.85546875" style="4" customWidth="1"/>
    <col min="6" max="6" width="31.7109375" style="4" customWidth="1"/>
    <col min="7" max="7" width="19.140625" style="4" customWidth="1"/>
    <col min="8" max="8" width="24.7109375" style="4" customWidth="1"/>
    <col min="9" max="9" width="12" style="4" customWidth="1"/>
    <col min="10" max="12" width="20.7109375" style="4" customWidth="1"/>
    <col min="13" max="13" width="24.7109375" style="4" customWidth="1"/>
    <col min="14" max="14" width="15.140625" style="4" customWidth="1"/>
    <col min="15" max="718" width="0" style="4" hidden="1" customWidth="1"/>
    <col min="719" max="16384" width="15.140625" style="4" hidden="1"/>
  </cols>
  <sheetData>
    <row r="1" spans="1:11" ht="15" x14ac:dyDescent="0.2">
      <c r="A1" s="2" t="s">
        <v>128</v>
      </c>
      <c r="B1" s="8" t="str">
        <f>Lang_Dashboard</f>
        <v>Dashboard</v>
      </c>
    </row>
    <row r="2" spans="1:11" ht="23.25" customHeight="1" x14ac:dyDescent="0.2">
      <c r="A2" s="6" t="s">
        <v>5</v>
      </c>
      <c r="B2" s="5" t="str">
        <f ca="1">Model_Name</f>
        <v>Cervical Cancer Prevention and Control Costing (C4P) Tool (Cost Projection)</v>
      </c>
      <c r="E2" s="22"/>
      <c r="F2" s="22">
        <v>4</v>
      </c>
      <c r="G2" s="206" t="str">
        <f>Lang_Select_Years</f>
        <v>&lt;&lt; SELECT YEAR(S)</v>
      </c>
    </row>
    <row r="3" spans="1:11" ht="12.75" x14ac:dyDescent="0.2">
      <c r="A3" s="126"/>
      <c r="B3" s="5"/>
    </row>
    <row r="4" spans="1:11" ht="15" x14ac:dyDescent="0.2">
      <c r="A4" s="126"/>
      <c r="B4" s="5"/>
      <c r="C4" s="146" t="str">
        <f>Analysis!B28</f>
        <v>Immunization Coverage</v>
      </c>
      <c r="D4" s="146"/>
      <c r="F4" s="57"/>
      <c r="G4" s="146"/>
      <c r="H4" s="146" t="str">
        <f>C82</f>
        <v>HPV Vaccinations Administered</v>
      </c>
      <c r="J4" s="472"/>
      <c r="K4" s="472"/>
    </row>
    <row r="5" spans="1:11" ht="16.5" thickBot="1" x14ac:dyDescent="0.25">
      <c r="A5" s="126"/>
      <c r="B5" s="5"/>
      <c r="C5" s="204" t="str">
        <f ca="1">Lang_Years_Selected&amp;" "&amp;OFFSET($Q$42,$F$2,0)</f>
        <v xml:space="preserve">Year(s) Selected: </v>
      </c>
      <c r="D5" s="204"/>
      <c r="H5" s="205" t="str">
        <f>Lang_All_Years&amp;": ("&amp;$K$73&amp;")"</f>
        <v>ALL YEARS: (2019-2023)</v>
      </c>
    </row>
    <row r="6" spans="1:11" ht="13.5" thickBot="1" x14ac:dyDescent="0.25">
      <c r="A6" s="126"/>
      <c r="B6" s="5"/>
      <c r="C6" s="190"/>
      <c r="D6" s="191"/>
      <c r="E6" s="191" t="str">
        <f>Lang_Numbers</f>
        <v>Numbers (#)</v>
      </c>
      <c r="F6" s="192" t="str">
        <f>Lang_Percentage</f>
        <v>Percentage</v>
      </c>
    </row>
    <row r="7" spans="1:11" ht="35.25" customHeight="1" x14ac:dyDescent="0.2">
      <c r="A7" s="126"/>
      <c r="B7" s="5"/>
      <c r="C7" s="460" t="str">
        <f>Db_TarPopSG1</f>
        <v>IN-SCHOOL</v>
      </c>
      <c r="D7" s="272" t="str">
        <f>Analy_Lu!$D$25</f>
        <v>HPV 1</v>
      </c>
      <c r="E7" s="214">
        <f ca="1">OFFSET(Analysis!$H$30,0,$F$2)</f>
        <v>41218</v>
      </c>
      <c r="F7" s="209">
        <f ca="1">E7/SUM(OFFSET(Analysis!$H$13,0,$F$2),OFFSET(Analysis!$H$18,0,$F$2))</f>
        <v>0.5</v>
      </c>
    </row>
    <row r="8" spans="1:11" ht="32.25" customHeight="1" x14ac:dyDescent="0.2">
      <c r="A8" s="126"/>
      <c r="B8" s="5"/>
      <c r="C8" s="461"/>
      <c r="D8" s="273" t="str">
        <f>Analy_Lu!$D$26</f>
        <v>HPV 2</v>
      </c>
      <c r="E8" s="214">
        <f ca="1">OFFSET(Analysis!$H$31,0,$F$2)</f>
        <v>37096.199999999997</v>
      </c>
      <c r="F8" s="209">
        <f ca="1">E8/SUM(OFFSET(Analysis!$H$13,0,$F$2),OFFSET(Analysis!$H$18,0,$F$2))</f>
        <v>0.44999999999999996</v>
      </c>
    </row>
    <row r="9" spans="1:11" ht="12.75" x14ac:dyDescent="0.2">
      <c r="A9" s="126"/>
      <c r="B9" s="5"/>
      <c r="C9" s="193"/>
      <c r="D9" s="194"/>
      <c r="E9" s="194" t="str">
        <f>Lang_Numbers</f>
        <v>Numbers (#)</v>
      </c>
      <c r="F9" s="195" t="str">
        <f>Lang_Percentage</f>
        <v>Percentage</v>
      </c>
    </row>
    <row r="10" spans="1:11" ht="28.5" customHeight="1" x14ac:dyDescent="0.2">
      <c r="A10" s="126"/>
      <c r="B10" s="5"/>
      <c r="C10" s="462" t="str">
        <f>Db_TarPopSG2</f>
        <v>OUT OF SCHOOL</v>
      </c>
      <c r="D10" s="274" t="str">
        <f>Analy_Lu!$D$25</f>
        <v>HPV 1</v>
      </c>
      <c r="E10" s="214">
        <f ca="1">OFFSET(Analysis!$H$33,0,$F$2)</f>
        <v>61826</v>
      </c>
      <c r="F10" s="210">
        <f ca="1">E10/SUM(OFFSET(Analysis!$H$14,0,$F$2),OFFSET(Analysis!$H$19,0,$F$2))</f>
        <v>0.5</v>
      </c>
    </row>
    <row r="11" spans="1:11" ht="24" customHeight="1" x14ac:dyDescent="0.2">
      <c r="A11" s="126"/>
      <c r="B11" s="5"/>
      <c r="C11" s="463"/>
      <c r="D11" s="275" t="str">
        <f>Analy_Lu!$D$26</f>
        <v>HPV 2</v>
      </c>
      <c r="E11" s="214">
        <f ca="1">OFFSET(Analysis!$H$34,0,$F$2)</f>
        <v>55643.399999999994</v>
      </c>
      <c r="F11" s="185">
        <f ca="1">E11/SUM(OFFSET(Analysis!$H$14,0,$F$2),OFFSET(Analysis!$H$19,0,$F$2))</f>
        <v>0.44999999999999996</v>
      </c>
    </row>
    <row r="12" spans="1:11" ht="15" customHeight="1" x14ac:dyDescent="0.2">
      <c r="A12" s="126"/>
      <c r="B12" s="5"/>
      <c r="C12" s="193"/>
      <c r="D12" s="194"/>
      <c r="E12" s="194" t="str">
        <f>Lang_Numbers</f>
        <v>Numbers (#)</v>
      </c>
      <c r="F12" s="195" t="str">
        <f>Lang_Percentage</f>
        <v>Percentage</v>
      </c>
    </row>
    <row r="13" spans="1:11" ht="27" customHeight="1" x14ac:dyDescent="0.2">
      <c r="A13" s="126"/>
      <c r="B13" s="5"/>
      <c r="C13" s="464" t="str">
        <f>Lang_All_Target_Pop</f>
        <v>ALL TARGET POPULATIONS</v>
      </c>
      <c r="D13" s="314" t="str">
        <f>Analy_Lu!$D$25</f>
        <v>HPV 1</v>
      </c>
      <c r="E13" s="188">
        <f ca="1">OFFSET(Analysis!$H$36,0,$F$2)</f>
        <v>103044</v>
      </c>
      <c r="F13" s="186">
        <f ca="1">OFFSET(Analysis!$H$39,0,$F$2)</f>
        <v>0.5</v>
      </c>
    </row>
    <row r="14" spans="1:11" ht="24.75" customHeight="1" thickBot="1" x14ac:dyDescent="0.25">
      <c r="A14" s="126"/>
      <c r="B14" s="5"/>
      <c r="C14" s="465"/>
      <c r="D14" s="315" t="str">
        <f>Analy_Lu!$D$26</f>
        <v>HPV 2</v>
      </c>
      <c r="E14" s="189">
        <f ca="1">OFFSET(Analysis!$H$37,0,$F$2)</f>
        <v>92739.6</v>
      </c>
      <c r="F14" s="187">
        <f ca="1">OFFSET(Analysis!$H$40,0,$F$2)</f>
        <v>0.45</v>
      </c>
    </row>
    <row r="15" spans="1:11" ht="23.25" customHeight="1" x14ac:dyDescent="0.2">
      <c r="A15" s="126"/>
      <c r="B15" s="5"/>
      <c r="C15" s="261"/>
      <c r="D15" s="262"/>
      <c r="E15" s="202"/>
      <c r="F15" s="203"/>
    </row>
    <row r="16" spans="1:11" ht="23.25" customHeight="1" x14ac:dyDescent="0.2">
      <c r="A16" s="126"/>
      <c r="B16" s="5"/>
      <c r="C16" s="146" t="str">
        <f>Lang_Total_Cost_Per_Fully_Immunized_Person_FIP</f>
        <v>TOTAL COST PER FULLY IMMUNIZED PERSON (FIP)</v>
      </c>
      <c r="D16" s="262"/>
      <c r="E16" s="202"/>
      <c r="F16" s="203"/>
    </row>
    <row r="17" spans="1:21" ht="23.25" customHeight="1" thickBot="1" x14ac:dyDescent="0.25">
      <c r="A17" s="126"/>
      <c r="B17" s="5"/>
      <c r="C17" s="263" t="str">
        <f>Lang_Select_Currency_Output</f>
        <v>SELECT CURRENCY OUTPUT &gt;&gt;</v>
      </c>
      <c r="D17" s="201"/>
      <c r="E17" s="202"/>
      <c r="F17" s="203"/>
    </row>
    <row r="18" spans="1:21" ht="23.25" customHeight="1" thickBot="1" x14ac:dyDescent="0.25">
      <c r="A18" s="126"/>
      <c r="B18" s="5"/>
      <c r="D18" s="211">
        <v>1</v>
      </c>
      <c r="E18" s="212" t="str">
        <f>Lang_Fin_Costs&amp;" ("&amp;IF($D$18=1,Analy_Lu!$D$12,Analy_Lu!$D$13)&amp;")"</f>
        <v>FINANCIAL COSTS (USD)</v>
      </c>
      <c r="F18" s="212" t="str">
        <f>Lang_Econ_Costs&amp;" ("&amp;IF($D$18=1,Analy_Lu!$D$12,Analy_Lu!$D$13)&amp;")"</f>
        <v>ECONOMIC COSTS (USD)</v>
      </c>
    </row>
    <row r="19" spans="1:21" ht="23.25" customHeight="1" thickBot="1" x14ac:dyDescent="0.25">
      <c r="A19" s="126"/>
      <c r="B19" s="5"/>
      <c r="C19" s="466" t="str">
        <f>Lang_with&amp;" "&amp;$C$61</f>
        <v>with Vaccine and Injection Supply Costs</v>
      </c>
      <c r="D19" s="467"/>
      <c r="E19" s="264">
        <f>IF($D$18=1,SUM($G$61:$G$69),E76)</f>
        <v>0</v>
      </c>
      <c r="F19" s="265">
        <f>IF($D$18=1,SUM($H$61:$H$69),F76)</f>
        <v>0</v>
      </c>
    </row>
    <row r="20" spans="1:21" ht="23.25" customHeight="1" thickBot="1" x14ac:dyDescent="0.25">
      <c r="A20" s="126"/>
      <c r="B20" s="5"/>
      <c r="C20" s="468" t="str">
        <f>Lang_without&amp;" "&amp;$C$61</f>
        <v>without Vaccine and Injection Supply Costs</v>
      </c>
      <c r="D20" s="469"/>
      <c r="E20" s="266">
        <f>IF($D$18=1,SUM($G$62:$G$69),E77)</f>
        <v>0</v>
      </c>
      <c r="F20" s="267">
        <f>IF($D$18=1,SUM($H$62:$H$69),F77)</f>
        <v>0</v>
      </c>
    </row>
    <row r="21" spans="1:21" ht="23.25" customHeight="1" x14ac:dyDescent="0.2">
      <c r="A21" s="126"/>
      <c r="B21" s="5"/>
      <c r="C21" s="201"/>
      <c r="D21" s="201"/>
      <c r="E21" s="202"/>
      <c r="F21" s="203"/>
    </row>
    <row r="22" spans="1:21" ht="12.75" x14ac:dyDescent="0.2">
      <c r="A22" s="126"/>
      <c r="B22" s="5"/>
    </row>
    <row r="23" spans="1:21" x14ac:dyDescent="0.2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  <c r="M23" s="199"/>
      <c r="N23"/>
    </row>
    <row r="24" spans="1:21" ht="12.75" x14ac:dyDescent="0.2">
      <c r="A24" s="126"/>
      <c r="B24" s="5"/>
    </row>
    <row r="25" spans="1:21" ht="15" x14ac:dyDescent="0.2">
      <c r="A25" s="126"/>
      <c r="B25" s="5"/>
      <c r="C25" s="146" t="str">
        <f>Lang_Fin_Costs</f>
        <v>FINANCIAL COSTS</v>
      </c>
      <c r="D25" s="146"/>
      <c r="F25" s="22"/>
    </row>
    <row r="26" spans="1:21" ht="15" x14ac:dyDescent="0.2">
      <c r="E26" s="474" t="str">
        <f>ECONOMICS!$E$8</f>
        <v>Local Currency Unit</v>
      </c>
      <c r="F26" s="474"/>
      <c r="G26" s="474"/>
      <c r="H26" s="474"/>
      <c r="J26" s="475" t="str">
        <f>ECONOMICS!$E$7</f>
        <v>United States Dollars</v>
      </c>
      <c r="K26" s="475"/>
      <c r="L26" s="475"/>
      <c r="M26" s="475"/>
      <c r="P26"/>
      <c r="Q26"/>
      <c r="R26"/>
      <c r="S26" s="42"/>
      <c r="T26" s="42"/>
      <c r="U26" s="42"/>
    </row>
    <row r="27" spans="1:21" ht="17.25" customHeight="1" thickBot="1" x14ac:dyDescent="0.25">
      <c r="C27" s="204" t="str">
        <f ca="1">Lang_Years_Selected&amp;" "&amp;OFFSET($Q$42,$F$2,0)</f>
        <v xml:space="preserve">Year(s) Selected: </v>
      </c>
      <c r="D27" s="204"/>
      <c r="E27" s="257" t="str">
        <f>Lang_Total</f>
        <v>TOTAL</v>
      </c>
      <c r="F27" s="257" t="str">
        <f>Lang_Intro_Costs</f>
        <v>INTRODUCTION COSTS</v>
      </c>
      <c r="G27" s="257" t="str">
        <f>Lang_Recurrent_Costs</f>
        <v>RECURRENT COSTS</v>
      </c>
      <c r="H27" s="258" t="str">
        <f>Lang_Initial_Invest_Costs</f>
        <v>INITIAL INVESTMENT COSTS</v>
      </c>
      <c r="J27" s="259" t="str">
        <f>Lang_Total</f>
        <v>TOTAL</v>
      </c>
      <c r="K27" s="259" t="str">
        <f>Lang_Intro_Costs</f>
        <v>INTRODUCTION COSTS</v>
      </c>
      <c r="L27" s="259" t="str">
        <f>Lang_Recurrent_Costs</f>
        <v>RECURRENT COSTS</v>
      </c>
      <c r="M27" s="260" t="str">
        <f>Lang_Initial_Invest_Costs</f>
        <v>INITIAL INVESTMENT COSTS</v>
      </c>
    </row>
    <row r="28" spans="1:21" x14ac:dyDescent="0.2">
      <c r="C28" s="207" t="str">
        <f>Analysis!$B$63</f>
        <v>Vaccine and Injection Supply Costs</v>
      </c>
      <c r="D28" s="308"/>
      <c r="E28" s="305">
        <f ca="1">OFFSET(Analysis!$H$72,0,$F$2)</f>
        <v>0</v>
      </c>
      <c r="F28" s="148"/>
      <c r="G28" s="149">
        <f ca="1">E28</f>
        <v>0</v>
      </c>
      <c r="H28" s="150"/>
      <c r="J28" s="163">
        <f ca="1">OFFSET(Analysis!$H$93,0,$F$2)</f>
        <v>0</v>
      </c>
      <c r="K28" s="148"/>
      <c r="L28" s="157">
        <f ca="1">J28</f>
        <v>0</v>
      </c>
      <c r="M28" s="150"/>
    </row>
    <row r="29" spans="1:21" x14ac:dyDescent="0.2">
      <c r="C29" s="292" t="str">
        <f>Analysis!B626</f>
        <v>Cold Chain Expansion</v>
      </c>
      <c r="D29" s="309"/>
      <c r="E29" s="306">
        <f ca="1">OFFSET(Analysis!$H$660,0,$F$2)</f>
        <v>0</v>
      </c>
      <c r="F29" s="238">
        <f ca="1">OFFSET(Analysis!$H$726,0,$F$2)</f>
        <v>0</v>
      </c>
      <c r="G29" s="151"/>
      <c r="H29" s="239">
        <f ca="1">E29</f>
        <v>0</v>
      </c>
      <c r="J29" s="240">
        <f ca="1">OFFSET(Analysis!$H$693,0,$F$2)</f>
        <v>0</v>
      </c>
      <c r="K29" s="159">
        <f ca="1">OFFSET(Analysis!$H$761,0,$F$2)</f>
        <v>0</v>
      </c>
      <c r="L29" s="151"/>
      <c r="M29" s="160">
        <f ca="1">J29</f>
        <v>0</v>
      </c>
    </row>
    <row r="30" spans="1:21" x14ac:dyDescent="0.2">
      <c r="C30" s="293" t="str">
        <f>Analysis!$B$110</f>
        <v>Microplanning</v>
      </c>
      <c r="D30" s="310"/>
      <c r="E30" s="307">
        <f ca="1">OFFSET(Analysis!$H$135,0,$F$2)</f>
        <v>0</v>
      </c>
      <c r="F30" s="152">
        <f ca="1">E30</f>
        <v>0</v>
      </c>
      <c r="G30" s="151"/>
      <c r="H30" s="153">
        <f ca="1">E30</f>
        <v>0</v>
      </c>
      <c r="J30" s="164">
        <f ca="1">OFFSET(Analysis!$H$160,0,$F$2)</f>
        <v>0</v>
      </c>
      <c r="K30" s="159">
        <f ca="1">J30</f>
        <v>0</v>
      </c>
      <c r="L30" s="151"/>
      <c r="M30" s="160">
        <f ca="1">J30</f>
        <v>0</v>
      </c>
    </row>
    <row r="31" spans="1:21" x14ac:dyDescent="0.2">
      <c r="C31" s="293" t="str">
        <f>Analysis!$B$178</f>
        <v>Training</v>
      </c>
      <c r="D31" s="310"/>
      <c r="E31" s="307">
        <f ca="1">OFFSET(Analysis!$H$203,0,$F$2)</f>
        <v>0</v>
      </c>
      <c r="F31" s="152">
        <f ca="1">E31</f>
        <v>0</v>
      </c>
      <c r="G31" s="151"/>
      <c r="H31" s="153">
        <f ca="1">E31</f>
        <v>0</v>
      </c>
      <c r="J31" s="164">
        <f ca="1">OFFSET(Analysis!$H$227,0,$F$2)</f>
        <v>0</v>
      </c>
      <c r="K31" s="159">
        <f ca="1">J31</f>
        <v>0</v>
      </c>
      <c r="L31" s="151"/>
      <c r="M31" s="160">
        <f ca="1">J31</f>
        <v>0</v>
      </c>
    </row>
    <row r="32" spans="1:21" x14ac:dyDescent="0.2">
      <c r="C32" s="293" t="str">
        <f>Analysis!$B$245</f>
        <v>Sensitisation</v>
      </c>
      <c r="D32" s="310"/>
      <c r="E32" s="307">
        <f ca="1">OFFSET(Analysis!$H$276,0,$F$2)</f>
        <v>0</v>
      </c>
      <c r="F32" s="152">
        <f ca="1">E32</f>
        <v>0</v>
      </c>
      <c r="G32" s="151"/>
      <c r="H32" s="153">
        <f ca="1">E32</f>
        <v>0</v>
      </c>
      <c r="J32" s="164">
        <f ca="1">OFFSET(Analysis!$H$304,0,$F$2)</f>
        <v>0</v>
      </c>
      <c r="K32" s="159">
        <f ca="1">J32</f>
        <v>0</v>
      </c>
      <c r="L32" s="151"/>
      <c r="M32" s="160">
        <f ca="1">J32</f>
        <v>0</v>
      </c>
    </row>
    <row r="33" spans="3:18" x14ac:dyDescent="0.2">
      <c r="C33" s="293" t="str">
        <f>Analysis!$B$324</f>
        <v>Social Mobilisation</v>
      </c>
      <c r="D33" s="310"/>
      <c r="E33" s="307">
        <f ca="1">OFFSET(Analysis!$H$361,0,$F$2)</f>
        <v>0</v>
      </c>
      <c r="F33" s="232">
        <f ca="1">E33</f>
        <v>0</v>
      </c>
      <c r="G33" s="232">
        <f ca="1">E33</f>
        <v>0</v>
      </c>
      <c r="H33" s="236">
        <f ca="1">E33</f>
        <v>0</v>
      </c>
      <c r="J33" s="164">
        <f ca="1">OFFSET(Analysis!$H$393,0,$F$2)</f>
        <v>0</v>
      </c>
      <c r="K33" s="241">
        <f ca="1">J33</f>
        <v>0</v>
      </c>
      <c r="L33" s="241">
        <f ca="1">J33</f>
        <v>0</v>
      </c>
      <c r="M33" s="242">
        <f ca="1">J33</f>
        <v>0</v>
      </c>
      <c r="R33" s="4" t="s">
        <v>39</v>
      </c>
    </row>
    <row r="34" spans="3:18" x14ac:dyDescent="0.2">
      <c r="C34" s="293" t="str">
        <f>Analysis!$B$415</f>
        <v>Service Delivery</v>
      </c>
      <c r="D34" s="310"/>
      <c r="E34" s="307">
        <f ca="1">OFFSET(Analysis!$H$436,0,$F$2)</f>
        <v>0</v>
      </c>
      <c r="F34" s="151"/>
      <c r="G34" s="152">
        <f ca="1">E34</f>
        <v>0</v>
      </c>
      <c r="H34" s="154"/>
      <c r="J34" s="164">
        <f ca="1">OFFSET(Analysis!$H$460,0,$F$2)</f>
        <v>0</v>
      </c>
      <c r="K34" s="151"/>
      <c r="L34" s="159">
        <f ca="1">J34</f>
        <v>0</v>
      </c>
      <c r="M34" s="154"/>
    </row>
    <row r="35" spans="3:18" x14ac:dyDescent="0.2">
      <c r="C35" s="293" t="str">
        <f>Analysis!$B$477</f>
        <v>Supervision</v>
      </c>
      <c r="D35" s="310"/>
      <c r="E35" s="307">
        <f ca="1">OFFSET(Analysis!$H$504,0,$F$2)</f>
        <v>0</v>
      </c>
      <c r="F35" s="151"/>
      <c r="G35" s="152">
        <f ca="1">E35</f>
        <v>0</v>
      </c>
      <c r="H35" s="154"/>
      <c r="J35" s="164">
        <f ca="1">OFFSET(Analysis!$H$534,0,$F$2)</f>
        <v>0</v>
      </c>
      <c r="K35" s="151"/>
      <c r="L35" s="159">
        <f ca="1">J35</f>
        <v>0</v>
      </c>
      <c r="M35" s="154"/>
      <c r="Q35" s="200"/>
    </row>
    <row r="36" spans="3:18" x14ac:dyDescent="0.2">
      <c r="C36" s="293" t="str">
        <f>Analysis!$B$555&amp;" ("&amp;Lang_Recurrent&amp;")"</f>
        <v>Other (Recurrent)</v>
      </c>
      <c r="D36" s="310"/>
      <c r="E36" s="307">
        <f ca="1">OFFSET(Analysis!$H$582,0,$F$2)</f>
        <v>0</v>
      </c>
      <c r="F36" s="151"/>
      <c r="G36" s="152">
        <f ca="1">E36</f>
        <v>0</v>
      </c>
      <c r="H36" s="154"/>
      <c r="J36" s="164">
        <f ca="1">OFFSET(Analysis!$H$608,0,$F$2)</f>
        <v>0</v>
      </c>
      <c r="K36" s="151"/>
      <c r="L36" s="159">
        <f ca="1">J36</f>
        <v>0</v>
      </c>
      <c r="M36" s="154"/>
      <c r="Q36" s="200"/>
    </row>
    <row r="37" spans="3:18" ht="12.75" thickBot="1" x14ac:dyDescent="0.25">
      <c r="C37" s="293" t="str">
        <f>Analysis!$B$786</f>
        <v>Other Capital Investments</v>
      </c>
      <c r="D37" s="310"/>
      <c r="E37" s="307">
        <f ca="1">OFFSET(Analysis!$H$818,0,$F$2)</f>
        <v>0</v>
      </c>
      <c r="F37" s="232">
        <f ca="1">OFFSET(Analysis!$H$883,0,$F$2)</f>
        <v>0</v>
      </c>
      <c r="G37" s="151"/>
      <c r="H37" s="236">
        <f ca="1">E37</f>
        <v>0</v>
      </c>
      <c r="J37" s="164">
        <f ca="1">OFFSET(Analysis!$H$850,0,$F$2)</f>
        <v>0</v>
      </c>
      <c r="K37" s="287">
        <f ca="1">OFFSET(Analysis!$H$920,0,$F$2)</f>
        <v>0</v>
      </c>
      <c r="L37" s="151"/>
      <c r="M37" s="159">
        <f ca="1">J37</f>
        <v>0</v>
      </c>
      <c r="Q37" s="200"/>
    </row>
    <row r="38" spans="3:18" ht="12.75" thickBot="1" x14ac:dyDescent="0.25">
      <c r="C38" s="312" t="str">
        <f>Lang_Total_Fin_Costs</f>
        <v>TOTAL FINANCIAL COSTS</v>
      </c>
      <c r="D38" s="313"/>
      <c r="E38" s="311">
        <f ca="1">SUM(E28:E37)</f>
        <v>0</v>
      </c>
      <c r="F38" s="155">
        <f ca="1">SUM(F28:F37)</f>
        <v>0</v>
      </c>
      <c r="G38" s="155">
        <f ca="1">SUM(G28:G37)</f>
        <v>0</v>
      </c>
      <c r="H38" s="155">
        <f ca="1">SUM(H28:H37)</f>
        <v>0</v>
      </c>
      <c r="J38" s="304">
        <f ca="1">SUM(J28:J37)</f>
        <v>0</v>
      </c>
      <c r="K38" s="303">
        <f ca="1">SUM(K28:K37)</f>
        <v>0</v>
      </c>
      <c r="L38" s="303">
        <f ca="1">SUM(L28:L37)</f>
        <v>0</v>
      </c>
      <c r="M38" s="303">
        <f ca="1">SUM(M28:M37)</f>
        <v>0</v>
      </c>
      <c r="Q38" s="200"/>
    </row>
    <row r="39" spans="3:18" x14ac:dyDescent="0.2">
      <c r="Q39" s="200"/>
    </row>
    <row r="40" spans="3:18" ht="15" x14ac:dyDescent="0.2">
      <c r="C40" s="146" t="str">
        <f>Lang_Econ_Costs</f>
        <v>ECONOMIC COSTS</v>
      </c>
      <c r="D40" s="146"/>
    </row>
    <row r="41" spans="3:18" ht="15" x14ac:dyDescent="0.2">
      <c r="E41" s="474" t="str">
        <f>ECONOMICS!$E$8</f>
        <v>Local Currency Unit</v>
      </c>
      <c r="F41" s="474"/>
      <c r="G41" s="474"/>
      <c r="H41" s="474"/>
      <c r="J41" s="475" t="str">
        <f>ECONOMICS!$E$7</f>
        <v>United States Dollars</v>
      </c>
      <c r="K41" s="475"/>
      <c r="L41" s="475"/>
      <c r="M41" s="475"/>
    </row>
    <row r="42" spans="3:18" ht="15.75" thickBot="1" x14ac:dyDescent="0.25">
      <c r="C42" s="204" t="str">
        <f ca="1">Lang_Years_Selected&amp;" "&amp;OFFSET($Q$42,$F$2,0)</f>
        <v xml:space="preserve">Year(s) Selected: </v>
      </c>
      <c r="D42" s="204"/>
      <c r="E42" s="257" t="str">
        <f>Lang_Total</f>
        <v>TOTAL</v>
      </c>
      <c r="F42" s="257" t="str">
        <f>Lang_Intro_Costs</f>
        <v>INTRODUCTION COSTS</v>
      </c>
      <c r="G42" s="257" t="str">
        <f>Lang_Recurrent_Costs</f>
        <v>RECURRENT COSTS</v>
      </c>
      <c r="H42" s="258" t="str">
        <f>Lang_Initial_Invest_Costs</f>
        <v>INITIAL INVESTMENT COSTS</v>
      </c>
      <c r="J42" s="259" t="str">
        <f>Lang_Total</f>
        <v>TOTAL</v>
      </c>
      <c r="K42" s="259" t="str">
        <f>Lang_Intro_Costs</f>
        <v>INTRODUCTION COSTS</v>
      </c>
      <c r="L42" s="259" t="str">
        <f>Lang_Recurrent_Costs</f>
        <v>RECURRENT COSTS</v>
      </c>
      <c r="M42" s="260" t="str">
        <f>Lang_Initial_Invest_Costs</f>
        <v>INITIAL INVESTMENT COSTS</v>
      </c>
    </row>
    <row r="43" spans="3:18" x14ac:dyDescent="0.2">
      <c r="C43" s="207" t="str">
        <f>Analysis!$B$63</f>
        <v>Vaccine and Injection Supply Costs</v>
      </c>
      <c r="D43" s="308"/>
      <c r="E43" s="147">
        <f ca="1">OFFSET(Analysis!$H$81,0,$F$2)</f>
        <v>0</v>
      </c>
      <c r="F43" s="148"/>
      <c r="G43" s="149">
        <f ca="1">E43</f>
        <v>0</v>
      </c>
      <c r="H43" s="150"/>
      <c r="J43" s="163">
        <f ca="1">OFFSET(Analysis!$H$102,0,$F$2)</f>
        <v>0</v>
      </c>
      <c r="K43" s="148"/>
      <c r="L43" s="159">
        <f ca="1">J43</f>
        <v>0</v>
      </c>
      <c r="M43" s="150"/>
    </row>
    <row r="44" spans="3:18" x14ac:dyDescent="0.2">
      <c r="C44" s="292" t="str">
        <f>Analysis!B626</f>
        <v>Cold Chain Expansion</v>
      </c>
      <c r="D44" s="309"/>
      <c r="E44" s="237">
        <f ca="1">OFFSET(Analysis!$H$676,0,$F$2)</f>
        <v>0</v>
      </c>
      <c r="F44" s="232">
        <f ca="1">OFFSET(Analysis!$H$743,0,$F$2)</f>
        <v>0</v>
      </c>
      <c r="G44" s="151"/>
      <c r="H44" s="239">
        <f ca="1">E44</f>
        <v>0</v>
      </c>
      <c r="J44" s="240">
        <f ca="1">OFFSET(Analysis!$H$708,0,$F$2)</f>
        <v>0</v>
      </c>
      <c r="K44" s="159">
        <f ca="1">OFFSET(Analysis!$H$780,0,$F$2)</f>
        <v>0</v>
      </c>
      <c r="L44" s="151"/>
      <c r="M44" s="160">
        <f ca="1">J44</f>
        <v>0</v>
      </c>
    </row>
    <row r="45" spans="3:18" x14ac:dyDescent="0.2">
      <c r="C45" s="293" t="str">
        <f>Analysis!$B$110</f>
        <v>Microplanning</v>
      </c>
      <c r="D45" s="310"/>
      <c r="E45" s="145">
        <f ca="1">OFFSET(Analysis!$H$146,0,$F$2)</f>
        <v>0</v>
      </c>
      <c r="F45" s="152">
        <f ca="1">E45</f>
        <v>0</v>
      </c>
      <c r="G45" s="151"/>
      <c r="H45" s="153">
        <f ca="1">E45</f>
        <v>0</v>
      </c>
      <c r="J45" s="164">
        <f ca="1">OFFSET(Analysis!$H$170,0,$F$2)</f>
        <v>0</v>
      </c>
      <c r="K45" s="159">
        <f ca="1">J45</f>
        <v>0</v>
      </c>
      <c r="L45" s="151"/>
      <c r="M45" s="160">
        <f ca="1">J45</f>
        <v>0</v>
      </c>
    </row>
    <row r="46" spans="3:18" x14ac:dyDescent="0.2">
      <c r="C46" s="293" t="str">
        <f>Analysis!$B$178</f>
        <v>Training</v>
      </c>
      <c r="D46" s="310"/>
      <c r="E46" s="145">
        <f ca="1">OFFSET(Analysis!$H$214,0,$F$2)</f>
        <v>0</v>
      </c>
      <c r="F46" s="152">
        <f ca="1">E46</f>
        <v>0</v>
      </c>
      <c r="G46" s="151"/>
      <c r="H46" s="153">
        <f ca="1">E46</f>
        <v>0</v>
      </c>
      <c r="J46" s="164">
        <f ca="1">OFFSET(Analysis!$H$237,0,$F$2)</f>
        <v>0</v>
      </c>
      <c r="K46" s="159">
        <f ca="1">J46</f>
        <v>0</v>
      </c>
      <c r="L46" s="151"/>
      <c r="M46" s="160">
        <f ca="1">J46</f>
        <v>0</v>
      </c>
    </row>
    <row r="47" spans="3:18" x14ac:dyDescent="0.2">
      <c r="C47" s="293" t="str">
        <f>Analysis!$B$245</f>
        <v>Sensitisation</v>
      </c>
      <c r="D47" s="310"/>
      <c r="E47" s="145">
        <f ca="1">OFFSET(Analysis!$H$289,0,$F$2)</f>
        <v>0</v>
      </c>
      <c r="F47" s="152">
        <f ca="1">E47</f>
        <v>0</v>
      </c>
      <c r="G47" s="151"/>
      <c r="H47" s="153">
        <f ca="1">E47</f>
        <v>0</v>
      </c>
      <c r="J47" s="164">
        <f ca="1">OFFSET(Analysis!$H$316,0,$F$2)</f>
        <v>0</v>
      </c>
      <c r="K47" s="159">
        <f ca="1">J47</f>
        <v>0</v>
      </c>
      <c r="L47" s="151"/>
      <c r="M47" s="160">
        <f ca="1">J47</f>
        <v>0</v>
      </c>
    </row>
    <row r="48" spans="3:18" x14ac:dyDescent="0.2">
      <c r="C48" s="293" t="str">
        <f>Analysis!$B$324</f>
        <v>Social Mobilisation</v>
      </c>
      <c r="D48" s="310"/>
      <c r="E48" s="145">
        <f ca="1">OFFSET(Analysis!$H$376,0,$F$2)</f>
        <v>0</v>
      </c>
      <c r="F48" s="232">
        <f ca="1">E48</f>
        <v>0</v>
      </c>
      <c r="G48" s="232">
        <f ca="1">E48</f>
        <v>0</v>
      </c>
      <c r="H48" s="236">
        <f ca="1">E48</f>
        <v>0</v>
      </c>
      <c r="J48" s="164">
        <f ca="1">OFFSET(Analysis!$H$407,0,$F$2)</f>
        <v>0</v>
      </c>
      <c r="K48" s="232">
        <f ca="1">J48</f>
        <v>0</v>
      </c>
      <c r="L48" s="232">
        <f ca="1">J48</f>
        <v>0</v>
      </c>
      <c r="M48" s="236">
        <f ca="1">J48</f>
        <v>0</v>
      </c>
    </row>
    <row r="49" spans="1:17" x14ac:dyDescent="0.2">
      <c r="C49" s="293" t="str">
        <f>Analysis!$B$415</f>
        <v>Service Delivery</v>
      </c>
      <c r="D49" s="310"/>
      <c r="E49" s="145">
        <f ca="1">OFFSET(Analysis!$H$447,0,$F$2)</f>
        <v>0</v>
      </c>
      <c r="F49" s="151"/>
      <c r="G49" s="152">
        <f ca="1">E49</f>
        <v>0</v>
      </c>
      <c r="H49" s="154"/>
      <c r="J49" s="164">
        <f ca="1">OFFSET(Analysis!$H$470,0,$F$2)</f>
        <v>0</v>
      </c>
      <c r="K49" s="151"/>
      <c r="L49" s="159">
        <f ca="1">J49</f>
        <v>0</v>
      </c>
      <c r="M49" s="154"/>
    </row>
    <row r="50" spans="1:17" x14ac:dyDescent="0.2">
      <c r="C50" s="293" t="str">
        <f>Analysis!$B$477</f>
        <v>Supervision</v>
      </c>
      <c r="D50" s="310"/>
      <c r="E50" s="145">
        <f ca="1">OFFSET(Analysis!$H$518,0,$F$2)</f>
        <v>0</v>
      </c>
      <c r="F50" s="151"/>
      <c r="G50" s="152">
        <f ca="1">E50</f>
        <v>0</v>
      </c>
      <c r="H50" s="154"/>
      <c r="J50" s="164">
        <f ca="1">OFFSET(Analysis!$H$547,0,$F$2)</f>
        <v>0</v>
      </c>
      <c r="K50" s="151"/>
      <c r="L50" s="159">
        <f ca="1">J50</f>
        <v>0</v>
      </c>
      <c r="M50" s="154"/>
      <c r="Q50" s="200"/>
    </row>
    <row r="51" spans="1:17" x14ac:dyDescent="0.2">
      <c r="C51" s="293" t="str">
        <f>Analysis!$B$555&amp;" ("&amp;Lang_Recurrent&amp;")"</f>
        <v>Other (Recurrent)</v>
      </c>
      <c r="D51" s="310"/>
      <c r="E51" s="145">
        <f ca="1">OFFSET(Analysis!$H$594,0,$F$2)</f>
        <v>0</v>
      </c>
      <c r="F51" s="151"/>
      <c r="G51" s="158">
        <f ca="1">E51</f>
        <v>0</v>
      </c>
      <c r="H51" s="154"/>
      <c r="J51" s="164">
        <f ca="1">OFFSET(Analysis!$H$619,0,$F$2)</f>
        <v>0</v>
      </c>
      <c r="K51" s="151"/>
      <c r="L51" s="159">
        <f ca="1">J51</f>
        <v>0</v>
      </c>
      <c r="M51" s="154"/>
      <c r="Q51" s="200"/>
    </row>
    <row r="52" spans="1:17" ht="12.75" thickBot="1" x14ac:dyDescent="0.25">
      <c r="C52" s="293" t="str">
        <f>Analysis!$B$786</f>
        <v>Other Capital Investments</v>
      </c>
      <c r="D52" s="310"/>
      <c r="E52" s="145">
        <f ca="1">OFFSET(Analysis!$H$832,0,$F$2)</f>
        <v>0</v>
      </c>
      <c r="F52" s="232">
        <f ca="1">OFFSET(Analysis!$H$902,0,$F$2)</f>
        <v>0</v>
      </c>
      <c r="G52" s="151"/>
      <c r="H52" s="236">
        <f ca="1">E52</f>
        <v>0</v>
      </c>
      <c r="J52" s="164">
        <f ca="1">OFFSET(Analysis!$H$865,0,$F$2)</f>
        <v>0</v>
      </c>
      <c r="K52" s="287">
        <f ca="1">OFFSET(Analysis!$H$937,0,$F$2)</f>
        <v>0</v>
      </c>
      <c r="L52" s="151"/>
      <c r="M52" s="159">
        <f ca="1">J52</f>
        <v>0</v>
      </c>
      <c r="Q52" s="200"/>
    </row>
    <row r="53" spans="1:17" ht="12.75" thickBot="1" x14ac:dyDescent="0.25">
      <c r="C53" s="312" t="str">
        <f>Lang_Total_Econ_Costs</f>
        <v>TOTAL ECONOMIC COSTS</v>
      </c>
      <c r="D53" s="313"/>
      <c r="E53" s="311">
        <f ca="1">SUM(E43:E52)</f>
        <v>0</v>
      </c>
      <c r="F53" s="155">
        <f ca="1">SUM(F43:F52)</f>
        <v>0</v>
      </c>
      <c r="G53" s="155">
        <f ca="1">SUM(G43:G52)</f>
        <v>0</v>
      </c>
      <c r="H53" s="156">
        <f ca="1">SUM(H43:H52)</f>
        <v>0</v>
      </c>
      <c r="J53" s="304">
        <f ca="1">SUM(J43:J52)</f>
        <v>0</v>
      </c>
      <c r="K53" s="161">
        <f ca="1">SUM(K43:K52)</f>
        <v>0</v>
      </c>
      <c r="L53" s="161">
        <f ca="1">SUM(L43:L52)</f>
        <v>0</v>
      </c>
      <c r="M53" s="162">
        <f ca="1">SUM(M43:M52)</f>
        <v>0</v>
      </c>
    </row>
    <row r="54" spans="1:17" x14ac:dyDescent="0.2"/>
    <row r="55" spans="1:17" x14ac:dyDescent="0.2">
      <c r="A55" s="199"/>
      <c r="B55" s="199"/>
      <c r="C55" s="199"/>
      <c r="D55" s="199"/>
      <c r="E55" s="199"/>
      <c r="F55" s="199"/>
      <c r="G55" s="199"/>
      <c r="H55" s="199"/>
      <c r="I55" s="199"/>
      <c r="J55" s="199"/>
      <c r="K55" s="199"/>
      <c r="L55" s="199"/>
      <c r="M55" s="199"/>
    </row>
    <row r="56" spans="1:17" x14ac:dyDescent="0.2"/>
    <row r="57" spans="1:17" ht="15" x14ac:dyDescent="0.2">
      <c r="C57" s="146" t="str">
        <f>Lang_Cost_Per_FIP</f>
        <v>COST PER FIP</v>
      </c>
      <c r="D57" s="146"/>
    </row>
    <row r="58" spans="1:17" x14ac:dyDescent="0.2">
      <c r="E58"/>
      <c r="F58"/>
      <c r="G58"/>
      <c r="H58"/>
    </row>
    <row r="59" spans="1:17" ht="16.5" thickBot="1" x14ac:dyDescent="0.25">
      <c r="C59" s="205" t="str">
        <f>Lang_All_Years&amp;": ("&amp;$K$73&amp;")"</f>
        <v>ALL YEARS: (2019-2023)</v>
      </c>
      <c r="D59" s="205"/>
      <c r="E59" s="474" t="str">
        <f>ECONOMICS!$E$8</f>
        <v>Local Currency Unit</v>
      </c>
      <c r="F59" s="474"/>
      <c r="G59" s="475" t="str">
        <f>ECONOMICS!$E$7</f>
        <v>United States Dollars</v>
      </c>
      <c r="H59" s="475"/>
      <c r="J59" s="459" t="str">
        <f>Lang_Pop_With_Vaccine</f>
        <v>Proportions w/ Vaccine</v>
      </c>
      <c r="K59" s="459"/>
      <c r="L59" s="459" t="str">
        <f>Lang_Pop_Without_Vaccine</f>
        <v>Proportions w/out Vaccine</v>
      </c>
      <c r="M59" s="459"/>
    </row>
    <row r="60" spans="1:17" ht="12.75" thickBot="1" x14ac:dyDescent="0.25">
      <c r="C60" s="206" t="str">
        <f>Lang_Stays_Constant_All_Years_To_Correctly_Calculate</f>
        <v>(Stays Constant at All Years to Correctly Calculate)</v>
      </c>
      <c r="D60" s="196"/>
      <c r="E60" s="294" t="str">
        <f>Lang_Fin_Costs</f>
        <v>FINANCIAL COSTS</v>
      </c>
      <c r="F60" s="212" t="str">
        <f>Lang_Econ_Costs</f>
        <v>ECONOMIC COSTS</v>
      </c>
      <c r="G60" s="212" t="str">
        <f>Lang_Fin_Costs</f>
        <v>FINANCIAL COSTS</v>
      </c>
      <c r="H60" s="213" t="str">
        <f>Lang_Econ_Costs</f>
        <v>ECONOMIC COSTS</v>
      </c>
      <c r="J60" s="294" t="str">
        <f>Lang_Fin_Costs</f>
        <v>FINANCIAL COSTS</v>
      </c>
      <c r="K60" s="198" t="str">
        <f>Lang_Econ_Costs</f>
        <v>ECONOMIC COSTS</v>
      </c>
      <c r="L60" s="197" t="str">
        <f>Lang_Fin_Costs</f>
        <v>FINANCIAL COSTS</v>
      </c>
      <c r="M60" s="170" t="str">
        <f>Lang_Econ_Costs</f>
        <v>ECONOMIC COSTS</v>
      </c>
    </row>
    <row r="61" spans="1:17" x14ac:dyDescent="0.2">
      <c r="C61" s="207" t="str">
        <f>Analysis!$B$63</f>
        <v>Vaccine and Injection Supply Costs</v>
      </c>
      <c r="D61" s="295"/>
      <c r="E61" s="299">
        <f>Analysis!$I$74</f>
        <v>0</v>
      </c>
      <c r="F61" s="299">
        <f>Analysis!$I$83</f>
        <v>0</v>
      </c>
      <c r="G61" s="171">
        <f>Analysis!$I$95</f>
        <v>0</v>
      </c>
      <c r="H61" s="165">
        <f>Analysis!$I$104</f>
        <v>0</v>
      </c>
      <c r="J61" s="335">
        <f>IFERROR(G61/G$76,0)</f>
        <v>0</v>
      </c>
      <c r="K61" s="330">
        <f>IFERROR(H61/H$76,0)</f>
        <v>0</v>
      </c>
      <c r="L61" s="336"/>
      <c r="M61" s="336"/>
    </row>
    <row r="62" spans="1:17" x14ac:dyDescent="0.2">
      <c r="C62" s="292" t="str">
        <f>Analysis!B626&amp;" ("&amp;Lang_Annualized&amp;")"</f>
        <v>Cold Chain Expansion (Annualized)</v>
      </c>
      <c r="D62" s="296"/>
      <c r="E62" s="300">
        <f>Analysis!I728</f>
        <v>0</v>
      </c>
      <c r="F62" s="300">
        <f>Analysis!I745</f>
        <v>0</v>
      </c>
      <c r="G62" s="243">
        <f>Analysis!I763</f>
        <v>0</v>
      </c>
      <c r="H62" s="244">
        <f>Analysis!I782</f>
        <v>0</v>
      </c>
      <c r="J62" s="333">
        <f t="shared" ref="J62:J70" si="0">IFERROR(G62/G$76,0)</f>
        <v>0</v>
      </c>
      <c r="K62" s="331">
        <f t="shared" ref="K62:K70" si="1">IFERROR(H62/H$76,0)</f>
        <v>0</v>
      </c>
      <c r="L62" s="337">
        <f>IFERROR(G62/G$77,0)</f>
        <v>0</v>
      </c>
      <c r="M62" s="337">
        <f>IFERROR(H62/H$77,0)</f>
        <v>0</v>
      </c>
    </row>
    <row r="63" spans="1:17" x14ac:dyDescent="0.2">
      <c r="C63" s="293" t="str">
        <f>Analysis!$B$110</f>
        <v>Microplanning</v>
      </c>
      <c r="D63" s="297"/>
      <c r="E63" s="301">
        <f>Analysis!$I$137</f>
        <v>0</v>
      </c>
      <c r="F63" s="301">
        <f>Analysis!$I$148</f>
        <v>0</v>
      </c>
      <c r="G63" s="172">
        <f>Analysis!$I$162</f>
        <v>0</v>
      </c>
      <c r="H63" s="166">
        <f>Analysis!$I$172</f>
        <v>0</v>
      </c>
      <c r="J63" s="333">
        <f t="shared" si="0"/>
        <v>0</v>
      </c>
      <c r="K63" s="331">
        <f t="shared" si="1"/>
        <v>0</v>
      </c>
      <c r="L63" s="337">
        <f t="shared" ref="L63:L70" si="2">IFERROR(G63/G$77,0)</f>
        <v>0</v>
      </c>
      <c r="M63" s="337">
        <f t="shared" ref="M63:M70" si="3">IFERROR(H63/H$77,0)</f>
        <v>0</v>
      </c>
    </row>
    <row r="64" spans="1:17" x14ac:dyDescent="0.2">
      <c r="C64" s="293" t="str">
        <f>Analysis!$B$178</f>
        <v>Training</v>
      </c>
      <c r="D64" s="297"/>
      <c r="E64" s="301">
        <f>Analysis!$I$205</f>
        <v>0</v>
      </c>
      <c r="F64" s="301">
        <f>Analysis!$I$216</f>
        <v>0</v>
      </c>
      <c r="G64" s="172">
        <f>Analysis!$I$229</f>
        <v>0</v>
      </c>
      <c r="H64" s="166">
        <f>Analysis!$I$239</f>
        <v>0</v>
      </c>
      <c r="J64" s="333">
        <f t="shared" si="0"/>
        <v>0</v>
      </c>
      <c r="K64" s="331">
        <f t="shared" si="1"/>
        <v>0</v>
      </c>
      <c r="L64" s="337">
        <f t="shared" si="2"/>
        <v>0</v>
      </c>
      <c r="M64" s="337">
        <f t="shared" si="3"/>
        <v>0</v>
      </c>
    </row>
    <row r="65" spans="1:13" x14ac:dyDescent="0.2">
      <c r="C65" s="293" t="str">
        <f>Analysis!$B$245</f>
        <v>Sensitisation</v>
      </c>
      <c r="D65" s="297"/>
      <c r="E65" s="301">
        <f>Analysis!$I$278</f>
        <v>0</v>
      </c>
      <c r="F65" s="301">
        <f>Analysis!$I$291</f>
        <v>0</v>
      </c>
      <c r="G65" s="172">
        <f>Analysis!$I$306</f>
        <v>0</v>
      </c>
      <c r="H65" s="166">
        <f>Analysis!$I$318</f>
        <v>0</v>
      </c>
      <c r="J65" s="333">
        <f t="shared" si="0"/>
        <v>0</v>
      </c>
      <c r="K65" s="331">
        <f t="shared" si="1"/>
        <v>0</v>
      </c>
      <c r="L65" s="337">
        <f t="shared" si="2"/>
        <v>0</v>
      </c>
      <c r="M65" s="337">
        <f t="shared" si="3"/>
        <v>0</v>
      </c>
    </row>
    <row r="66" spans="1:13" x14ac:dyDescent="0.2">
      <c r="C66" s="293" t="str">
        <f>Analysis!$B$324</f>
        <v>Social Mobilisation</v>
      </c>
      <c r="D66" s="297"/>
      <c r="E66" s="301">
        <f>Analysis!$I$363</f>
        <v>0</v>
      </c>
      <c r="F66" s="301">
        <f>Analysis!$I$378</f>
        <v>0</v>
      </c>
      <c r="G66" s="172">
        <f>Analysis!$I$395</f>
        <v>0</v>
      </c>
      <c r="H66" s="166">
        <f>Analysis!$I$409</f>
        <v>0</v>
      </c>
      <c r="J66" s="333">
        <f t="shared" si="0"/>
        <v>0</v>
      </c>
      <c r="K66" s="331">
        <f t="shared" si="1"/>
        <v>0</v>
      </c>
      <c r="L66" s="337">
        <f t="shared" si="2"/>
        <v>0</v>
      </c>
      <c r="M66" s="337">
        <f t="shared" si="3"/>
        <v>0</v>
      </c>
    </row>
    <row r="67" spans="1:13" x14ac:dyDescent="0.2">
      <c r="C67" s="293" t="str">
        <f>Analysis!$B$415</f>
        <v>Service Delivery</v>
      </c>
      <c r="D67" s="297"/>
      <c r="E67" s="301">
        <f>Analysis!$I$438</f>
        <v>0</v>
      </c>
      <c r="F67" s="301">
        <f>Analysis!$I$449</f>
        <v>0</v>
      </c>
      <c r="G67" s="172">
        <f>Analysis!$I$462</f>
        <v>0</v>
      </c>
      <c r="H67" s="166">
        <f>Analysis!$I$472</f>
        <v>0</v>
      </c>
      <c r="J67" s="333">
        <f t="shared" si="0"/>
        <v>0</v>
      </c>
      <c r="K67" s="331">
        <f t="shared" si="1"/>
        <v>0</v>
      </c>
      <c r="L67" s="337">
        <f t="shared" si="2"/>
        <v>0</v>
      </c>
      <c r="M67" s="337">
        <f t="shared" si="3"/>
        <v>0</v>
      </c>
    </row>
    <row r="68" spans="1:13" x14ac:dyDescent="0.2">
      <c r="C68" s="293" t="str">
        <f>Analysis!$B$477</f>
        <v>Supervision</v>
      </c>
      <c r="D68" s="297"/>
      <c r="E68" s="301">
        <f>Analysis!$I$506</f>
        <v>0</v>
      </c>
      <c r="F68" s="301">
        <f>Analysis!$I$520</f>
        <v>0</v>
      </c>
      <c r="G68" s="172">
        <f>Analysis!$I$536</f>
        <v>0</v>
      </c>
      <c r="H68" s="166">
        <f>Analysis!$I$549</f>
        <v>0</v>
      </c>
      <c r="J68" s="333">
        <f t="shared" si="0"/>
        <v>0</v>
      </c>
      <c r="K68" s="331">
        <f t="shared" si="1"/>
        <v>0</v>
      </c>
      <c r="L68" s="337">
        <f t="shared" si="2"/>
        <v>0</v>
      </c>
      <c r="M68" s="337">
        <f t="shared" si="3"/>
        <v>0</v>
      </c>
    </row>
    <row r="69" spans="1:13" x14ac:dyDescent="0.2">
      <c r="C69" s="293" t="str">
        <f>Analysis!$B$555&amp;" ("&amp;Lang_Recurrent&amp;")"</f>
        <v>Other (Recurrent)</v>
      </c>
      <c r="D69" s="297"/>
      <c r="E69" s="301">
        <f>Analysis!$I$584</f>
        <v>0</v>
      </c>
      <c r="F69" s="301">
        <f>Analysis!$I$596</f>
        <v>0</v>
      </c>
      <c r="G69" s="172">
        <f>Analysis!$I$610</f>
        <v>0</v>
      </c>
      <c r="H69" s="166">
        <f>Analysis!$I$621</f>
        <v>0</v>
      </c>
      <c r="J69" s="333">
        <f t="shared" si="0"/>
        <v>0</v>
      </c>
      <c r="K69" s="331">
        <f t="shared" si="1"/>
        <v>0</v>
      </c>
      <c r="L69" s="337">
        <f t="shared" si="2"/>
        <v>0</v>
      </c>
      <c r="M69" s="337">
        <f t="shared" si="3"/>
        <v>0</v>
      </c>
    </row>
    <row r="70" spans="1:13" ht="12.75" thickBot="1" x14ac:dyDescent="0.25">
      <c r="C70" s="208" t="str">
        <f>Analysis!$B$786&amp;" ("&amp;Lang_Annualized&amp;")"</f>
        <v>Other Capital Investments (Annualized)</v>
      </c>
      <c r="D70" s="298"/>
      <c r="E70" s="302">
        <f>Analysis!$I$885</f>
        <v>0</v>
      </c>
      <c r="F70" s="302">
        <f>Analysis!$I$904</f>
        <v>0</v>
      </c>
      <c r="G70" s="173">
        <f>Analysis!$I$922</f>
        <v>0</v>
      </c>
      <c r="H70" s="167">
        <f>Analysis!$I$939</f>
        <v>0</v>
      </c>
      <c r="J70" s="334">
        <f t="shared" si="0"/>
        <v>0</v>
      </c>
      <c r="K70" s="332">
        <f t="shared" si="1"/>
        <v>0</v>
      </c>
      <c r="L70" s="338">
        <f t="shared" si="2"/>
        <v>0</v>
      </c>
      <c r="M70" s="338">
        <f t="shared" si="3"/>
        <v>0</v>
      </c>
    </row>
    <row r="71" spans="1:13" x14ac:dyDescent="0.2">
      <c r="C71" s="288"/>
      <c r="D71" s="288"/>
      <c r="E71" s="152"/>
      <c r="F71" s="152"/>
      <c r="G71" s="289"/>
      <c r="H71" s="289"/>
      <c r="J71" s="290"/>
      <c r="K71" s="290"/>
      <c r="L71" s="291"/>
      <c r="M71" s="291"/>
    </row>
    <row r="72" spans="1:13" x14ac:dyDescent="0.2"/>
    <row r="73" spans="1:13" ht="15" x14ac:dyDescent="0.2">
      <c r="C73" s="174" t="str">
        <f>Lang_Total_Cost_Per_FIP</f>
        <v>TOTAL COST PER FIP</v>
      </c>
      <c r="D73" s="174"/>
      <c r="K73" s="399" t="str">
        <f>K74&amp;"-"&amp;K78</f>
        <v>2019-2023</v>
      </c>
    </row>
    <row r="74" spans="1:13" ht="15.75" thickBot="1" x14ac:dyDescent="0.25">
      <c r="C74" s="174"/>
      <c r="D74" s="174"/>
      <c r="E74" s="474" t="str">
        <f>ECONOMICS!$E$8</f>
        <v>Local Currency Unit</v>
      </c>
      <c r="F74" s="474"/>
      <c r="G74" s="475" t="str">
        <f>ECONOMICS!$E$7</f>
        <v>United States Dollars</v>
      </c>
      <c r="H74" s="475"/>
      <c r="K74" s="399">
        <f>TS_First_Fin_Yr</f>
        <v>2019</v>
      </c>
    </row>
    <row r="75" spans="1:13" ht="12.75" thickBot="1" x14ac:dyDescent="0.25">
      <c r="E75" s="168" t="str">
        <f>Lang_Fin_Costs</f>
        <v>FINANCIAL COSTS</v>
      </c>
      <c r="F75" s="169" t="str">
        <f>Lang_Econ_Costs</f>
        <v>ECONOMIC COSTS</v>
      </c>
      <c r="G75" s="169" t="str">
        <f>Lang_Fin_Costs</f>
        <v>FINANCIAL COSTS</v>
      </c>
      <c r="H75" s="170" t="str">
        <f>Lang_Econ_Costs</f>
        <v>ECONOMIC COSTS</v>
      </c>
      <c r="K75" s="399">
        <f>TS_First_Fin_Yr+1</f>
        <v>2020</v>
      </c>
    </row>
    <row r="76" spans="1:13" x14ac:dyDescent="0.2">
      <c r="C76" s="175" t="str">
        <f>Lang_with&amp;" "&amp;$C$61</f>
        <v>with Vaccine and Injection Supply Costs</v>
      </c>
      <c r="D76" s="207"/>
      <c r="E76" s="177">
        <f>SUM($E$61:$E70)</f>
        <v>0</v>
      </c>
      <c r="F76" s="178">
        <f>SUM($F$61:$F$70)</f>
        <v>0</v>
      </c>
      <c r="G76" s="179">
        <f>SUM($G$61:$G$70)</f>
        <v>0</v>
      </c>
      <c r="H76" s="180">
        <f>SUM($H$61:$H$70)</f>
        <v>0</v>
      </c>
      <c r="K76" s="399">
        <f>TS_First_Fin_Yr+2</f>
        <v>2021</v>
      </c>
    </row>
    <row r="77" spans="1:13" ht="12.75" thickBot="1" x14ac:dyDescent="0.25">
      <c r="C77" s="176" t="str">
        <f>Lang_without&amp;" "&amp;$C$61</f>
        <v>without Vaccine and Injection Supply Costs</v>
      </c>
      <c r="D77" s="208"/>
      <c r="E77" s="181">
        <f>SUM($E$62:$E$70)</f>
        <v>0</v>
      </c>
      <c r="F77" s="182">
        <f>SUM($F$62:$F$70)</f>
        <v>0</v>
      </c>
      <c r="G77" s="183">
        <f>SUM($G$62:$G$70)</f>
        <v>0</v>
      </c>
      <c r="H77" s="184">
        <f>SUM($H$62:$H$70)</f>
        <v>0</v>
      </c>
      <c r="K77" s="399">
        <f>TS_First_Fin_Yr+3</f>
        <v>2022</v>
      </c>
    </row>
    <row r="78" spans="1:13" x14ac:dyDescent="0.2">
      <c r="K78" s="399">
        <f>TS_First_Fin_Yr+4</f>
        <v>2023</v>
      </c>
    </row>
    <row r="79" spans="1:13" x14ac:dyDescent="0.2">
      <c r="A79" s="199"/>
      <c r="B79" s="199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</row>
    <row r="80" spans="1:13" x14ac:dyDescent="0.2"/>
    <row r="81" spans="3:10" x14ac:dyDescent="0.2"/>
    <row r="82" spans="3:10" ht="15" x14ac:dyDescent="0.2">
      <c r="C82" s="146" t="str">
        <f>Lang_HPV_Vacc_Administered</f>
        <v>HPV Vaccinations Administered</v>
      </c>
    </row>
    <row r="83" spans="3:10" ht="15" x14ac:dyDescent="0.2">
      <c r="C83" s="146"/>
      <c r="D83" s="473" t="str">
        <f>Analysis!$I$29</f>
        <v>ALL YEARS</v>
      </c>
      <c r="E83" s="473"/>
    </row>
    <row r="84" spans="3:10" x14ac:dyDescent="0.2">
      <c r="D84" s="268" t="str">
        <f>Lang_Pop</f>
        <v>POPULATION</v>
      </c>
      <c r="E84" s="268" t="str">
        <f>Lang_Vaccinated</f>
        <v>VACCINATED</v>
      </c>
      <c r="F84" s="268">
        <f>Analysis!$J$29</f>
        <v>2019</v>
      </c>
      <c r="G84" s="268">
        <f>Analysis!$K$29</f>
        <v>2020</v>
      </c>
      <c r="H84" s="268">
        <f>Analysis!$L$29</f>
        <v>2021</v>
      </c>
      <c r="I84" s="268">
        <f>Analysis!$M$29</f>
        <v>2022</v>
      </c>
      <c r="J84" s="268">
        <f>Analysis!$N$29</f>
        <v>2023</v>
      </c>
    </row>
    <row r="85" spans="3:10" ht="24" x14ac:dyDescent="0.2">
      <c r="C85" s="270" t="str">
        <f>Analysis!D30</f>
        <v>HPV 1:   All Target Populations Coverage (Projection Projection):  IN-SCHOOL</v>
      </c>
      <c r="D85" s="470">
        <f>Analysis!$I$13+Analysis!$I$18</f>
        <v>439268</v>
      </c>
      <c r="E85" s="285">
        <f>Analysis!I30</f>
        <v>219634</v>
      </c>
      <c r="F85" s="283">
        <f>Analysis!J30</f>
        <v>35000</v>
      </c>
      <c r="G85" s="283">
        <f>Analysis!K30</f>
        <v>50750</v>
      </c>
      <c r="H85" s="283">
        <f>Analysis!L30</f>
        <v>41218</v>
      </c>
      <c r="I85" s="283">
        <f>Analysis!M30</f>
        <v>31391</v>
      </c>
      <c r="J85" s="283">
        <f>Analysis!N30</f>
        <v>61275</v>
      </c>
    </row>
    <row r="86" spans="3:10" ht="24" x14ac:dyDescent="0.2">
      <c r="C86" s="271" t="str">
        <f>Analysis!D31</f>
        <v>HPV 2:   All Target Populations Coverage (Projection Projection):  IN-SCHOOL</v>
      </c>
      <c r="D86" s="471"/>
      <c r="E86" s="286">
        <f>Analysis!I31</f>
        <v>197670.6</v>
      </c>
      <c r="F86" s="284">
        <f>Analysis!J31</f>
        <v>31500</v>
      </c>
      <c r="G86" s="284">
        <f>Analysis!K31</f>
        <v>45675</v>
      </c>
      <c r="H86" s="284">
        <f>Analysis!L31</f>
        <v>37096.199999999997</v>
      </c>
      <c r="I86" s="284">
        <f>Analysis!M31</f>
        <v>28251.9</v>
      </c>
      <c r="J86" s="284">
        <f>Analysis!N31</f>
        <v>55147.5</v>
      </c>
    </row>
    <row r="87" spans="3:10" x14ac:dyDescent="0.2">
      <c r="C87"/>
      <c r="D87"/>
      <c r="E87"/>
      <c r="F87"/>
      <c r="G87"/>
      <c r="H87"/>
      <c r="I87"/>
      <c r="J87"/>
    </row>
    <row r="88" spans="3:10" customFormat="1" x14ac:dyDescent="0.2"/>
    <row r="89" spans="3:10" x14ac:dyDescent="0.2">
      <c r="C89" s="256"/>
      <c r="D89" s="473" t="str">
        <f>Analysis!$I$29</f>
        <v>ALL YEARS</v>
      </c>
      <c r="E89" s="473"/>
      <c r="F89" s="152"/>
      <c r="G89" s="152"/>
      <c r="H89" s="152"/>
      <c r="I89" s="152"/>
      <c r="J89" s="152"/>
    </row>
    <row r="90" spans="3:10" x14ac:dyDescent="0.2">
      <c r="C90" s="256"/>
      <c r="D90" s="268" t="str">
        <f>Lang_Pop</f>
        <v>POPULATION</v>
      </c>
      <c r="E90" s="268" t="str">
        <f>Lang_Vaccinated</f>
        <v>VACCINATED</v>
      </c>
      <c r="F90" s="268">
        <f>Analysis!$J$29</f>
        <v>2019</v>
      </c>
      <c r="G90" s="268">
        <f>Analysis!$K$29</f>
        <v>2020</v>
      </c>
      <c r="H90" s="268">
        <f>Analysis!$L$29</f>
        <v>2021</v>
      </c>
      <c r="I90" s="268">
        <f>Analysis!$M$29</f>
        <v>2022</v>
      </c>
      <c r="J90" s="268">
        <f>Analysis!$N$29</f>
        <v>2023</v>
      </c>
    </row>
    <row r="91" spans="3:10" ht="24" x14ac:dyDescent="0.2">
      <c r="C91" s="281" t="str">
        <f>Analysis!D33</f>
        <v>HPV 1:   All Target Populations Coverage (Projection Projection):  OUT OF SCHOOL</v>
      </c>
      <c r="D91" s="470">
        <f>Analysis!$I$14+Analysis!$I$19</f>
        <v>591638</v>
      </c>
      <c r="E91" s="278">
        <f>Analysis!I33</f>
        <v>295819</v>
      </c>
      <c r="F91" s="276">
        <f>Analysis!J33</f>
        <v>64999</v>
      </c>
      <c r="G91" s="276">
        <f>Analysis!K33</f>
        <v>50750</v>
      </c>
      <c r="H91" s="276">
        <f>Analysis!L33</f>
        <v>61826</v>
      </c>
      <c r="I91" s="276">
        <f>Analysis!M33</f>
        <v>73244.5</v>
      </c>
      <c r="J91" s="276">
        <f>Analysis!N33</f>
        <v>44999.5</v>
      </c>
    </row>
    <row r="92" spans="3:10" ht="24" x14ac:dyDescent="0.2">
      <c r="C92" s="280" t="str">
        <f>Analysis!D34</f>
        <v>HPV 2:   All Target Populations Coverage (Projection Projection):  OUT OF SCHOOL</v>
      </c>
      <c r="D92" s="471"/>
      <c r="E92" s="279">
        <f>Analysis!I34</f>
        <v>266237.09999999998</v>
      </c>
      <c r="F92" s="277">
        <f>Analysis!J34</f>
        <v>58499.1</v>
      </c>
      <c r="G92" s="277">
        <f>Analysis!K34</f>
        <v>45675</v>
      </c>
      <c r="H92" s="277">
        <f>Analysis!L34</f>
        <v>55643.399999999994</v>
      </c>
      <c r="I92" s="277">
        <f>Analysis!M34</f>
        <v>65920.05</v>
      </c>
      <c r="J92" s="277">
        <f>Analysis!N34</f>
        <v>40499.550000000003</v>
      </c>
    </row>
    <row r="93" spans="3:10" customFormat="1" x14ac:dyDescent="0.2"/>
    <row r="94" spans="3:10" x14ac:dyDescent="0.2">
      <c r="C94" s="256"/>
      <c r="D94" s="473" t="str">
        <f>Analysis!$I$29</f>
        <v>ALL YEARS</v>
      </c>
      <c r="E94" s="473"/>
      <c r="F94" s="42"/>
      <c r="G94" s="42"/>
      <c r="H94" s="42"/>
      <c r="I94" s="42"/>
      <c r="J94" s="42"/>
    </row>
    <row r="95" spans="3:10" x14ac:dyDescent="0.2">
      <c r="C95" s="256"/>
      <c r="D95" s="268" t="str">
        <f>Lang_Pop</f>
        <v>POPULATION</v>
      </c>
      <c r="E95" s="268" t="str">
        <f>Lang_Vaccinated</f>
        <v>VACCINATED</v>
      </c>
      <c r="F95" s="268">
        <f>Analysis!$J$29</f>
        <v>2019</v>
      </c>
      <c r="G95" s="268">
        <f>Analysis!$K$29</f>
        <v>2020</v>
      </c>
      <c r="H95" s="268">
        <f>Analysis!$L$29</f>
        <v>2021</v>
      </c>
      <c r="I95" s="268">
        <f>Analysis!$M$29</f>
        <v>2022</v>
      </c>
      <c r="J95" s="268">
        <f>Analysis!$N$29</f>
        <v>2023</v>
      </c>
    </row>
    <row r="96" spans="3:10" x14ac:dyDescent="0.2">
      <c r="C96" s="282" t="str">
        <f>Analysis!D36</f>
        <v>Total All Target Populations Coverage (Projection Projection) HPV 1</v>
      </c>
      <c r="D96" s="470">
        <f>Analysis!$I$15+Analysis!$I$20</f>
        <v>1030904</v>
      </c>
      <c r="E96" s="269">
        <f>Analysis!I36</f>
        <v>515453</v>
      </c>
      <c r="F96" s="214">
        <f>Analysis!J36</f>
        <v>99999</v>
      </c>
      <c r="G96" s="214">
        <f>Analysis!K36</f>
        <v>101500</v>
      </c>
      <c r="H96" s="214">
        <f>Analysis!L36</f>
        <v>103044</v>
      </c>
      <c r="I96" s="214">
        <f>Analysis!M36</f>
        <v>104635.5</v>
      </c>
      <c r="J96" s="214">
        <f>Analysis!N36</f>
        <v>106274.5</v>
      </c>
    </row>
    <row r="97" spans="3:10" x14ac:dyDescent="0.2">
      <c r="C97" s="282" t="str">
        <f>Analysis!D37</f>
        <v>Total All Target Populations Coverage (Projection Projection) HPV 2</v>
      </c>
      <c r="D97" s="471"/>
      <c r="E97" s="269">
        <f>Analysis!I37</f>
        <v>463907.7</v>
      </c>
      <c r="F97" s="214">
        <f>Analysis!J37</f>
        <v>89999.1</v>
      </c>
      <c r="G97" s="214">
        <f>Analysis!K37</f>
        <v>91350</v>
      </c>
      <c r="H97" s="214">
        <f>Analysis!L37</f>
        <v>92739.6</v>
      </c>
      <c r="I97" s="214">
        <f>Analysis!M37</f>
        <v>94171.950000000012</v>
      </c>
      <c r="J97" s="214">
        <f>Analysis!N37</f>
        <v>95647.05</v>
      </c>
    </row>
    <row r="98" spans="3:10" x14ac:dyDescent="0.2"/>
  </sheetData>
  <mergeCells count="22">
    <mergeCell ref="D96:D97"/>
    <mergeCell ref="J4:K4"/>
    <mergeCell ref="D83:E83"/>
    <mergeCell ref="D94:E94"/>
    <mergeCell ref="D89:E89"/>
    <mergeCell ref="D85:D86"/>
    <mergeCell ref="D91:D92"/>
    <mergeCell ref="E74:F74"/>
    <mergeCell ref="G74:H74"/>
    <mergeCell ref="J26:M26"/>
    <mergeCell ref="E26:H26"/>
    <mergeCell ref="E59:F59"/>
    <mergeCell ref="G59:H59"/>
    <mergeCell ref="E41:H41"/>
    <mergeCell ref="J41:M41"/>
    <mergeCell ref="J59:K59"/>
    <mergeCell ref="L59:M59"/>
    <mergeCell ref="C7:C8"/>
    <mergeCell ref="C10:C11"/>
    <mergeCell ref="C13:C14"/>
    <mergeCell ref="C19:D19"/>
    <mergeCell ref="C20:D20"/>
  </mergeCells>
  <conditionalFormatting sqref="E18:F18">
    <cfRule type="expression" dxfId="352" priority="1">
      <formula>$D$18=2</formula>
    </cfRule>
    <cfRule type="expression" dxfId="351" priority="2">
      <formula>$D$18=1</formula>
    </cfRule>
  </conditionalFormatting>
  <conditionalFormatting sqref="E19:F20">
    <cfRule type="expression" dxfId="350" priority="5">
      <formula>$D$18=1</formula>
    </cfRule>
  </conditionalFormatting>
  <dataValidations count="2">
    <dataValidation type="whole" showDropDown="1" showErrorMessage="1" errorTitle="Drop Down Box Cell Link" error="The value in a drop down box cell link must be a whole number within the control's lookup range rows." sqref="F2 F25" xr:uid="{00000000-0002-0000-0500-000000000000}">
      <formula1>1</formula1>
      <formula2>ROWS(Dash_Years_Select)</formula2>
    </dataValidation>
    <dataValidation type="whole" showDropDown="1" showErrorMessage="1" errorTitle="Drop Down Box Cell Link" error="The value in a drop down box cell link must be a whole number within the control's lookup range rows." sqref="E2 D18" xr:uid="{00000000-0002-0000-0500-000001000000}">
      <formula1>1</formula1>
      <formula2>ROWS(LU_Analy_Currencies)</formula2>
    </dataValidation>
  </dataValidations>
  <hyperlinks>
    <hyperlink ref="A1" location="Contents!A1" tooltip="Go to Table of Contents" display="±" xr:uid="{00000000-0004-0000-0500-000000000000}"/>
    <hyperlink ref="A2" location="$B$3" tooltip="Go to Top of Sheet" display="$B$3" xr:uid="{0C0F2B6B-ABB8-483F-A22D-58A95FA6ED5F}"/>
  </hyperlinks>
  <pageMargins left="0.7" right="0.7" top="0.75" bottom="0.75" header="0.3" footer="0.3"/>
  <pageSetup scale="44" fitToHeight="0" orientation="landscape" r:id="rId1"/>
  <headerFooter>
    <oddFooter>&amp;L&amp;B Confidential&amp;B&amp;C&amp;D&amp;RPage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52641" r:id="rId4" name="DropDown">
              <controlPr defaultSize="0" autoFill="0" autoPict="0">
                <anchor moveWithCells="1" sizeWithCells="1">
                  <from>
                    <xdr:col>5</xdr:col>
                    <xdr:colOff>0</xdr:colOff>
                    <xdr:row>0</xdr:row>
                    <xdr:rowOff>47625</xdr:rowOff>
                  </from>
                  <to>
                    <xdr:col>6</xdr:col>
                    <xdr:colOff>0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645" r:id="rId5" name="Drop Down 3">
              <controlPr defaultSize="0" autoFill="0" autoPict="0">
                <anchor moveWithCells="1" sizeWithCells="1">
                  <from>
                    <xdr:col>2</xdr:col>
                    <xdr:colOff>2238375</xdr:colOff>
                    <xdr:row>16</xdr:row>
                    <xdr:rowOff>0</xdr:rowOff>
                  </from>
                  <to>
                    <xdr:col>4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2">
    <tabColor rgb="FF7030A0"/>
    <outlinePr summaryBelow="0"/>
    <pageSetUpPr autoPageBreaks="0"/>
  </sheetPr>
  <dimension ref="A1:F284"/>
  <sheetViews>
    <sheetView showGridLines="0" zoomScaleNormal="100" workbookViewId="0">
      <pane xSplit="1" ySplit="4" topLeftCell="B17" activePane="bottomRight" state="frozen"/>
      <selection activeCell="I511" sqref="I511"/>
      <selection pane="topRight" activeCell="I511" sqref="I511"/>
      <selection pane="bottomLeft" activeCell="I511" sqref="I511"/>
      <selection pane="bottomRight" activeCell="I511" sqref="I511"/>
    </sheetView>
  </sheetViews>
  <sheetFormatPr defaultColWidth="11.7109375" defaultRowHeight="12" outlineLevelRow="1" x14ac:dyDescent="0.2"/>
  <cols>
    <col min="1" max="3" width="3.7109375" customWidth="1"/>
    <col min="4" max="4" width="35.7109375" customWidth="1"/>
    <col min="5" max="5" width="3.7109375" customWidth="1"/>
    <col min="6" max="6" width="35.7109375" customWidth="1"/>
    <col min="7" max="7" width="3.7109375" customWidth="1"/>
  </cols>
  <sheetData>
    <row r="1" spans="1:6" ht="15" x14ac:dyDescent="0.2">
      <c r="A1" s="2" t="s">
        <v>128</v>
      </c>
      <c r="B1" s="31" t="str">
        <f>Lang_Social_Mobilisation_Activity_Variables</f>
        <v>Social Mobilisation Activity Variables</v>
      </c>
    </row>
    <row r="2" spans="1:6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3" spans="1:6" ht="12.75" x14ac:dyDescent="0.2">
      <c r="B3" s="426" t="str">
        <f>Lang_Goto_TOC</f>
        <v>Go to Table of Contents</v>
      </c>
      <c r="C3" s="426"/>
      <c r="D3" s="426"/>
    </row>
    <row r="4" spans="1:6" x14ac:dyDescent="0.2">
      <c r="A4" s="2" t="s">
        <v>5</v>
      </c>
      <c r="B4" s="38" t="s">
        <v>7</v>
      </c>
      <c r="C4" s="39" t="s">
        <v>8</v>
      </c>
    </row>
    <row r="6" spans="1:6" s="13" customFormat="1" x14ac:dyDescent="0.2">
      <c r="A6"/>
      <c r="B6" s="13" t="str">
        <f>Lang_SOC_MOB_Level_1_1_Lookups</f>
        <v>SOC MOB Level 1 (1) - Lookups</v>
      </c>
    </row>
    <row r="7" spans="1:6" outlineLevel="1" x14ac:dyDescent="0.2"/>
    <row r="8" spans="1:6" outlineLevel="1" x14ac:dyDescent="0.2"/>
    <row r="9" spans="1:6" s="65" customFormat="1" outlineLevel="1" x14ac:dyDescent="0.2">
      <c r="A9"/>
      <c r="B9"/>
      <c r="C9" s="494" t="s">
        <v>65</v>
      </c>
      <c r="D9" s="494"/>
      <c r="E9" s="494"/>
      <c r="F9" s="65" t="s">
        <v>21</v>
      </c>
    </row>
    <row r="10" spans="1:6" outlineLevel="1" x14ac:dyDescent="0.2"/>
    <row r="11" spans="1:6" outlineLevel="1" x14ac:dyDescent="0.2">
      <c r="D11" s="17" t="s">
        <v>215</v>
      </c>
      <c r="F11" s="15" t="s">
        <v>237</v>
      </c>
    </row>
    <row r="12" spans="1:6" outlineLevel="1" x14ac:dyDescent="0.2">
      <c r="D12" s="40" t="str">
        <f>SOCMOB_DETAILED_COST_WKSHT!D19</f>
        <v>USD</v>
      </c>
      <c r="F12" s="15"/>
    </row>
    <row r="13" spans="1:6" outlineLevel="1" x14ac:dyDescent="0.2">
      <c r="D13" s="40" t="str">
        <f>SOCMOB_DETAILED_COST_WKSHT!D20</f>
        <v>LCU</v>
      </c>
      <c r="F13" s="15"/>
    </row>
    <row r="14" spans="1:6" outlineLevel="1" x14ac:dyDescent="0.2"/>
    <row r="15" spans="1:6" outlineLevel="1" x14ac:dyDescent="0.2"/>
    <row r="16" spans="1:6" s="65" customFormat="1" outlineLevel="1" x14ac:dyDescent="0.2">
      <c r="A16"/>
      <c r="B16"/>
      <c r="C16" s="494" t="s">
        <v>66</v>
      </c>
      <c r="D16" s="494"/>
      <c r="E16" s="494"/>
      <c r="F16" s="65" t="s">
        <v>21</v>
      </c>
    </row>
    <row r="17" spans="1:6" outlineLevel="1" x14ac:dyDescent="0.2"/>
    <row r="18" spans="1:6" outlineLevel="1" x14ac:dyDescent="0.2">
      <c r="D18" s="17" t="s">
        <v>67</v>
      </c>
      <c r="F18" s="15" t="s">
        <v>238</v>
      </c>
    </row>
    <row r="19" spans="1:6" outlineLevel="1" x14ac:dyDescent="0.2">
      <c r="D19" s="16" t="str">
        <f>Lang_Cost_Projection</f>
        <v>Cost Projection</v>
      </c>
      <c r="F19" s="15"/>
    </row>
    <row r="20" spans="1:6" outlineLevel="1" x14ac:dyDescent="0.2">
      <c r="D20" s="16" t="str">
        <f>Lang_Retrospective_Costing</f>
        <v>Retrospective Costing</v>
      </c>
      <c r="F20" s="15"/>
    </row>
    <row r="21" spans="1:6" outlineLevel="1" x14ac:dyDescent="0.2"/>
    <row r="22" spans="1:6" outlineLevel="1" x14ac:dyDescent="0.2"/>
    <row r="23" spans="1:6" s="65" customFormat="1" outlineLevel="1" x14ac:dyDescent="0.2">
      <c r="A23"/>
      <c r="B23"/>
      <c r="C23" s="494" t="s">
        <v>218</v>
      </c>
      <c r="D23" s="494"/>
      <c r="E23" s="494"/>
      <c r="F23" s="65" t="s">
        <v>21</v>
      </c>
    </row>
    <row r="24" spans="1:6" outlineLevel="1" x14ac:dyDescent="0.2"/>
    <row r="25" spans="1:6" outlineLevel="1" x14ac:dyDescent="0.2">
      <c r="D25" s="17" t="s">
        <v>218</v>
      </c>
      <c r="F25" s="15" t="s">
        <v>239</v>
      </c>
    </row>
    <row r="26" spans="1:6" outlineLevel="1" x14ac:dyDescent="0.2">
      <c r="D26" s="16" t="str">
        <f>Lang_Introduction</f>
        <v>Introduction</v>
      </c>
      <c r="F26" s="15"/>
    </row>
    <row r="27" spans="1:6" outlineLevel="1" x14ac:dyDescent="0.2">
      <c r="D27" s="16" t="str">
        <f>Lang_Recurrent</f>
        <v>Recurrent</v>
      </c>
      <c r="F27" s="15"/>
    </row>
    <row r="28" spans="1:6" outlineLevel="1" x14ac:dyDescent="0.2"/>
    <row r="29" spans="1:6" s="65" customFormat="1" outlineLevel="1" x14ac:dyDescent="0.2">
      <c r="A29"/>
      <c r="B29"/>
      <c r="C29" s="494" t="s">
        <v>220</v>
      </c>
      <c r="D29" s="494"/>
      <c r="E29" s="494"/>
      <c r="F29" s="65" t="s">
        <v>21</v>
      </c>
    </row>
    <row r="30" spans="1:6" outlineLevel="1" x14ac:dyDescent="0.2"/>
    <row r="31" spans="1:6" outlineLevel="1" x14ac:dyDescent="0.2">
      <c r="D31" s="17" t="s">
        <v>220</v>
      </c>
      <c r="F31" s="15" t="s">
        <v>240</v>
      </c>
    </row>
    <row r="32" spans="1:6" outlineLevel="1" x14ac:dyDescent="0.2">
      <c r="D32" s="16" t="str">
        <f>Lang_Fin</f>
        <v>Financial</v>
      </c>
      <c r="F32" s="15"/>
    </row>
    <row r="33" spans="1:6" outlineLevel="1" x14ac:dyDescent="0.2">
      <c r="D33" s="16" t="str">
        <f>Lang_Econ</f>
        <v>Economic</v>
      </c>
      <c r="F33" s="15"/>
    </row>
    <row r="34" spans="1:6" outlineLevel="1" x14ac:dyDescent="0.2"/>
    <row r="35" spans="1:6" s="65" customFormat="1" outlineLevel="1" x14ac:dyDescent="0.2">
      <c r="A35"/>
      <c r="B35"/>
      <c r="C35" s="494" t="s">
        <v>221</v>
      </c>
      <c r="D35" s="494"/>
      <c r="E35" s="494"/>
      <c r="F35" s="65" t="s">
        <v>21</v>
      </c>
    </row>
    <row r="36" spans="1:6" outlineLevel="1" x14ac:dyDescent="0.2"/>
    <row r="37" spans="1:6" outlineLevel="1" x14ac:dyDescent="0.2">
      <c r="D37" s="17" t="s">
        <v>221</v>
      </c>
      <c r="F37" s="15" t="s">
        <v>241</v>
      </c>
    </row>
    <row r="38" spans="1:6" outlineLevel="1" x14ac:dyDescent="0.2">
      <c r="D38" s="16" t="str">
        <f>Lang_Use_Detailed_Cost_Worksheet</f>
        <v>Use Detailed Cost Worksheet</v>
      </c>
      <c r="F38" s="15"/>
    </row>
    <row r="39" spans="1:6" outlineLevel="1" x14ac:dyDescent="0.2">
      <c r="D39" s="16" t="str">
        <f>Lang_Enter_Cost_Estimates_Directly</f>
        <v>Enter Cost Estimates Directly</v>
      </c>
      <c r="F39" s="15"/>
    </row>
    <row r="41" spans="1:6" s="13" customFormat="1" x14ac:dyDescent="0.2">
      <c r="A41"/>
      <c r="B41" s="13" t="str">
        <f>Lang_SOC_MOB_Level_1_2_Lookups</f>
        <v>SOC MOB Level 1 (2) - Lookups</v>
      </c>
    </row>
    <row r="42" spans="1:6" outlineLevel="1" x14ac:dyDescent="0.2"/>
    <row r="43" spans="1:6" outlineLevel="1" x14ac:dyDescent="0.2"/>
    <row r="44" spans="1:6" s="65" customFormat="1" outlineLevel="1" x14ac:dyDescent="0.2">
      <c r="A44"/>
      <c r="B44"/>
      <c r="C44" s="494" t="s">
        <v>65</v>
      </c>
      <c r="D44" s="494"/>
      <c r="E44" s="494"/>
      <c r="F44" s="65" t="s">
        <v>21</v>
      </c>
    </row>
    <row r="45" spans="1:6" outlineLevel="1" x14ac:dyDescent="0.2"/>
    <row r="46" spans="1:6" outlineLevel="1" x14ac:dyDescent="0.2">
      <c r="D46" s="17" t="s">
        <v>215</v>
      </c>
      <c r="F46" s="15" t="s">
        <v>237</v>
      </c>
    </row>
    <row r="47" spans="1:6" outlineLevel="1" x14ac:dyDescent="0.2">
      <c r="D47" s="40" t="str">
        <f>SOCMOB_DETAILED_COST_WKSHT!D116</f>
        <v>USD</v>
      </c>
      <c r="F47" s="15"/>
    </row>
    <row r="48" spans="1:6" outlineLevel="1" x14ac:dyDescent="0.2">
      <c r="D48" s="40" t="str">
        <f>SOCMOB_DETAILED_COST_WKSHT!D117</f>
        <v>LCU</v>
      </c>
      <c r="F48" s="15"/>
    </row>
    <row r="49" spans="1:6" outlineLevel="1" x14ac:dyDescent="0.2"/>
    <row r="50" spans="1:6" outlineLevel="1" x14ac:dyDescent="0.2"/>
    <row r="51" spans="1:6" s="65" customFormat="1" outlineLevel="1" x14ac:dyDescent="0.2">
      <c r="A51"/>
      <c r="B51"/>
      <c r="C51" s="494" t="s">
        <v>66</v>
      </c>
      <c r="D51" s="494"/>
      <c r="E51" s="494"/>
      <c r="F51" s="65" t="s">
        <v>21</v>
      </c>
    </row>
    <row r="52" spans="1:6" outlineLevel="1" x14ac:dyDescent="0.2"/>
    <row r="53" spans="1:6" outlineLevel="1" x14ac:dyDescent="0.2">
      <c r="D53" s="17" t="s">
        <v>67</v>
      </c>
      <c r="F53" s="15" t="s">
        <v>238</v>
      </c>
    </row>
    <row r="54" spans="1:6" outlineLevel="1" x14ac:dyDescent="0.2">
      <c r="D54" s="16" t="str">
        <f>Lang_Cost_Projection</f>
        <v>Cost Projection</v>
      </c>
      <c r="F54" s="15"/>
    </row>
    <row r="55" spans="1:6" outlineLevel="1" x14ac:dyDescent="0.2">
      <c r="D55" s="16" t="str">
        <f>Lang_Retrospective_Costing</f>
        <v>Retrospective Costing</v>
      </c>
      <c r="F55" s="15"/>
    </row>
    <row r="56" spans="1:6" outlineLevel="1" x14ac:dyDescent="0.2"/>
    <row r="57" spans="1:6" outlineLevel="1" x14ac:dyDescent="0.2"/>
    <row r="58" spans="1:6" s="65" customFormat="1" outlineLevel="1" x14ac:dyDescent="0.2">
      <c r="A58"/>
      <c r="B58"/>
      <c r="C58" s="494" t="s">
        <v>218</v>
      </c>
      <c r="D58" s="494"/>
      <c r="E58" s="494"/>
      <c r="F58" s="65" t="s">
        <v>21</v>
      </c>
    </row>
    <row r="59" spans="1:6" outlineLevel="1" x14ac:dyDescent="0.2"/>
    <row r="60" spans="1:6" outlineLevel="1" x14ac:dyDescent="0.2">
      <c r="D60" s="17" t="s">
        <v>218</v>
      </c>
      <c r="F60" s="15" t="s">
        <v>239</v>
      </c>
    </row>
    <row r="61" spans="1:6" outlineLevel="1" x14ac:dyDescent="0.2">
      <c r="D61" s="16" t="str">
        <f>Lang_Introduction</f>
        <v>Introduction</v>
      </c>
      <c r="F61" s="15"/>
    </row>
    <row r="62" spans="1:6" outlineLevel="1" x14ac:dyDescent="0.2">
      <c r="D62" s="16" t="str">
        <f>Lang_Recurrent</f>
        <v>Recurrent</v>
      </c>
      <c r="F62" s="15"/>
    </row>
    <row r="63" spans="1:6" outlineLevel="1" x14ac:dyDescent="0.2"/>
    <row r="64" spans="1:6" s="65" customFormat="1" outlineLevel="1" x14ac:dyDescent="0.2">
      <c r="A64"/>
      <c r="B64"/>
      <c r="C64" s="494" t="s">
        <v>220</v>
      </c>
      <c r="D64" s="494"/>
      <c r="E64" s="494"/>
      <c r="F64" s="65" t="s">
        <v>21</v>
      </c>
    </row>
    <row r="65" spans="1:6" outlineLevel="1" x14ac:dyDescent="0.2"/>
    <row r="66" spans="1:6" outlineLevel="1" x14ac:dyDescent="0.2">
      <c r="D66" s="17" t="s">
        <v>220</v>
      </c>
      <c r="F66" s="15" t="s">
        <v>240</v>
      </c>
    </row>
    <row r="67" spans="1:6" outlineLevel="1" x14ac:dyDescent="0.2">
      <c r="D67" s="16" t="str">
        <f>Lang_Fin</f>
        <v>Financial</v>
      </c>
      <c r="F67" s="15"/>
    </row>
    <row r="68" spans="1:6" outlineLevel="1" x14ac:dyDescent="0.2">
      <c r="D68" s="16" t="str">
        <f>Lang_Econ</f>
        <v>Economic</v>
      </c>
      <c r="F68" s="15"/>
    </row>
    <row r="69" spans="1:6" outlineLevel="1" x14ac:dyDescent="0.2"/>
    <row r="70" spans="1:6" s="65" customFormat="1" outlineLevel="1" x14ac:dyDescent="0.2">
      <c r="A70"/>
      <c r="B70"/>
      <c r="C70" s="494" t="s">
        <v>221</v>
      </c>
      <c r="D70" s="494"/>
      <c r="E70" s="494"/>
      <c r="F70" s="65" t="s">
        <v>21</v>
      </c>
    </row>
    <row r="71" spans="1:6" outlineLevel="1" x14ac:dyDescent="0.2"/>
    <row r="72" spans="1:6" outlineLevel="1" x14ac:dyDescent="0.2">
      <c r="D72" s="17" t="s">
        <v>221</v>
      </c>
      <c r="F72" s="15" t="s">
        <v>241</v>
      </c>
    </row>
    <row r="73" spans="1:6" outlineLevel="1" x14ac:dyDescent="0.2">
      <c r="D73" s="16" t="str">
        <f>Lang_Use_Detailed_Cost_Worksheet</f>
        <v>Use Detailed Cost Worksheet</v>
      </c>
      <c r="F73" s="15"/>
    </row>
    <row r="74" spans="1:6" outlineLevel="1" x14ac:dyDescent="0.2">
      <c r="D74" s="16" t="str">
        <f>Lang_Enter_Cost_Estimates_Directly</f>
        <v>Enter Cost Estimates Directly</v>
      </c>
      <c r="F74" s="15"/>
    </row>
    <row r="76" spans="1:6" s="13" customFormat="1" x14ac:dyDescent="0.2">
      <c r="A76"/>
      <c r="B76" s="13" t="str">
        <f>Lang_SOC_MOB_Level_1_3_Lookups</f>
        <v>SOC MOB Level 1 (3) - Lookups</v>
      </c>
    </row>
    <row r="77" spans="1:6" outlineLevel="1" x14ac:dyDescent="0.2"/>
    <row r="78" spans="1:6" outlineLevel="1" x14ac:dyDescent="0.2"/>
    <row r="79" spans="1:6" s="65" customFormat="1" outlineLevel="1" x14ac:dyDescent="0.2">
      <c r="A79"/>
      <c r="B79"/>
      <c r="C79" s="494" t="s">
        <v>65</v>
      </c>
      <c r="D79" s="494"/>
      <c r="E79" s="494"/>
      <c r="F79" s="65" t="s">
        <v>21</v>
      </c>
    </row>
    <row r="80" spans="1:6" outlineLevel="1" x14ac:dyDescent="0.2"/>
    <row r="81" spans="1:6" outlineLevel="1" x14ac:dyDescent="0.2">
      <c r="D81" s="17" t="s">
        <v>215</v>
      </c>
      <c r="F81" s="15" t="s">
        <v>237</v>
      </c>
    </row>
    <row r="82" spans="1:6" outlineLevel="1" x14ac:dyDescent="0.2">
      <c r="D82" s="40" t="str">
        <f>SOCMOB_DETAILED_COST_WKSHT!D213</f>
        <v>USD</v>
      </c>
      <c r="F82" s="15"/>
    </row>
    <row r="83" spans="1:6" outlineLevel="1" x14ac:dyDescent="0.2">
      <c r="D83" s="40" t="str">
        <f>SOCMOB_DETAILED_COST_WKSHT!D214</f>
        <v>LCU</v>
      </c>
      <c r="F83" s="15"/>
    </row>
    <row r="84" spans="1:6" outlineLevel="1" x14ac:dyDescent="0.2"/>
    <row r="85" spans="1:6" outlineLevel="1" x14ac:dyDescent="0.2"/>
    <row r="86" spans="1:6" s="65" customFormat="1" outlineLevel="1" x14ac:dyDescent="0.2">
      <c r="A86"/>
      <c r="B86"/>
      <c r="C86" s="494" t="s">
        <v>66</v>
      </c>
      <c r="D86" s="494"/>
      <c r="E86" s="494"/>
      <c r="F86" s="65" t="s">
        <v>21</v>
      </c>
    </row>
    <row r="87" spans="1:6" outlineLevel="1" x14ac:dyDescent="0.2"/>
    <row r="88" spans="1:6" outlineLevel="1" x14ac:dyDescent="0.2">
      <c r="D88" s="17" t="s">
        <v>67</v>
      </c>
      <c r="F88" s="15" t="s">
        <v>238</v>
      </c>
    </row>
    <row r="89" spans="1:6" outlineLevel="1" x14ac:dyDescent="0.2">
      <c r="D89" s="16" t="str">
        <f>Lang_Cost_Projection</f>
        <v>Cost Projection</v>
      </c>
      <c r="F89" s="15"/>
    </row>
    <row r="90" spans="1:6" outlineLevel="1" x14ac:dyDescent="0.2">
      <c r="D90" s="16" t="str">
        <f>Lang_Retrospective_Costing</f>
        <v>Retrospective Costing</v>
      </c>
      <c r="F90" s="15"/>
    </row>
    <row r="91" spans="1:6" outlineLevel="1" x14ac:dyDescent="0.2"/>
    <row r="92" spans="1:6" outlineLevel="1" x14ac:dyDescent="0.2"/>
    <row r="93" spans="1:6" s="65" customFormat="1" outlineLevel="1" x14ac:dyDescent="0.2">
      <c r="A93"/>
      <c r="B93"/>
      <c r="C93" s="494" t="s">
        <v>218</v>
      </c>
      <c r="D93" s="494"/>
      <c r="E93" s="494"/>
      <c r="F93" s="65" t="s">
        <v>21</v>
      </c>
    </row>
    <row r="94" spans="1:6" outlineLevel="1" x14ac:dyDescent="0.2"/>
    <row r="95" spans="1:6" outlineLevel="1" x14ac:dyDescent="0.2">
      <c r="D95" s="17" t="s">
        <v>218</v>
      </c>
      <c r="F95" s="15" t="s">
        <v>239</v>
      </c>
    </row>
    <row r="96" spans="1:6" outlineLevel="1" x14ac:dyDescent="0.2">
      <c r="D96" s="16" t="str">
        <f>Lang_Introduction</f>
        <v>Introduction</v>
      </c>
      <c r="F96" s="15"/>
    </row>
    <row r="97" spans="1:6" outlineLevel="1" x14ac:dyDescent="0.2">
      <c r="D97" s="16" t="str">
        <f>Lang_Recurrent</f>
        <v>Recurrent</v>
      </c>
      <c r="F97" s="15"/>
    </row>
    <row r="98" spans="1:6" outlineLevel="1" x14ac:dyDescent="0.2"/>
    <row r="99" spans="1:6" s="65" customFormat="1" outlineLevel="1" x14ac:dyDescent="0.2">
      <c r="A99"/>
      <c r="B99"/>
      <c r="C99" s="494" t="s">
        <v>220</v>
      </c>
      <c r="D99" s="494"/>
      <c r="E99" s="494"/>
      <c r="F99" s="65" t="s">
        <v>21</v>
      </c>
    </row>
    <row r="100" spans="1:6" outlineLevel="1" x14ac:dyDescent="0.2"/>
    <row r="101" spans="1:6" outlineLevel="1" x14ac:dyDescent="0.2">
      <c r="D101" s="17" t="s">
        <v>220</v>
      </c>
      <c r="F101" s="15" t="s">
        <v>240</v>
      </c>
    </row>
    <row r="102" spans="1:6" outlineLevel="1" x14ac:dyDescent="0.2">
      <c r="D102" s="16" t="str">
        <f>Lang_Fin</f>
        <v>Financial</v>
      </c>
      <c r="F102" s="15"/>
    </row>
    <row r="103" spans="1:6" outlineLevel="1" x14ac:dyDescent="0.2">
      <c r="D103" s="16" t="str">
        <f>Lang_Econ</f>
        <v>Economic</v>
      </c>
      <c r="F103" s="15"/>
    </row>
    <row r="104" spans="1:6" outlineLevel="1" x14ac:dyDescent="0.2"/>
    <row r="105" spans="1:6" s="65" customFormat="1" outlineLevel="1" x14ac:dyDescent="0.2">
      <c r="A105"/>
      <c r="B105"/>
      <c r="C105" s="494" t="s">
        <v>221</v>
      </c>
      <c r="D105" s="494"/>
      <c r="E105" s="494"/>
      <c r="F105" s="65" t="s">
        <v>21</v>
      </c>
    </row>
    <row r="106" spans="1:6" outlineLevel="1" x14ac:dyDescent="0.2"/>
    <row r="107" spans="1:6" outlineLevel="1" x14ac:dyDescent="0.2">
      <c r="D107" s="17" t="s">
        <v>221</v>
      </c>
      <c r="F107" s="15" t="s">
        <v>241</v>
      </c>
    </row>
    <row r="108" spans="1:6" outlineLevel="1" x14ac:dyDescent="0.2">
      <c r="D108" s="16" t="str">
        <f>Lang_Use_Detailed_Cost_Worksheet</f>
        <v>Use Detailed Cost Worksheet</v>
      </c>
      <c r="F108" s="15"/>
    </row>
    <row r="109" spans="1:6" outlineLevel="1" x14ac:dyDescent="0.2">
      <c r="D109" s="16" t="str">
        <f>Lang_Enter_Cost_Estimates_Directly</f>
        <v>Enter Cost Estimates Directly</v>
      </c>
      <c r="F109" s="15"/>
    </row>
    <row r="111" spans="1:6" s="13" customFormat="1" x14ac:dyDescent="0.2">
      <c r="A111"/>
      <c r="B111" s="13" t="str">
        <f>Lang_SOC_MOB_Level_2_1_Lookups</f>
        <v>SOC MOB Level 2 (1) - Lookups</v>
      </c>
    </row>
    <row r="112" spans="1:6" outlineLevel="1" x14ac:dyDescent="0.2"/>
    <row r="113" spans="1:6" outlineLevel="1" x14ac:dyDescent="0.2"/>
    <row r="114" spans="1:6" s="65" customFormat="1" outlineLevel="1" x14ac:dyDescent="0.2">
      <c r="A114"/>
      <c r="B114"/>
      <c r="C114" s="494" t="s">
        <v>65</v>
      </c>
      <c r="D114" s="494"/>
      <c r="E114" s="494"/>
      <c r="F114" s="65" t="s">
        <v>21</v>
      </c>
    </row>
    <row r="115" spans="1:6" outlineLevel="1" x14ac:dyDescent="0.2"/>
    <row r="116" spans="1:6" outlineLevel="1" x14ac:dyDescent="0.2">
      <c r="D116" s="17" t="s">
        <v>215</v>
      </c>
      <c r="F116" s="15" t="s">
        <v>242</v>
      </c>
    </row>
    <row r="117" spans="1:6" outlineLevel="1" x14ac:dyDescent="0.2">
      <c r="D117" s="40" t="str">
        <f>SOCMOB_DETAILED_COST_WKSHT!D312</f>
        <v>USD</v>
      </c>
      <c r="F117" s="15"/>
    </row>
    <row r="118" spans="1:6" outlineLevel="1" x14ac:dyDescent="0.2">
      <c r="D118" s="40" t="str">
        <f>SOCMOB_DETAILED_COST_WKSHT!D313</f>
        <v>LCU</v>
      </c>
      <c r="F118" s="15"/>
    </row>
    <row r="119" spans="1:6" outlineLevel="1" x14ac:dyDescent="0.2"/>
    <row r="120" spans="1:6" outlineLevel="1" x14ac:dyDescent="0.2"/>
    <row r="121" spans="1:6" s="65" customFormat="1" outlineLevel="1" x14ac:dyDescent="0.2">
      <c r="A121"/>
      <c r="B121"/>
      <c r="C121" s="494" t="s">
        <v>66</v>
      </c>
      <c r="D121" s="494"/>
      <c r="E121" s="494"/>
      <c r="F121" s="65" t="s">
        <v>21</v>
      </c>
    </row>
    <row r="122" spans="1:6" outlineLevel="1" x14ac:dyDescent="0.2"/>
    <row r="123" spans="1:6" outlineLevel="1" x14ac:dyDescent="0.2">
      <c r="D123" s="17" t="s">
        <v>67</v>
      </c>
      <c r="F123" s="15" t="s">
        <v>243</v>
      </c>
    </row>
    <row r="124" spans="1:6" outlineLevel="1" x14ac:dyDescent="0.2">
      <c r="D124" s="16" t="str">
        <f>Lang_Cost_Projection</f>
        <v>Cost Projection</v>
      </c>
      <c r="F124" s="15"/>
    </row>
    <row r="125" spans="1:6" outlineLevel="1" x14ac:dyDescent="0.2">
      <c r="D125" s="16" t="str">
        <f>Lang_Retrospective_Costing</f>
        <v>Retrospective Costing</v>
      </c>
      <c r="F125" s="15"/>
    </row>
    <row r="126" spans="1:6" outlineLevel="1" x14ac:dyDescent="0.2"/>
    <row r="127" spans="1:6" outlineLevel="1" x14ac:dyDescent="0.2"/>
    <row r="128" spans="1:6" s="65" customFormat="1" outlineLevel="1" x14ac:dyDescent="0.2">
      <c r="A128"/>
      <c r="B128"/>
      <c r="C128" s="494" t="s">
        <v>218</v>
      </c>
      <c r="D128" s="494"/>
      <c r="E128" s="494"/>
      <c r="F128" s="65" t="s">
        <v>21</v>
      </c>
    </row>
    <row r="129" spans="1:6" outlineLevel="1" x14ac:dyDescent="0.2"/>
    <row r="130" spans="1:6" outlineLevel="1" x14ac:dyDescent="0.2">
      <c r="D130" s="17" t="s">
        <v>218</v>
      </c>
      <c r="F130" s="15" t="s">
        <v>244</v>
      </c>
    </row>
    <row r="131" spans="1:6" outlineLevel="1" x14ac:dyDescent="0.2">
      <c r="D131" s="16" t="str">
        <f>Lang_Introduction</f>
        <v>Introduction</v>
      </c>
      <c r="F131" s="15"/>
    </row>
    <row r="132" spans="1:6" outlineLevel="1" x14ac:dyDescent="0.2">
      <c r="D132" s="16" t="str">
        <f>Lang_Recurrent</f>
        <v>Recurrent</v>
      </c>
      <c r="F132" s="15"/>
    </row>
    <row r="133" spans="1:6" outlineLevel="1" x14ac:dyDescent="0.2"/>
    <row r="134" spans="1:6" s="65" customFormat="1" outlineLevel="1" x14ac:dyDescent="0.2">
      <c r="A134"/>
      <c r="B134"/>
      <c r="C134" s="494" t="s">
        <v>220</v>
      </c>
      <c r="D134" s="494"/>
      <c r="E134" s="494"/>
      <c r="F134" s="65" t="s">
        <v>21</v>
      </c>
    </row>
    <row r="135" spans="1:6" outlineLevel="1" x14ac:dyDescent="0.2"/>
    <row r="136" spans="1:6" outlineLevel="1" x14ac:dyDescent="0.2">
      <c r="D136" s="17" t="s">
        <v>220</v>
      </c>
      <c r="F136" s="15" t="s">
        <v>245</v>
      </c>
    </row>
    <row r="137" spans="1:6" outlineLevel="1" x14ac:dyDescent="0.2">
      <c r="D137" s="16" t="str">
        <f>Lang_Fin</f>
        <v>Financial</v>
      </c>
      <c r="F137" s="15"/>
    </row>
    <row r="138" spans="1:6" outlineLevel="1" x14ac:dyDescent="0.2">
      <c r="D138" s="16" t="str">
        <f>Lang_Econ</f>
        <v>Economic</v>
      </c>
      <c r="F138" s="15"/>
    </row>
    <row r="139" spans="1:6" outlineLevel="1" x14ac:dyDescent="0.2"/>
    <row r="140" spans="1:6" s="65" customFormat="1" outlineLevel="1" x14ac:dyDescent="0.2">
      <c r="A140"/>
      <c r="B140"/>
      <c r="C140" s="494" t="s">
        <v>221</v>
      </c>
      <c r="D140" s="494"/>
      <c r="E140" s="494"/>
      <c r="F140" s="65" t="s">
        <v>21</v>
      </c>
    </row>
    <row r="141" spans="1:6" outlineLevel="1" x14ac:dyDescent="0.2"/>
    <row r="142" spans="1:6" outlineLevel="1" x14ac:dyDescent="0.2">
      <c r="D142" s="17" t="s">
        <v>221</v>
      </c>
      <c r="F142" s="15" t="s">
        <v>246</v>
      </c>
    </row>
    <row r="143" spans="1:6" outlineLevel="1" x14ac:dyDescent="0.2">
      <c r="D143" s="16" t="str">
        <f>Lang_Use_Detailed_Cost_Worksheet</f>
        <v>Use Detailed Cost Worksheet</v>
      </c>
      <c r="F143" s="15"/>
    </row>
    <row r="144" spans="1:6" outlineLevel="1" x14ac:dyDescent="0.2">
      <c r="D144" s="16" t="str">
        <f>Lang_Enter_Cost_Estimates_Directly</f>
        <v>Enter Cost Estimates Directly</v>
      </c>
      <c r="F144" s="15"/>
    </row>
    <row r="146" spans="1:6" s="13" customFormat="1" x14ac:dyDescent="0.2">
      <c r="A146"/>
      <c r="B146" s="13" t="str">
        <f>Lang_SOC_MOB_Level_2_2_Lookups</f>
        <v>SOC MOB Level 2 (2) - Lookups</v>
      </c>
    </row>
    <row r="147" spans="1:6" outlineLevel="1" x14ac:dyDescent="0.2"/>
    <row r="148" spans="1:6" outlineLevel="1" x14ac:dyDescent="0.2"/>
    <row r="149" spans="1:6" s="65" customFormat="1" outlineLevel="1" x14ac:dyDescent="0.2">
      <c r="A149"/>
      <c r="B149"/>
      <c r="C149" s="494" t="s">
        <v>65</v>
      </c>
      <c r="D149" s="494"/>
      <c r="E149" s="494"/>
      <c r="F149" s="65" t="s">
        <v>21</v>
      </c>
    </row>
    <row r="150" spans="1:6" outlineLevel="1" x14ac:dyDescent="0.2"/>
    <row r="151" spans="1:6" outlineLevel="1" x14ac:dyDescent="0.2">
      <c r="D151" s="17" t="s">
        <v>215</v>
      </c>
      <c r="F151" s="15" t="s">
        <v>242</v>
      </c>
    </row>
    <row r="152" spans="1:6" outlineLevel="1" x14ac:dyDescent="0.2">
      <c r="D152" s="40" t="str">
        <f>SOCMOB_DETAILED_COST_WKSHT!D411</f>
        <v>USD</v>
      </c>
      <c r="F152" s="15"/>
    </row>
    <row r="153" spans="1:6" outlineLevel="1" x14ac:dyDescent="0.2">
      <c r="D153" s="40" t="str">
        <f>SOCMOB_DETAILED_COST_WKSHT!D412</f>
        <v>LCU</v>
      </c>
      <c r="F153" s="15"/>
    </row>
    <row r="154" spans="1:6" outlineLevel="1" x14ac:dyDescent="0.2"/>
    <row r="155" spans="1:6" outlineLevel="1" x14ac:dyDescent="0.2"/>
    <row r="156" spans="1:6" s="65" customFormat="1" outlineLevel="1" x14ac:dyDescent="0.2">
      <c r="A156"/>
      <c r="B156"/>
      <c r="C156" s="494" t="s">
        <v>66</v>
      </c>
      <c r="D156" s="494"/>
      <c r="E156" s="494"/>
      <c r="F156" s="65" t="s">
        <v>21</v>
      </c>
    </row>
    <row r="157" spans="1:6" outlineLevel="1" x14ac:dyDescent="0.2"/>
    <row r="158" spans="1:6" outlineLevel="1" x14ac:dyDescent="0.2">
      <c r="D158" s="17" t="s">
        <v>67</v>
      </c>
      <c r="F158" s="15" t="s">
        <v>243</v>
      </c>
    </row>
    <row r="159" spans="1:6" outlineLevel="1" x14ac:dyDescent="0.2">
      <c r="D159" s="16" t="str">
        <f>Lang_Cost_Projection</f>
        <v>Cost Projection</v>
      </c>
      <c r="F159" s="15"/>
    </row>
    <row r="160" spans="1:6" outlineLevel="1" x14ac:dyDescent="0.2">
      <c r="D160" s="16" t="str">
        <f>Lang_Retrospective_Costing</f>
        <v>Retrospective Costing</v>
      </c>
      <c r="F160" s="15"/>
    </row>
    <row r="161" spans="1:6" outlineLevel="1" x14ac:dyDescent="0.2"/>
    <row r="162" spans="1:6" outlineLevel="1" x14ac:dyDescent="0.2"/>
    <row r="163" spans="1:6" s="65" customFormat="1" outlineLevel="1" x14ac:dyDescent="0.2">
      <c r="A163"/>
      <c r="B163"/>
      <c r="C163" s="494" t="s">
        <v>218</v>
      </c>
      <c r="D163" s="494"/>
      <c r="E163" s="494"/>
      <c r="F163" s="65" t="s">
        <v>21</v>
      </c>
    </row>
    <row r="164" spans="1:6" outlineLevel="1" x14ac:dyDescent="0.2"/>
    <row r="165" spans="1:6" outlineLevel="1" x14ac:dyDescent="0.2">
      <c r="D165" s="17" t="s">
        <v>218</v>
      </c>
      <c r="F165" s="15" t="s">
        <v>244</v>
      </c>
    </row>
    <row r="166" spans="1:6" outlineLevel="1" x14ac:dyDescent="0.2">
      <c r="D166" s="16" t="str">
        <f>Lang_Introduction</f>
        <v>Introduction</v>
      </c>
      <c r="F166" s="15"/>
    </row>
    <row r="167" spans="1:6" outlineLevel="1" x14ac:dyDescent="0.2">
      <c r="D167" s="16" t="str">
        <f>Lang_Recurrent</f>
        <v>Recurrent</v>
      </c>
      <c r="F167" s="15"/>
    </row>
    <row r="168" spans="1:6" outlineLevel="1" x14ac:dyDescent="0.2"/>
    <row r="169" spans="1:6" s="65" customFormat="1" outlineLevel="1" x14ac:dyDescent="0.2">
      <c r="A169"/>
      <c r="B169"/>
      <c r="C169" s="494" t="s">
        <v>220</v>
      </c>
      <c r="D169" s="494"/>
      <c r="E169" s="494"/>
      <c r="F169" s="65" t="s">
        <v>21</v>
      </c>
    </row>
    <row r="170" spans="1:6" outlineLevel="1" x14ac:dyDescent="0.2"/>
    <row r="171" spans="1:6" outlineLevel="1" x14ac:dyDescent="0.2">
      <c r="D171" s="17" t="s">
        <v>220</v>
      </c>
      <c r="F171" s="15" t="s">
        <v>245</v>
      </c>
    </row>
    <row r="172" spans="1:6" outlineLevel="1" x14ac:dyDescent="0.2">
      <c r="D172" s="16" t="str">
        <f>Lang_Fin</f>
        <v>Financial</v>
      </c>
      <c r="F172" s="15"/>
    </row>
    <row r="173" spans="1:6" outlineLevel="1" x14ac:dyDescent="0.2">
      <c r="D173" s="16" t="str">
        <f>Lang_Econ</f>
        <v>Economic</v>
      </c>
      <c r="F173" s="15"/>
    </row>
    <row r="174" spans="1:6" outlineLevel="1" x14ac:dyDescent="0.2"/>
    <row r="175" spans="1:6" s="65" customFormat="1" outlineLevel="1" x14ac:dyDescent="0.2">
      <c r="A175"/>
      <c r="B175"/>
      <c r="C175" s="494" t="s">
        <v>221</v>
      </c>
      <c r="D175" s="494"/>
      <c r="E175" s="494"/>
      <c r="F175" s="65" t="s">
        <v>21</v>
      </c>
    </row>
    <row r="176" spans="1:6" outlineLevel="1" x14ac:dyDescent="0.2"/>
    <row r="177" spans="1:6" outlineLevel="1" x14ac:dyDescent="0.2">
      <c r="D177" s="17" t="s">
        <v>221</v>
      </c>
      <c r="F177" s="15" t="s">
        <v>246</v>
      </c>
    </row>
    <row r="178" spans="1:6" outlineLevel="1" x14ac:dyDescent="0.2">
      <c r="D178" s="16" t="str">
        <f>Lang_Use_Detailed_Cost_Worksheet</f>
        <v>Use Detailed Cost Worksheet</v>
      </c>
      <c r="F178" s="15"/>
    </row>
    <row r="179" spans="1:6" outlineLevel="1" x14ac:dyDescent="0.2">
      <c r="D179" s="16" t="str">
        <f>Lang_Enter_Cost_Estimates_Directly</f>
        <v>Enter Cost Estimates Directly</v>
      </c>
      <c r="F179" s="15"/>
    </row>
    <row r="181" spans="1:6" s="13" customFormat="1" x14ac:dyDescent="0.2">
      <c r="A181"/>
      <c r="B181" s="13" t="str">
        <f>Lang_SOC_MOB_Level_2_3_Lookups</f>
        <v>SOC MOB Level 2 (3) - Lookups</v>
      </c>
    </row>
    <row r="182" spans="1:6" outlineLevel="1" x14ac:dyDescent="0.2"/>
    <row r="183" spans="1:6" outlineLevel="1" x14ac:dyDescent="0.2"/>
    <row r="184" spans="1:6" s="65" customFormat="1" outlineLevel="1" x14ac:dyDescent="0.2">
      <c r="A184"/>
      <c r="B184"/>
      <c r="C184" s="494" t="s">
        <v>65</v>
      </c>
      <c r="D184" s="494"/>
      <c r="E184" s="494"/>
      <c r="F184" s="65" t="s">
        <v>21</v>
      </c>
    </row>
    <row r="185" spans="1:6" outlineLevel="1" x14ac:dyDescent="0.2"/>
    <row r="186" spans="1:6" outlineLevel="1" x14ac:dyDescent="0.2">
      <c r="D186" s="17" t="s">
        <v>215</v>
      </c>
      <c r="F186" s="15" t="s">
        <v>242</v>
      </c>
    </row>
    <row r="187" spans="1:6" outlineLevel="1" x14ac:dyDescent="0.2">
      <c r="D187" s="40" t="str">
        <f>SOCMOB_DETAILED_COST_WKSHT!D510</f>
        <v>USD</v>
      </c>
      <c r="F187" s="15"/>
    </row>
    <row r="188" spans="1:6" outlineLevel="1" x14ac:dyDescent="0.2">
      <c r="D188" s="40" t="str">
        <f>SOCMOB_DETAILED_COST_WKSHT!D511</f>
        <v>LCU</v>
      </c>
      <c r="F188" s="15"/>
    </row>
    <row r="189" spans="1:6" outlineLevel="1" x14ac:dyDescent="0.2"/>
    <row r="190" spans="1:6" outlineLevel="1" x14ac:dyDescent="0.2"/>
    <row r="191" spans="1:6" s="65" customFormat="1" outlineLevel="1" x14ac:dyDescent="0.2">
      <c r="A191"/>
      <c r="B191"/>
      <c r="C191" s="494" t="s">
        <v>66</v>
      </c>
      <c r="D191" s="494"/>
      <c r="E191" s="494"/>
      <c r="F191" s="65" t="s">
        <v>21</v>
      </c>
    </row>
    <row r="192" spans="1:6" outlineLevel="1" x14ac:dyDescent="0.2"/>
    <row r="193" spans="1:6" outlineLevel="1" x14ac:dyDescent="0.2">
      <c r="D193" s="17" t="s">
        <v>67</v>
      </c>
      <c r="F193" s="15" t="s">
        <v>243</v>
      </c>
    </row>
    <row r="194" spans="1:6" outlineLevel="1" x14ac:dyDescent="0.2">
      <c r="D194" s="16" t="str">
        <f>Lang_Cost_Projection</f>
        <v>Cost Projection</v>
      </c>
      <c r="F194" s="15"/>
    </row>
    <row r="195" spans="1:6" outlineLevel="1" x14ac:dyDescent="0.2">
      <c r="D195" s="16" t="str">
        <f>Lang_Retrospective_Costing</f>
        <v>Retrospective Costing</v>
      </c>
      <c r="F195" s="15"/>
    </row>
    <row r="196" spans="1:6" outlineLevel="1" x14ac:dyDescent="0.2"/>
    <row r="197" spans="1:6" outlineLevel="1" x14ac:dyDescent="0.2"/>
    <row r="198" spans="1:6" s="65" customFormat="1" outlineLevel="1" x14ac:dyDescent="0.2">
      <c r="A198"/>
      <c r="B198"/>
      <c r="C198" s="494" t="s">
        <v>218</v>
      </c>
      <c r="D198" s="494"/>
      <c r="E198" s="494"/>
      <c r="F198" s="65" t="s">
        <v>21</v>
      </c>
    </row>
    <row r="199" spans="1:6" outlineLevel="1" x14ac:dyDescent="0.2"/>
    <row r="200" spans="1:6" outlineLevel="1" x14ac:dyDescent="0.2">
      <c r="D200" s="17" t="s">
        <v>218</v>
      </c>
      <c r="F200" s="15" t="s">
        <v>244</v>
      </c>
    </row>
    <row r="201" spans="1:6" outlineLevel="1" x14ac:dyDescent="0.2">
      <c r="D201" s="16" t="str">
        <f>Lang_Introduction</f>
        <v>Introduction</v>
      </c>
      <c r="F201" s="15"/>
    </row>
    <row r="202" spans="1:6" outlineLevel="1" x14ac:dyDescent="0.2">
      <c r="D202" s="16" t="str">
        <f>Lang_Recurrent</f>
        <v>Recurrent</v>
      </c>
      <c r="F202" s="15"/>
    </row>
    <row r="203" spans="1:6" outlineLevel="1" x14ac:dyDescent="0.2"/>
    <row r="204" spans="1:6" s="65" customFormat="1" outlineLevel="1" x14ac:dyDescent="0.2">
      <c r="A204"/>
      <c r="B204"/>
      <c r="C204" s="494" t="s">
        <v>220</v>
      </c>
      <c r="D204" s="494"/>
      <c r="E204" s="494"/>
      <c r="F204" s="65" t="s">
        <v>21</v>
      </c>
    </row>
    <row r="205" spans="1:6" outlineLevel="1" x14ac:dyDescent="0.2"/>
    <row r="206" spans="1:6" outlineLevel="1" x14ac:dyDescent="0.2">
      <c r="D206" s="17" t="s">
        <v>220</v>
      </c>
      <c r="F206" s="15" t="s">
        <v>245</v>
      </c>
    </row>
    <row r="207" spans="1:6" outlineLevel="1" x14ac:dyDescent="0.2">
      <c r="D207" s="16" t="str">
        <f>Lang_Fin</f>
        <v>Financial</v>
      </c>
      <c r="F207" s="15"/>
    </row>
    <row r="208" spans="1:6" outlineLevel="1" x14ac:dyDescent="0.2">
      <c r="D208" s="16" t="str">
        <f>Lang_Econ</f>
        <v>Economic</v>
      </c>
      <c r="F208" s="15"/>
    </row>
    <row r="209" spans="1:6" outlineLevel="1" x14ac:dyDescent="0.2"/>
    <row r="210" spans="1:6" s="65" customFormat="1" outlineLevel="1" x14ac:dyDescent="0.2">
      <c r="A210"/>
      <c r="B210"/>
      <c r="C210" s="494" t="s">
        <v>221</v>
      </c>
      <c r="D210" s="494"/>
      <c r="E210" s="494"/>
      <c r="F210" s="65" t="s">
        <v>21</v>
      </c>
    </row>
    <row r="211" spans="1:6" outlineLevel="1" x14ac:dyDescent="0.2"/>
    <row r="212" spans="1:6" outlineLevel="1" x14ac:dyDescent="0.2">
      <c r="D212" s="17" t="s">
        <v>221</v>
      </c>
      <c r="F212" s="15" t="s">
        <v>246</v>
      </c>
    </row>
    <row r="213" spans="1:6" outlineLevel="1" x14ac:dyDescent="0.2">
      <c r="D213" s="16" t="str">
        <f>Lang_Use_Detailed_Cost_Worksheet</f>
        <v>Use Detailed Cost Worksheet</v>
      </c>
      <c r="F213" s="15"/>
    </row>
    <row r="214" spans="1:6" outlineLevel="1" x14ac:dyDescent="0.2">
      <c r="D214" s="16" t="str">
        <f>Lang_Enter_Cost_Estimates_Directly</f>
        <v>Enter Cost Estimates Directly</v>
      </c>
      <c r="F214" s="15"/>
    </row>
    <row r="216" spans="1:6" s="13" customFormat="1" x14ac:dyDescent="0.2">
      <c r="A216"/>
      <c r="B216" s="13" t="str">
        <f>Lang_SOC_MOB_Level_2_4_Lookups</f>
        <v>SOC MOB Level 2 (4) - Lookups</v>
      </c>
    </row>
    <row r="217" spans="1:6" outlineLevel="1" x14ac:dyDescent="0.2"/>
    <row r="218" spans="1:6" outlineLevel="1" x14ac:dyDescent="0.2"/>
    <row r="219" spans="1:6" s="65" customFormat="1" outlineLevel="1" x14ac:dyDescent="0.2">
      <c r="A219"/>
      <c r="B219"/>
      <c r="C219" s="494" t="s">
        <v>65</v>
      </c>
      <c r="D219" s="494"/>
      <c r="E219" s="494"/>
      <c r="F219" s="65" t="s">
        <v>21</v>
      </c>
    </row>
    <row r="220" spans="1:6" outlineLevel="1" x14ac:dyDescent="0.2"/>
    <row r="221" spans="1:6" outlineLevel="1" x14ac:dyDescent="0.2">
      <c r="D221" s="17" t="s">
        <v>215</v>
      </c>
      <c r="F221" s="15" t="s">
        <v>242</v>
      </c>
    </row>
    <row r="222" spans="1:6" outlineLevel="1" x14ac:dyDescent="0.2">
      <c r="D222" s="40" t="str">
        <f>SOCMOB_DETAILED_COST_WKSHT!D609</f>
        <v>USD</v>
      </c>
      <c r="F222" s="15"/>
    </row>
    <row r="223" spans="1:6" outlineLevel="1" x14ac:dyDescent="0.2">
      <c r="D223" s="40" t="str">
        <f>SOCMOB_DETAILED_COST_WKSHT!D610</f>
        <v>LCU</v>
      </c>
      <c r="F223" s="15"/>
    </row>
    <row r="224" spans="1:6" outlineLevel="1" x14ac:dyDescent="0.2"/>
    <row r="225" spans="1:6" outlineLevel="1" x14ac:dyDescent="0.2"/>
    <row r="226" spans="1:6" s="65" customFormat="1" outlineLevel="1" x14ac:dyDescent="0.2">
      <c r="A226"/>
      <c r="B226"/>
      <c r="C226" s="494" t="s">
        <v>66</v>
      </c>
      <c r="D226" s="494"/>
      <c r="E226" s="494"/>
      <c r="F226" s="65" t="s">
        <v>21</v>
      </c>
    </row>
    <row r="227" spans="1:6" outlineLevel="1" x14ac:dyDescent="0.2"/>
    <row r="228" spans="1:6" outlineLevel="1" x14ac:dyDescent="0.2">
      <c r="D228" s="17" t="s">
        <v>67</v>
      </c>
      <c r="F228" s="15" t="s">
        <v>243</v>
      </c>
    </row>
    <row r="229" spans="1:6" outlineLevel="1" x14ac:dyDescent="0.2">
      <c r="D229" s="16" t="str">
        <f>Lang_Cost_Projection</f>
        <v>Cost Projection</v>
      </c>
      <c r="F229" s="15"/>
    </row>
    <row r="230" spans="1:6" outlineLevel="1" x14ac:dyDescent="0.2">
      <c r="D230" s="16" t="str">
        <f>Lang_Retrospective_Costing</f>
        <v>Retrospective Costing</v>
      </c>
      <c r="F230" s="15"/>
    </row>
    <row r="231" spans="1:6" outlineLevel="1" x14ac:dyDescent="0.2"/>
    <row r="232" spans="1:6" outlineLevel="1" x14ac:dyDescent="0.2"/>
    <row r="233" spans="1:6" s="65" customFormat="1" outlineLevel="1" x14ac:dyDescent="0.2">
      <c r="A233"/>
      <c r="B233"/>
      <c r="C233" s="494" t="s">
        <v>218</v>
      </c>
      <c r="D233" s="494"/>
      <c r="E233" s="494"/>
      <c r="F233" s="65" t="s">
        <v>21</v>
      </c>
    </row>
    <row r="234" spans="1:6" outlineLevel="1" x14ac:dyDescent="0.2"/>
    <row r="235" spans="1:6" outlineLevel="1" x14ac:dyDescent="0.2">
      <c r="D235" s="17" t="s">
        <v>218</v>
      </c>
      <c r="F235" s="15" t="s">
        <v>244</v>
      </c>
    </row>
    <row r="236" spans="1:6" outlineLevel="1" x14ac:dyDescent="0.2">
      <c r="D236" s="16" t="str">
        <f>Lang_Introduction</f>
        <v>Introduction</v>
      </c>
      <c r="F236" s="15"/>
    </row>
    <row r="237" spans="1:6" outlineLevel="1" x14ac:dyDescent="0.2">
      <c r="D237" s="16" t="str">
        <f>Lang_Recurrent</f>
        <v>Recurrent</v>
      </c>
      <c r="F237" s="15"/>
    </row>
    <row r="238" spans="1:6" outlineLevel="1" x14ac:dyDescent="0.2"/>
    <row r="239" spans="1:6" s="65" customFormat="1" outlineLevel="1" x14ac:dyDescent="0.2">
      <c r="A239"/>
      <c r="B239"/>
      <c r="C239" s="494" t="s">
        <v>220</v>
      </c>
      <c r="D239" s="494"/>
      <c r="E239" s="494"/>
      <c r="F239" s="65" t="s">
        <v>21</v>
      </c>
    </row>
    <row r="240" spans="1:6" outlineLevel="1" x14ac:dyDescent="0.2"/>
    <row r="241" spans="1:6" outlineLevel="1" x14ac:dyDescent="0.2">
      <c r="D241" s="17" t="s">
        <v>220</v>
      </c>
      <c r="F241" s="15" t="s">
        <v>245</v>
      </c>
    </row>
    <row r="242" spans="1:6" outlineLevel="1" x14ac:dyDescent="0.2">
      <c r="D242" s="16" t="str">
        <f>Lang_Fin</f>
        <v>Financial</v>
      </c>
      <c r="F242" s="15"/>
    </row>
    <row r="243" spans="1:6" outlineLevel="1" x14ac:dyDescent="0.2">
      <c r="D243" s="16" t="str">
        <f>Lang_Econ</f>
        <v>Economic</v>
      </c>
      <c r="F243" s="15"/>
    </row>
    <row r="244" spans="1:6" outlineLevel="1" x14ac:dyDescent="0.2"/>
    <row r="245" spans="1:6" s="65" customFormat="1" outlineLevel="1" x14ac:dyDescent="0.2">
      <c r="A245"/>
      <c r="B245"/>
      <c r="C245" s="494" t="s">
        <v>221</v>
      </c>
      <c r="D245" s="494"/>
      <c r="E245" s="494"/>
      <c r="F245" s="65" t="s">
        <v>21</v>
      </c>
    </row>
    <row r="246" spans="1:6" outlineLevel="1" x14ac:dyDescent="0.2"/>
    <row r="247" spans="1:6" outlineLevel="1" x14ac:dyDescent="0.2">
      <c r="D247" s="17" t="s">
        <v>221</v>
      </c>
      <c r="F247" s="15" t="s">
        <v>246</v>
      </c>
    </row>
    <row r="248" spans="1:6" outlineLevel="1" x14ac:dyDescent="0.2">
      <c r="D248" s="16" t="str">
        <f>Lang_Use_Detailed_Cost_Worksheet</f>
        <v>Use Detailed Cost Worksheet</v>
      </c>
      <c r="F248" s="15"/>
    </row>
    <row r="249" spans="1:6" outlineLevel="1" x14ac:dyDescent="0.2">
      <c r="D249" s="16" t="str">
        <f>Lang_Enter_Cost_Estimates_Directly</f>
        <v>Enter Cost Estimates Directly</v>
      </c>
      <c r="F249" s="15"/>
    </row>
    <row r="251" spans="1:6" s="13" customFormat="1" x14ac:dyDescent="0.2">
      <c r="A251"/>
      <c r="B251" s="13" t="str">
        <f>Lang_SOC_MOB_Level_2_5_Lookups</f>
        <v>SOC MOB Level 2 (5) - Lookups</v>
      </c>
    </row>
    <row r="252" spans="1:6" outlineLevel="1" x14ac:dyDescent="0.2"/>
    <row r="253" spans="1:6" outlineLevel="1" x14ac:dyDescent="0.2"/>
    <row r="254" spans="1:6" s="65" customFormat="1" outlineLevel="1" x14ac:dyDescent="0.2">
      <c r="A254"/>
      <c r="B254"/>
      <c r="C254" s="494" t="s">
        <v>65</v>
      </c>
      <c r="D254" s="494"/>
      <c r="E254" s="494"/>
      <c r="F254" s="65" t="s">
        <v>21</v>
      </c>
    </row>
    <row r="255" spans="1:6" outlineLevel="1" x14ac:dyDescent="0.2"/>
    <row r="256" spans="1:6" outlineLevel="1" x14ac:dyDescent="0.2">
      <c r="D256" s="17" t="s">
        <v>215</v>
      </c>
      <c r="F256" s="15" t="s">
        <v>242</v>
      </c>
    </row>
    <row r="257" spans="1:6" outlineLevel="1" x14ac:dyDescent="0.2">
      <c r="D257" s="40" t="str">
        <f>SOCMOB_DETAILED_COST_WKSHT!D708</f>
        <v>USD</v>
      </c>
      <c r="F257" s="15"/>
    </row>
    <row r="258" spans="1:6" outlineLevel="1" x14ac:dyDescent="0.2">
      <c r="D258" s="40" t="str">
        <f>SOCMOB_DETAILED_COST_WKSHT!D709</f>
        <v>LCU</v>
      </c>
      <c r="F258" s="15"/>
    </row>
    <row r="259" spans="1:6" outlineLevel="1" x14ac:dyDescent="0.2"/>
    <row r="260" spans="1:6" outlineLevel="1" x14ac:dyDescent="0.2"/>
    <row r="261" spans="1:6" s="65" customFormat="1" outlineLevel="1" x14ac:dyDescent="0.2">
      <c r="A261"/>
      <c r="B261"/>
      <c r="C261" s="494" t="s">
        <v>66</v>
      </c>
      <c r="D261" s="494"/>
      <c r="E261" s="494"/>
      <c r="F261" s="65" t="s">
        <v>21</v>
      </c>
    </row>
    <row r="262" spans="1:6" outlineLevel="1" x14ac:dyDescent="0.2"/>
    <row r="263" spans="1:6" outlineLevel="1" x14ac:dyDescent="0.2">
      <c r="D263" s="17" t="s">
        <v>67</v>
      </c>
      <c r="F263" s="15" t="s">
        <v>243</v>
      </c>
    </row>
    <row r="264" spans="1:6" outlineLevel="1" x14ac:dyDescent="0.2">
      <c r="D264" s="16" t="str">
        <f>Lang_Cost_Projection</f>
        <v>Cost Projection</v>
      </c>
      <c r="F264" s="15"/>
    </row>
    <row r="265" spans="1:6" outlineLevel="1" x14ac:dyDescent="0.2">
      <c r="D265" s="16" t="str">
        <f>Lang_Retrospective_Costing</f>
        <v>Retrospective Costing</v>
      </c>
      <c r="F265" s="15"/>
    </row>
    <row r="266" spans="1:6" outlineLevel="1" x14ac:dyDescent="0.2"/>
    <row r="267" spans="1:6" outlineLevel="1" x14ac:dyDescent="0.2"/>
    <row r="268" spans="1:6" s="65" customFormat="1" outlineLevel="1" x14ac:dyDescent="0.2">
      <c r="A268"/>
      <c r="B268"/>
      <c r="C268" s="494" t="s">
        <v>218</v>
      </c>
      <c r="D268" s="494"/>
      <c r="E268" s="494"/>
      <c r="F268" s="65" t="s">
        <v>21</v>
      </c>
    </row>
    <row r="269" spans="1:6" outlineLevel="1" x14ac:dyDescent="0.2"/>
    <row r="270" spans="1:6" outlineLevel="1" x14ac:dyDescent="0.2">
      <c r="D270" s="17" t="s">
        <v>218</v>
      </c>
      <c r="F270" s="15" t="s">
        <v>244</v>
      </c>
    </row>
    <row r="271" spans="1:6" outlineLevel="1" x14ac:dyDescent="0.2">
      <c r="D271" s="16" t="str">
        <f>Lang_Introduction</f>
        <v>Introduction</v>
      </c>
      <c r="F271" s="15"/>
    </row>
    <row r="272" spans="1:6" outlineLevel="1" x14ac:dyDescent="0.2">
      <c r="D272" s="16" t="str">
        <f>Lang_Recurrent</f>
        <v>Recurrent</v>
      </c>
      <c r="F272" s="15"/>
    </row>
    <row r="273" spans="1:6" outlineLevel="1" x14ac:dyDescent="0.2"/>
    <row r="274" spans="1:6" s="65" customFormat="1" outlineLevel="1" x14ac:dyDescent="0.2">
      <c r="A274"/>
      <c r="B274"/>
      <c r="C274" s="494" t="s">
        <v>220</v>
      </c>
      <c r="D274" s="494"/>
      <c r="E274" s="494"/>
      <c r="F274" s="65" t="s">
        <v>21</v>
      </c>
    </row>
    <row r="275" spans="1:6" outlineLevel="1" x14ac:dyDescent="0.2"/>
    <row r="276" spans="1:6" outlineLevel="1" x14ac:dyDescent="0.2">
      <c r="D276" s="17" t="s">
        <v>220</v>
      </c>
      <c r="F276" s="15" t="s">
        <v>245</v>
      </c>
    </row>
    <row r="277" spans="1:6" outlineLevel="1" x14ac:dyDescent="0.2">
      <c r="D277" s="16" t="str">
        <f>Lang_Fin</f>
        <v>Financial</v>
      </c>
      <c r="F277" s="15"/>
    </row>
    <row r="278" spans="1:6" outlineLevel="1" x14ac:dyDescent="0.2">
      <c r="D278" s="16" t="str">
        <f>Lang_Econ</f>
        <v>Economic</v>
      </c>
      <c r="F278" s="15"/>
    </row>
    <row r="279" spans="1:6" outlineLevel="1" x14ac:dyDescent="0.2"/>
    <row r="280" spans="1:6" s="65" customFormat="1" outlineLevel="1" x14ac:dyDescent="0.2">
      <c r="A280"/>
      <c r="B280"/>
      <c r="C280" s="494" t="s">
        <v>221</v>
      </c>
      <c r="D280" s="494"/>
      <c r="E280" s="494"/>
      <c r="F280" s="65" t="s">
        <v>21</v>
      </c>
    </row>
    <row r="281" spans="1:6" outlineLevel="1" x14ac:dyDescent="0.2"/>
    <row r="282" spans="1:6" outlineLevel="1" x14ac:dyDescent="0.2">
      <c r="D282" s="17" t="s">
        <v>221</v>
      </c>
      <c r="F282" s="15" t="s">
        <v>246</v>
      </c>
    </row>
    <row r="283" spans="1:6" outlineLevel="1" x14ac:dyDescent="0.2">
      <c r="D283" s="16" t="str">
        <f>Lang_Use_Detailed_Cost_Worksheet</f>
        <v>Use Detailed Cost Worksheet</v>
      </c>
      <c r="F283" s="15"/>
    </row>
    <row r="284" spans="1:6" outlineLevel="1" x14ac:dyDescent="0.2">
      <c r="D284" s="16" t="str">
        <f>Lang_Enter_Cost_Estimates_Directly</f>
        <v>Enter Cost Estimates Directly</v>
      </c>
      <c r="F284" s="15"/>
    </row>
  </sheetData>
  <mergeCells count="41">
    <mergeCell ref="C79:E79"/>
    <mergeCell ref="C86:E86"/>
    <mergeCell ref="C93:E93"/>
    <mergeCell ref="C99:E99"/>
    <mergeCell ref="C105:E105"/>
    <mergeCell ref="C44:E44"/>
    <mergeCell ref="C51:E51"/>
    <mergeCell ref="C58:E58"/>
    <mergeCell ref="C64:E64"/>
    <mergeCell ref="C70:E70"/>
    <mergeCell ref="C219:E219"/>
    <mergeCell ref="C114:E114"/>
    <mergeCell ref="C121:E121"/>
    <mergeCell ref="C128:E128"/>
    <mergeCell ref="C134:E134"/>
    <mergeCell ref="C175:E175"/>
    <mergeCell ref="C184:E184"/>
    <mergeCell ref="C191:E191"/>
    <mergeCell ref="C198:E198"/>
    <mergeCell ref="C204:E204"/>
    <mergeCell ref="C140:E140"/>
    <mergeCell ref="C149:E149"/>
    <mergeCell ref="C156:E156"/>
    <mergeCell ref="C163:E163"/>
    <mergeCell ref="C169:E169"/>
    <mergeCell ref="C261:E261"/>
    <mergeCell ref="C268:E268"/>
    <mergeCell ref="C274:E274"/>
    <mergeCell ref="C280:E280"/>
    <mergeCell ref="B3:D3"/>
    <mergeCell ref="C23:E23"/>
    <mergeCell ref="C29:E29"/>
    <mergeCell ref="C35:E35"/>
    <mergeCell ref="C9:E9"/>
    <mergeCell ref="C16:E16"/>
    <mergeCell ref="C226:E226"/>
    <mergeCell ref="C233:E233"/>
    <mergeCell ref="C239:E239"/>
    <mergeCell ref="C245:E245"/>
    <mergeCell ref="C254:E254"/>
    <mergeCell ref="C210:E210"/>
  </mergeCells>
  <hyperlinks>
    <hyperlink ref="A4" location="$B$5" tooltip="Go to Top of Sheet" display="$B$5" xr:uid="{00000000-0004-0000-3B00-000000000000}"/>
    <hyperlink ref="B4" location="HL_Sheet_Main_29" tooltip="Go to Previous Sheet" display="HL_Sheet_Main_29" xr:uid="{00000000-0004-0000-3B00-000001000000}"/>
    <hyperlink ref="C4" location="HL_Sheet_Main_31" tooltip="Go to Next Sheet" display="HL_Sheet_Main_31" xr:uid="{00000000-0004-0000-3B00-000002000000}"/>
    <hyperlink ref="A1" location="HL_Home" tooltip="Go to Table of Contents" display="HL_Home" xr:uid="{00000000-0004-0000-3B00-000003000000}"/>
    <hyperlink ref="B3" location="HL_Home" tooltip="Go to Table of Contents" display="HL_Home" xr:uid="{00000000-0004-0000-3B00-000004000000}"/>
    <hyperlink ref="A2" location="HL_Err_Chk" tooltip="Go to Error Checks" display="HL_Err_Chk" xr:uid="{00000000-0004-0000-3B00-000005000000}"/>
    <hyperlink ref="B3:D3" location="Contents!A1" tooltip="Go to Table of Contents" display="Contents!A1" xr:uid="{00000000-0004-0000-3B00-000006000000}"/>
  </hyperlinks>
  <pageMargins left="0.4" right="0.4" top="0.6" bottom="1" header="0" footer="0.3"/>
  <pageSetup orientation="landscape" r:id="rId1"/>
  <headerFooter>
    <oddFooter>&amp;L&amp;F
&amp;A
Printed: &amp;T on &amp;D&amp;CPage &amp;P of 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3">
    <tabColor rgb="FF7030A0"/>
    <outlinePr summaryBelow="0"/>
    <pageSetUpPr autoPageBreaks="0"/>
  </sheetPr>
  <dimension ref="A1:F144"/>
  <sheetViews>
    <sheetView showGridLines="0" zoomScaleNormal="100" workbookViewId="0">
      <pane xSplit="1" ySplit="4" topLeftCell="B5" activePane="bottomRight" state="frozen"/>
      <selection activeCell="I511" sqref="I511"/>
      <selection pane="topRight" activeCell="I511" sqref="I511"/>
      <selection pane="bottomLeft" activeCell="I511" sqref="I511"/>
      <selection pane="bottomRight" activeCell="I511" sqref="I511"/>
    </sheetView>
  </sheetViews>
  <sheetFormatPr defaultColWidth="11.7109375" defaultRowHeight="12" outlineLevelRow="1" x14ac:dyDescent="0.2"/>
  <cols>
    <col min="1" max="3" width="3.7109375" customWidth="1"/>
    <col min="4" max="4" width="35.7109375" customWidth="1"/>
    <col min="5" max="5" width="3.7109375" customWidth="1"/>
    <col min="6" max="6" width="35.7109375" customWidth="1"/>
    <col min="7" max="7" width="3.7109375" customWidth="1"/>
  </cols>
  <sheetData>
    <row r="1" spans="1:6" ht="15" x14ac:dyDescent="0.2">
      <c r="A1" s="2" t="s">
        <v>128</v>
      </c>
      <c r="B1" s="31" t="str">
        <f>Lang_Service_Delivery_Activity_Variables</f>
        <v>Service Delivery Activity Variables</v>
      </c>
    </row>
    <row r="2" spans="1:6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3" spans="1:6" ht="12.75" x14ac:dyDescent="0.2">
      <c r="B3" s="426" t="str">
        <f>Lang_Goto_TOC</f>
        <v>Go to Table of Contents</v>
      </c>
      <c r="C3" s="426"/>
      <c r="D3" s="426"/>
    </row>
    <row r="4" spans="1:6" x14ac:dyDescent="0.2">
      <c r="A4" s="2" t="s">
        <v>5</v>
      </c>
      <c r="B4" s="38" t="s">
        <v>7</v>
      </c>
      <c r="C4" s="39" t="s">
        <v>8</v>
      </c>
    </row>
    <row r="6" spans="1:6" s="13" customFormat="1" x14ac:dyDescent="0.2">
      <c r="A6"/>
      <c r="B6" s="13" t="str">
        <f>Lang_Service_Delivery_Level_2_1_Lookups</f>
        <v>Service Delivery Level 2 (1) - Lookups</v>
      </c>
    </row>
    <row r="7" spans="1:6" outlineLevel="1" x14ac:dyDescent="0.2"/>
    <row r="8" spans="1:6" outlineLevel="1" x14ac:dyDescent="0.2"/>
    <row r="9" spans="1:6" s="65" customFormat="1" outlineLevel="1" x14ac:dyDescent="0.2">
      <c r="A9"/>
      <c r="B9"/>
      <c r="C9" s="494" t="s">
        <v>65</v>
      </c>
      <c r="D9" s="494"/>
      <c r="E9" s="494"/>
      <c r="F9" s="65" t="s">
        <v>21</v>
      </c>
    </row>
    <row r="10" spans="1:6" outlineLevel="1" x14ac:dyDescent="0.2"/>
    <row r="11" spans="1:6" outlineLevel="1" x14ac:dyDescent="0.2">
      <c r="D11" s="17" t="s">
        <v>215</v>
      </c>
      <c r="F11" s="15" t="s">
        <v>242</v>
      </c>
    </row>
    <row r="12" spans="1:6" outlineLevel="1" x14ac:dyDescent="0.2">
      <c r="D12" s="40" t="str">
        <f>SD_DETAILED_COST_WKSHT!D21</f>
        <v>USD</v>
      </c>
      <c r="F12" s="15"/>
    </row>
    <row r="13" spans="1:6" outlineLevel="1" x14ac:dyDescent="0.2">
      <c r="D13" s="40" t="str">
        <f>SD_DETAILED_COST_WKSHT!D22</f>
        <v>LCU</v>
      </c>
      <c r="F13" s="15"/>
    </row>
    <row r="14" spans="1:6" outlineLevel="1" x14ac:dyDescent="0.2"/>
    <row r="15" spans="1:6" outlineLevel="1" x14ac:dyDescent="0.2"/>
    <row r="16" spans="1:6" s="65" customFormat="1" outlineLevel="1" x14ac:dyDescent="0.2">
      <c r="A16"/>
      <c r="B16"/>
      <c r="C16" s="494" t="s">
        <v>66</v>
      </c>
      <c r="D16" s="494"/>
      <c r="E16" s="494"/>
      <c r="F16" s="65" t="s">
        <v>21</v>
      </c>
    </row>
    <row r="17" spans="1:6" outlineLevel="1" x14ac:dyDescent="0.2"/>
    <row r="18" spans="1:6" outlineLevel="1" x14ac:dyDescent="0.2">
      <c r="D18" s="17" t="s">
        <v>67</v>
      </c>
      <c r="F18" s="15" t="s">
        <v>243</v>
      </c>
    </row>
    <row r="19" spans="1:6" outlineLevel="1" x14ac:dyDescent="0.2">
      <c r="D19" s="16" t="str">
        <f>Lang_Cost_Projection</f>
        <v>Cost Projection</v>
      </c>
      <c r="F19" s="15"/>
    </row>
    <row r="20" spans="1:6" outlineLevel="1" x14ac:dyDescent="0.2">
      <c r="D20" s="16" t="str">
        <f>Lang_Retrospective_Costing</f>
        <v>Retrospective Costing</v>
      </c>
      <c r="F20" s="15"/>
    </row>
    <row r="21" spans="1:6" outlineLevel="1" x14ac:dyDescent="0.2"/>
    <row r="22" spans="1:6" outlineLevel="1" x14ac:dyDescent="0.2"/>
    <row r="23" spans="1:6" s="65" customFormat="1" outlineLevel="1" x14ac:dyDescent="0.2">
      <c r="A23"/>
      <c r="B23"/>
      <c r="C23" s="494" t="s">
        <v>218</v>
      </c>
      <c r="D23" s="494"/>
      <c r="E23" s="494"/>
      <c r="F23" s="65" t="s">
        <v>21</v>
      </c>
    </row>
    <row r="24" spans="1:6" outlineLevel="1" x14ac:dyDescent="0.2"/>
    <row r="25" spans="1:6" outlineLevel="1" x14ac:dyDescent="0.2">
      <c r="D25" s="17" t="s">
        <v>218</v>
      </c>
      <c r="F25" s="15" t="s">
        <v>244</v>
      </c>
    </row>
    <row r="26" spans="1:6" outlineLevel="1" x14ac:dyDescent="0.2">
      <c r="D26" s="16" t="str">
        <f>Lang_Introduction</f>
        <v>Introduction</v>
      </c>
      <c r="F26" s="15"/>
    </row>
    <row r="27" spans="1:6" outlineLevel="1" x14ac:dyDescent="0.2">
      <c r="D27" s="16" t="str">
        <f>Lang_Recurrent</f>
        <v>Recurrent</v>
      </c>
      <c r="F27" s="15"/>
    </row>
    <row r="28" spans="1:6" outlineLevel="1" x14ac:dyDescent="0.2"/>
    <row r="29" spans="1:6" s="65" customFormat="1" outlineLevel="1" x14ac:dyDescent="0.2">
      <c r="A29"/>
      <c r="B29"/>
      <c r="C29" s="494" t="s">
        <v>220</v>
      </c>
      <c r="D29" s="494"/>
      <c r="E29" s="494"/>
      <c r="F29" s="65" t="s">
        <v>21</v>
      </c>
    </row>
    <row r="30" spans="1:6" outlineLevel="1" x14ac:dyDescent="0.2"/>
    <row r="31" spans="1:6" outlineLevel="1" x14ac:dyDescent="0.2">
      <c r="D31" s="17" t="s">
        <v>220</v>
      </c>
      <c r="F31" s="15" t="s">
        <v>245</v>
      </c>
    </row>
    <row r="32" spans="1:6" outlineLevel="1" x14ac:dyDescent="0.2">
      <c r="D32" s="16" t="str">
        <f>Lang_Fin</f>
        <v>Financial</v>
      </c>
      <c r="F32" s="15"/>
    </row>
    <row r="33" spans="1:6" outlineLevel="1" x14ac:dyDescent="0.2">
      <c r="D33" s="16" t="str">
        <f>Lang_Econ</f>
        <v>Economic</v>
      </c>
      <c r="F33" s="15"/>
    </row>
    <row r="34" spans="1:6" outlineLevel="1" x14ac:dyDescent="0.2"/>
    <row r="35" spans="1:6" s="65" customFormat="1" outlineLevel="1" x14ac:dyDescent="0.2">
      <c r="A35"/>
      <c r="B35"/>
      <c r="C35" s="494" t="s">
        <v>221</v>
      </c>
      <c r="D35" s="494"/>
      <c r="E35" s="494"/>
      <c r="F35" s="65" t="s">
        <v>21</v>
      </c>
    </row>
    <row r="36" spans="1:6" outlineLevel="1" x14ac:dyDescent="0.2"/>
    <row r="37" spans="1:6" outlineLevel="1" x14ac:dyDescent="0.2">
      <c r="D37" s="17" t="s">
        <v>221</v>
      </c>
      <c r="F37" s="15" t="s">
        <v>246</v>
      </c>
    </row>
    <row r="38" spans="1:6" outlineLevel="1" x14ac:dyDescent="0.2">
      <c r="D38" s="16" t="str">
        <f>Lang_Use_Detailed_Cost_Worksheet</f>
        <v>Use Detailed Cost Worksheet</v>
      </c>
      <c r="F38" s="15"/>
    </row>
    <row r="39" spans="1:6" outlineLevel="1" x14ac:dyDescent="0.2">
      <c r="D39" s="16" t="str">
        <f>Lang_Enter_Cost_Estimates_Directly</f>
        <v>Enter Cost Estimates Directly</v>
      </c>
      <c r="F39" s="15"/>
    </row>
    <row r="41" spans="1:6" s="13" customFormat="1" x14ac:dyDescent="0.2">
      <c r="A41"/>
      <c r="B41" s="13" t="str">
        <f>Lang_Service_Delivery_Level_2_2_Lookups</f>
        <v>Service Delivery Level 2 (2) - Lookups</v>
      </c>
    </row>
    <row r="42" spans="1:6" outlineLevel="1" x14ac:dyDescent="0.2"/>
    <row r="43" spans="1:6" outlineLevel="1" x14ac:dyDescent="0.2"/>
    <row r="44" spans="1:6" s="65" customFormat="1" outlineLevel="1" x14ac:dyDescent="0.2">
      <c r="A44"/>
      <c r="B44"/>
      <c r="C44" s="494" t="s">
        <v>65</v>
      </c>
      <c r="D44" s="494"/>
      <c r="E44" s="494"/>
      <c r="F44" s="65" t="s">
        <v>21</v>
      </c>
    </row>
    <row r="45" spans="1:6" outlineLevel="1" x14ac:dyDescent="0.2"/>
    <row r="46" spans="1:6" outlineLevel="1" x14ac:dyDescent="0.2">
      <c r="D46" s="17" t="s">
        <v>215</v>
      </c>
      <c r="F46" s="15" t="s">
        <v>242</v>
      </c>
    </row>
    <row r="47" spans="1:6" outlineLevel="1" x14ac:dyDescent="0.2">
      <c r="D47" s="40" t="str">
        <f>SD_DETAILED_COST_WKSHT!D120</f>
        <v>USD</v>
      </c>
      <c r="F47" s="15"/>
    </row>
    <row r="48" spans="1:6" outlineLevel="1" x14ac:dyDescent="0.2">
      <c r="D48" s="40" t="str">
        <f>SD_DETAILED_COST_WKSHT!D121</f>
        <v>LCU</v>
      </c>
      <c r="F48" s="15"/>
    </row>
    <row r="49" spans="1:6" outlineLevel="1" x14ac:dyDescent="0.2"/>
    <row r="50" spans="1:6" outlineLevel="1" x14ac:dyDescent="0.2"/>
    <row r="51" spans="1:6" s="65" customFormat="1" outlineLevel="1" x14ac:dyDescent="0.2">
      <c r="A51"/>
      <c r="B51"/>
      <c r="C51" s="494" t="s">
        <v>66</v>
      </c>
      <c r="D51" s="494"/>
      <c r="E51" s="494"/>
      <c r="F51" s="65" t="s">
        <v>21</v>
      </c>
    </row>
    <row r="52" spans="1:6" outlineLevel="1" x14ac:dyDescent="0.2"/>
    <row r="53" spans="1:6" outlineLevel="1" x14ac:dyDescent="0.2">
      <c r="D53" s="17" t="s">
        <v>67</v>
      </c>
      <c r="F53" s="15" t="s">
        <v>243</v>
      </c>
    </row>
    <row r="54" spans="1:6" outlineLevel="1" x14ac:dyDescent="0.2">
      <c r="D54" s="16" t="str">
        <f>Lang_Cost_Projection</f>
        <v>Cost Projection</v>
      </c>
      <c r="F54" s="15"/>
    </row>
    <row r="55" spans="1:6" outlineLevel="1" x14ac:dyDescent="0.2">
      <c r="D55" s="16" t="str">
        <f>Lang_Retrospective_Costing</f>
        <v>Retrospective Costing</v>
      </c>
      <c r="F55" s="15"/>
    </row>
    <row r="56" spans="1:6" outlineLevel="1" x14ac:dyDescent="0.2"/>
    <row r="57" spans="1:6" outlineLevel="1" x14ac:dyDescent="0.2"/>
    <row r="58" spans="1:6" s="65" customFormat="1" outlineLevel="1" x14ac:dyDescent="0.2">
      <c r="A58"/>
      <c r="B58"/>
      <c r="C58" s="494" t="s">
        <v>218</v>
      </c>
      <c r="D58" s="494"/>
      <c r="E58" s="494"/>
      <c r="F58" s="65" t="s">
        <v>21</v>
      </c>
    </row>
    <row r="59" spans="1:6" outlineLevel="1" x14ac:dyDescent="0.2"/>
    <row r="60" spans="1:6" outlineLevel="1" x14ac:dyDescent="0.2">
      <c r="D60" s="17" t="s">
        <v>218</v>
      </c>
      <c r="F60" s="15" t="s">
        <v>244</v>
      </c>
    </row>
    <row r="61" spans="1:6" outlineLevel="1" x14ac:dyDescent="0.2">
      <c r="D61" s="16" t="str">
        <f>Lang_Introduction</f>
        <v>Introduction</v>
      </c>
      <c r="F61" s="15"/>
    </row>
    <row r="62" spans="1:6" outlineLevel="1" x14ac:dyDescent="0.2">
      <c r="D62" s="16" t="str">
        <f>Lang_Recurrent</f>
        <v>Recurrent</v>
      </c>
      <c r="F62" s="15"/>
    </row>
    <row r="63" spans="1:6" outlineLevel="1" x14ac:dyDescent="0.2"/>
    <row r="64" spans="1:6" s="65" customFormat="1" outlineLevel="1" x14ac:dyDescent="0.2">
      <c r="A64"/>
      <c r="B64"/>
      <c r="C64" s="494" t="s">
        <v>220</v>
      </c>
      <c r="D64" s="494"/>
      <c r="E64" s="494"/>
      <c r="F64" s="65" t="s">
        <v>21</v>
      </c>
    </row>
    <row r="65" spans="1:6" outlineLevel="1" x14ac:dyDescent="0.2"/>
    <row r="66" spans="1:6" outlineLevel="1" x14ac:dyDescent="0.2">
      <c r="D66" s="17" t="s">
        <v>220</v>
      </c>
      <c r="F66" s="15" t="s">
        <v>245</v>
      </c>
    </row>
    <row r="67" spans="1:6" outlineLevel="1" x14ac:dyDescent="0.2">
      <c r="D67" s="16" t="str">
        <f>Lang_Fin</f>
        <v>Financial</v>
      </c>
      <c r="F67" s="15"/>
    </row>
    <row r="68" spans="1:6" outlineLevel="1" x14ac:dyDescent="0.2">
      <c r="D68" s="16" t="str">
        <f>Lang_Econ</f>
        <v>Economic</v>
      </c>
      <c r="F68" s="15"/>
    </row>
    <row r="69" spans="1:6" outlineLevel="1" x14ac:dyDescent="0.2"/>
    <row r="70" spans="1:6" s="65" customFormat="1" outlineLevel="1" x14ac:dyDescent="0.2">
      <c r="A70"/>
      <c r="B70"/>
      <c r="C70" s="494" t="s">
        <v>221</v>
      </c>
      <c r="D70" s="494"/>
      <c r="E70" s="494"/>
      <c r="F70" s="65" t="s">
        <v>21</v>
      </c>
    </row>
    <row r="71" spans="1:6" outlineLevel="1" x14ac:dyDescent="0.2"/>
    <row r="72" spans="1:6" outlineLevel="1" x14ac:dyDescent="0.2">
      <c r="D72" s="17" t="s">
        <v>221</v>
      </c>
      <c r="F72" s="15" t="s">
        <v>246</v>
      </c>
    </row>
    <row r="73" spans="1:6" outlineLevel="1" x14ac:dyDescent="0.2">
      <c r="D73" s="16" t="str">
        <f>Lang_Use_Detailed_Cost_Worksheet</f>
        <v>Use Detailed Cost Worksheet</v>
      </c>
      <c r="F73" s="15"/>
    </row>
    <row r="74" spans="1:6" outlineLevel="1" x14ac:dyDescent="0.2">
      <c r="D74" s="16" t="str">
        <f>Lang_Enter_Cost_Estimates_Directly</f>
        <v>Enter Cost Estimates Directly</v>
      </c>
      <c r="F74" s="15"/>
    </row>
    <row r="76" spans="1:6" s="13" customFormat="1" x14ac:dyDescent="0.2">
      <c r="A76"/>
      <c r="B76" s="13" t="str">
        <f>Lang_Service_Delivery_Level_2_3_Lookups</f>
        <v>Service Delivery Level 2 (3) - Lookups</v>
      </c>
    </row>
    <row r="77" spans="1:6" outlineLevel="1" x14ac:dyDescent="0.2"/>
    <row r="78" spans="1:6" outlineLevel="1" x14ac:dyDescent="0.2"/>
    <row r="79" spans="1:6" s="65" customFormat="1" outlineLevel="1" x14ac:dyDescent="0.2">
      <c r="A79"/>
      <c r="B79"/>
      <c r="C79" s="494" t="s">
        <v>65</v>
      </c>
      <c r="D79" s="494"/>
      <c r="E79" s="494"/>
      <c r="F79" s="65" t="s">
        <v>21</v>
      </c>
    </row>
    <row r="80" spans="1:6" outlineLevel="1" x14ac:dyDescent="0.2"/>
    <row r="81" spans="1:6" outlineLevel="1" x14ac:dyDescent="0.2">
      <c r="D81" s="17" t="s">
        <v>215</v>
      </c>
      <c r="F81" s="15" t="s">
        <v>242</v>
      </c>
    </row>
    <row r="82" spans="1:6" outlineLevel="1" x14ac:dyDescent="0.2">
      <c r="D82" s="40" t="str">
        <f>SD_DETAILED_COST_WKSHT!D219</f>
        <v>USD</v>
      </c>
      <c r="F82" s="15"/>
    </row>
    <row r="83" spans="1:6" outlineLevel="1" x14ac:dyDescent="0.2">
      <c r="D83" s="40" t="str">
        <f>SD_DETAILED_COST_WKSHT!D220</f>
        <v>LCU</v>
      </c>
      <c r="F83" s="15"/>
    </row>
    <row r="84" spans="1:6" outlineLevel="1" x14ac:dyDescent="0.2"/>
    <row r="85" spans="1:6" outlineLevel="1" x14ac:dyDescent="0.2"/>
    <row r="86" spans="1:6" s="65" customFormat="1" outlineLevel="1" x14ac:dyDescent="0.2">
      <c r="A86"/>
      <c r="B86"/>
      <c r="C86" s="494" t="s">
        <v>66</v>
      </c>
      <c r="D86" s="494"/>
      <c r="E86" s="494"/>
      <c r="F86" s="65" t="s">
        <v>21</v>
      </c>
    </row>
    <row r="87" spans="1:6" outlineLevel="1" x14ac:dyDescent="0.2"/>
    <row r="88" spans="1:6" outlineLevel="1" x14ac:dyDescent="0.2">
      <c r="D88" s="17" t="s">
        <v>67</v>
      </c>
      <c r="F88" s="15" t="s">
        <v>243</v>
      </c>
    </row>
    <row r="89" spans="1:6" outlineLevel="1" x14ac:dyDescent="0.2">
      <c r="D89" s="16" t="str">
        <f>Lang_Cost_Projection</f>
        <v>Cost Projection</v>
      </c>
      <c r="F89" s="15"/>
    </row>
    <row r="90" spans="1:6" outlineLevel="1" x14ac:dyDescent="0.2">
      <c r="D90" s="16" t="str">
        <f>Lang_Retrospective_Costing</f>
        <v>Retrospective Costing</v>
      </c>
      <c r="F90" s="15"/>
    </row>
    <row r="91" spans="1:6" outlineLevel="1" x14ac:dyDescent="0.2"/>
    <row r="92" spans="1:6" outlineLevel="1" x14ac:dyDescent="0.2"/>
    <row r="93" spans="1:6" s="65" customFormat="1" outlineLevel="1" x14ac:dyDescent="0.2">
      <c r="A93"/>
      <c r="B93"/>
      <c r="C93" s="494" t="s">
        <v>218</v>
      </c>
      <c r="D93" s="494"/>
      <c r="E93" s="494"/>
      <c r="F93" s="65" t="s">
        <v>21</v>
      </c>
    </row>
    <row r="94" spans="1:6" outlineLevel="1" x14ac:dyDescent="0.2"/>
    <row r="95" spans="1:6" outlineLevel="1" x14ac:dyDescent="0.2">
      <c r="D95" s="17" t="s">
        <v>218</v>
      </c>
      <c r="F95" s="15" t="s">
        <v>244</v>
      </c>
    </row>
    <row r="96" spans="1:6" outlineLevel="1" x14ac:dyDescent="0.2">
      <c r="D96" s="16" t="str">
        <f>Lang_Introduction</f>
        <v>Introduction</v>
      </c>
      <c r="F96" s="15"/>
    </row>
    <row r="97" spans="1:6" outlineLevel="1" x14ac:dyDescent="0.2">
      <c r="D97" s="16" t="str">
        <f>Lang_Recurrent</f>
        <v>Recurrent</v>
      </c>
      <c r="F97" s="15"/>
    </row>
    <row r="98" spans="1:6" outlineLevel="1" x14ac:dyDescent="0.2"/>
    <row r="99" spans="1:6" s="65" customFormat="1" outlineLevel="1" x14ac:dyDescent="0.2">
      <c r="A99"/>
      <c r="B99"/>
      <c r="C99" s="494" t="s">
        <v>220</v>
      </c>
      <c r="D99" s="494"/>
      <c r="E99" s="494"/>
      <c r="F99" s="65" t="s">
        <v>21</v>
      </c>
    </row>
    <row r="100" spans="1:6" outlineLevel="1" x14ac:dyDescent="0.2"/>
    <row r="101" spans="1:6" outlineLevel="1" x14ac:dyDescent="0.2">
      <c r="D101" s="17" t="s">
        <v>220</v>
      </c>
      <c r="F101" s="15" t="s">
        <v>245</v>
      </c>
    </row>
    <row r="102" spans="1:6" outlineLevel="1" x14ac:dyDescent="0.2">
      <c r="D102" s="16" t="str">
        <f>Lang_Fin</f>
        <v>Financial</v>
      </c>
      <c r="F102" s="15"/>
    </row>
    <row r="103" spans="1:6" outlineLevel="1" x14ac:dyDescent="0.2">
      <c r="D103" s="16" t="str">
        <f>Lang_Econ</f>
        <v>Economic</v>
      </c>
      <c r="F103" s="15"/>
    </row>
    <row r="104" spans="1:6" outlineLevel="1" x14ac:dyDescent="0.2"/>
    <row r="105" spans="1:6" s="65" customFormat="1" outlineLevel="1" x14ac:dyDescent="0.2">
      <c r="A105"/>
      <c r="B105"/>
      <c r="C105" s="494" t="s">
        <v>221</v>
      </c>
      <c r="D105" s="494"/>
      <c r="E105" s="494"/>
      <c r="F105" s="65" t="s">
        <v>21</v>
      </c>
    </row>
    <row r="106" spans="1:6" outlineLevel="1" x14ac:dyDescent="0.2"/>
    <row r="107" spans="1:6" outlineLevel="1" x14ac:dyDescent="0.2">
      <c r="D107" s="17" t="s">
        <v>221</v>
      </c>
      <c r="F107" s="15" t="s">
        <v>246</v>
      </c>
    </row>
    <row r="108" spans="1:6" outlineLevel="1" x14ac:dyDescent="0.2">
      <c r="D108" s="16" t="str">
        <f>Lang_Use_Detailed_Cost_Worksheet</f>
        <v>Use Detailed Cost Worksheet</v>
      </c>
      <c r="F108" s="15"/>
    </row>
    <row r="109" spans="1:6" outlineLevel="1" x14ac:dyDescent="0.2">
      <c r="D109" s="16" t="str">
        <f>Lang_Enter_Cost_Estimates_Directly</f>
        <v>Enter Cost Estimates Directly</v>
      </c>
      <c r="F109" s="15"/>
    </row>
    <row r="111" spans="1:6" s="13" customFormat="1" x14ac:dyDescent="0.2">
      <c r="A111"/>
      <c r="B111" s="13" t="str">
        <f>Lang_Level_2_Activity_Lookups</f>
        <v>Level 2 Activity - Lookups</v>
      </c>
    </row>
    <row r="112" spans="1:6" outlineLevel="1" x14ac:dyDescent="0.2"/>
    <row r="113" spans="1:6" outlineLevel="1" x14ac:dyDescent="0.2"/>
    <row r="114" spans="1:6" s="65" customFormat="1" outlineLevel="1" x14ac:dyDescent="0.2">
      <c r="A114"/>
      <c r="B114"/>
      <c r="C114" s="494" t="s">
        <v>65</v>
      </c>
      <c r="D114" s="494"/>
      <c r="E114" s="494"/>
      <c r="F114" s="65" t="s">
        <v>21</v>
      </c>
    </row>
    <row r="115" spans="1:6" outlineLevel="1" x14ac:dyDescent="0.2"/>
    <row r="116" spans="1:6" outlineLevel="1" x14ac:dyDescent="0.2">
      <c r="D116" s="17" t="s">
        <v>215</v>
      </c>
      <c r="F116" s="15" t="s">
        <v>242</v>
      </c>
    </row>
    <row r="117" spans="1:6" outlineLevel="1" x14ac:dyDescent="0.2">
      <c r="D117" s="40" t="str">
        <f>SD_DETAILED_COST_WKSHT!D318</f>
        <v>USD</v>
      </c>
      <c r="F117" s="15"/>
    </row>
    <row r="118" spans="1:6" outlineLevel="1" x14ac:dyDescent="0.2">
      <c r="D118" s="40" t="str">
        <f>SD_DETAILED_COST_WKSHT!D319</f>
        <v>LCU</v>
      </c>
      <c r="F118" s="15"/>
    </row>
    <row r="119" spans="1:6" outlineLevel="1" x14ac:dyDescent="0.2"/>
    <row r="120" spans="1:6" outlineLevel="1" x14ac:dyDescent="0.2"/>
    <row r="121" spans="1:6" s="65" customFormat="1" outlineLevel="1" x14ac:dyDescent="0.2">
      <c r="A121"/>
      <c r="B121"/>
      <c r="C121" s="494" t="s">
        <v>66</v>
      </c>
      <c r="D121" s="494"/>
      <c r="E121" s="494"/>
      <c r="F121" s="65" t="s">
        <v>21</v>
      </c>
    </row>
    <row r="122" spans="1:6" outlineLevel="1" x14ac:dyDescent="0.2"/>
    <row r="123" spans="1:6" outlineLevel="1" x14ac:dyDescent="0.2">
      <c r="D123" s="17" t="s">
        <v>67</v>
      </c>
      <c r="F123" s="15" t="s">
        <v>243</v>
      </c>
    </row>
    <row r="124" spans="1:6" outlineLevel="1" x14ac:dyDescent="0.2">
      <c r="D124" s="16" t="str">
        <f>Lang_Cost_Projection</f>
        <v>Cost Projection</v>
      </c>
      <c r="F124" s="15"/>
    </row>
    <row r="125" spans="1:6" outlineLevel="1" x14ac:dyDescent="0.2">
      <c r="D125" s="16" t="str">
        <f>Lang_Retrospective_Costing</f>
        <v>Retrospective Costing</v>
      </c>
      <c r="F125" s="15"/>
    </row>
    <row r="126" spans="1:6" outlineLevel="1" x14ac:dyDescent="0.2"/>
    <row r="127" spans="1:6" outlineLevel="1" x14ac:dyDescent="0.2"/>
    <row r="128" spans="1:6" s="65" customFormat="1" outlineLevel="1" x14ac:dyDescent="0.2">
      <c r="A128"/>
      <c r="B128"/>
      <c r="C128" s="494" t="s">
        <v>218</v>
      </c>
      <c r="D128" s="494"/>
      <c r="E128" s="494"/>
      <c r="F128" s="65" t="s">
        <v>21</v>
      </c>
    </row>
    <row r="129" spans="1:6" outlineLevel="1" x14ac:dyDescent="0.2"/>
    <row r="130" spans="1:6" outlineLevel="1" x14ac:dyDescent="0.2">
      <c r="D130" s="17" t="s">
        <v>218</v>
      </c>
      <c r="F130" s="15" t="s">
        <v>244</v>
      </c>
    </row>
    <row r="131" spans="1:6" outlineLevel="1" x14ac:dyDescent="0.2">
      <c r="D131" s="16" t="str">
        <f>Lang_Introduction</f>
        <v>Introduction</v>
      </c>
      <c r="F131" s="15"/>
    </row>
    <row r="132" spans="1:6" outlineLevel="1" x14ac:dyDescent="0.2">
      <c r="D132" s="16" t="str">
        <f>Lang_Recurrent</f>
        <v>Recurrent</v>
      </c>
      <c r="F132" s="15"/>
    </row>
    <row r="133" spans="1:6" outlineLevel="1" x14ac:dyDescent="0.2"/>
    <row r="134" spans="1:6" s="65" customFormat="1" outlineLevel="1" x14ac:dyDescent="0.2">
      <c r="A134"/>
      <c r="B134"/>
      <c r="C134" s="494" t="s">
        <v>220</v>
      </c>
      <c r="D134" s="494"/>
      <c r="E134" s="494"/>
      <c r="F134" s="65" t="s">
        <v>21</v>
      </c>
    </row>
    <row r="135" spans="1:6" outlineLevel="1" x14ac:dyDescent="0.2"/>
    <row r="136" spans="1:6" outlineLevel="1" x14ac:dyDescent="0.2">
      <c r="D136" s="17" t="s">
        <v>220</v>
      </c>
      <c r="F136" s="15" t="s">
        <v>245</v>
      </c>
    </row>
    <row r="137" spans="1:6" outlineLevel="1" x14ac:dyDescent="0.2">
      <c r="D137" s="16" t="str">
        <f>Lang_Fin</f>
        <v>Financial</v>
      </c>
      <c r="F137" s="15"/>
    </row>
    <row r="138" spans="1:6" outlineLevel="1" x14ac:dyDescent="0.2">
      <c r="D138" s="16" t="str">
        <f>Lang_Econ</f>
        <v>Economic</v>
      </c>
      <c r="F138" s="15"/>
    </row>
    <row r="139" spans="1:6" outlineLevel="1" x14ac:dyDescent="0.2"/>
    <row r="140" spans="1:6" s="65" customFormat="1" outlineLevel="1" x14ac:dyDescent="0.2">
      <c r="A140"/>
      <c r="B140"/>
      <c r="C140" s="494" t="s">
        <v>221</v>
      </c>
      <c r="D140" s="494"/>
      <c r="E140" s="494"/>
      <c r="F140" s="65" t="s">
        <v>21</v>
      </c>
    </row>
    <row r="141" spans="1:6" outlineLevel="1" x14ac:dyDescent="0.2"/>
    <row r="142" spans="1:6" outlineLevel="1" x14ac:dyDescent="0.2">
      <c r="D142" s="17" t="s">
        <v>221</v>
      </c>
      <c r="F142" s="15" t="s">
        <v>246</v>
      </c>
    </row>
    <row r="143" spans="1:6" outlineLevel="1" x14ac:dyDescent="0.2">
      <c r="D143" s="16" t="str">
        <f>Lang_Use_Detailed_Cost_Worksheet</f>
        <v>Use Detailed Cost Worksheet</v>
      </c>
      <c r="F143" s="15"/>
    </row>
    <row r="144" spans="1:6" outlineLevel="1" x14ac:dyDescent="0.2">
      <c r="D144" s="16" t="str">
        <f>Lang_Enter_Cost_Estimates_Directly</f>
        <v>Enter Cost Estimates Directly</v>
      </c>
      <c r="F144" s="15"/>
    </row>
  </sheetData>
  <mergeCells count="21">
    <mergeCell ref="C105:E105"/>
    <mergeCell ref="B3:D3"/>
    <mergeCell ref="C9:E9"/>
    <mergeCell ref="C16:E16"/>
    <mergeCell ref="C23:E23"/>
    <mergeCell ref="C29:E29"/>
    <mergeCell ref="C70:E70"/>
    <mergeCell ref="C79:E79"/>
    <mergeCell ref="C86:E86"/>
    <mergeCell ref="C93:E93"/>
    <mergeCell ref="C99:E99"/>
    <mergeCell ref="C35:E35"/>
    <mergeCell ref="C44:E44"/>
    <mergeCell ref="C51:E51"/>
    <mergeCell ref="C58:E58"/>
    <mergeCell ref="C64:E64"/>
    <mergeCell ref="C114:E114"/>
    <mergeCell ref="C121:E121"/>
    <mergeCell ref="C128:E128"/>
    <mergeCell ref="C134:E134"/>
    <mergeCell ref="C140:E140"/>
  </mergeCells>
  <hyperlinks>
    <hyperlink ref="A4" location="$B$5" tooltip="Go to Top of Sheet" display="$B$5" xr:uid="{00000000-0004-0000-3C00-000000000000}"/>
    <hyperlink ref="B4" location="HL_Sheet_Main_30" tooltip="Go to Previous Sheet" display="HL_Sheet_Main_30" xr:uid="{00000000-0004-0000-3C00-000001000000}"/>
    <hyperlink ref="C4" location="HL_Sheet_Main_51" tooltip="Go to Next Sheet" display="HL_Sheet_Main_51" xr:uid="{00000000-0004-0000-3C00-000002000000}"/>
    <hyperlink ref="A1" location="HL_Home" tooltip="Go to Table of Contents" display="HL_Home" xr:uid="{00000000-0004-0000-3C00-000003000000}"/>
    <hyperlink ref="B3" location="HL_Home" tooltip="Go to Table of Contents" display="HL_Home" xr:uid="{00000000-0004-0000-3C00-000004000000}"/>
    <hyperlink ref="A2" location="HL_Err_Chk" tooltip="Go to Error Checks" display="HL_Err_Chk" xr:uid="{00000000-0004-0000-3C00-000005000000}"/>
    <hyperlink ref="B3:D3" location="Contents!A1" tooltip="Go to Table of Contents" display="Contents!A1" xr:uid="{00000000-0004-0000-3C00-000006000000}"/>
  </hyperlinks>
  <pageMargins left="0.4" right="0.4" top="0.6" bottom="1" header="0" footer="0.3"/>
  <pageSetup orientation="landscape" r:id="rId1"/>
  <headerFooter>
    <oddFooter>&amp;L&amp;F
&amp;A
Printed: &amp;T on &amp;D&amp;CPage &amp;P of 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4">
    <tabColor rgb="FF7030A0"/>
    <outlinePr summaryBelow="0"/>
    <pageSetUpPr autoPageBreaks="0"/>
  </sheetPr>
  <dimension ref="A1:F249"/>
  <sheetViews>
    <sheetView showGridLines="0" zoomScaleNormal="100" workbookViewId="0">
      <pane xSplit="1" ySplit="4" topLeftCell="B221" activePane="bottomRight" state="frozen"/>
      <selection activeCell="I511" sqref="I511"/>
      <selection pane="topRight" activeCell="I511" sqref="I511"/>
      <selection pane="bottomLeft" activeCell="I511" sqref="I511"/>
      <selection pane="bottomRight" activeCell="I511" sqref="I511"/>
    </sheetView>
  </sheetViews>
  <sheetFormatPr defaultColWidth="11.7109375" defaultRowHeight="12" outlineLevelRow="1" x14ac:dyDescent="0.2"/>
  <cols>
    <col min="1" max="3" width="3.7109375" customWidth="1"/>
    <col min="4" max="4" width="35.7109375" customWidth="1"/>
    <col min="5" max="5" width="3.7109375" customWidth="1"/>
    <col min="6" max="6" width="35.7109375" customWidth="1"/>
    <col min="7" max="7" width="3.7109375" customWidth="1"/>
  </cols>
  <sheetData>
    <row r="1" spans="1:6" ht="15" x14ac:dyDescent="0.2">
      <c r="A1" s="2" t="s">
        <v>128</v>
      </c>
      <c r="B1" s="31" t="str">
        <f>Lang_Supervision_Activity_Variables</f>
        <v>Supervision Activity Variables</v>
      </c>
    </row>
    <row r="2" spans="1:6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3" spans="1:6" ht="12.75" x14ac:dyDescent="0.2">
      <c r="B3" s="426" t="str">
        <f>Lang_Goto_TOC</f>
        <v>Go to Table of Contents</v>
      </c>
      <c r="C3" s="426"/>
      <c r="D3" s="426"/>
    </row>
    <row r="4" spans="1:6" x14ac:dyDescent="0.2">
      <c r="A4" s="2" t="s">
        <v>5</v>
      </c>
      <c r="B4" s="38" t="s">
        <v>7</v>
      </c>
      <c r="C4" s="39"/>
    </row>
    <row r="6" spans="1:6" s="13" customFormat="1" x14ac:dyDescent="0.2">
      <c r="A6"/>
      <c r="B6" s="13" t="str">
        <f>Lang_Supervision_Level_1_1_Lookups</f>
        <v>Supervision Level 1 (1) - Lookups</v>
      </c>
    </row>
    <row r="7" spans="1:6" outlineLevel="1" x14ac:dyDescent="0.2"/>
    <row r="8" spans="1:6" outlineLevel="1" x14ac:dyDescent="0.2"/>
    <row r="9" spans="1:6" s="65" customFormat="1" outlineLevel="1" x14ac:dyDescent="0.2">
      <c r="A9"/>
      <c r="B9"/>
      <c r="C9" s="494" t="s">
        <v>65</v>
      </c>
      <c r="D9" s="494"/>
      <c r="E9" s="494"/>
      <c r="F9" s="65" t="s">
        <v>21</v>
      </c>
    </row>
    <row r="10" spans="1:6" outlineLevel="1" x14ac:dyDescent="0.2"/>
    <row r="11" spans="1:6" outlineLevel="1" x14ac:dyDescent="0.2">
      <c r="D11" s="17" t="s">
        <v>215</v>
      </c>
      <c r="F11" s="15" t="s">
        <v>237</v>
      </c>
    </row>
    <row r="12" spans="1:6" outlineLevel="1" x14ac:dyDescent="0.2">
      <c r="D12" s="40" t="str">
        <f>SUPV_DETAILED_COST_WKSHT!D19</f>
        <v>USD</v>
      </c>
      <c r="F12" s="15"/>
    </row>
    <row r="13" spans="1:6" outlineLevel="1" x14ac:dyDescent="0.2">
      <c r="D13" s="40" t="str">
        <f>SUPV_DETAILED_COST_WKSHT!D20</f>
        <v>LCU</v>
      </c>
      <c r="F13" s="15"/>
    </row>
    <row r="14" spans="1:6" outlineLevel="1" x14ac:dyDescent="0.2"/>
    <row r="15" spans="1:6" outlineLevel="1" x14ac:dyDescent="0.2"/>
    <row r="16" spans="1:6" s="65" customFormat="1" outlineLevel="1" x14ac:dyDescent="0.2">
      <c r="A16"/>
      <c r="B16"/>
      <c r="C16" s="494" t="s">
        <v>66</v>
      </c>
      <c r="D16" s="494"/>
      <c r="E16" s="494"/>
      <c r="F16" s="65" t="s">
        <v>21</v>
      </c>
    </row>
    <row r="17" spans="1:6" outlineLevel="1" x14ac:dyDescent="0.2"/>
    <row r="18" spans="1:6" outlineLevel="1" x14ac:dyDescent="0.2">
      <c r="D18" s="17" t="s">
        <v>67</v>
      </c>
      <c r="F18" s="15" t="s">
        <v>238</v>
      </c>
    </row>
    <row r="19" spans="1:6" outlineLevel="1" x14ac:dyDescent="0.2">
      <c r="D19" s="16" t="str">
        <f>Lang_Cost_Projection</f>
        <v>Cost Projection</v>
      </c>
      <c r="F19" s="15"/>
    </row>
    <row r="20" spans="1:6" outlineLevel="1" x14ac:dyDescent="0.2">
      <c r="D20" s="16" t="str">
        <f>Lang_Retrospective_Costing</f>
        <v>Retrospective Costing</v>
      </c>
      <c r="F20" s="15"/>
    </row>
    <row r="21" spans="1:6" outlineLevel="1" x14ac:dyDescent="0.2"/>
    <row r="22" spans="1:6" outlineLevel="1" x14ac:dyDescent="0.2"/>
    <row r="23" spans="1:6" s="65" customFormat="1" outlineLevel="1" x14ac:dyDescent="0.2">
      <c r="A23"/>
      <c r="B23"/>
      <c r="C23" s="494" t="s">
        <v>218</v>
      </c>
      <c r="D23" s="494"/>
      <c r="E23" s="494"/>
      <c r="F23" s="65" t="s">
        <v>21</v>
      </c>
    </row>
    <row r="24" spans="1:6" outlineLevel="1" x14ac:dyDescent="0.2"/>
    <row r="25" spans="1:6" outlineLevel="1" x14ac:dyDescent="0.2">
      <c r="D25" s="17" t="s">
        <v>218</v>
      </c>
      <c r="F25" s="15" t="s">
        <v>239</v>
      </c>
    </row>
    <row r="26" spans="1:6" outlineLevel="1" x14ac:dyDescent="0.2">
      <c r="D26" s="16" t="str">
        <f>Lang_Introduction</f>
        <v>Introduction</v>
      </c>
      <c r="F26" s="15"/>
    </row>
    <row r="27" spans="1:6" outlineLevel="1" x14ac:dyDescent="0.2">
      <c r="D27" s="16" t="str">
        <f>Lang_Recurrent</f>
        <v>Recurrent</v>
      </c>
      <c r="F27" s="15"/>
    </row>
    <row r="28" spans="1:6" outlineLevel="1" x14ac:dyDescent="0.2"/>
    <row r="29" spans="1:6" s="65" customFormat="1" outlineLevel="1" x14ac:dyDescent="0.2">
      <c r="A29"/>
      <c r="B29"/>
      <c r="C29" s="494" t="s">
        <v>220</v>
      </c>
      <c r="D29" s="494"/>
      <c r="E29" s="494"/>
      <c r="F29" s="65" t="s">
        <v>21</v>
      </c>
    </row>
    <row r="30" spans="1:6" outlineLevel="1" x14ac:dyDescent="0.2"/>
    <row r="31" spans="1:6" outlineLevel="1" x14ac:dyDescent="0.2">
      <c r="D31" s="17" t="s">
        <v>220</v>
      </c>
      <c r="F31" s="15" t="s">
        <v>240</v>
      </c>
    </row>
    <row r="32" spans="1:6" outlineLevel="1" x14ac:dyDescent="0.2">
      <c r="D32" s="16" t="str">
        <f>Lang_Fin</f>
        <v>Financial</v>
      </c>
      <c r="F32" s="15"/>
    </row>
    <row r="33" spans="1:6" outlineLevel="1" x14ac:dyDescent="0.2">
      <c r="D33" s="16" t="str">
        <f>Lang_Econ</f>
        <v>Economic</v>
      </c>
      <c r="F33" s="15"/>
    </row>
    <row r="34" spans="1:6" outlineLevel="1" x14ac:dyDescent="0.2"/>
    <row r="35" spans="1:6" s="65" customFormat="1" outlineLevel="1" x14ac:dyDescent="0.2">
      <c r="A35"/>
      <c r="B35"/>
      <c r="C35" s="494" t="s">
        <v>221</v>
      </c>
      <c r="D35" s="494"/>
      <c r="E35" s="494"/>
      <c r="F35" s="65" t="s">
        <v>21</v>
      </c>
    </row>
    <row r="36" spans="1:6" outlineLevel="1" x14ac:dyDescent="0.2"/>
    <row r="37" spans="1:6" outlineLevel="1" x14ac:dyDescent="0.2">
      <c r="D37" s="17" t="s">
        <v>221</v>
      </c>
      <c r="F37" s="15" t="s">
        <v>241</v>
      </c>
    </row>
    <row r="38" spans="1:6" outlineLevel="1" x14ac:dyDescent="0.2">
      <c r="D38" s="16" t="str">
        <f>Lang_Use_Detailed_Cost_Worksheet</f>
        <v>Use Detailed Cost Worksheet</v>
      </c>
      <c r="F38" s="15"/>
    </row>
    <row r="39" spans="1:6" outlineLevel="1" x14ac:dyDescent="0.2">
      <c r="D39" s="16" t="str">
        <f>Lang_Enter_Cost_Estimates_Directly</f>
        <v>Enter Cost Estimates Directly</v>
      </c>
      <c r="F39" s="15"/>
    </row>
    <row r="41" spans="1:6" s="13" customFormat="1" x14ac:dyDescent="0.2">
      <c r="A41"/>
      <c r="B41" s="13" t="str">
        <f>Lang_Supervision_Level_1_2_Lookups</f>
        <v>Supervision Level 1 (2) - Lookups</v>
      </c>
    </row>
    <row r="42" spans="1:6" outlineLevel="1" x14ac:dyDescent="0.2"/>
    <row r="43" spans="1:6" outlineLevel="1" x14ac:dyDescent="0.2"/>
    <row r="44" spans="1:6" s="65" customFormat="1" outlineLevel="1" x14ac:dyDescent="0.2">
      <c r="A44"/>
      <c r="B44"/>
      <c r="C44" s="494" t="s">
        <v>65</v>
      </c>
      <c r="D44" s="494"/>
      <c r="E44" s="494"/>
      <c r="F44" s="65" t="s">
        <v>21</v>
      </c>
    </row>
    <row r="45" spans="1:6" outlineLevel="1" x14ac:dyDescent="0.2"/>
    <row r="46" spans="1:6" outlineLevel="1" x14ac:dyDescent="0.2">
      <c r="D46" s="17" t="s">
        <v>215</v>
      </c>
      <c r="F46" s="15" t="s">
        <v>237</v>
      </c>
    </row>
    <row r="47" spans="1:6" outlineLevel="1" x14ac:dyDescent="0.2">
      <c r="D47" s="40" t="str">
        <f>SUPV_DETAILED_COST_WKSHT!D116</f>
        <v>USD</v>
      </c>
      <c r="F47" s="15"/>
    </row>
    <row r="48" spans="1:6" outlineLevel="1" x14ac:dyDescent="0.2">
      <c r="D48" s="40" t="str">
        <f>SUPV_DETAILED_COST_WKSHT!D117</f>
        <v>LCU</v>
      </c>
      <c r="F48" s="15"/>
    </row>
    <row r="49" spans="1:6" outlineLevel="1" x14ac:dyDescent="0.2"/>
    <row r="50" spans="1:6" outlineLevel="1" x14ac:dyDescent="0.2"/>
    <row r="51" spans="1:6" s="65" customFormat="1" outlineLevel="1" x14ac:dyDescent="0.2">
      <c r="A51"/>
      <c r="B51"/>
      <c r="C51" s="494" t="s">
        <v>66</v>
      </c>
      <c r="D51" s="494"/>
      <c r="E51" s="494"/>
      <c r="F51" s="65" t="s">
        <v>21</v>
      </c>
    </row>
    <row r="52" spans="1:6" outlineLevel="1" x14ac:dyDescent="0.2"/>
    <row r="53" spans="1:6" outlineLevel="1" x14ac:dyDescent="0.2">
      <c r="D53" s="17" t="s">
        <v>67</v>
      </c>
      <c r="F53" s="15" t="s">
        <v>238</v>
      </c>
    </row>
    <row r="54" spans="1:6" outlineLevel="1" x14ac:dyDescent="0.2">
      <c r="D54" s="16" t="str">
        <f>Lang_Cost_Projection</f>
        <v>Cost Projection</v>
      </c>
      <c r="F54" s="15"/>
    </row>
    <row r="55" spans="1:6" outlineLevel="1" x14ac:dyDescent="0.2">
      <c r="D55" s="16" t="str">
        <f>Lang_Retrospective_Costing</f>
        <v>Retrospective Costing</v>
      </c>
      <c r="F55" s="15"/>
    </row>
    <row r="56" spans="1:6" outlineLevel="1" x14ac:dyDescent="0.2"/>
    <row r="57" spans="1:6" outlineLevel="1" x14ac:dyDescent="0.2"/>
    <row r="58" spans="1:6" s="65" customFormat="1" outlineLevel="1" x14ac:dyDescent="0.2">
      <c r="A58"/>
      <c r="B58"/>
      <c r="C58" s="494" t="s">
        <v>218</v>
      </c>
      <c r="D58" s="494"/>
      <c r="E58" s="494"/>
      <c r="F58" s="65" t="s">
        <v>21</v>
      </c>
    </row>
    <row r="59" spans="1:6" outlineLevel="1" x14ac:dyDescent="0.2"/>
    <row r="60" spans="1:6" outlineLevel="1" x14ac:dyDescent="0.2">
      <c r="D60" s="17" t="s">
        <v>218</v>
      </c>
      <c r="F60" s="15" t="s">
        <v>239</v>
      </c>
    </row>
    <row r="61" spans="1:6" outlineLevel="1" x14ac:dyDescent="0.2">
      <c r="D61" s="16" t="str">
        <f>Lang_Introduction</f>
        <v>Introduction</v>
      </c>
      <c r="F61" s="15"/>
    </row>
    <row r="62" spans="1:6" outlineLevel="1" x14ac:dyDescent="0.2">
      <c r="D62" s="16" t="str">
        <f>Lang_Recurrent</f>
        <v>Recurrent</v>
      </c>
      <c r="F62" s="15"/>
    </row>
    <row r="63" spans="1:6" outlineLevel="1" x14ac:dyDescent="0.2"/>
    <row r="64" spans="1:6" s="65" customFormat="1" outlineLevel="1" x14ac:dyDescent="0.2">
      <c r="A64"/>
      <c r="B64"/>
      <c r="C64" s="494" t="s">
        <v>220</v>
      </c>
      <c r="D64" s="494"/>
      <c r="E64" s="494"/>
      <c r="F64" s="65" t="s">
        <v>21</v>
      </c>
    </row>
    <row r="65" spans="1:6" outlineLevel="1" x14ac:dyDescent="0.2"/>
    <row r="66" spans="1:6" outlineLevel="1" x14ac:dyDescent="0.2">
      <c r="D66" s="17" t="s">
        <v>220</v>
      </c>
      <c r="F66" s="15" t="s">
        <v>240</v>
      </c>
    </row>
    <row r="67" spans="1:6" outlineLevel="1" x14ac:dyDescent="0.2">
      <c r="D67" s="16" t="str">
        <f>Lang_Fin</f>
        <v>Financial</v>
      </c>
      <c r="F67" s="15"/>
    </row>
    <row r="68" spans="1:6" outlineLevel="1" x14ac:dyDescent="0.2">
      <c r="D68" s="16" t="str">
        <f>Lang_Econ</f>
        <v>Economic</v>
      </c>
      <c r="F68" s="15"/>
    </row>
    <row r="69" spans="1:6" outlineLevel="1" x14ac:dyDescent="0.2"/>
    <row r="70" spans="1:6" s="65" customFormat="1" outlineLevel="1" x14ac:dyDescent="0.2">
      <c r="A70"/>
      <c r="B70"/>
      <c r="C70" s="494" t="s">
        <v>221</v>
      </c>
      <c r="D70" s="494"/>
      <c r="E70" s="494"/>
      <c r="F70" s="65" t="s">
        <v>21</v>
      </c>
    </row>
    <row r="71" spans="1:6" outlineLevel="1" x14ac:dyDescent="0.2"/>
    <row r="72" spans="1:6" outlineLevel="1" x14ac:dyDescent="0.2">
      <c r="D72" s="17" t="s">
        <v>221</v>
      </c>
      <c r="F72" s="15" t="s">
        <v>241</v>
      </c>
    </row>
    <row r="73" spans="1:6" outlineLevel="1" x14ac:dyDescent="0.2">
      <c r="D73" s="16" t="str">
        <f>Lang_Use_Detailed_Cost_Worksheet</f>
        <v>Use Detailed Cost Worksheet</v>
      </c>
      <c r="F73" s="15"/>
    </row>
    <row r="74" spans="1:6" outlineLevel="1" x14ac:dyDescent="0.2">
      <c r="D74" s="16" t="str">
        <f>Lang_Enter_Cost_Estimates_Directly</f>
        <v>Enter Cost Estimates Directly</v>
      </c>
      <c r="F74" s="15"/>
    </row>
    <row r="76" spans="1:6" s="13" customFormat="1" x14ac:dyDescent="0.2">
      <c r="A76"/>
      <c r="B76" s="13" t="str">
        <f>Lang_Supervision_Level_1_3_Lookups</f>
        <v>Supervision Level 1 (3) - Lookups</v>
      </c>
    </row>
    <row r="77" spans="1:6" outlineLevel="1" x14ac:dyDescent="0.2"/>
    <row r="78" spans="1:6" outlineLevel="1" x14ac:dyDescent="0.2"/>
    <row r="79" spans="1:6" s="65" customFormat="1" outlineLevel="1" x14ac:dyDescent="0.2">
      <c r="A79"/>
      <c r="B79"/>
      <c r="C79" s="494" t="s">
        <v>65</v>
      </c>
      <c r="D79" s="494"/>
      <c r="E79" s="494"/>
      <c r="F79" s="65" t="s">
        <v>21</v>
      </c>
    </row>
    <row r="80" spans="1:6" outlineLevel="1" x14ac:dyDescent="0.2"/>
    <row r="81" spans="1:6" outlineLevel="1" x14ac:dyDescent="0.2">
      <c r="D81" s="17" t="s">
        <v>215</v>
      </c>
      <c r="F81" s="15" t="s">
        <v>237</v>
      </c>
    </row>
    <row r="82" spans="1:6" outlineLevel="1" x14ac:dyDescent="0.2">
      <c r="D82" s="40" t="str">
        <f>SUPV_DETAILED_COST_WKSHT!D213</f>
        <v>USD</v>
      </c>
      <c r="F82" s="15"/>
    </row>
    <row r="83" spans="1:6" outlineLevel="1" x14ac:dyDescent="0.2">
      <c r="D83" s="40" t="str">
        <f>SUPV_DETAILED_COST_WKSHT!D214</f>
        <v>LCU</v>
      </c>
      <c r="F83" s="15"/>
    </row>
    <row r="84" spans="1:6" outlineLevel="1" x14ac:dyDescent="0.2"/>
    <row r="85" spans="1:6" outlineLevel="1" x14ac:dyDescent="0.2"/>
    <row r="86" spans="1:6" s="65" customFormat="1" outlineLevel="1" x14ac:dyDescent="0.2">
      <c r="A86"/>
      <c r="B86"/>
      <c r="C86" s="494" t="s">
        <v>66</v>
      </c>
      <c r="D86" s="494"/>
      <c r="E86" s="494"/>
      <c r="F86" s="65" t="s">
        <v>21</v>
      </c>
    </row>
    <row r="87" spans="1:6" outlineLevel="1" x14ac:dyDescent="0.2"/>
    <row r="88" spans="1:6" outlineLevel="1" x14ac:dyDescent="0.2">
      <c r="D88" s="17" t="s">
        <v>67</v>
      </c>
      <c r="F88" s="15" t="s">
        <v>238</v>
      </c>
    </row>
    <row r="89" spans="1:6" outlineLevel="1" x14ac:dyDescent="0.2">
      <c r="D89" s="16" t="str">
        <f>Lang_Cost_Projection</f>
        <v>Cost Projection</v>
      </c>
      <c r="F89" s="15"/>
    </row>
    <row r="90" spans="1:6" outlineLevel="1" x14ac:dyDescent="0.2">
      <c r="D90" s="16" t="str">
        <f>Lang_Retrospective_Costing</f>
        <v>Retrospective Costing</v>
      </c>
      <c r="F90" s="15"/>
    </row>
    <row r="91" spans="1:6" outlineLevel="1" x14ac:dyDescent="0.2"/>
    <row r="92" spans="1:6" outlineLevel="1" x14ac:dyDescent="0.2"/>
    <row r="93" spans="1:6" s="65" customFormat="1" outlineLevel="1" x14ac:dyDescent="0.2">
      <c r="A93"/>
      <c r="B93"/>
      <c r="C93" s="494" t="s">
        <v>218</v>
      </c>
      <c r="D93" s="494"/>
      <c r="E93" s="494"/>
      <c r="F93" s="65" t="s">
        <v>21</v>
      </c>
    </row>
    <row r="94" spans="1:6" outlineLevel="1" x14ac:dyDescent="0.2"/>
    <row r="95" spans="1:6" outlineLevel="1" x14ac:dyDescent="0.2">
      <c r="D95" s="17" t="s">
        <v>218</v>
      </c>
      <c r="F95" s="15" t="s">
        <v>239</v>
      </c>
    </row>
    <row r="96" spans="1:6" outlineLevel="1" x14ac:dyDescent="0.2">
      <c r="D96" s="16" t="str">
        <f>Lang_Introduction</f>
        <v>Introduction</v>
      </c>
      <c r="F96" s="15"/>
    </row>
    <row r="97" spans="1:6" outlineLevel="1" x14ac:dyDescent="0.2">
      <c r="D97" s="16" t="str">
        <f>Lang_Recurrent</f>
        <v>Recurrent</v>
      </c>
      <c r="F97" s="15"/>
    </row>
    <row r="98" spans="1:6" outlineLevel="1" x14ac:dyDescent="0.2"/>
    <row r="99" spans="1:6" s="65" customFormat="1" outlineLevel="1" x14ac:dyDescent="0.2">
      <c r="A99"/>
      <c r="B99"/>
      <c r="C99" s="494" t="s">
        <v>220</v>
      </c>
      <c r="D99" s="494"/>
      <c r="E99" s="494"/>
      <c r="F99" s="65" t="s">
        <v>21</v>
      </c>
    </row>
    <row r="100" spans="1:6" outlineLevel="1" x14ac:dyDescent="0.2"/>
    <row r="101" spans="1:6" outlineLevel="1" x14ac:dyDescent="0.2">
      <c r="D101" s="17" t="s">
        <v>220</v>
      </c>
      <c r="F101" s="15" t="s">
        <v>240</v>
      </c>
    </row>
    <row r="102" spans="1:6" outlineLevel="1" x14ac:dyDescent="0.2">
      <c r="D102" s="16" t="str">
        <f>Lang_Fin</f>
        <v>Financial</v>
      </c>
      <c r="F102" s="15"/>
    </row>
    <row r="103" spans="1:6" outlineLevel="1" x14ac:dyDescent="0.2">
      <c r="D103" s="16" t="str">
        <f>Lang_Econ</f>
        <v>Economic</v>
      </c>
      <c r="F103" s="15"/>
    </row>
    <row r="104" spans="1:6" outlineLevel="1" x14ac:dyDescent="0.2"/>
    <row r="105" spans="1:6" s="65" customFormat="1" outlineLevel="1" x14ac:dyDescent="0.2">
      <c r="A105"/>
      <c r="B105"/>
      <c r="C105" s="494" t="s">
        <v>221</v>
      </c>
      <c r="D105" s="494"/>
      <c r="E105" s="494"/>
      <c r="F105" s="65" t="s">
        <v>21</v>
      </c>
    </row>
    <row r="106" spans="1:6" outlineLevel="1" x14ac:dyDescent="0.2"/>
    <row r="107" spans="1:6" outlineLevel="1" x14ac:dyDescent="0.2">
      <c r="D107" s="17" t="s">
        <v>221</v>
      </c>
      <c r="F107" s="15" t="s">
        <v>241</v>
      </c>
    </row>
    <row r="108" spans="1:6" outlineLevel="1" x14ac:dyDescent="0.2">
      <c r="D108" s="16" t="str">
        <f>Lang_Use_Detailed_Cost_Worksheet</f>
        <v>Use Detailed Cost Worksheet</v>
      </c>
      <c r="F108" s="15"/>
    </row>
    <row r="109" spans="1:6" outlineLevel="1" x14ac:dyDescent="0.2">
      <c r="D109" s="16" t="str">
        <f>Lang_Enter_Cost_Estimates_Directly</f>
        <v>Enter Cost Estimates Directly</v>
      </c>
      <c r="F109" s="15"/>
    </row>
    <row r="111" spans="1:6" s="13" customFormat="1" x14ac:dyDescent="0.2">
      <c r="A111"/>
      <c r="B111" s="13" t="str">
        <f>Lang_Supervision_Level_1_4_Lookups</f>
        <v>Supervision Level 1 (4) - Lookups</v>
      </c>
    </row>
    <row r="112" spans="1:6" outlineLevel="1" x14ac:dyDescent="0.2"/>
    <row r="113" spans="1:6" outlineLevel="1" x14ac:dyDescent="0.2"/>
    <row r="114" spans="1:6" s="65" customFormat="1" outlineLevel="1" x14ac:dyDescent="0.2">
      <c r="A114"/>
      <c r="B114"/>
      <c r="C114" s="494" t="s">
        <v>65</v>
      </c>
      <c r="D114" s="494"/>
      <c r="E114" s="494"/>
      <c r="F114" s="65" t="s">
        <v>21</v>
      </c>
    </row>
    <row r="115" spans="1:6" outlineLevel="1" x14ac:dyDescent="0.2"/>
    <row r="116" spans="1:6" outlineLevel="1" x14ac:dyDescent="0.2">
      <c r="D116" s="17" t="s">
        <v>215</v>
      </c>
      <c r="F116" s="15" t="s">
        <v>237</v>
      </c>
    </row>
    <row r="117" spans="1:6" outlineLevel="1" x14ac:dyDescent="0.2">
      <c r="D117" s="40" t="str">
        <f>SUPV_DETAILED_COST_WKSHT!D310</f>
        <v>USD</v>
      </c>
      <c r="F117" s="15"/>
    </row>
    <row r="118" spans="1:6" outlineLevel="1" x14ac:dyDescent="0.2">
      <c r="D118" s="40" t="str">
        <f>SUPV_DETAILED_COST_WKSHT!D311</f>
        <v>LCU</v>
      </c>
      <c r="F118" s="15"/>
    </row>
    <row r="119" spans="1:6" outlineLevel="1" x14ac:dyDescent="0.2"/>
    <row r="120" spans="1:6" outlineLevel="1" x14ac:dyDescent="0.2"/>
    <row r="121" spans="1:6" s="65" customFormat="1" outlineLevel="1" x14ac:dyDescent="0.2">
      <c r="A121"/>
      <c r="B121"/>
      <c r="C121" s="494" t="s">
        <v>66</v>
      </c>
      <c r="D121" s="494"/>
      <c r="E121" s="494"/>
      <c r="F121" s="65" t="s">
        <v>21</v>
      </c>
    </row>
    <row r="122" spans="1:6" outlineLevel="1" x14ac:dyDescent="0.2"/>
    <row r="123" spans="1:6" outlineLevel="1" x14ac:dyDescent="0.2">
      <c r="D123" s="17" t="s">
        <v>67</v>
      </c>
      <c r="F123" s="15" t="s">
        <v>238</v>
      </c>
    </row>
    <row r="124" spans="1:6" outlineLevel="1" x14ac:dyDescent="0.2">
      <c r="D124" s="16" t="str">
        <f>Lang_Cost_Projection</f>
        <v>Cost Projection</v>
      </c>
      <c r="F124" s="15"/>
    </row>
    <row r="125" spans="1:6" outlineLevel="1" x14ac:dyDescent="0.2">
      <c r="D125" s="16" t="str">
        <f>Lang_Retrospective_Costing</f>
        <v>Retrospective Costing</v>
      </c>
      <c r="F125" s="15"/>
    </row>
    <row r="126" spans="1:6" outlineLevel="1" x14ac:dyDescent="0.2"/>
    <row r="127" spans="1:6" outlineLevel="1" x14ac:dyDescent="0.2"/>
    <row r="128" spans="1:6" s="65" customFormat="1" outlineLevel="1" x14ac:dyDescent="0.2">
      <c r="A128"/>
      <c r="B128"/>
      <c r="C128" s="494" t="s">
        <v>218</v>
      </c>
      <c r="D128" s="494"/>
      <c r="E128" s="494"/>
      <c r="F128" s="65" t="s">
        <v>21</v>
      </c>
    </row>
    <row r="129" spans="1:6" outlineLevel="1" x14ac:dyDescent="0.2"/>
    <row r="130" spans="1:6" outlineLevel="1" x14ac:dyDescent="0.2">
      <c r="D130" s="17" t="s">
        <v>218</v>
      </c>
      <c r="F130" s="15" t="s">
        <v>239</v>
      </c>
    </row>
    <row r="131" spans="1:6" outlineLevel="1" x14ac:dyDescent="0.2">
      <c r="D131" s="16" t="str">
        <f>Lang_Introduction</f>
        <v>Introduction</v>
      </c>
      <c r="F131" s="15"/>
    </row>
    <row r="132" spans="1:6" outlineLevel="1" x14ac:dyDescent="0.2">
      <c r="D132" s="16" t="str">
        <f>Lang_Recurrent</f>
        <v>Recurrent</v>
      </c>
      <c r="F132" s="15"/>
    </row>
    <row r="133" spans="1:6" outlineLevel="1" x14ac:dyDescent="0.2"/>
    <row r="134" spans="1:6" s="65" customFormat="1" outlineLevel="1" x14ac:dyDescent="0.2">
      <c r="A134"/>
      <c r="B134"/>
      <c r="C134" s="494" t="s">
        <v>220</v>
      </c>
      <c r="D134" s="494"/>
      <c r="E134" s="494"/>
      <c r="F134" s="65" t="s">
        <v>21</v>
      </c>
    </row>
    <row r="135" spans="1:6" outlineLevel="1" x14ac:dyDescent="0.2"/>
    <row r="136" spans="1:6" outlineLevel="1" x14ac:dyDescent="0.2">
      <c r="D136" s="17" t="s">
        <v>220</v>
      </c>
      <c r="F136" s="15" t="s">
        <v>240</v>
      </c>
    </row>
    <row r="137" spans="1:6" outlineLevel="1" x14ac:dyDescent="0.2">
      <c r="D137" s="16" t="str">
        <f>Lang_Fin</f>
        <v>Financial</v>
      </c>
      <c r="F137" s="15"/>
    </row>
    <row r="138" spans="1:6" outlineLevel="1" x14ac:dyDescent="0.2">
      <c r="D138" s="16" t="str">
        <f>Lang_Econ</f>
        <v>Economic</v>
      </c>
      <c r="F138" s="15"/>
    </row>
    <row r="139" spans="1:6" outlineLevel="1" x14ac:dyDescent="0.2"/>
    <row r="140" spans="1:6" s="65" customFormat="1" outlineLevel="1" x14ac:dyDescent="0.2">
      <c r="A140"/>
      <c r="B140"/>
      <c r="C140" s="494" t="s">
        <v>221</v>
      </c>
      <c r="D140" s="494"/>
      <c r="E140" s="494"/>
      <c r="F140" s="65" t="s">
        <v>21</v>
      </c>
    </row>
    <row r="141" spans="1:6" outlineLevel="1" x14ac:dyDescent="0.2"/>
    <row r="142" spans="1:6" outlineLevel="1" x14ac:dyDescent="0.2">
      <c r="D142" s="17" t="s">
        <v>221</v>
      </c>
      <c r="F142" s="15" t="s">
        <v>241</v>
      </c>
    </row>
    <row r="143" spans="1:6" outlineLevel="1" x14ac:dyDescent="0.2">
      <c r="D143" s="16" t="str">
        <f>Lang_Use_Detailed_Cost_Worksheet</f>
        <v>Use Detailed Cost Worksheet</v>
      </c>
      <c r="F143" s="15"/>
    </row>
    <row r="144" spans="1:6" outlineLevel="1" x14ac:dyDescent="0.2">
      <c r="D144" s="16" t="str">
        <f>Lang_Enter_Cost_Estimates_Directly</f>
        <v>Enter Cost Estimates Directly</v>
      </c>
      <c r="F144" s="15"/>
    </row>
    <row r="146" spans="1:6" s="13" customFormat="1" x14ac:dyDescent="0.2">
      <c r="A146"/>
      <c r="B146" s="13" t="str">
        <f>Lang_Supervision_Level_2_1_Lookups</f>
        <v>Supervision Level 2 (1) - Lookups</v>
      </c>
    </row>
    <row r="147" spans="1:6" outlineLevel="1" x14ac:dyDescent="0.2"/>
    <row r="148" spans="1:6" outlineLevel="1" x14ac:dyDescent="0.2"/>
    <row r="149" spans="1:6" s="65" customFormat="1" outlineLevel="1" x14ac:dyDescent="0.2">
      <c r="A149"/>
      <c r="B149"/>
      <c r="C149" s="494" t="s">
        <v>65</v>
      </c>
      <c r="D149" s="494"/>
      <c r="E149" s="494"/>
      <c r="F149" s="65" t="s">
        <v>21</v>
      </c>
    </row>
    <row r="150" spans="1:6" outlineLevel="1" x14ac:dyDescent="0.2"/>
    <row r="151" spans="1:6" outlineLevel="1" x14ac:dyDescent="0.2">
      <c r="D151" s="17" t="s">
        <v>215</v>
      </c>
      <c r="F151" s="15" t="s">
        <v>242</v>
      </c>
    </row>
    <row r="152" spans="1:6" outlineLevel="1" x14ac:dyDescent="0.2">
      <c r="D152" s="40" t="str">
        <f>SUPV_DETAILED_COST_WKSHT!D409</f>
        <v>USD</v>
      </c>
      <c r="F152" s="15"/>
    </row>
    <row r="153" spans="1:6" outlineLevel="1" x14ac:dyDescent="0.2">
      <c r="D153" s="40" t="str">
        <f>SUPV_DETAILED_COST_WKSHT!D410</f>
        <v>LCU</v>
      </c>
      <c r="F153" s="15"/>
    </row>
    <row r="154" spans="1:6" outlineLevel="1" x14ac:dyDescent="0.2"/>
    <row r="155" spans="1:6" outlineLevel="1" x14ac:dyDescent="0.2"/>
    <row r="156" spans="1:6" s="65" customFormat="1" outlineLevel="1" x14ac:dyDescent="0.2">
      <c r="A156"/>
      <c r="B156"/>
      <c r="C156" s="494" t="s">
        <v>66</v>
      </c>
      <c r="D156" s="494"/>
      <c r="E156" s="494"/>
      <c r="F156" s="65" t="s">
        <v>21</v>
      </c>
    </row>
    <row r="157" spans="1:6" outlineLevel="1" x14ac:dyDescent="0.2"/>
    <row r="158" spans="1:6" outlineLevel="1" x14ac:dyDescent="0.2">
      <c r="D158" s="17" t="s">
        <v>67</v>
      </c>
      <c r="F158" s="15" t="s">
        <v>243</v>
      </c>
    </row>
    <row r="159" spans="1:6" outlineLevel="1" x14ac:dyDescent="0.2">
      <c r="D159" s="16" t="str">
        <f>Lang_Cost_Projection</f>
        <v>Cost Projection</v>
      </c>
      <c r="F159" s="15"/>
    </row>
    <row r="160" spans="1:6" outlineLevel="1" x14ac:dyDescent="0.2">
      <c r="D160" s="16" t="str">
        <f>Lang_Retrospective_Costing</f>
        <v>Retrospective Costing</v>
      </c>
      <c r="F160" s="15"/>
    </row>
    <row r="161" spans="1:6" outlineLevel="1" x14ac:dyDescent="0.2"/>
    <row r="162" spans="1:6" outlineLevel="1" x14ac:dyDescent="0.2"/>
    <row r="163" spans="1:6" s="65" customFormat="1" outlineLevel="1" x14ac:dyDescent="0.2">
      <c r="A163"/>
      <c r="B163"/>
      <c r="C163" s="494" t="s">
        <v>218</v>
      </c>
      <c r="D163" s="494"/>
      <c r="E163" s="494"/>
      <c r="F163" s="65" t="s">
        <v>21</v>
      </c>
    </row>
    <row r="164" spans="1:6" outlineLevel="1" x14ac:dyDescent="0.2"/>
    <row r="165" spans="1:6" outlineLevel="1" x14ac:dyDescent="0.2">
      <c r="D165" s="17" t="s">
        <v>218</v>
      </c>
      <c r="F165" s="15" t="s">
        <v>244</v>
      </c>
    </row>
    <row r="166" spans="1:6" outlineLevel="1" x14ac:dyDescent="0.2">
      <c r="D166" s="16" t="str">
        <f>Lang_Introduction</f>
        <v>Introduction</v>
      </c>
      <c r="F166" s="15"/>
    </row>
    <row r="167" spans="1:6" outlineLevel="1" x14ac:dyDescent="0.2">
      <c r="D167" s="16" t="str">
        <f>Lang_Recurrent</f>
        <v>Recurrent</v>
      </c>
      <c r="F167" s="15"/>
    </row>
    <row r="168" spans="1:6" outlineLevel="1" x14ac:dyDescent="0.2"/>
    <row r="169" spans="1:6" s="65" customFormat="1" outlineLevel="1" x14ac:dyDescent="0.2">
      <c r="A169"/>
      <c r="B169"/>
      <c r="C169" s="494" t="s">
        <v>220</v>
      </c>
      <c r="D169" s="494"/>
      <c r="E169" s="494"/>
      <c r="F169" s="65" t="s">
        <v>21</v>
      </c>
    </row>
    <row r="170" spans="1:6" outlineLevel="1" x14ac:dyDescent="0.2"/>
    <row r="171" spans="1:6" outlineLevel="1" x14ac:dyDescent="0.2">
      <c r="D171" s="17" t="s">
        <v>220</v>
      </c>
      <c r="F171" s="15" t="s">
        <v>245</v>
      </c>
    </row>
    <row r="172" spans="1:6" outlineLevel="1" x14ac:dyDescent="0.2">
      <c r="D172" s="16" t="str">
        <f>Lang_Fin</f>
        <v>Financial</v>
      </c>
      <c r="F172" s="15"/>
    </row>
    <row r="173" spans="1:6" outlineLevel="1" x14ac:dyDescent="0.2">
      <c r="D173" s="16" t="str">
        <f>Lang_Econ</f>
        <v>Economic</v>
      </c>
      <c r="F173" s="15"/>
    </row>
    <row r="174" spans="1:6" outlineLevel="1" x14ac:dyDescent="0.2"/>
    <row r="175" spans="1:6" s="65" customFormat="1" outlineLevel="1" x14ac:dyDescent="0.2">
      <c r="A175"/>
      <c r="B175"/>
      <c r="C175" s="494" t="s">
        <v>221</v>
      </c>
      <c r="D175" s="494"/>
      <c r="E175" s="494"/>
      <c r="F175" s="65" t="s">
        <v>21</v>
      </c>
    </row>
    <row r="176" spans="1:6" outlineLevel="1" x14ac:dyDescent="0.2"/>
    <row r="177" spans="1:6" outlineLevel="1" x14ac:dyDescent="0.2">
      <c r="D177" s="17" t="s">
        <v>221</v>
      </c>
      <c r="F177" s="15" t="s">
        <v>246</v>
      </c>
    </row>
    <row r="178" spans="1:6" outlineLevel="1" x14ac:dyDescent="0.2">
      <c r="D178" s="16" t="str">
        <f>Lang_Use_Detailed_Cost_Worksheet</f>
        <v>Use Detailed Cost Worksheet</v>
      </c>
      <c r="F178" s="15"/>
    </row>
    <row r="179" spans="1:6" outlineLevel="1" x14ac:dyDescent="0.2">
      <c r="D179" s="16" t="str">
        <f>Lang_Enter_Cost_Estimates_Directly</f>
        <v>Enter Cost Estimates Directly</v>
      </c>
      <c r="F179" s="15"/>
    </row>
    <row r="181" spans="1:6" s="13" customFormat="1" x14ac:dyDescent="0.2">
      <c r="A181"/>
      <c r="B181" s="13" t="str">
        <f>Lang_Supervision_Level_2_2_Lookups</f>
        <v>Supervision Level 2 (2) - Lookups</v>
      </c>
    </row>
    <row r="182" spans="1:6" outlineLevel="1" x14ac:dyDescent="0.2"/>
    <row r="183" spans="1:6" outlineLevel="1" x14ac:dyDescent="0.2"/>
    <row r="184" spans="1:6" s="65" customFormat="1" outlineLevel="1" x14ac:dyDescent="0.2">
      <c r="A184"/>
      <c r="B184"/>
      <c r="C184" s="494" t="s">
        <v>65</v>
      </c>
      <c r="D184" s="494"/>
      <c r="E184" s="494"/>
      <c r="F184" s="65" t="s">
        <v>21</v>
      </c>
    </row>
    <row r="185" spans="1:6" outlineLevel="1" x14ac:dyDescent="0.2"/>
    <row r="186" spans="1:6" outlineLevel="1" x14ac:dyDescent="0.2">
      <c r="D186" s="17" t="s">
        <v>215</v>
      </c>
      <c r="F186" s="15" t="s">
        <v>242</v>
      </c>
    </row>
    <row r="187" spans="1:6" outlineLevel="1" x14ac:dyDescent="0.2">
      <c r="D187" s="40" t="str">
        <f>SUPV_DETAILED_COST_WKSHT!D508</f>
        <v>USD</v>
      </c>
      <c r="F187" s="15"/>
    </row>
    <row r="188" spans="1:6" outlineLevel="1" x14ac:dyDescent="0.2">
      <c r="D188" s="40" t="str">
        <f>SUPV_DETAILED_COST_WKSHT!D509</f>
        <v>LCU</v>
      </c>
      <c r="F188" s="15"/>
    </row>
    <row r="189" spans="1:6" outlineLevel="1" x14ac:dyDescent="0.2"/>
    <row r="190" spans="1:6" outlineLevel="1" x14ac:dyDescent="0.2"/>
    <row r="191" spans="1:6" s="65" customFormat="1" outlineLevel="1" x14ac:dyDescent="0.2">
      <c r="A191"/>
      <c r="B191"/>
      <c r="C191" s="494" t="s">
        <v>66</v>
      </c>
      <c r="D191" s="494"/>
      <c r="E191" s="494"/>
      <c r="F191" s="65" t="s">
        <v>21</v>
      </c>
    </row>
    <row r="192" spans="1:6" outlineLevel="1" x14ac:dyDescent="0.2"/>
    <row r="193" spans="1:6" outlineLevel="1" x14ac:dyDescent="0.2">
      <c r="D193" s="17" t="s">
        <v>67</v>
      </c>
      <c r="F193" s="15" t="s">
        <v>243</v>
      </c>
    </row>
    <row r="194" spans="1:6" outlineLevel="1" x14ac:dyDescent="0.2">
      <c r="D194" s="16" t="str">
        <f>Lang_Cost_Projection</f>
        <v>Cost Projection</v>
      </c>
      <c r="F194" s="15"/>
    </row>
    <row r="195" spans="1:6" outlineLevel="1" x14ac:dyDescent="0.2">
      <c r="D195" s="16" t="str">
        <f>Lang_Retrospective_Costing</f>
        <v>Retrospective Costing</v>
      </c>
      <c r="F195" s="15"/>
    </row>
    <row r="196" spans="1:6" outlineLevel="1" x14ac:dyDescent="0.2"/>
    <row r="197" spans="1:6" outlineLevel="1" x14ac:dyDescent="0.2"/>
    <row r="198" spans="1:6" s="65" customFormat="1" outlineLevel="1" x14ac:dyDescent="0.2">
      <c r="A198"/>
      <c r="B198"/>
      <c r="C198" s="494" t="s">
        <v>218</v>
      </c>
      <c r="D198" s="494"/>
      <c r="E198" s="494"/>
      <c r="F198" s="65" t="s">
        <v>21</v>
      </c>
    </row>
    <row r="199" spans="1:6" outlineLevel="1" x14ac:dyDescent="0.2"/>
    <row r="200" spans="1:6" outlineLevel="1" x14ac:dyDescent="0.2">
      <c r="D200" s="17" t="s">
        <v>218</v>
      </c>
      <c r="F200" s="15" t="s">
        <v>244</v>
      </c>
    </row>
    <row r="201" spans="1:6" outlineLevel="1" x14ac:dyDescent="0.2">
      <c r="D201" s="16" t="str">
        <f>Lang_Introduction</f>
        <v>Introduction</v>
      </c>
      <c r="F201" s="15"/>
    </row>
    <row r="202" spans="1:6" outlineLevel="1" x14ac:dyDescent="0.2">
      <c r="D202" s="16" t="str">
        <f>Lang_Recurrent</f>
        <v>Recurrent</v>
      </c>
      <c r="F202" s="15"/>
    </row>
    <row r="203" spans="1:6" outlineLevel="1" x14ac:dyDescent="0.2"/>
    <row r="204" spans="1:6" s="65" customFormat="1" outlineLevel="1" x14ac:dyDescent="0.2">
      <c r="A204"/>
      <c r="B204"/>
      <c r="C204" s="494" t="s">
        <v>220</v>
      </c>
      <c r="D204" s="494"/>
      <c r="E204" s="494"/>
      <c r="F204" s="65" t="s">
        <v>21</v>
      </c>
    </row>
    <row r="205" spans="1:6" outlineLevel="1" x14ac:dyDescent="0.2"/>
    <row r="206" spans="1:6" outlineLevel="1" x14ac:dyDescent="0.2">
      <c r="D206" s="17" t="s">
        <v>220</v>
      </c>
      <c r="F206" s="15" t="s">
        <v>245</v>
      </c>
    </row>
    <row r="207" spans="1:6" outlineLevel="1" x14ac:dyDescent="0.2">
      <c r="D207" s="16" t="str">
        <f>Lang_Fin</f>
        <v>Financial</v>
      </c>
      <c r="F207" s="15"/>
    </row>
    <row r="208" spans="1:6" outlineLevel="1" x14ac:dyDescent="0.2">
      <c r="D208" s="16" t="str">
        <f>Lang_Econ</f>
        <v>Economic</v>
      </c>
      <c r="F208" s="15"/>
    </row>
    <row r="209" spans="1:6" outlineLevel="1" x14ac:dyDescent="0.2"/>
    <row r="210" spans="1:6" s="65" customFormat="1" outlineLevel="1" x14ac:dyDescent="0.2">
      <c r="A210"/>
      <c r="B210"/>
      <c r="C210" s="494" t="s">
        <v>221</v>
      </c>
      <c r="D210" s="494"/>
      <c r="E210" s="494"/>
      <c r="F210" s="65" t="s">
        <v>21</v>
      </c>
    </row>
    <row r="211" spans="1:6" outlineLevel="1" x14ac:dyDescent="0.2"/>
    <row r="212" spans="1:6" outlineLevel="1" x14ac:dyDescent="0.2">
      <c r="D212" s="17" t="s">
        <v>221</v>
      </c>
      <c r="F212" s="15" t="s">
        <v>246</v>
      </c>
    </row>
    <row r="213" spans="1:6" outlineLevel="1" x14ac:dyDescent="0.2">
      <c r="D213" s="16" t="str">
        <f>Lang_Use_Detailed_Cost_Worksheet</f>
        <v>Use Detailed Cost Worksheet</v>
      </c>
      <c r="F213" s="15"/>
    </row>
    <row r="214" spans="1:6" outlineLevel="1" x14ac:dyDescent="0.2">
      <c r="D214" s="16" t="str">
        <f>Lang_Enter_Cost_Estimates_Directly</f>
        <v>Enter Cost Estimates Directly</v>
      </c>
      <c r="F214" s="15"/>
    </row>
    <row r="216" spans="1:6" s="13" customFormat="1" x14ac:dyDescent="0.2">
      <c r="A216"/>
      <c r="B216" s="13" t="str">
        <f>Lang_Supervision_Level_2_3_Lookups</f>
        <v>Supervision Level 2 (3) - Lookups</v>
      </c>
    </row>
    <row r="217" spans="1:6" outlineLevel="1" x14ac:dyDescent="0.2"/>
    <row r="218" spans="1:6" outlineLevel="1" x14ac:dyDescent="0.2"/>
    <row r="219" spans="1:6" s="65" customFormat="1" outlineLevel="1" x14ac:dyDescent="0.2">
      <c r="A219"/>
      <c r="B219"/>
      <c r="C219" s="494" t="s">
        <v>65</v>
      </c>
      <c r="D219" s="494"/>
      <c r="E219" s="494"/>
      <c r="F219" s="65" t="s">
        <v>21</v>
      </c>
    </row>
    <row r="220" spans="1:6" outlineLevel="1" x14ac:dyDescent="0.2"/>
    <row r="221" spans="1:6" outlineLevel="1" x14ac:dyDescent="0.2">
      <c r="D221" s="17" t="s">
        <v>215</v>
      </c>
      <c r="F221" s="15" t="s">
        <v>242</v>
      </c>
    </row>
    <row r="222" spans="1:6" outlineLevel="1" x14ac:dyDescent="0.2">
      <c r="D222" s="40" t="str">
        <f>SUPV_DETAILED_COST_WKSHT!D607</f>
        <v>USD</v>
      </c>
      <c r="F222" s="15"/>
    </row>
    <row r="223" spans="1:6" outlineLevel="1" x14ac:dyDescent="0.2">
      <c r="D223" s="40" t="str">
        <f>SUPV_DETAILED_COST_WKSHT!D608</f>
        <v>LCU</v>
      </c>
      <c r="F223" s="15"/>
    </row>
    <row r="224" spans="1:6" outlineLevel="1" x14ac:dyDescent="0.2"/>
    <row r="225" spans="1:6" outlineLevel="1" x14ac:dyDescent="0.2"/>
    <row r="226" spans="1:6" s="65" customFormat="1" outlineLevel="1" x14ac:dyDescent="0.2">
      <c r="A226"/>
      <c r="B226"/>
      <c r="C226" s="494" t="s">
        <v>66</v>
      </c>
      <c r="D226" s="494"/>
      <c r="E226" s="494"/>
      <c r="F226" s="65" t="s">
        <v>21</v>
      </c>
    </row>
    <row r="227" spans="1:6" outlineLevel="1" x14ac:dyDescent="0.2"/>
    <row r="228" spans="1:6" outlineLevel="1" x14ac:dyDescent="0.2">
      <c r="D228" s="17" t="s">
        <v>67</v>
      </c>
      <c r="F228" s="15" t="s">
        <v>243</v>
      </c>
    </row>
    <row r="229" spans="1:6" outlineLevel="1" x14ac:dyDescent="0.2">
      <c r="D229" s="16" t="str">
        <f>Lang_Cost_Projection</f>
        <v>Cost Projection</v>
      </c>
      <c r="F229" s="15"/>
    </row>
    <row r="230" spans="1:6" outlineLevel="1" x14ac:dyDescent="0.2">
      <c r="D230" s="16" t="str">
        <f>Lang_Retrospective_Costing</f>
        <v>Retrospective Costing</v>
      </c>
      <c r="F230" s="15"/>
    </row>
    <row r="231" spans="1:6" outlineLevel="1" x14ac:dyDescent="0.2"/>
    <row r="232" spans="1:6" outlineLevel="1" x14ac:dyDescent="0.2"/>
    <row r="233" spans="1:6" s="65" customFormat="1" outlineLevel="1" x14ac:dyDescent="0.2">
      <c r="A233"/>
      <c r="B233"/>
      <c r="C233" s="494" t="s">
        <v>218</v>
      </c>
      <c r="D233" s="494"/>
      <c r="E233" s="494"/>
      <c r="F233" s="65" t="s">
        <v>21</v>
      </c>
    </row>
    <row r="234" spans="1:6" outlineLevel="1" x14ac:dyDescent="0.2"/>
    <row r="235" spans="1:6" outlineLevel="1" x14ac:dyDescent="0.2">
      <c r="D235" s="17" t="s">
        <v>218</v>
      </c>
      <c r="F235" s="15" t="s">
        <v>244</v>
      </c>
    </row>
    <row r="236" spans="1:6" outlineLevel="1" x14ac:dyDescent="0.2">
      <c r="D236" s="16" t="str">
        <f>Lang_Introduction</f>
        <v>Introduction</v>
      </c>
      <c r="F236" s="15"/>
    </row>
    <row r="237" spans="1:6" outlineLevel="1" x14ac:dyDescent="0.2">
      <c r="D237" s="16" t="str">
        <f>Lang_Recurrent</f>
        <v>Recurrent</v>
      </c>
      <c r="F237" s="15"/>
    </row>
    <row r="238" spans="1:6" outlineLevel="1" x14ac:dyDescent="0.2"/>
    <row r="239" spans="1:6" s="65" customFormat="1" outlineLevel="1" x14ac:dyDescent="0.2">
      <c r="A239"/>
      <c r="B239"/>
      <c r="C239" s="494" t="s">
        <v>220</v>
      </c>
      <c r="D239" s="494"/>
      <c r="E239" s="494"/>
      <c r="F239" s="65" t="s">
        <v>21</v>
      </c>
    </row>
    <row r="240" spans="1:6" outlineLevel="1" x14ac:dyDescent="0.2"/>
    <row r="241" spans="1:6" outlineLevel="1" x14ac:dyDescent="0.2">
      <c r="D241" s="17" t="s">
        <v>220</v>
      </c>
      <c r="F241" s="15" t="s">
        <v>245</v>
      </c>
    </row>
    <row r="242" spans="1:6" outlineLevel="1" x14ac:dyDescent="0.2">
      <c r="D242" s="16" t="str">
        <f>Lang_Fin</f>
        <v>Financial</v>
      </c>
      <c r="F242" s="15"/>
    </row>
    <row r="243" spans="1:6" outlineLevel="1" x14ac:dyDescent="0.2">
      <c r="D243" s="16" t="str">
        <f>Lang_Econ</f>
        <v>Economic</v>
      </c>
      <c r="F243" s="15"/>
    </row>
    <row r="244" spans="1:6" outlineLevel="1" x14ac:dyDescent="0.2"/>
    <row r="245" spans="1:6" s="65" customFormat="1" outlineLevel="1" x14ac:dyDescent="0.2">
      <c r="A245"/>
      <c r="B245"/>
      <c r="C245" s="494" t="s">
        <v>221</v>
      </c>
      <c r="D245" s="494"/>
      <c r="E245" s="494"/>
      <c r="F245" s="65" t="s">
        <v>21</v>
      </c>
    </row>
    <row r="246" spans="1:6" outlineLevel="1" x14ac:dyDescent="0.2"/>
    <row r="247" spans="1:6" outlineLevel="1" x14ac:dyDescent="0.2">
      <c r="D247" s="17" t="s">
        <v>221</v>
      </c>
      <c r="F247" s="15" t="s">
        <v>246</v>
      </c>
    </row>
    <row r="248" spans="1:6" outlineLevel="1" x14ac:dyDescent="0.2">
      <c r="D248" s="16" t="str">
        <f>Lang_Use_Detailed_Cost_Worksheet</f>
        <v>Use Detailed Cost Worksheet</v>
      </c>
      <c r="F248" s="15"/>
    </row>
    <row r="249" spans="1:6" outlineLevel="1" x14ac:dyDescent="0.2">
      <c r="D249" s="16" t="str">
        <f>Lang_Enter_Cost_Estimates_Directly</f>
        <v>Enter Cost Estimates Directly</v>
      </c>
      <c r="F249" s="15"/>
    </row>
  </sheetData>
  <mergeCells count="36">
    <mergeCell ref="C233:E233"/>
    <mergeCell ref="C239:E239"/>
    <mergeCell ref="C245:E245"/>
    <mergeCell ref="C79:E79"/>
    <mergeCell ref="C86:E86"/>
    <mergeCell ref="C93:E93"/>
    <mergeCell ref="C99:E99"/>
    <mergeCell ref="C105:E105"/>
    <mergeCell ref="C114:E114"/>
    <mergeCell ref="C121:E121"/>
    <mergeCell ref="C128:E128"/>
    <mergeCell ref="C134:E134"/>
    <mergeCell ref="C140:E140"/>
    <mergeCell ref="C149:E149"/>
    <mergeCell ref="C156:E156"/>
    <mergeCell ref="C51:E51"/>
    <mergeCell ref="C58:E58"/>
    <mergeCell ref="C64:E64"/>
    <mergeCell ref="C70:E70"/>
    <mergeCell ref="C226:E226"/>
    <mergeCell ref="C198:E198"/>
    <mergeCell ref="C204:E204"/>
    <mergeCell ref="C210:E210"/>
    <mergeCell ref="C219:E219"/>
    <mergeCell ref="C163:E163"/>
    <mergeCell ref="C169:E169"/>
    <mergeCell ref="C175:E175"/>
    <mergeCell ref="C184:E184"/>
    <mergeCell ref="C191:E191"/>
    <mergeCell ref="C44:E44"/>
    <mergeCell ref="B3:D3"/>
    <mergeCell ref="C29:E29"/>
    <mergeCell ref="C35:E35"/>
    <mergeCell ref="C9:E9"/>
    <mergeCell ref="C16:E16"/>
    <mergeCell ref="C23:E23"/>
  </mergeCells>
  <hyperlinks>
    <hyperlink ref="A4" location="$B$5" tooltip="Go to Top of Sheet" display="$B$5" xr:uid="{00000000-0004-0000-3D00-000000000000}"/>
    <hyperlink ref="B4" location="HL_Sheet_Main_31" tooltip="Go to Previous Sheet" display="HL_Sheet_Main_31" xr:uid="{00000000-0004-0000-3D00-000001000000}"/>
    <hyperlink ref="A1" location="HL_Home" tooltip="Go to Table of Contents" display="HL_Home" xr:uid="{00000000-0004-0000-3D00-000002000000}"/>
    <hyperlink ref="B3" location="HL_Home" tooltip="Go to Table of Contents" display="HL_Home" xr:uid="{00000000-0004-0000-3D00-000003000000}"/>
    <hyperlink ref="A2" location="HL_Err_Chk" tooltip="Go to Error Checks" display="HL_Err_Chk" xr:uid="{00000000-0004-0000-3D00-000004000000}"/>
    <hyperlink ref="B3:D3" location="Contents!A1" tooltip="Go to Table of Contents" display="Contents!A1" xr:uid="{00000000-0004-0000-3D00-000005000000}"/>
  </hyperlinks>
  <pageMargins left="0.4" right="0.4" top="0.6" bottom="1" header="0" footer="0.3"/>
  <pageSetup orientation="landscape" r:id="rId1"/>
  <headerFooter>
    <oddFooter>&amp;L&amp;F
&amp;A
Printed: &amp;T on &amp;D&amp;CPage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0070C0"/>
    <pageSetUpPr autoPageBreaks="0" fitToPage="1"/>
  </sheetPr>
  <dimension ref="A1:R980"/>
  <sheetViews>
    <sheetView showGridLines="0" zoomScaleNormal="100" workbookViewId="0">
      <pane xSplit="1" ySplit="7" topLeftCell="B8" activePane="bottomRight" state="frozen"/>
      <selection activeCell="I511" sqref="I511"/>
      <selection pane="topRight" activeCell="I511" sqref="I511"/>
      <selection pane="bottomLeft" activeCell="I511" sqref="I511"/>
      <selection pane="bottomRight"/>
    </sheetView>
  </sheetViews>
  <sheetFormatPr defaultColWidth="0" defaultRowHeight="12" zeroHeight="1" outlineLevelRow="1" x14ac:dyDescent="0.2"/>
  <cols>
    <col min="1" max="2" width="3.7109375" customWidth="1"/>
    <col min="3" max="3" width="5.7109375" customWidth="1"/>
    <col min="4" max="4" width="35.7109375" customWidth="1"/>
    <col min="5" max="5" width="30.7109375" customWidth="1"/>
    <col min="6" max="6" width="15.7109375" customWidth="1"/>
    <col min="7" max="7" width="10.7109375" customWidth="1"/>
    <col min="8" max="8" width="13.7109375" customWidth="1"/>
    <col min="9" max="9" width="15.7109375" customWidth="1"/>
    <col min="10" max="14" width="20.7109375" customWidth="1"/>
    <col min="15" max="15" width="0" hidden="1" customWidth="1"/>
    <col min="16" max="16384" width="11.7109375" hidden="1"/>
  </cols>
  <sheetData>
    <row r="1" spans="1:14" ht="15" x14ac:dyDescent="0.2">
      <c r="A1" s="35" t="s">
        <v>128</v>
      </c>
      <c r="B1" s="31" t="str">
        <f>Lang_Analysis</f>
        <v>Analysis</v>
      </c>
    </row>
    <row r="2" spans="1:14" ht="12.75" x14ac:dyDescent="0.2">
      <c r="A2" s="36"/>
      <c r="B2" s="45" t="str">
        <f ca="1">Model_Name</f>
        <v>Cervical Cancer Prevention and Control Costing (C4P) Tool (Cost Projection)</v>
      </c>
    </row>
    <row r="3" spans="1:14" s="10" customFormat="1" x14ac:dyDescent="0.2">
      <c r="A3" s="421" t="s">
        <v>5</v>
      </c>
      <c r="B3" s="90" t="str">
        <f>Lang_Year_Ending</f>
        <v>Year Ending</v>
      </c>
      <c r="C3" s="90"/>
      <c r="D3" s="90"/>
      <c r="E3" s="90"/>
      <c r="F3" s="90"/>
      <c r="G3" s="90"/>
      <c r="H3" s="90"/>
      <c r="I3" s="90"/>
      <c r="J3" s="106">
        <f t="shared" ref="J3:N3" si="0">J7</f>
        <v>2019</v>
      </c>
      <c r="K3" s="106">
        <f t="shared" si="0"/>
        <v>2020</v>
      </c>
      <c r="L3" s="106">
        <f t="shared" si="0"/>
        <v>2021</v>
      </c>
      <c r="M3" s="106">
        <f t="shared" si="0"/>
        <v>2022</v>
      </c>
      <c r="N3" s="106">
        <f t="shared" si="0"/>
        <v>2023</v>
      </c>
    </row>
    <row r="4" spans="1:14" s="10" customFormat="1" hidden="1" outlineLevel="1" x14ac:dyDescent="0.2">
      <c r="B4" s="50" t="str">
        <f>Lang_Period_Start_Date</f>
        <v>Period Start Date</v>
      </c>
      <c r="J4" s="340">
        <f>EDATE(TS_Start_Date,(J6-1)*TS_Mths_In_Yr)</f>
        <v>43466</v>
      </c>
      <c r="K4" s="340">
        <f>EDATE(TS_Start_Date,(K6-1)*TS_Mths_In_Yr)</f>
        <v>43831</v>
      </c>
      <c r="L4" s="340">
        <f>EDATE(TS_Start_Date,(L6-1)*TS_Mths_In_Yr)</f>
        <v>44197</v>
      </c>
      <c r="M4" s="340">
        <f>EDATE(TS_Start_Date,(M6-1)*TS_Mths_In_Yr)</f>
        <v>44562</v>
      </c>
      <c r="N4" s="340">
        <f>EDATE(TS_Start_Date,(N6-1)*TS_Mths_In_Yr)</f>
        <v>44927</v>
      </c>
    </row>
    <row r="5" spans="1:14" s="10" customFormat="1" hidden="1" outlineLevel="1" x14ac:dyDescent="0.2">
      <c r="B5" s="50" t="str">
        <f>Lang_Period_End_Date</f>
        <v>Period End Date</v>
      </c>
      <c r="J5" s="340">
        <f>EDATE(J4,TS_Mths_In_Yr)-1</f>
        <v>43830</v>
      </c>
      <c r="K5" s="340">
        <f>EDATE(K4,TS_Mths_In_Yr)-1</f>
        <v>44196</v>
      </c>
      <c r="L5" s="340">
        <f>EDATE(L4,TS_Mths_In_Yr)-1</f>
        <v>44561</v>
      </c>
      <c r="M5" s="340">
        <f>EDATE(M4,TS_Mths_In_Yr)-1</f>
        <v>44926</v>
      </c>
      <c r="N5" s="340">
        <f>EDATE(N4,TS_Mths_In_Yr)-1</f>
        <v>45291</v>
      </c>
    </row>
    <row r="6" spans="1:14" s="10" customFormat="1" hidden="1" outlineLevel="1" x14ac:dyDescent="0.2">
      <c r="B6" s="50" t="str">
        <f>Lang_Counter</f>
        <v>Counter</v>
      </c>
      <c r="J6" s="42">
        <f>COLUMNS($J6:J6)</f>
        <v>1</v>
      </c>
      <c r="K6" s="42">
        <f>COLUMNS($J6:K6)</f>
        <v>2</v>
      </c>
      <c r="L6" s="42">
        <f>COLUMNS($J6:L6)</f>
        <v>3</v>
      </c>
      <c r="M6" s="42">
        <f>COLUMNS($J6:M6)</f>
        <v>4</v>
      </c>
      <c r="N6" s="42">
        <f>COLUMNS($J6:N6)</f>
        <v>5</v>
      </c>
    </row>
    <row r="7" spans="1:14" s="10" customFormat="1" hidden="1" outlineLevel="1" x14ac:dyDescent="0.2">
      <c r="B7" s="91" t="str">
        <f>Lang_Financial_Year</f>
        <v>Financial Year</v>
      </c>
      <c r="C7" s="69"/>
      <c r="D7" s="69"/>
      <c r="E7" s="69"/>
      <c r="F7" s="69"/>
      <c r="G7" s="69"/>
      <c r="H7" s="69"/>
      <c r="I7" s="69"/>
      <c r="J7" s="341">
        <f t="shared" ref="J7:N7" si="1">YEAR(J5)</f>
        <v>2019</v>
      </c>
      <c r="K7" s="341">
        <f t="shared" si="1"/>
        <v>2020</v>
      </c>
      <c r="L7" s="341">
        <f t="shared" si="1"/>
        <v>2021</v>
      </c>
      <c r="M7" s="341">
        <f t="shared" si="1"/>
        <v>2022</v>
      </c>
      <c r="N7" s="341">
        <f t="shared" si="1"/>
        <v>2023</v>
      </c>
    </row>
    <row r="8" spans="1:14" s="10" customFormat="1" collapsed="1" x14ac:dyDescent="0.2"/>
    <row r="9" spans="1:14" s="10" customFormat="1" x14ac:dyDescent="0.2">
      <c r="B9" s="13" t="str">
        <f>Lang_Analysis&amp;" - "&amp;B11</f>
        <v>Analysis - Target Population Count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1:14" s="10" customFormat="1" x14ac:dyDescent="0.2"/>
    <row r="11" spans="1:14" s="10" customFormat="1" x14ac:dyDescent="0.2">
      <c r="B11" s="74" t="str">
        <f>Lang_Target_Pop_Count</f>
        <v>Target Population Count</v>
      </c>
    </row>
    <row r="12" spans="1:14" s="10" customFormat="1" x14ac:dyDescent="0.2">
      <c r="I12" s="343" t="str">
        <f>Lang_All_Years</f>
        <v>ALL YEARS</v>
      </c>
    </row>
    <row r="13" spans="1:14" s="10" customFormat="1" x14ac:dyDescent="0.2">
      <c r="D13" s="49" t="str">
        <f>COUNTS_and_COVERAGE_Summary!D13</f>
        <v>Target Group Name1 - IN-SCHOOL Proportion (%) (Projected Calculation)</v>
      </c>
      <c r="I13" s="142">
        <f>SUM(J13:N13)</f>
        <v>279268</v>
      </c>
      <c r="J13" s="42">
        <f>COUNTS_and_COVERAGE_Summary!J13</f>
        <v>40000</v>
      </c>
      <c r="K13" s="42">
        <f>COUNTS_and_COVERAGE_Summary!K13</f>
        <v>51500</v>
      </c>
      <c r="L13" s="42">
        <f>COUNTS_and_COVERAGE_Summary!L13</f>
        <v>42436</v>
      </c>
      <c r="M13" s="42">
        <f>COUNTS_and_COVERAGE_Summary!M13</f>
        <v>32782</v>
      </c>
      <c r="N13" s="42">
        <f>COUNTS_and_COVERAGE_Summary!N13</f>
        <v>112550</v>
      </c>
    </row>
    <row r="14" spans="1:14" s="10" customFormat="1" x14ac:dyDescent="0.2">
      <c r="D14" s="49" t="str">
        <f>COUNTS_and_COVERAGE_Summary!D14</f>
        <v>Target Group Name1 - OUT OF SCHOOL Proportion (%) (Projected) - AUTOCALCULATED</v>
      </c>
      <c r="I14" s="142">
        <f>SUM(J14:N14)</f>
        <v>251642</v>
      </c>
      <c r="J14" s="42">
        <f>COUNTS_and_COVERAGE_Summary!J14</f>
        <v>59999</v>
      </c>
      <c r="K14" s="42">
        <f>COUNTS_and_COVERAGE_Summary!K14</f>
        <v>51500</v>
      </c>
      <c r="L14" s="42">
        <f>COUNTS_and_COVERAGE_Summary!L14</f>
        <v>63653</v>
      </c>
      <c r="M14" s="42">
        <f>COUNTS_and_COVERAGE_Summary!M14</f>
        <v>76490</v>
      </c>
      <c r="N14" s="42">
        <f>COUNTS_and_COVERAGE_Summary!N14</f>
        <v>0</v>
      </c>
    </row>
    <row r="15" spans="1:14" s="10" customFormat="1" x14ac:dyDescent="0.2">
      <c r="D15" s="352" t="str">
        <f>COUNTS_and_COVERAGE_Summary!D17</f>
        <v>Target Group Name1 - Projected</v>
      </c>
      <c r="I15" s="43">
        <f>SUM(J15:N15)</f>
        <v>530909</v>
      </c>
      <c r="J15" s="113">
        <f>COUNTS_and_COVERAGE_Summary!J17</f>
        <v>99999</v>
      </c>
      <c r="K15" s="113">
        <f>COUNTS_and_COVERAGE_Summary!K17</f>
        <v>102999</v>
      </c>
      <c r="L15" s="113">
        <f>COUNTS_and_COVERAGE_Summary!L17</f>
        <v>106089</v>
      </c>
      <c r="M15" s="113">
        <f>COUNTS_and_COVERAGE_Summary!M17</f>
        <v>109272</v>
      </c>
      <c r="N15" s="113">
        <f>COUNTS_and_COVERAGE_Summary!N17</f>
        <v>112550</v>
      </c>
    </row>
    <row r="16" spans="1:14" s="10" customFormat="1" x14ac:dyDescent="0.2"/>
    <row r="17" spans="1:14" s="10" customFormat="1" x14ac:dyDescent="0.2"/>
    <row r="18" spans="1:14" s="10" customFormat="1" x14ac:dyDescent="0.2">
      <c r="D18" s="49" t="str">
        <f>COUNTS_and_COVERAGE_Summary!D23</f>
        <v>Target Group Name2 - IN-SCHOOL Proportion (%) (Projected Calculation)</v>
      </c>
      <c r="I18" s="142">
        <f>SUM(J18:N18)</f>
        <v>160000</v>
      </c>
      <c r="J18" s="42">
        <f>COUNTS_and_COVERAGE_Summary!J23</f>
        <v>30000</v>
      </c>
      <c r="K18" s="42">
        <f>COUNTS_and_COVERAGE_Summary!K23</f>
        <v>50000</v>
      </c>
      <c r="L18" s="42">
        <f>COUNTS_and_COVERAGE_Summary!L23</f>
        <v>40000</v>
      </c>
      <c r="M18" s="42">
        <f>COUNTS_and_COVERAGE_Summary!M23</f>
        <v>30000</v>
      </c>
      <c r="N18" s="42">
        <f>COUNTS_and_COVERAGE_Summary!N23</f>
        <v>10000</v>
      </c>
    </row>
    <row r="19" spans="1:14" s="10" customFormat="1" x14ac:dyDescent="0.2">
      <c r="D19" s="49" t="str">
        <f>COUNTS_and_COVERAGE_Summary!D24</f>
        <v>Target Group Name2 - OUT OF SCHOOL Proportion (%) (Projected) - AUTOCALCULATED</v>
      </c>
      <c r="I19" s="142">
        <f>SUM(J19:N19)</f>
        <v>339996</v>
      </c>
      <c r="J19" s="42">
        <f>COUNTS_and_COVERAGE_Summary!J24</f>
        <v>69999</v>
      </c>
      <c r="K19" s="42">
        <f>COUNTS_and_COVERAGE_Summary!K24</f>
        <v>50000</v>
      </c>
      <c r="L19" s="42">
        <f>COUNTS_and_COVERAGE_Summary!L24</f>
        <v>59999</v>
      </c>
      <c r="M19" s="42">
        <f>COUNTS_and_COVERAGE_Summary!M24</f>
        <v>69999</v>
      </c>
      <c r="N19" s="42">
        <f>COUNTS_and_COVERAGE_Summary!N24</f>
        <v>89999</v>
      </c>
    </row>
    <row r="20" spans="1:14" s="10" customFormat="1" x14ac:dyDescent="0.2">
      <c r="D20" s="352" t="str">
        <f>COUNTS_and_COVERAGE_Summary!D25</f>
        <v>Target Group Name2 - Projected</v>
      </c>
      <c r="I20" s="43">
        <f>SUM(J20:N20)</f>
        <v>499995</v>
      </c>
      <c r="J20" s="113">
        <f>COUNTS_and_COVERAGE_Summary!J25</f>
        <v>99999</v>
      </c>
      <c r="K20" s="113">
        <f>COUNTS_and_COVERAGE_Summary!K25</f>
        <v>99999</v>
      </c>
      <c r="L20" s="113">
        <f>COUNTS_and_COVERAGE_Summary!L25</f>
        <v>99999</v>
      </c>
      <c r="M20" s="113">
        <f>COUNTS_and_COVERAGE_Summary!M25</f>
        <v>99999</v>
      </c>
      <c r="N20" s="113">
        <f>COUNTS_and_COVERAGE_Summary!N25</f>
        <v>99999</v>
      </c>
    </row>
    <row r="21" spans="1:14" s="10" customFormat="1" x14ac:dyDescent="0.2"/>
    <row r="22" spans="1:14" s="10" customFormat="1" x14ac:dyDescent="0.2">
      <c r="D22" s="55" t="str">
        <f>Lang_Total_Target_Pop</f>
        <v>Total Target Populations</v>
      </c>
      <c r="I22" s="247">
        <f>SUM(J22:N22)</f>
        <v>1030904</v>
      </c>
      <c r="J22" s="247">
        <f t="shared" ref="J22:N22" si="2">SUM(J15,J20)</f>
        <v>199998</v>
      </c>
      <c r="K22" s="247">
        <f t="shared" si="2"/>
        <v>202998</v>
      </c>
      <c r="L22" s="247">
        <f t="shared" si="2"/>
        <v>206088</v>
      </c>
      <c r="M22" s="247">
        <f t="shared" si="2"/>
        <v>209271</v>
      </c>
      <c r="N22" s="247">
        <f t="shared" si="2"/>
        <v>212549</v>
      </c>
    </row>
    <row r="23" spans="1:14" s="10" customFormat="1" x14ac:dyDescent="0.2"/>
    <row r="24" spans="1:14" s="10" customFormat="1" x14ac:dyDescent="0.2"/>
    <row r="25" spans="1:14" s="10" customFormat="1" x14ac:dyDescent="0.2"/>
    <row r="26" spans="1:14" s="10" customFormat="1" x14ac:dyDescent="0.2">
      <c r="A26" s="12" t="s">
        <v>127</v>
      </c>
      <c r="B26" s="13" t="str">
        <f>Lang_Analysis&amp;" - "&amp;B28</f>
        <v>Analysis - Immunization Coverage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</row>
    <row r="27" spans="1:14" s="10" customFormat="1" x14ac:dyDescent="0.2"/>
    <row r="28" spans="1:14" s="10" customFormat="1" x14ac:dyDescent="0.2">
      <c r="B28" s="74" t="str">
        <f>Lang_Immunization_Coverage</f>
        <v>Immunization Coverage</v>
      </c>
    </row>
    <row r="29" spans="1:14" s="10" customFormat="1" x14ac:dyDescent="0.2">
      <c r="D29" s="55" t="str">
        <f>Lang_Target_Pop</f>
        <v>Target Population</v>
      </c>
      <c r="I29" s="343" t="str">
        <f>Lang_All_Years</f>
        <v>ALL YEARS</v>
      </c>
      <c r="J29" s="353">
        <f t="shared" ref="J29:N29" si="3">J$3</f>
        <v>2019</v>
      </c>
      <c r="K29" s="353">
        <f t="shared" si="3"/>
        <v>2020</v>
      </c>
      <c r="L29" s="353">
        <f t="shared" si="3"/>
        <v>2021</v>
      </c>
      <c r="M29" s="353">
        <f t="shared" si="3"/>
        <v>2022</v>
      </c>
      <c r="N29" s="353">
        <f t="shared" si="3"/>
        <v>2023</v>
      </c>
    </row>
    <row r="30" spans="1:14" s="10" customFormat="1" x14ac:dyDescent="0.2">
      <c r="D30" s="49" t="str">
        <f>COUNTS_and_COVERAGE_Summary!D71</f>
        <v>HPV 1:   All Target Populations Coverage (Projection Projection):  IN-SCHOOL</v>
      </c>
      <c r="I30" s="342">
        <f>SUM(J30:N30)</f>
        <v>219634</v>
      </c>
      <c r="J30" s="42">
        <f>COUNTS_and_COVERAGE_Summary!J71</f>
        <v>35000</v>
      </c>
      <c r="K30" s="42">
        <f>COUNTS_and_COVERAGE_Summary!K71</f>
        <v>50750</v>
      </c>
      <c r="L30" s="42">
        <f>COUNTS_and_COVERAGE_Summary!L71</f>
        <v>41218</v>
      </c>
      <c r="M30" s="42">
        <f>COUNTS_and_COVERAGE_Summary!M71</f>
        <v>31391</v>
      </c>
      <c r="N30" s="42">
        <f>COUNTS_and_COVERAGE_Summary!N71</f>
        <v>61275</v>
      </c>
    </row>
    <row r="31" spans="1:14" s="10" customFormat="1" x14ac:dyDescent="0.2">
      <c r="D31" s="49" t="str">
        <f>COUNTS_and_COVERAGE_Summary!D104</f>
        <v>HPV 2:   All Target Populations Coverage (Projection Projection):  IN-SCHOOL</v>
      </c>
      <c r="I31" s="145">
        <f>SUM(J31:N31)</f>
        <v>197670.6</v>
      </c>
      <c r="J31" s="42">
        <f>COUNTS_and_COVERAGE_Summary!J104</f>
        <v>31500</v>
      </c>
      <c r="K31" s="42">
        <f>COUNTS_and_COVERAGE_Summary!K104</f>
        <v>45675</v>
      </c>
      <c r="L31" s="42">
        <f>COUNTS_and_COVERAGE_Summary!L104</f>
        <v>37096.199999999997</v>
      </c>
      <c r="M31" s="42">
        <f>COUNTS_and_COVERAGE_Summary!M104</f>
        <v>28251.9</v>
      </c>
      <c r="N31" s="42">
        <f>COUNTS_and_COVERAGE_Summary!N104</f>
        <v>55147.5</v>
      </c>
    </row>
    <row r="32" spans="1:14" s="10" customFormat="1" x14ac:dyDescent="0.2"/>
    <row r="33" spans="1:18" s="10" customFormat="1" x14ac:dyDescent="0.2">
      <c r="D33" s="49" t="str">
        <f>COUNTS_and_COVERAGE_Summary!D72</f>
        <v>HPV 1:   All Target Populations Coverage (Projection Projection):  OUT OF SCHOOL</v>
      </c>
      <c r="I33" s="145">
        <f>SUM(J33:N33)</f>
        <v>295819</v>
      </c>
      <c r="J33" s="42">
        <f>COUNTS_and_COVERAGE_Summary!J72</f>
        <v>64999</v>
      </c>
      <c r="K33" s="42">
        <f>COUNTS_and_COVERAGE_Summary!K72</f>
        <v>50750</v>
      </c>
      <c r="L33" s="42">
        <f>COUNTS_and_COVERAGE_Summary!L72</f>
        <v>61826</v>
      </c>
      <c r="M33" s="42">
        <f>COUNTS_and_COVERAGE_Summary!M72</f>
        <v>73244.5</v>
      </c>
      <c r="N33" s="42">
        <f>COUNTS_and_COVERAGE_Summary!N72</f>
        <v>44999.5</v>
      </c>
      <c r="R33" s="10" t="s">
        <v>39</v>
      </c>
    </row>
    <row r="34" spans="1:18" s="10" customFormat="1" x14ac:dyDescent="0.2">
      <c r="D34" s="49" t="str">
        <f>COUNTS_and_COVERAGE_Summary!D105</f>
        <v>HPV 2:   All Target Populations Coverage (Projection Projection):  OUT OF SCHOOL</v>
      </c>
      <c r="I34" s="145">
        <f>SUM(J34:N34)</f>
        <v>266237.09999999998</v>
      </c>
      <c r="J34" s="42">
        <f>COUNTS_and_COVERAGE_Summary!J105</f>
        <v>58499.1</v>
      </c>
      <c r="K34" s="42">
        <f>COUNTS_and_COVERAGE_Summary!K105</f>
        <v>45675</v>
      </c>
      <c r="L34" s="42">
        <f>COUNTS_and_COVERAGE_Summary!L105</f>
        <v>55643.399999999994</v>
      </c>
      <c r="M34" s="42">
        <f>COUNTS_and_COVERAGE_Summary!M105</f>
        <v>65920.05</v>
      </c>
      <c r="N34" s="42">
        <f>COUNTS_and_COVERAGE_Summary!N105</f>
        <v>40499.550000000003</v>
      </c>
    </row>
    <row r="35" spans="1:18" s="10" customFormat="1" x14ac:dyDescent="0.2"/>
    <row r="36" spans="1:18" s="10" customFormat="1" x14ac:dyDescent="0.2">
      <c r="D36" s="15" t="str">
        <f>COUNTS_and_COVERAGE_Summary!D76</f>
        <v>Total All Target Populations Coverage (Projection Projection) HPV 1</v>
      </c>
      <c r="I36" s="145">
        <f>SUM(J36:N36)</f>
        <v>515453</v>
      </c>
      <c r="J36" s="355">
        <f>COUNTS_and_COVERAGE_Summary!J76</f>
        <v>99999</v>
      </c>
      <c r="K36" s="355">
        <f>COUNTS_and_COVERAGE_Summary!K76</f>
        <v>101500</v>
      </c>
      <c r="L36" s="355">
        <f>COUNTS_and_COVERAGE_Summary!L76</f>
        <v>103044</v>
      </c>
      <c r="M36" s="355">
        <f>COUNTS_and_COVERAGE_Summary!M76</f>
        <v>104635.5</v>
      </c>
      <c r="N36" s="355">
        <f>COUNTS_and_COVERAGE_Summary!N76</f>
        <v>106274.5</v>
      </c>
    </row>
    <row r="37" spans="1:18" s="10" customFormat="1" x14ac:dyDescent="0.2">
      <c r="D37" s="15" t="str">
        <f>COUNTS_and_COVERAGE_Summary!D109</f>
        <v>Total All Target Populations Coverage (Projection Projection) HPV 2</v>
      </c>
      <c r="I37" s="145">
        <f>SUM(J37:N37)</f>
        <v>463907.7</v>
      </c>
      <c r="J37" s="355">
        <f>COUNTS_and_COVERAGE_Summary!J109</f>
        <v>89999.1</v>
      </c>
      <c r="K37" s="355">
        <f>COUNTS_and_COVERAGE_Summary!K109</f>
        <v>91350</v>
      </c>
      <c r="L37" s="355">
        <f>COUNTS_and_COVERAGE_Summary!L109</f>
        <v>92739.6</v>
      </c>
      <c r="M37" s="355">
        <f>COUNTS_and_COVERAGE_Summary!M109</f>
        <v>94171.950000000012</v>
      </c>
      <c r="N37" s="355">
        <f>COUNTS_and_COVERAGE_Summary!N109</f>
        <v>95647.05</v>
      </c>
    </row>
    <row r="38" spans="1:18" s="10" customFormat="1" x14ac:dyDescent="0.2"/>
    <row r="39" spans="1:18" s="10" customFormat="1" x14ac:dyDescent="0.2">
      <c r="D39" s="53" t="str">
        <f>D36&amp;" (%)"</f>
        <v>Total All Target Populations Coverage (Projection Projection) HPV 1 (%)</v>
      </c>
      <c r="I39" s="357">
        <f>I36/I$22</f>
        <v>0.50000097002242694</v>
      </c>
      <c r="J39" s="234">
        <f>IFERROR(J36/J22,0)</f>
        <v>0.5</v>
      </c>
      <c r="K39" s="234">
        <f>IFERROR(K36/K22,0)</f>
        <v>0.50000492615690795</v>
      </c>
      <c r="L39" s="234">
        <f>IFERROR(L36/L22,0)</f>
        <v>0.5</v>
      </c>
      <c r="M39" s="234">
        <f>IFERROR(M36/M22,0)</f>
        <v>0.5</v>
      </c>
      <c r="N39" s="234">
        <f>IFERROR(N36/N22,0)</f>
        <v>0.5</v>
      </c>
    </row>
    <row r="40" spans="1:18" s="10" customFormat="1" x14ac:dyDescent="0.2">
      <c r="D40" s="53" t="str">
        <f>D37&amp;" (%)"</f>
        <v>Total All Target Populations Coverage (Projection Projection) HPV 2 (%)</v>
      </c>
      <c r="I40" s="357">
        <f>I37/I$22</f>
        <v>0.45000087302018421</v>
      </c>
      <c r="J40" s="234">
        <f>IFERROR(J37/J22,0)</f>
        <v>0.45</v>
      </c>
      <c r="K40" s="234">
        <f>IFERROR(K37/K22,0)</f>
        <v>0.45000443354121716</v>
      </c>
      <c r="L40" s="234">
        <f>IFERROR(L37/L22,0)</f>
        <v>0.45</v>
      </c>
      <c r="M40" s="234">
        <f>IFERROR(M37/M22,0)</f>
        <v>0.45000000000000007</v>
      </c>
      <c r="N40" s="234">
        <f>IFERROR(N37/N22,0)</f>
        <v>0.45</v>
      </c>
    </row>
    <row r="41" spans="1:18" s="10" customFormat="1" x14ac:dyDescent="0.2"/>
    <row r="42" spans="1:18" s="10" customFormat="1" x14ac:dyDescent="0.2"/>
    <row r="43" spans="1:18" s="10" customFormat="1" x14ac:dyDescent="0.2"/>
    <row r="44" spans="1:18" s="10" customFormat="1" x14ac:dyDescent="0.2"/>
    <row r="45" spans="1:18" s="10" customFormat="1" x14ac:dyDescent="0.2">
      <c r="A45" s="12" t="s">
        <v>127</v>
      </c>
      <c r="B45" s="13" t="str">
        <f>Lang_Analysis&amp;" - "&amp;B47</f>
        <v>Analysis - Vaccine and Injection Supply Quantities (includes administered and wasted)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</row>
    <row r="46" spans="1:18" s="10" customFormat="1" x14ac:dyDescent="0.2"/>
    <row r="47" spans="1:18" s="10" customFormat="1" x14ac:dyDescent="0.2">
      <c r="B47" s="55" t="str">
        <f>Lang_Vaccine_And_Injection_Supply_Quantities_Includes_Administered_And_Wasted</f>
        <v>Vaccine and Injection Supply Quantities (includes administered and wasted)</v>
      </c>
    </row>
    <row r="48" spans="1:18" s="10" customFormat="1" x14ac:dyDescent="0.2"/>
    <row r="49" spans="1:14" s="10" customFormat="1" x14ac:dyDescent="0.2">
      <c r="C49" s="74" t="str">
        <f>Lang_Vaccine_Doses</f>
        <v>Vaccine Doses</v>
      </c>
      <c r="I49" s="343" t="str">
        <f>Lang_All_Years</f>
        <v>ALL YEARS</v>
      </c>
    </row>
    <row r="50" spans="1:14" s="10" customFormat="1" x14ac:dyDescent="0.2">
      <c r="D50" s="358" t="str">
        <f>'VACCS_&amp;_SUPPLIES_To'!D15</f>
        <v>Total # Vaccine doses to procure (projected based on population, coverage projections, and wastage rates).</v>
      </c>
      <c r="I50" s="142">
        <f>SUM(J50:N50)</f>
        <v>1077296.7700000003</v>
      </c>
      <c r="J50" s="113">
        <f>'VACCS_&amp;_SUPPLIES_To'!J15</f>
        <v>208997.91000000003</v>
      </c>
      <c r="K50" s="113">
        <f>'VACCS_&amp;_SUPPLIES_To'!K15</f>
        <v>212135.00000000003</v>
      </c>
      <c r="L50" s="113">
        <f>'VACCS_&amp;_SUPPLIES_To'!L15</f>
        <v>215361.96000000002</v>
      </c>
      <c r="M50" s="113">
        <f>'VACCS_&amp;_SUPPLIES_To'!M15</f>
        <v>218688.19500000004</v>
      </c>
      <c r="N50" s="113">
        <f>'VACCS_&amp;_SUPPLIES_To'!N15</f>
        <v>222113.70500000002</v>
      </c>
    </row>
    <row r="51" spans="1:14" s="10" customFormat="1" x14ac:dyDescent="0.2"/>
    <row r="52" spans="1:14" s="10" customFormat="1" x14ac:dyDescent="0.2">
      <c r="C52" s="74" t="str">
        <f>Lang_Injection_Syringes</f>
        <v>Injection Syringes</v>
      </c>
    </row>
    <row r="53" spans="1:14" s="10" customFormat="1" x14ac:dyDescent="0.2">
      <c r="D53" s="358" t="str">
        <f>'VACCS_&amp;_SUPPLIES_To'!D22</f>
        <v>Total # Injection syringes to procure (projected based on population, coverage projections, and wastage rates).</v>
      </c>
      <c r="I53" s="142">
        <f>SUM(J53:N53)</f>
        <v>1077296.7700000003</v>
      </c>
      <c r="J53" s="113">
        <f>'VACCS_&amp;_SUPPLIES_To'!J22</f>
        <v>208997.91000000003</v>
      </c>
      <c r="K53" s="113">
        <f>'VACCS_&amp;_SUPPLIES_To'!K22</f>
        <v>212135.00000000003</v>
      </c>
      <c r="L53" s="113">
        <f>'VACCS_&amp;_SUPPLIES_To'!L22</f>
        <v>215361.96000000002</v>
      </c>
      <c r="M53" s="113">
        <f>'VACCS_&amp;_SUPPLIES_To'!M22</f>
        <v>218688.19500000004</v>
      </c>
      <c r="N53" s="113">
        <f>'VACCS_&amp;_SUPPLIES_To'!N22</f>
        <v>222113.70500000002</v>
      </c>
    </row>
    <row r="54" spans="1:14" s="10" customFormat="1" x14ac:dyDescent="0.2"/>
    <row r="55" spans="1:14" s="10" customFormat="1" x14ac:dyDescent="0.2"/>
    <row r="56" spans="1:14" s="10" customFormat="1" x14ac:dyDescent="0.2">
      <c r="C56" s="74" t="str">
        <f>Lang_Safety_Boxes</f>
        <v>Safety Boxes</v>
      </c>
    </row>
    <row r="57" spans="1:14" s="10" customFormat="1" x14ac:dyDescent="0.2">
      <c r="D57" s="358" t="str">
        <f>'VACCS_&amp;_SUPPLIES_To'!D29</f>
        <v>Total # Safety Boxes to procure (projected based on population, coverage projections, and wastage rates).</v>
      </c>
      <c r="I57" s="142">
        <f>SUM(J57:N57)</f>
        <v>11850.264470000002</v>
      </c>
      <c r="J57" s="113">
        <f>'VACCS_&amp;_SUPPLIES_To'!J29</f>
        <v>2298.9770100000005</v>
      </c>
      <c r="K57" s="113">
        <f>'VACCS_&amp;_SUPPLIES_To'!K29</f>
        <v>2333.4850000000006</v>
      </c>
      <c r="L57" s="113">
        <f>'VACCS_&amp;_SUPPLIES_To'!L29</f>
        <v>2368.9815600000002</v>
      </c>
      <c r="M57" s="113">
        <f>'VACCS_&amp;_SUPPLIES_To'!M29</f>
        <v>2405.5701450000006</v>
      </c>
      <c r="N57" s="113">
        <f>'VACCS_&amp;_SUPPLIES_To'!N29</f>
        <v>2443.2507550000005</v>
      </c>
    </row>
    <row r="58" spans="1:14" s="10" customFormat="1" x14ac:dyDescent="0.2"/>
    <row r="59" spans="1:14" s="10" customFormat="1" x14ac:dyDescent="0.2"/>
    <row r="60" spans="1:14" s="10" customFormat="1" x14ac:dyDescent="0.2"/>
    <row r="61" spans="1:14" s="10" customFormat="1" x14ac:dyDescent="0.2">
      <c r="A61" s="12" t="s">
        <v>127</v>
      </c>
      <c r="B61" s="13" t="str">
        <f>Lang_Analysis&amp;" - "&amp;B63</f>
        <v>Analysis - Vaccine and Injection Supply Costs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4" s="10" customFormat="1" x14ac:dyDescent="0.2"/>
    <row r="63" spans="1:14" s="10" customFormat="1" x14ac:dyDescent="0.2">
      <c r="B63" s="55" t="str">
        <f>Lang_Vaccine_And_Injection_Supply_Costs</f>
        <v>Vaccine and Injection Supply Costs</v>
      </c>
    </row>
    <row r="64" spans="1:14" s="10" customFormat="1" x14ac:dyDescent="0.2"/>
    <row r="65" spans="2:14" s="10" customFormat="1" x14ac:dyDescent="0.2">
      <c r="B65" s="114" t="str">
        <f>Developer_Only_To!$E$19</f>
        <v>LCU</v>
      </c>
    </row>
    <row r="66" spans="2:14" s="10" customFormat="1" x14ac:dyDescent="0.2"/>
    <row r="67" spans="2:14" s="10" customFormat="1" x14ac:dyDescent="0.2">
      <c r="C67" s="71" t="str">
        <f>Lang_Fin&amp;" ("&amp;Analy_Lu!$D$13&amp;")"</f>
        <v>Financial (LCU)</v>
      </c>
    </row>
    <row r="68" spans="2:14" s="10" customFormat="1" x14ac:dyDescent="0.2">
      <c r="I68" s="343" t="str">
        <f>Lang_All_Years</f>
        <v>ALL YEARS</v>
      </c>
    </row>
    <row r="69" spans="2:14" s="10" customFormat="1" x14ac:dyDescent="0.2">
      <c r="D69" s="49" t="str">
        <f>COST_SUMMARY!D16</f>
        <v>Vaccine Costs (Projected) Local Currency - Financial</v>
      </c>
      <c r="I69" s="145">
        <f>SUM(J69:N69)</f>
        <v>0</v>
      </c>
      <c r="J69" s="42">
        <f>COST_SUMMARY!J16</f>
        <v>0</v>
      </c>
      <c r="K69" s="42">
        <f>COST_SUMMARY!K16</f>
        <v>0</v>
      </c>
      <c r="L69" s="42">
        <f>COST_SUMMARY!L16</f>
        <v>0</v>
      </c>
      <c r="M69" s="42">
        <f>COST_SUMMARY!M16</f>
        <v>0</v>
      </c>
      <c r="N69" s="42">
        <f>COST_SUMMARY!N16</f>
        <v>0</v>
      </c>
    </row>
    <row r="70" spans="2:14" s="10" customFormat="1" x14ac:dyDescent="0.2">
      <c r="D70" s="49" t="str">
        <f>COST_SUMMARY!D20</f>
        <v>Syringe Costs (Projected) Local Currency - Financial</v>
      </c>
      <c r="I70" s="145">
        <f>SUM(J70:N70)</f>
        <v>0</v>
      </c>
      <c r="J70" s="42">
        <f>COST_SUMMARY!J20</f>
        <v>0</v>
      </c>
      <c r="K70" s="42">
        <f>COST_SUMMARY!K20</f>
        <v>0</v>
      </c>
      <c r="L70" s="42">
        <f>COST_SUMMARY!L20</f>
        <v>0</v>
      </c>
      <c r="M70" s="42">
        <f>COST_SUMMARY!M20</f>
        <v>0</v>
      </c>
      <c r="N70" s="42">
        <f>COST_SUMMARY!N20</f>
        <v>0</v>
      </c>
    </row>
    <row r="71" spans="2:14" s="10" customFormat="1" x14ac:dyDescent="0.2">
      <c r="D71" s="49" t="str">
        <f>COST_SUMMARY!D24</f>
        <v>Safety Box Costs (Projected) Local Currency - Financial</v>
      </c>
      <c r="I71" s="145">
        <f>SUM(J71:N71)</f>
        <v>0</v>
      </c>
      <c r="J71" s="42">
        <f>COST_SUMMARY!J24</f>
        <v>0</v>
      </c>
      <c r="K71" s="42">
        <f>COST_SUMMARY!K24</f>
        <v>0</v>
      </c>
      <c r="L71" s="42">
        <f>COST_SUMMARY!L24</f>
        <v>0</v>
      </c>
      <c r="M71" s="42">
        <f>COST_SUMMARY!M24</f>
        <v>0</v>
      </c>
      <c r="N71" s="42">
        <f>COST_SUMMARY!N24</f>
        <v>0</v>
      </c>
    </row>
    <row r="72" spans="2:14" s="10" customFormat="1" x14ac:dyDescent="0.2">
      <c r="D72" s="71" t="str">
        <f>Lang_Total_Vaccines_And_Supplies&amp;" - "&amp;C67</f>
        <v>Total Vaccines and Supplies - Financial (LCU)</v>
      </c>
      <c r="I72" s="345">
        <f>SUM(J72:N72)</f>
        <v>0</v>
      </c>
      <c r="J72" s="113">
        <f t="shared" ref="J72:N72" si="4">SUM(J69:J71)</f>
        <v>0</v>
      </c>
      <c r="K72" s="113">
        <f t="shared" si="4"/>
        <v>0</v>
      </c>
      <c r="L72" s="113">
        <f t="shared" si="4"/>
        <v>0</v>
      </c>
      <c r="M72" s="113">
        <f t="shared" si="4"/>
        <v>0</v>
      </c>
      <c r="N72" s="113">
        <f t="shared" si="4"/>
        <v>0</v>
      </c>
    </row>
    <row r="73" spans="2:14" s="10" customFormat="1" x14ac:dyDescent="0.2">
      <c r="I73" s="226"/>
    </row>
    <row r="74" spans="2:14" s="10" customFormat="1" x14ac:dyDescent="0.2">
      <c r="D74" s="101" t="str">
        <f>B$63&amp;" ("&amp;C67&amp;") "&amp;Lang_Per_Fully_Immunized_Person_FIP</f>
        <v>Vaccine and Injection Supply Costs (Financial (LCU)) per Fully Immunized Person (FIP)</v>
      </c>
      <c r="I74" s="390">
        <f>I72/I$37</f>
        <v>0</v>
      </c>
      <c r="J74" s="351">
        <f t="shared" ref="J74:N74" si="5">J72/J$37</f>
        <v>0</v>
      </c>
      <c r="K74" s="351">
        <f t="shared" si="5"/>
        <v>0</v>
      </c>
      <c r="L74" s="351">
        <f t="shared" si="5"/>
        <v>0</v>
      </c>
      <c r="M74" s="351">
        <f t="shared" si="5"/>
        <v>0</v>
      </c>
      <c r="N74" s="351">
        <f t="shared" si="5"/>
        <v>0</v>
      </c>
    </row>
    <row r="75" spans="2:14" s="10" customFormat="1" x14ac:dyDescent="0.2"/>
    <row r="76" spans="2:14" s="10" customFormat="1" x14ac:dyDescent="0.2">
      <c r="C76" s="71" t="str">
        <f>Lang_Econ&amp;" ("&amp;Analy_Lu!$D$13&amp;")"</f>
        <v>Economic (LCU)</v>
      </c>
    </row>
    <row r="77" spans="2:14" s="10" customFormat="1" x14ac:dyDescent="0.2">
      <c r="I77" s="343" t="str">
        <f>Lang_All_Years</f>
        <v>ALL YEARS</v>
      </c>
    </row>
    <row r="78" spans="2:14" s="10" customFormat="1" x14ac:dyDescent="0.2">
      <c r="D78" s="49" t="str">
        <f>COST_SUMMARY!D33</f>
        <v>Vaccine Costs (Projected) Local Currency - Economic</v>
      </c>
      <c r="I78" s="145">
        <f>SUM(J78:N78)</f>
        <v>0</v>
      </c>
      <c r="J78" s="42">
        <f>COST_SUMMARY!J33</f>
        <v>0</v>
      </c>
      <c r="K78" s="42">
        <f>COST_SUMMARY!K33</f>
        <v>0</v>
      </c>
      <c r="L78" s="42">
        <f>COST_SUMMARY!L33</f>
        <v>0</v>
      </c>
      <c r="M78" s="42">
        <f>COST_SUMMARY!M33</f>
        <v>0</v>
      </c>
      <c r="N78" s="42">
        <f>COST_SUMMARY!N33</f>
        <v>0</v>
      </c>
    </row>
    <row r="79" spans="2:14" s="10" customFormat="1" x14ac:dyDescent="0.2">
      <c r="D79" s="49" t="str">
        <f>COST_SUMMARY!D37</f>
        <v>Syringe Costs (Projected) Local Currency - Economic</v>
      </c>
      <c r="I79" s="145">
        <f>SUM(J79:N79)</f>
        <v>0</v>
      </c>
      <c r="J79" s="42">
        <f>COST_SUMMARY!J37</f>
        <v>0</v>
      </c>
      <c r="K79" s="42">
        <f>COST_SUMMARY!K37</f>
        <v>0</v>
      </c>
      <c r="L79" s="42">
        <f>COST_SUMMARY!L37</f>
        <v>0</v>
      </c>
      <c r="M79" s="42">
        <f>COST_SUMMARY!M37</f>
        <v>0</v>
      </c>
      <c r="N79" s="42">
        <f>COST_SUMMARY!N37</f>
        <v>0</v>
      </c>
    </row>
    <row r="80" spans="2:14" s="10" customFormat="1" x14ac:dyDescent="0.2">
      <c r="D80" s="49" t="str">
        <f>COST_SUMMARY!D41</f>
        <v>Safety Box Costs (Projected) Local Currency - Economic</v>
      </c>
      <c r="I80" s="145">
        <f>SUM(J80:N80)</f>
        <v>0</v>
      </c>
      <c r="J80" s="42">
        <f>COST_SUMMARY!J41</f>
        <v>0</v>
      </c>
      <c r="K80" s="42">
        <f>COST_SUMMARY!K41</f>
        <v>0</v>
      </c>
      <c r="L80" s="42">
        <f>COST_SUMMARY!L41</f>
        <v>0</v>
      </c>
      <c r="M80" s="42">
        <f>COST_SUMMARY!M41</f>
        <v>0</v>
      </c>
      <c r="N80" s="42">
        <f>COST_SUMMARY!N41</f>
        <v>0</v>
      </c>
    </row>
    <row r="81" spans="2:14" s="10" customFormat="1" x14ac:dyDescent="0.2">
      <c r="D81" s="71" t="str">
        <f>Lang_Total_Vaccines_And_Supplies&amp;" - "&amp;C76</f>
        <v>Total Vaccines and Supplies - Economic (LCU)</v>
      </c>
      <c r="I81" s="345">
        <f>SUM(J81:N81)</f>
        <v>0</v>
      </c>
      <c r="J81" s="113">
        <f t="shared" ref="J81:N81" si="6">SUM(J78:J80)</f>
        <v>0</v>
      </c>
      <c r="K81" s="113">
        <f t="shared" si="6"/>
        <v>0</v>
      </c>
      <c r="L81" s="113">
        <f t="shared" si="6"/>
        <v>0</v>
      </c>
      <c r="M81" s="113">
        <f t="shared" si="6"/>
        <v>0</v>
      </c>
      <c r="N81" s="113">
        <f t="shared" si="6"/>
        <v>0</v>
      </c>
    </row>
    <row r="82" spans="2:14" s="10" customFormat="1" x14ac:dyDescent="0.2">
      <c r="I82" s="226"/>
    </row>
    <row r="83" spans="2:14" s="10" customFormat="1" x14ac:dyDescent="0.2">
      <c r="D83" s="101" t="str">
        <f>B$63&amp;" ("&amp;C76&amp;") "&amp;Lang_Per_Fully_Immunized_Person_FIP</f>
        <v>Vaccine and Injection Supply Costs (Economic (LCU)) per Fully Immunized Person (FIP)</v>
      </c>
      <c r="I83" s="390">
        <f>I81/I$37</f>
        <v>0</v>
      </c>
      <c r="J83" s="351">
        <f t="shared" ref="J83:N83" si="7">J81/J$37</f>
        <v>0</v>
      </c>
      <c r="K83" s="351">
        <f t="shared" si="7"/>
        <v>0</v>
      </c>
      <c r="L83" s="351">
        <f t="shared" si="7"/>
        <v>0</v>
      </c>
      <c r="M83" s="351">
        <f t="shared" si="7"/>
        <v>0</v>
      </c>
      <c r="N83" s="351">
        <f t="shared" si="7"/>
        <v>0</v>
      </c>
    </row>
    <row r="84" spans="2:14" s="10" customFormat="1" x14ac:dyDescent="0.2"/>
    <row r="85" spans="2:14" s="10" customFormat="1" x14ac:dyDescent="0.2"/>
    <row r="86" spans="2:14" s="10" customFormat="1" x14ac:dyDescent="0.2">
      <c r="B86" s="114" t="str">
        <f>Developer_Only_To!$E$18</f>
        <v>USD</v>
      </c>
    </row>
    <row r="87" spans="2:14" s="10" customFormat="1" x14ac:dyDescent="0.2"/>
    <row r="88" spans="2:14" s="10" customFormat="1" x14ac:dyDescent="0.2">
      <c r="C88" s="74" t="str">
        <f>Lang_Fin&amp;" ("&amp;Analy_Lu!$D$12&amp;")"</f>
        <v>Financial (USD)</v>
      </c>
    </row>
    <row r="89" spans="2:14" s="10" customFormat="1" x14ac:dyDescent="0.2">
      <c r="I89" s="343" t="str">
        <f>Lang_All_Years</f>
        <v>ALL YEARS</v>
      </c>
    </row>
    <row r="90" spans="2:14" s="10" customFormat="1" x14ac:dyDescent="0.2">
      <c r="D90" s="49" t="str">
        <f>COST_SUMMARY!D50</f>
        <v>Vaccine Costs (Projected) International Currency - Financial</v>
      </c>
      <c r="I90" s="255">
        <f>SUM(J90:N90)</f>
        <v>0</v>
      </c>
      <c r="J90" s="119">
        <f>COST_SUMMARY!J51</f>
        <v>0</v>
      </c>
      <c r="K90" s="119">
        <f>COST_SUMMARY!K51</f>
        <v>0</v>
      </c>
      <c r="L90" s="119">
        <f>COST_SUMMARY!L51</f>
        <v>0</v>
      </c>
      <c r="M90" s="119">
        <f>COST_SUMMARY!M51</f>
        <v>0</v>
      </c>
      <c r="N90" s="119">
        <f>COST_SUMMARY!N51</f>
        <v>0</v>
      </c>
    </row>
    <row r="91" spans="2:14" s="10" customFormat="1" x14ac:dyDescent="0.2">
      <c r="D91" s="49" t="str">
        <f>COST_SUMMARY!D54</f>
        <v>Syringe Costs (Projected) International Currency - Financial</v>
      </c>
      <c r="I91" s="255">
        <f>SUM(J91:N91)</f>
        <v>0</v>
      </c>
      <c r="J91" s="119">
        <f>COST_SUMMARY!J54</f>
        <v>0</v>
      </c>
      <c r="K91" s="119">
        <f>COST_SUMMARY!K54</f>
        <v>0</v>
      </c>
      <c r="L91" s="119">
        <f>COST_SUMMARY!L54</f>
        <v>0</v>
      </c>
      <c r="M91" s="119">
        <f>COST_SUMMARY!M54</f>
        <v>0</v>
      </c>
      <c r="N91" s="119">
        <f>COST_SUMMARY!N54</f>
        <v>0</v>
      </c>
    </row>
    <row r="92" spans="2:14" s="10" customFormat="1" x14ac:dyDescent="0.2">
      <c r="D92" s="49" t="str">
        <f>COST_SUMMARY!D58</f>
        <v>Safety Box Costs (Projected) International Currency - Financial</v>
      </c>
      <c r="I92" s="255">
        <f>SUM(J92:N92)</f>
        <v>0</v>
      </c>
      <c r="J92" s="119">
        <f>COST_SUMMARY!J58</f>
        <v>0</v>
      </c>
      <c r="K92" s="119">
        <f>COST_SUMMARY!K58</f>
        <v>0</v>
      </c>
      <c r="L92" s="119">
        <f>COST_SUMMARY!L58</f>
        <v>0</v>
      </c>
      <c r="M92" s="119">
        <f>COST_SUMMARY!M58</f>
        <v>0</v>
      </c>
      <c r="N92" s="119">
        <f>COST_SUMMARY!N58</f>
        <v>0</v>
      </c>
    </row>
    <row r="93" spans="2:14" s="10" customFormat="1" x14ac:dyDescent="0.2">
      <c r="D93" s="71" t="str">
        <f>Lang_Total_Vaccines_And_Supplies&amp;" - "&amp;C88</f>
        <v>Total Vaccines and Supplies - Financial (USD)</v>
      </c>
      <c r="I93" s="346">
        <f>SUM(J93:N93)</f>
        <v>0</v>
      </c>
      <c r="J93" s="125">
        <f t="shared" ref="J93:N93" si="8">SUM(J90:J92)</f>
        <v>0</v>
      </c>
      <c r="K93" s="125">
        <f t="shared" si="8"/>
        <v>0</v>
      </c>
      <c r="L93" s="125">
        <f t="shared" si="8"/>
        <v>0</v>
      </c>
      <c r="M93" s="125">
        <f t="shared" si="8"/>
        <v>0</v>
      </c>
      <c r="N93" s="125">
        <f t="shared" si="8"/>
        <v>0</v>
      </c>
    </row>
    <row r="94" spans="2:14" s="10" customFormat="1" x14ac:dyDescent="0.2">
      <c r="I94" s="226"/>
    </row>
    <row r="95" spans="2:14" s="10" customFormat="1" x14ac:dyDescent="0.2">
      <c r="D95" s="101" t="str">
        <f>B$63&amp;" ("&amp;C88&amp;") "&amp;Lang_Per_Fully_Immunized_Person_FIP</f>
        <v>Vaccine and Injection Supply Costs (Financial (USD)) per Fully Immunized Person (FIP)</v>
      </c>
      <c r="I95" s="389">
        <f>I93/I$37</f>
        <v>0</v>
      </c>
      <c r="J95" s="118">
        <f t="shared" ref="J95:N95" si="9">J93/J$37</f>
        <v>0</v>
      </c>
      <c r="K95" s="118">
        <f t="shared" si="9"/>
        <v>0</v>
      </c>
      <c r="L95" s="118">
        <f t="shared" si="9"/>
        <v>0</v>
      </c>
      <c r="M95" s="118">
        <f t="shared" si="9"/>
        <v>0</v>
      </c>
      <c r="N95" s="118">
        <f t="shared" si="9"/>
        <v>0</v>
      </c>
    </row>
    <row r="96" spans="2:14" s="10" customFormat="1" x14ac:dyDescent="0.2"/>
    <row r="97" spans="1:14" s="10" customFormat="1" x14ac:dyDescent="0.2">
      <c r="C97" s="74" t="str">
        <f>Lang_Econ&amp;" ("&amp;Analy_Lu!$D$12&amp;")"</f>
        <v>Economic (USD)</v>
      </c>
    </row>
    <row r="98" spans="1:14" s="10" customFormat="1" x14ac:dyDescent="0.2">
      <c r="I98" s="343" t="str">
        <f>Lang_All_Years</f>
        <v>ALL YEARS</v>
      </c>
    </row>
    <row r="99" spans="1:14" s="10" customFormat="1" x14ac:dyDescent="0.2">
      <c r="D99" s="49" t="str">
        <f>COST_SUMMARY!D67</f>
        <v>Vaccine Costs (Projected) International Currency - Economic</v>
      </c>
      <c r="I99" s="255">
        <f>SUM(J99:N99)</f>
        <v>0</v>
      </c>
      <c r="J99" s="119">
        <f>COST_SUMMARY!J67</f>
        <v>0</v>
      </c>
      <c r="K99" s="119">
        <f>COST_SUMMARY!K67</f>
        <v>0</v>
      </c>
      <c r="L99" s="119">
        <f>COST_SUMMARY!L67</f>
        <v>0</v>
      </c>
      <c r="M99" s="119">
        <f>COST_SUMMARY!M67</f>
        <v>0</v>
      </c>
      <c r="N99" s="119">
        <f>COST_SUMMARY!N67</f>
        <v>0</v>
      </c>
    </row>
    <row r="100" spans="1:14" s="10" customFormat="1" x14ac:dyDescent="0.2">
      <c r="D100" s="49" t="str">
        <f>COST_SUMMARY!D71</f>
        <v>Syringe Costs (Projected) International Currency - Economic</v>
      </c>
      <c r="I100" s="255">
        <f>SUM(J100:N100)</f>
        <v>0</v>
      </c>
      <c r="J100" s="119">
        <f>COST_SUMMARY!J71</f>
        <v>0</v>
      </c>
      <c r="K100" s="119">
        <f>COST_SUMMARY!K71</f>
        <v>0</v>
      </c>
      <c r="L100" s="119">
        <f>COST_SUMMARY!L71</f>
        <v>0</v>
      </c>
      <c r="M100" s="119">
        <f>COST_SUMMARY!M71</f>
        <v>0</v>
      </c>
      <c r="N100" s="119">
        <f>COST_SUMMARY!N71</f>
        <v>0</v>
      </c>
    </row>
    <row r="101" spans="1:14" s="10" customFormat="1" x14ac:dyDescent="0.2">
      <c r="D101" s="49" t="str">
        <f>COST_SUMMARY!D75</f>
        <v>Safety Box Costs (Projected) International Currency - Economic</v>
      </c>
      <c r="I101" s="255">
        <f>SUM(J101:N101)</f>
        <v>0</v>
      </c>
      <c r="J101" s="119">
        <f>COST_SUMMARY!J75</f>
        <v>0</v>
      </c>
      <c r="K101" s="119">
        <f>COST_SUMMARY!K75</f>
        <v>0</v>
      </c>
      <c r="L101" s="119">
        <f>COST_SUMMARY!L75</f>
        <v>0</v>
      </c>
      <c r="M101" s="119">
        <f>COST_SUMMARY!M75</f>
        <v>0</v>
      </c>
      <c r="N101" s="119">
        <f>COST_SUMMARY!N75</f>
        <v>0</v>
      </c>
    </row>
    <row r="102" spans="1:14" s="10" customFormat="1" x14ac:dyDescent="0.2">
      <c r="D102" s="71" t="str">
        <f>Lang_Total_Vaccines_And_Supplies&amp;" - "&amp;C97</f>
        <v>Total Vaccines and Supplies - Economic (USD)</v>
      </c>
      <c r="I102" s="346">
        <f>SUM(J102:N102)</f>
        <v>0</v>
      </c>
      <c r="J102" s="125">
        <f t="shared" ref="J102:N102" si="10">SUM(J99:J101)</f>
        <v>0</v>
      </c>
      <c r="K102" s="125">
        <f t="shared" si="10"/>
        <v>0</v>
      </c>
      <c r="L102" s="125">
        <f t="shared" si="10"/>
        <v>0</v>
      </c>
      <c r="M102" s="125">
        <f t="shared" si="10"/>
        <v>0</v>
      </c>
      <c r="N102" s="125">
        <f t="shared" si="10"/>
        <v>0</v>
      </c>
    </row>
    <row r="103" spans="1:14" s="10" customFormat="1" x14ac:dyDescent="0.2">
      <c r="I103" s="226"/>
    </row>
    <row r="104" spans="1:14" s="10" customFormat="1" x14ac:dyDescent="0.2">
      <c r="D104" s="101" t="str">
        <f>B$63&amp;" ("&amp;C97&amp;") "&amp;Lang_Per_Fully_Immunized_Person_FIP</f>
        <v>Vaccine and Injection Supply Costs (Economic (USD)) per Fully Immunized Person (FIP)</v>
      </c>
      <c r="I104" s="389">
        <f>I102/I$37</f>
        <v>0</v>
      </c>
      <c r="J104" s="118">
        <f t="shared" ref="J104:N104" si="11">J102/J$37</f>
        <v>0</v>
      </c>
      <c r="K104" s="118">
        <f t="shared" si="11"/>
        <v>0</v>
      </c>
      <c r="L104" s="118">
        <f t="shared" si="11"/>
        <v>0</v>
      </c>
      <c r="M104" s="118">
        <f t="shared" si="11"/>
        <v>0</v>
      </c>
      <c r="N104" s="118">
        <f t="shared" si="11"/>
        <v>0</v>
      </c>
    </row>
    <row r="105" spans="1:14" s="10" customFormat="1" x14ac:dyDescent="0.2"/>
    <row r="106" spans="1:14" s="10" customFormat="1" x14ac:dyDescent="0.2"/>
    <row r="107" spans="1:14" s="10" customFormat="1" x14ac:dyDescent="0.2"/>
    <row r="108" spans="1:14" s="10" customFormat="1" x14ac:dyDescent="0.2">
      <c r="A108" s="12" t="s">
        <v>125</v>
      </c>
      <c r="B108" s="13" t="str">
        <f>Lang_Analysis&amp;" - "&amp;B110</f>
        <v>Analysis - Microplanning</v>
      </c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</row>
    <row r="109" spans="1:14" s="10" customFormat="1" x14ac:dyDescent="0.2"/>
    <row r="110" spans="1:14" s="10" customFormat="1" x14ac:dyDescent="0.2">
      <c r="B110" s="65" t="str">
        <f>Lang_Microplanning</f>
        <v>Microplanning</v>
      </c>
    </row>
    <row r="111" spans="1:14" s="10" customFormat="1" x14ac:dyDescent="0.2"/>
    <row r="112" spans="1:14" s="10" customFormat="1" x14ac:dyDescent="0.2">
      <c r="B112" s="74" t="str">
        <f>Lang_Activity_Names_And_Quantities_Performed</f>
        <v>Activity Names and Quantities Performed</v>
      </c>
    </row>
    <row r="113" spans="2:14" s="10" customFormat="1" x14ac:dyDescent="0.2">
      <c r="I113" s="343" t="str">
        <f>Lang_All_Years</f>
        <v>ALL YEARS</v>
      </c>
    </row>
    <row r="114" spans="2:14" s="10" customFormat="1" x14ac:dyDescent="0.2">
      <c r="D114" s="49" t="str">
        <f>MICROPLANNING!D12</f>
        <v>Microplanning Activity #1 (Not in Use)</v>
      </c>
    </row>
    <row r="115" spans="2:14" s="10" customFormat="1" x14ac:dyDescent="0.2">
      <c r="E115" s="352" t="str">
        <f>MICROPLANNING!D38</f>
        <v>Microplanning Activity #1 (Not in Use) - Number of Activities per Year (Projected or Retrospective)</v>
      </c>
      <c r="I115" s="347">
        <f>SUM(J115:N115)</f>
        <v>0</v>
      </c>
      <c r="J115" s="41">
        <f>MICROPLANNING!J38</f>
        <v>0</v>
      </c>
      <c r="K115" s="41">
        <f>MICROPLANNING!K38</f>
        <v>0</v>
      </c>
      <c r="L115" s="41">
        <f>MICROPLANNING!L38</f>
        <v>0</v>
      </c>
      <c r="M115" s="41">
        <f>MICROPLANNING!M38</f>
        <v>0</v>
      </c>
      <c r="N115" s="41">
        <f>MICROPLANNING!N38</f>
        <v>0</v>
      </c>
    </row>
    <row r="116" spans="2:14" s="10" customFormat="1" x14ac:dyDescent="0.2">
      <c r="D116" s="49" t="str">
        <f>MICROPLANNING!D49</f>
        <v>Microplanning Activity #2 (Not in Use)</v>
      </c>
      <c r="I116" s="226"/>
    </row>
    <row r="117" spans="2:14" s="10" customFormat="1" x14ac:dyDescent="0.2">
      <c r="E117" s="352" t="str">
        <f>MICROPLANNING!D75</f>
        <v>Microplanning Activity #2 (Not in Use) - Number of Activities per Year (Projected or Retrospective)</v>
      </c>
      <c r="I117" s="347">
        <f>SUM(J117:N117)</f>
        <v>0</v>
      </c>
      <c r="J117" s="41">
        <f>MICROPLANNING!J75</f>
        <v>0</v>
      </c>
      <c r="K117" s="41">
        <f>MICROPLANNING!K75</f>
        <v>0</v>
      </c>
      <c r="L117" s="41">
        <f>MICROPLANNING!L75</f>
        <v>0</v>
      </c>
      <c r="M117" s="41">
        <f>MICROPLANNING!M75</f>
        <v>0</v>
      </c>
      <c r="N117" s="41">
        <f>MICROPLANNING!N75</f>
        <v>0</v>
      </c>
    </row>
    <row r="118" spans="2:14" s="10" customFormat="1" x14ac:dyDescent="0.2">
      <c r="D118" s="49" t="str">
        <f>MICROPLANNING!D86</f>
        <v>Microplanning Activity #3 (Not in Use)</v>
      </c>
      <c r="I118" s="226"/>
    </row>
    <row r="119" spans="2:14" s="10" customFormat="1" x14ac:dyDescent="0.2">
      <c r="E119" s="352" t="str">
        <f>MICROPLANNING!D117</f>
        <v>Microplanning Activity #3 (Not in Use) - Number of Activities per Year (Projected or Retrospective)</v>
      </c>
      <c r="I119" s="347">
        <f>SUM(J119:N119)</f>
        <v>0</v>
      </c>
      <c r="J119" s="41">
        <f>MICROPLANNING!J117</f>
        <v>0</v>
      </c>
      <c r="K119" s="41">
        <f>MICROPLANNING!K117</f>
        <v>0</v>
      </c>
      <c r="L119" s="41">
        <f>MICROPLANNING!L117</f>
        <v>0</v>
      </c>
      <c r="M119" s="41">
        <f>MICROPLANNING!M117</f>
        <v>0</v>
      </c>
      <c r="N119" s="41">
        <f>MICROPLANNING!N117</f>
        <v>0</v>
      </c>
    </row>
    <row r="120" spans="2:14" s="10" customFormat="1" x14ac:dyDescent="0.2">
      <c r="D120" s="49" t="str">
        <f>MICROPLANNING!D129</f>
        <v>Microplanning Activity #4 (Not in Use)</v>
      </c>
      <c r="I120" s="226"/>
    </row>
    <row r="121" spans="2:14" s="10" customFormat="1" x14ac:dyDescent="0.2">
      <c r="E121" s="352" t="str">
        <f>MICROPLANNING!D160</f>
        <v>Microplanning Activity #4 (Not in Use) - Number of Activities per Year (Projected or Retrospective)</v>
      </c>
      <c r="I121" s="347">
        <f>SUM(J121:N121)</f>
        <v>0</v>
      </c>
      <c r="J121" s="41">
        <f>MICROPLANNING!J160</f>
        <v>0</v>
      </c>
      <c r="K121" s="41">
        <f>MICROPLANNING!K160</f>
        <v>0</v>
      </c>
      <c r="L121" s="41">
        <f>MICROPLANNING!L160</f>
        <v>0</v>
      </c>
      <c r="M121" s="41">
        <f>MICROPLANNING!M160</f>
        <v>0</v>
      </c>
      <c r="N121" s="41">
        <f>MICROPLANNING!N160</f>
        <v>0</v>
      </c>
    </row>
    <row r="122" spans="2:14" s="10" customFormat="1" x14ac:dyDescent="0.2"/>
    <row r="123" spans="2:14" s="10" customFormat="1" x14ac:dyDescent="0.2"/>
    <row r="124" spans="2:14" s="10" customFormat="1" x14ac:dyDescent="0.2">
      <c r="B124" s="55" t="str">
        <f>Lang_Costs</f>
        <v>Costs</v>
      </c>
    </row>
    <row r="125" spans="2:14" s="10" customFormat="1" x14ac:dyDescent="0.2"/>
    <row r="126" spans="2:14" s="10" customFormat="1" x14ac:dyDescent="0.2"/>
    <row r="127" spans="2:14" s="10" customFormat="1" x14ac:dyDescent="0.2">
      <c r="B127" s="114" t="str">
        <f>Analy_Lu!$D$13</f>
        <v>LCU</v>
      </c>
    </row>
    <row r="128" spans="2:14" s="10" customFormat="1" x14ac:dyDescent="0.2"/>
    <row r="129" spans="3:14" s="10" customFormat="1" x14ac:dyDescent="0.2">
      <c r="C129" s="71" t="str">
        <f>Lang_Fin&amp;" ("&amp;Analy_Lu!$D$13&amp;")"</f>
        <v>Financial (LCU)</v>
      </c>
    </row>
    <row r="130" spans="3:14" s="10" customFormat="1" x14ac:dyDescent="0.2">
      <c r="I130" s="343" t="str">
        <f>Lang_All_Years</f>
        <v>ALL YEARS</v>
      </c>
    </row>
    <row r="131" spans="3:14" s="10" customFormat="1" x14ac:dyDescent="0.2">
      <c r="D131" s="49" t="str">
        <f>$D$114</f>
        <v>Microplanning Activity #1 (Not in Use)</v>
      </c>
      <c r="I131" s="145">
        <f>SUM(J131:N131)</f>
        <v>0</v>
      </c>
      <c r="J131" s="42">
        <f>COST_SUMMARY!J85</f>
        <v>0</v>
      </c>
      <c r="K131" s="42">
        <f>COST_SUMMARY!K85</f>
        <v>0</v>
      </c>
      <c r="L131" s="42">
        <f>COST_SUMMARY!L85</f>
        <v>0</v>
      </c>
      <c r="M131" s="42">
        <f>COST_SUMMARY!M85</f>
        <v>0</v>
      </c>
      <c r="N131" s="42">
        <f>COST_SUMMARY!N85</f>
        <v>0</v>
      </c>
    </row>
    <row r="132" spans="3:14" s="10" customFormat="1" x14ac:dyDescent="0.2">
      <c r="D132" s="49" t="str">
        <f>$D$116</f>
        <v>Microplanning Activity #2 (Not in Use)</v>
      </c>
      <c r="I132" s="145">
        <f>SUM(J132:N132)</f>
        <v>0</v>
      </c>
      <c r="J132" s="42">
        <f>COST_SUMMARY!J99</f>
        <v>0</v>
      </c>
      <c r="K132" s="42">
        <f>COST_SUMMARY!K99</f>
        <v>0</v>
      </c>
      <c r="L132" s="42">
        <f>COST_SUMMARY!L99</f>
        <v>0</v>
      </c>
      <c r="M132" s="42">
        <f>COST_SUMMARY!M99</f>
        <v>0</v>
      </c>
      <c r="N132" s="42">
        <f>COST_SUMMARY!N99</f>
        <v>0</v>
      </c>
    </row>
    <row r="133" spans="3:14" s="10" customFormat="1" x14ac:dyDescent="0.2">
      <c r="D133" s="49" t="str">
        <f>$D$118</f>
        <v>Microplanning Activity #3 (Not in Use)</v>
      </c>
      <c r="I133" s="145">
        <f>SUM(J133:N133)</f>
        <v>0</v>
      </c>
      <c r="J133" s="42">
        <f>COST_SUMMARY!J113</f>
        <v>0</v>
      </c>
      <c r="K133" s="42">
        <f>COST_SUMMARY!K113</f>
        <v>0</v>
      </c>
      <c r="L133" s="42">
        <f>COST_SUMMARY!L113</f>
        <v>0</v>
      </c>
      <c r="M133" s="42">
        <f>COST_SUMMARY!M113</f>
        <v>0</v>
      </c>
      <c r="N133" s="42">
        <f>COST_SUMMARY!N113</f>
        <v>0</v>
      </c>
    </row>
    <row r="134" spans="3:14" s="10" customFormat="1" x14ac:dyDescent="0.2">
      <c r="D134" s="49" t="str">
        <f>$D$120</f>
        <v>Microplanning Activity #4 (Not in Use)</v>
      </c>
      <c r="I134" s="145">
        <f>SUM(J134:N134)</f>
        <v>0</v>
      </c>
      <c r="J134" s="42">
        <f>COST_SUMMARY!J127</f>
        <v>0</v>
      </c>
      <c r="K134" s="42">
        <f>COST_SUMMARY!K127</f>
        <v>0</v>
      </c>
      <c r="L134" s="42">
        <f>COST_SUMMARY!L127</f>
        <v>0</v>
      </c>
      <c r="M134" s="42">
        <f>COST_SUMMARY!M127</f>
        <v>0</v>
      </c>
      <c r="N134" s="42">
        <f>COST_SUMMARY!N127</f>
        <v>0</v>
      </c>
    </row>
    <row r="135" spans="3:14" s="10" customFormat="1" x14ac:dyDescent="0.2">
      <c r="D135" s="101" t="str">
        <f>Lang_Total_SmallLetter&amp;" "&amp;B110&amp;" "&amp;Lang_Costs&amp;" "&amp;C129</f>
        <v>Total Microplanning Costs Financial (LCU)</v>
      </c>
      <c r="I135" s="342">
        <f>SUM(J135:N135)</f>
        <v>0</v>
      </c>
      <c r="J135" s="113">
        <f t="shared" ref="J135:N135" si="12">SUM(J131:J134)</f>
        <v>0</v>
      </c>
      <c r="K135" s="113">
        <f t="shared" si="12"/>
        <v>0</v>
      </c>
      <c r="L135" s="113">
        <f t="shared" si="12"/>
        <v>0</v>
      </c>
      <c r="M135" s="113">
        <f t="shared" si="12"/>
        <v>0</v>
      </c>
      <c r="N135" s="113">
        <f t="shared" si="12"/>
        <v>0</v>
      </c>
    </row>
    <row r="136" spans="3:14" s="10" customFormat="1" x14ac:dyDescent="0.2"/>
    <row r="137" spans="3:14" s="10" customFormat="1" x14ac:dyDescent="0.2">
      <c r="D137" s="101" t="str">
        <f>B110&amp;" "&amp;Lang_Cost&amp;" "&amp;Lang_Per_Fully_Immunized_Person_FIP</f>
        <v>Microplanning Cost per Fully Immunized Person (FIP)</v>
      </c>
      <c r="H137" s="49" t="str">
        <f>C129</f>
        <v>Financial (LCU)</v>
      </c>
      <c r="I137" s="145">
        <f>I135/I$37</f>
        <v>0</v>
      </c>
      <c r="J137" s="42">
        <f t="shared" ref="J137:N137" si="13">J135/J$37</f>
        <v>0</v>
      </c>
      <c r="K137" s="42">
        <f t="shared" si="13"/>
        <v>0</v>
      </c>
      <c r="L137" s="42">
        <f t="shared" si="13"/>
        <v>0</v>
      </c>
      <c r="M137" s="42">
        <f t="shared" si="13"/>
        <v>0</v>
      </c>
      <c r="N137" s="42">
        <f t="shared" si="13"/>
        <v>0</v>
      </c>
    </row>
    <row r="138" spans="3:14" s="10" customFormat="1" x14ac:dyDescent="0.2"/>
    <row r="139" spans="3:14" s="10" customFormat="1" x14ac:dyDescent="0.2"/>
    <row r="140" spans="3:14" s="10" customFormat="1" x14ac:dyDescent="0.2">
      <c r="C140" s="71" t="str">
        <f>Lang_Econ&amp;" ("&amp;Analy_Lu!$D$13&amp;")"</f>
        <v>Economic (LCU)</v>
      </c>
    </row>
    <row r="141" spans="3:14" s="10" customFormat="1" x14ac:dyDescent="0.2">
      <c r="I141" s="343" t="str">
        <f>Lang_All_Years</f>
        <v>ALL YEARS</v>
      </c>
    </row>
    <row r="142" spans="3:14" s="10" customFormat="1" x14ac:dyDescent="0.2">
      <c r="D142" s="49" t="str">
        <f>$D$114</f>
        <v>Microplanning Activity #1 (Not in Use)</v>
      </c>
      <c r="I142" s="145">
        <f>SUM(J142:N142)</f>
        <v>0</v>
      </c>
      <c r="J142" s="42">
        <f>COST_SUMMARY!J86</f>
        <v>0</v>
      </c>
      <c r="K142" s="42">
        <f>COST_SUMMARY!K86</f>
        <v>0</v>
      </c>
      <c r="L142" s="42">
        <f>COST_SUMMARY!L86</f>
        <v>0</v>
      </c>
      <c r="M142" s="42">
        <f>COST_SUMMARY!M86</f>
        <v>0</v>
      </c>
      <c r="N142" s="42">
        <f>COST_SUMMARY!N86</f>
        <v>0</v>
      </c>
    </row>
    <row r="143" spans="3:14" s="10" customFormat="1" x14ac:dyDescent="0.2">
      <c r="D143" s="49" t="str">
        <f>$D$116</f>
        <v>Microplanning Activity #2 (Not in Use)</v>
      </c>
      <c r="I143" s="145">
        <f>SUM(J143:N143)</f>
        <v>0</v>
      </c>
      <c r="J143" s="42">
        <f>COST_SUMMARY!J100</f>
        <v>0</v>
      </c>
      <c r="K143" s="42">
        <f>COST_SUMMARY!K100</f>
        <v>0</v>
      </c>
      <c r="L143" s="42">
        <f>COST_SUMMARY!L100</f>
        <v>0</v>
      </c>
      <c r="M143" s="42">
        <f>COST_SUMMARY!M100</f>
        <v>0</v>
      </c>
      <c r="N143" s="42">
        <f>COST_SUMMARY!N100</f>
        <v>0</v>
      </c>
    </row>
    <row r="144" spans="3:14" s="10" customFormat="1" x14ac:dyDescent="0.2">
      <c r="D144" s="49" t="str">
        <f>$D$118</f>
        <v>Microplanning Activity #3 (Not in Use)</v>
      </c>
      <c r="I144" s="145">
        <f>SUM(J144:N144)</f>
        <v>0</v>
      </c>
      <c r="J144" s="42">
        <f>COST_SUMMARY!J114</f>
        <v>0</v>
      </c>
      <c r="K144" s="42">
        <f>COST_SUMMARY!K114</f>
        <v>0</v>
      </c>
      <c r="L144" s="42">
        <f>COST_SUMMARY!L114</f>
        <v>0</v>
      </c>
      <c r="M144" s="42">
        <f>COST_SUMMARY!M114</f>
        <v>0</v>
      </c>
      <c r="N144" s="42">
        <f>COST_SUMMARY!N114</f>
        <v>0</v>
      </c>
    </row>
    <row r="145" spans="2:14" s="10" customFormat="1" x14ac:dyDescent="0.2">
      <c r="D145" s="49" t="str">
        <f>$D$120</f>
        <v>Microplanning Activity #4 (Not in Use)</v>
      </c>
      <c r="I145" s="145">
        <f>SUM(J145:N145)</f>
        <v>0</v>
      </c>
      <c r="J145" s="42">
        <f>COST_SUMMARY!J128</f>
        <v>0</v>
      </c>
      <c r="K145" s="42">
        <f>COST_SUMMARY!K128</f>
        <v>0</v>
      </c>
      <c r="L145" s="42">
        <f>COST_SUMMARY!L128</f>
        <v>0</v>
      </c>
      <c r="M145" s="42">
        <f>COST_SUMMARY!M128</f>
        <v>0</v>
      </c>
      <c r="N145" s="42">
        <f>COST_SUMMARY!N128</f>
        <v>0</v>
      </c>
    </row>
    <row r="146" spans="2:14" s="10" customFormat="1" x14ac:dyDescent="0.2">
      <c r="D146" s="101" t="str">
        <f>Lang_Total_SmallLetter&amp;" "&amp;B110&amp;" "&amp;Lang_Costs&amp;" "&amp;C140</f>
        <v>Total Microplanning Costs Economic (LCU)</v>
      </c>
      <c r="I146" s="342">
        <f>SUM(J146:N146)</f>
        <v>0</v>
      </c>
      <c r="J146" s="113">
        <f t="shared" ref="J146:N146" si="14">SUM(J142:J145)</f>
        <v>0</v>
      </c>
      <c r="K146" s="113">
        <f t="shared" si="14"/>
        <v>0</v>
      </c>
      <c r="L146" s="113">
        <f t="shared" si="14"/>
        <v>0</v>
      </c>
      <c r="M146" s="113">
        <f t="shared" si="14"/>
        <v>0</v>
      </c>
      <c r="N146" s="113">
        <f t="shared" si="14"/>
        <v>0</v>
      </c>
    </row>
    <row r="147" spans="2:14" s="10" customFormat="1" x14ac:dyDescent="0.2"/>
    <row r="148" spans="2:14" s="10" customFormat="1" x14ac:dyDescent="0.2">
      <c r="D148" s="101" t="str">
        <f>B110&amp;" "&amp;Lang_Cost&amp;" "&amp;Lang_Per_Fully_Immunized_Person_FIP</f>
        <v>Microplanning Cost per Fully Immunized Person (FIP)</v>
      </c>
      <c r="H148" s="49" t="str">
        <f>C140</f>
        <v>Economic (LCU)</v>
      </c>
      <c r="I148" s="145">
        <f>I146/I$37</f>
        <v>0</v>
      </c>
      <c r="J148" s="42">
        <f t="shared" ref="J148:N148" si="15">J146/J$37</f>
        <v>0</v>
      </c>
      <c r="K148" s="42">
        <f t="shared" si="15"/>
        <v>0</v>
      </c>
      <c r="L148" s="42">
        <f t="shared" si="15"/>
        <v>0</v>
      </c>
      <c r="M148" s="42">
        <f t="shared" si="15"/>
        <v>0</v>
      </c>
      <c r="N148" s="42">
        <f t="shared" si="15"/>
        <v>0</v>
      </c>
    </row>
    <row r="149" spans="2:14" s="10" customFormat="1" x14ac:dyDescent="0.2"/>
    <row r="150" spans="2:14" s="10" customFormat="1" x14ac:dyDescent="0.2"/>
    <row r="151" spans="2:14" s="10" customFormat="1" x14ac:dyDescent="0.2">
      <c r="B151" s="114" t="str">
        <f>Analy_Lu!$D$12</f>
        <v>USD</v>
      </c>
    </row>
    <row r="152" spans="2:14" s="10" customFormat="1" x14ac:dyDescent="0.2"/>
    <row r="153" spans="2:14" s="10" customFormat="1" x14ac:dyDescent="0.2"/>
    <row r="154" spans="2:14" s="10" customFormat="1" x14ac:dyDescent="0.2">
      <c r="C154" s="71" t="str">
        <f>Lang_Fin&amp;" ("&amp;Analy_Lu!$D$12&amp;")"</f>
        <v>Financial (USD)</v>
      </c>
    </row>
    <row r="155" spans="2:14" s="10" customFormat="1" x14ac:dyDescent="0.2">
      <c r="I155" s="343" t="str">
        <f>Lang_All_Years</f>
        <v>ALL YEARS</v>
      </c>
    </row>
    <row r="156" spans="2:14" s="10" customFormat="1" x14ac:dyDescent="0.2">
      <c r="D156" s="49" t="str">
        <f>$D$114</f>
        <v>Microplanning Activity #1 (Not in Use)</v>
      </c>
      <c r="I156" s="255">
        <f>SUM(J156:N156)</f>
        <v>0</v>
      </c>
      <c r="J156" s="119">
        <f t="shared" ref="J156:N159" si="16">J131/Analy_Exchange_Rate</f>
        <v>0</v>
      </c>
      <c r="K156" s="119">
        <f t="shared" si="16"/>
        <v>0</v>
      </c>
      <c r="L156" s="119">
        <f t="shared" si="16"/>
        <v>0</v>
      </c>
      <c r="M156" s="119">
        <f t="shared" si="16"/>
        <v>0</v>
      </c>
      <c r="N156" s="119">
        <f t="shared" si="16"/>
        <v>0</v>
      </c>
    </row>
    <row r="157" spans="2:14" s="10" customFormat="1" x14ac:dyDescent="0.2">
      <c r="D157" s="49" t="str">
        <f>$D$116</f>
        <v>Microplanning Activity #2 (Not in Use)</v>
      </c>
      <c r="I157" s="255">
        <f>SUM(J157:N157)</f>
        <v>0</v>
      </c>
      <c r="J157" s="119">
        <f t="shared" si="16"/>
        <v>0</v>
      </c>
      <c r="K157" s="119">
        <f t="shared" si="16"/>
        <v>0</v>
      </c>
      <c r="L157" s="119">
        <f t="shared" si="16"/>
        <v>0</v>
      </c>
      <c r="M157" s="119">
        <f t="shared" si="16"/>
        <v>0</v>
      </c>
      <c r="N157" s="119">
        <f t="shared" si="16"/>
        <v>0</v>
      </c>
    </row>
    <row r="158" spans="2:14" s="10" customFormat="1" x14ac:dyDescent="0.2">
      <c r="D158" s="49" t="str">
        <f>$D$118</f>
        <v>Microplanning Activity #3 (Not in Use)</v>
      </c>
      <c r="I158" s="255">
        <f>SUM(J158:N158)</f>
        <v>0</v>
      </c>
      <c r="J158" s="119">
        <f t="shared" si="16"/>
        <v>0</v>
      </c>
      <c r="K158" s="119">
        <f t="shared" si="16"/>
        <v>0</v>
      </c>
      <c r="L158" s="119">
        <f t="shared" si="16"/>
        <v>0</v>
      </c>
      <c r="M158" s="119">
        <f t="shared" si="16"/>
        <v>0</v>
      </c>
      <c r="N158" s="119">
        <f t="shared" si="16"/>
        <v>0</v>
      </c>
    </row>
    <row r="159" spans="2:14" s="10" customFormat="1" x14ac:dyDescent="0.2">
      <c r="D159" s="49" t="str">
        <f>$D$120</f>
        <v>Microplanning Activity #4 (Not in Use)</v>
      </c>
      <c r="I159" s="255">
        <f>SUM(J159:N159)</f>
        <v>0</v>
      </c>
      <c r="J159" s="119">
        <f t="shared" si="16"/>
        <v>0</v>
      </c>
      <c r="K159" s="119">
        <f t="shared" si="16"/>
        <v>0</v>
      </c>
      <c r="L159" s="119">
        <f t="shared" si="16"/>
        <v>0</v>
      </c>
      <c r="M159" s="119">
        <f t="shared" si="16"/>
        <v>0</v>
      </c>
      <c r="N159" s="119">
        <f t="shared" si="16"/>
        <v>0</v>
      </c>
    </row>
    <row r="160" spans="2:14" s="10" customFormat="1" x14ac:dyDescent="0.2">
      <c r="D160" s="101" t="str">
        <f>Lang_Total_SmallLetter&amp;" "&amp;B110&amp;" "&amp;Lang_Costs&amp;" "&amp;C154</f>
        <v>Total Microplanning Costs Financial (USD)</v>
      </c>
      <c r="I160" s="348">
        <f>SUM(J160:N160)</f>
        <v>0</v>
      </c>
      <c r="J160" s="360">
        <f t="shared" ref="J160:N160" si="17">SUM(J156:J159)</f>
        <v>0</v>
      </c>
      <c r="K160" s="360">
        <f t="shared" si="17"/>
        <v>0</v>
      </c>
      <c r="L160" s="360">
        <f t="shared" si="17"/>
        <v>0</v>
      </c>
      <c r="M160" s="360">
        <f t="shared" si="17"/>
        <v>0</v>
      </c>
      <c r="N160" s="360">
        <f t="shared" si="17"/>
        <v>0</v>
      </c>
    </row>
    <row r="161" spans="1:14" s="10" customFormat="1" x14ac:dyDescent="0.2"/>
    <row r="162" spans="1:14" s="10" customFormat="1" x14ac:dyDescent="0.2">
      <c r="D162" s="101" t="str">
        <f>B110&amp;" "&amp;Lang_Cost&amp;" "&amp;Lang_Per_Fully_Immunized_Person_FIP</f>
        <v>Microplanning Cost per Fully Immunized Person (FIP)</v>
      </c>
      <c r="H162" s="49" t="str">
        <f>C154</f>
        <v>Financial (USD)</v>
      </c>
      <c r="I162" s="388">
        <f>I160/I$37</f>
        <v>0</v>
      </c>
      <c r="J162" s="116">
        <f t="shared" ref="J162:N162" si="18">J160/J$37</f>
        <v>0</v>
      </c>
      <c r="K162" s="116">
        <f t="shared" si="18"/>
        <v>0</v>
      </c>
      <c r="L162" s="116">
        <f t="shared" si="18"/>
        <v>0</v>
      </c>
      <c r="M162" s="116">
        <f t="shared" si="18"/>
        <v>0</v>
      </c>
      <c r="N162" s="116">
        <f t="shared" si="18"/>
        <v>0</v>
      </c>
    </row>
    <row r="163" spans="1:14" s="10" customFormat="1" x14ac:dyDescent="0.2"/>
    <row r="164" spans="1:14" s="10" customFormat="1" x14ac:dyDescent="0.2">
      <c r="C164" s="71" t="str">
        <f>Lang_Econ&amp;" ("&amp;Analy_Lu!$D$12&amp;")"</f>
        <v>Economic (USD)</v>
      </c>
    </row>
    <row r="165" spans="1:14" s="10" customFormat="1" x14ac:dyDescent="0.2">
      <c r="I165" s="343" t="str">
        <f>Lang_All_Years</f>
        <v>ALL YEARS</v>
      </c>
    </row>
    <row r="166" spans="1:14" s="10" customFormat="1" x14ac:dyDescent="0.2">
      <c r="D166" s="49" t="str">
        <f>$D$114</f>
        <v>Microplanning Activity #1 (Not in Use)</v>
      </c>
      <c r="I166" s="255">
        <f>SUM(J166:N166)</f>
        <v>0</v>
      </c>
      <c r="J166" s="119">
        <f t="shared" ref="J166:N169" si="19">J142/Analy_Exchange_Rate</f>
        <v>0</v>
      </c>
      <c r="K166" s="119">
        <f t="shared" si="19"/>
        <v>0</v>
      </c>
      <c r="L166" s="119">
        <f t="shared" si="19"/>
        <v>0</v>
      </c>
      <c r="M166" s="119">
        <f t="shared" si="19"/>
        <v>0</v>
      </c>
      <c r="N166" s="119">
        <f t="shared" si="19"/>
        <v>0</v>
      </c>
    </row>
    <row r="167" spans="1:14" s="10" customFormat="1" x14ac:dyDescent="0.2">
      <c r="D167" s="49" t="str">
        <f>$D$116</f>
        <v>Microplanning Activity #2 (Not in Use)</v>
      </c>
      <c r="I167" s="255">
        <f>SUM(J167:N167)</f>
        <v>0</v>
      </c>
      <c r="J167" s="119">
        <f t="shared" si="19"/>
        <v>0</v>
      </c>
      <c r="K167" s="119">
        <f t="shared" si="19"/>
        <v>0</v>
      </c>
      <c r="L167" s="119">
        <f t="shared" si="19"/>
        <v>0</v>
      </c>
      <c r="M167" s="119">
        <f t="shared" si="19"/>
        <v>0</v>
      </c>
      <c r="N167" s="119">
        <f t="shared" si="19"/>
        <v>0</v>
      </c>
    </row>
    <row r="168" spans="1:14" s="10" customFormat="1" x14ac:dyDescent="0.2">
      <c r="D168" s="49" t="str">
        <f>$D$118</f>
        <v>Microplanning Activity #3 (Not in Use)</v>
      </c>
      <c r="I168" s="255">
        <f>SUM(J168:N168)</f>
        <v>0</v>
      </c>
      <c r="J168" s="119">
        <f t="shared" si="19"/>
        <v>0</v>
      </c>
      <c r="K168" s="119">
        <f t="shared" si="19"/>
        <v>0</v>
      </c>
      <c r="L168" s="119">
        <f t="shared" si="19"/>
        <v>0</v>
      </c>
      <c r="M168" s="119">
        <f t="shared" si="19"/>
        <v>0</v>
      </c>
      <c r="N168" s="119">
        <f t="shared" si="19"/>
        <v>0</v>
      </c>
    </row>
    <row r="169" spans="1:14" s="10" customFormat="1" x14ac:dyDescent="0.2">
      <c r="D169" s="49" t="str">
        <f>$D$120</f>
        <v>Microplanning Activity #4 (Not in Use)</v>
      </c>
      <c r="I169" s="255">
        <f>SUM(J169:N169)</f>
        <v>0</v>
      </c>
      <c r="J169" s="119">
        <f t="shared" si="19"/>
        <v>0</v>
      </c>
      <c r="K169" s="119">
        <f t="shared" si="19"/>
        <v>0</v>
      </c>
      <c r="L169" s="119">
        <f t="shared" si="19"/>
        <v>0</v>
      </c>
      <c r="M169" s="119">
        <f t="shared" si="19"/>
        <v>0</v>
      </c>
      <c r="N169" s="119">
        <f t="shared" si="19"/>
        <v>0</v>
      </c>
    </row>
    <row r="170" spans="1:14" s="10" customFormat="1" x14ac:dyDescent="0.2">
      <c r="D170" s="101" t="str">
        <f>Lang_Total_SmallLetter&amp;" "&amp;B110&amp;" "&amp;Lang_Costs&amp;" "&amp;C164</f>
        <v>Total Microplanning Costs Economic (USD)</v>
      </c>
      <c r="I170" s="348">
        <f>SUM(J170:N170)</f>
        <v>0</v>
      </c>
      <c r="J170" s="121">
        <f t="shared" ref="J170:N170" si="20">SUM(J166:J169)</f>
        <v>0</v>
      </c>
      <c r="K170" s="121">
        <f t="shared" si="20"/>
        <v>0</v>
      </c>
      <c r="L170" s="121">
        <f t="shared" si="20"/>
        <v>0</v>
      </c>
      <c r="M170" s="121">
        <f t="shared" si="20"/>
        <v>0</v>
      </c>
      <c r="N170" s="121">
        <f t="shared" si="20"/>
        <v>0</v>
      </c>
    </row>
    <row r="171" spans="1:14" s="10" customFormat="1" x14ac:dyDescent="0.2"/>
    <row r="172" spans="1:14" s="10" customFormat="1" x14ac:dyDescent="0.2">
      <c r="D172" s="101" t="str">
        <f>B110&amp;" "&amp;Lang_Cost&amp;" "&amp;Lang_Per_Fully_Immunized_Person_FIP</f>
        <v>Microplanning Cost per Fully Immunized Person (FIP)</v>
      </c>
      <c r="H172" s="49" t="str">
        <f>C164</f>
        <v>Economic (USD)</v>
      </c>
      <c r="I172" s="388">
        <f>I170/I$37</f>
        <v>0</v>
      </c>
      <c r="J172" s="116">
        <f t="shared" ref="J172:N172" si="21">J170/J$37</f>
        <v>0</v>
      </c>
      <c r="K172" s="116">
        <f t="shared" si="21"/>
        <v>0</v>
      </c>
      <c r="L172" s="116">
        <f t="shared" si="21"/>
        <v>0</v>
      </c>
      <c r="M172" s="116">
        <f t="shared" si="21"/>
        <v>0</v>
      </c>
      <c r="N172" s="116">
        <f t="shared" si="21"/>
        <v>0</v>
      </c>
    </row>
    <row r="173" spans="1:14" s="10" customFormat="1" x14ac:dyDescent="0.2"/>
    <row r="174" spans="1:14" s="10" customFormat="1" x14ac:dyDescent="0.2"/>
    <row r="175" spans="1:14" s="10" customFormat="1" x14ac:dyDescent="0.2"/>
    <row r="176" spans="1:14" s="10" customFormat="1" x14ac:dyDescent="0.2">
      <c r="A176" s="12" t="s">
        <v>125</v>
      </c>
      <c r="B176" s="13" t="str">
        <f>Lang_Analysis&amp;" - "&amp;B178</f>
        <v>Analysis - Training</v>
      </c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</row>
    <row r="177" spans="2:14" s="10" customFormat="1" x14ac:dyDescent="0.2"/>
    <row r="178" spans="2:14" s="10" customFormat="1" x14ac:dyDescent="0.2">
      <c r="B178" s="65" t="str">
        <f>Lang_Training</f>
        <v>Training</v>
      </c>
    </row>
    <row r="179" spans="2:14" s="10" customFormat="1" x14ac:dyDescent="0.2"/>
    <row r="180" spans="2:14" s="10" customFormat="1" x14ac:dyDescent="0.2">
      <c r="B180" s="74" t="str">
        <f>Lang_Activity_Names_And_Quantities_Performed</f>
        <v>Activity Names and Quantities Performed</v>
      </c>
    </row>
    <row r="181" spans="2:14" s="10" customFormat="1" x14ac:dyDescent="0.2">
      <c r="I181" s="343" t="str">
        <f>Lang_All_Years</f>
        <v>ALL YEARS</v>
      </c>
    </row>
    <row r="182" spans="2:14" s="10" customFormat="1" x14ac:dyDescent="0.2">
      <c r="D182" s="49" t="str">
        <f>TRAINING!D12</f>
        <v>Training Activity #1 (Not in Use)</v>
      </c>
    </row>
    <row r="183" spans="2:14" s="10" customFormat="1" x14ac:dyDescent="0.2">
      <c r="E183" s="352" t="str">
        <f>TRAINING!D38</f>
        <v>Training Activity #1 (Not in Use) - Number of Activities per Year (Projected or Retrospective)</v>
      </c>
      <c r="I183" s="145">
        <f>SUM(J183:N183)</f>
        <v>0</v>
      </c>
      <c r="J183" s="42">
        <f>TRAINING!J38</f>
        <v>0</v>
      </c>
      <c r="K183" s="42">
        <f>TRAINING!K38</f>
        <v>0</v>
      </c>
      <c r="L183" s="42">
        <f>TRAINING!L38</f>
        <v>0</v>
      </c>
      <c r="M183" s="42">
        <f>TRAINING!M38</f>
        <v>0</v>
      </c>
      <c r="N183" s="42">
        <f>TRAINING!N38</f>
        <v>0</v>
      </c>
    </row>
    <row r="184" spans="2:14" s="10" customFormat="1" x14ac:dyDescent="0.2">
      <c r="D184" s="49" t="str">
        <f>TRAINING!D49</f>
        <v>Training Activity #2 (Not in Use)</v>
      </c>
      <c r="I184" s="226"/>
    </row>
    <row r="185" spans="2:14" s="10" customFormat="1" x14ac:dyDescent="0.2">
      <c r="E185" s="352" t="str">
        <f>TRAINING!D75</f>
        <v>Training Activity #2 (Not in Use) - Number of Activities per Year (Projected or Retrospective)</v>
      </c>
      <c r="I185" s="145">
        <f>SUM(J185:N185)</f>
        <v>0</v>
      </c>
      <c r="J185" s="42">
        <f>TRAINING!J75</f>
        <v>0</v>
      </c>
      <c r="K185" s="42">
        <f>TRAINING!K75</f>
        <v>0</v>
      </c>
      <c r="L185" s="42">
        <f>TRAINING!L75</f>
        <v>0</v>
      </c>
      <c r="M185" s="42">
        <f>TRAINING!M75</f>
        <v>0</v>
      </c>
      <c r="N185" s="42">
        <f>TRAINING!N75</f>
        <v>0</v>
      </c>
    </row>
    <row r="186" spans="2:14" s="10" customFormat="1" x14ac:dyDescent="0.2">
      <c r="D186" s="49" t="str">
        <f>TRAINING!D86</f>
        <v>Training Activity #3 (Not in Use)</v>
      </c>
      <c r="I186" s="226"/>
    </row>
    <row r="187" spans="2:14" s="10" customFormat="1" x14ac:dyDescent="0.2">
      <c r="E187" s="352" t="str">
        <f>TRAINING!D112</f>
        <v>Training Activity #3 (Not in Use) - Number of Activities per Year (Projected or Retrospective)</v>
      </c>
      <c r="I187" s="145">
        <f>SUM(J187:N187)</f>
        <v>0</v>
      </c>
      <c r="J187" s="42">
        <f>TRAINING!J112</f>
        <v>0</v>
      </c>
      <c r="K187" s="42">
        <f>TRAINING!K112</f>
        <v>0</v>
      </c>
      <c r="L187" s="42">
        <f>TRAINING!L112</f>
        <v>0</v>
      </c>
      <c r="M187" s="42">
        <f>TRAINING!M112</f>
        <v>0</v>
      </c>
      <c r="N187" s="42">
        <f>TRAINING!N112</f>
        <v>0</v>
      </c>
    </row>
    <row r="188" spans="2:14" s="10" customFormat="1" x14ac:dyDescent="0.2">
      <c r="D188" s="49" t="str">
        <f>TRAINING!D123</f>
        <v>Training Activity #4 (Not in Use)</v>
      </c>
      <c r="I188" s="226"/>
    </row>
    <row r="189" spans="2:14" s="10" customFormat="1" x14ac:dyDescent="0.2">
      <c r="E189" s="352" t="str">
        <f>TRAINING!D155</f>
        <v>Training Activity #4 (Not in Use) - Number of Activities per Year (Projected or Retrospective)</v>
      </c>
      <c r="I189" s="145">
        <f>SUM(J189:N189)</f>
        <v>0</v>
      </c>
      <c r="J189" s="42">
        <f>TRAINING!J155</f>
        <v>0</v>
      </c>
      <c r="K189" s="42">
        <f>TRAINING!K155</f>
        <v>0</v>
      </c>
      <c r="L189" s="42">
        <f>TRAINING!L155</f>
        <v>0</v>
      </c>
      <c r="M189" s="42">
        <f>TRAINING!M155</f>
        <v>0</v>
      </c>
      <c r="N189" s="42">
        <f>TRAINING!N155</f>
        <v>0</v>
      </c>
    </row>
    <row r="190" spans="2:14" s="10" customFormat="1" x14ac:dyDescent="0.2"/>
    <row r="191" spans="2:14" s="10" customFormat="1" x14ac:dyDescent="0.2"/>
    <row r="192" spans="2:14" s="10" customFormat="1" x14ac:dyDescent="0.2">
      <c r="B192" s="55" t="str">
        <f>Lang_Costs</f>
        <v>Costs</v>
      </c>
    </row>
    <row r="193" spans="2:14" s="10" customFormat="1" x14ac:dyDescent="0.2"/>
    <row r="194" spans="2:14" s="10" customFormat="1" x14ac:dyDescent="0.2"/>
    <row r="195" spans="2:14" s="10" customFormat="1" x14ac:dyDescent="0.2">
      <c r="B195" s="114" t="str">
        <f>Analy_Lu!$D$13</f>
        <v>LCU</v>
      </c>
    </row>
    <row r="196" spans="2:14" s="10" customFormat="1" x14ac:dyDescent="0.2"/>
    <row r="197" spans="2:14" s="10" customFormat="1" x14ac:dyDescent="0.2">
      <c r="C197" s="71" t="str">
        <f>Lang_Fin&amp;" ("&amp;Analy_Lu!$D$13&amp;")"</f>
        <v>Financial (LCU)</v>
      </c>
    </row>
    <row r="198" spans="2:14" s="10" customFormat="1" x14ac:dyDescent="0.2">
      <c r="I198" s="343" t="str">
        <f>Lang_All_Years</f>
        <v>ALL YEARS</v>
      </c>
    </row>
    <row r="199" spans="2:14" s="10" customFormat="1" x14ac:dyDescent="0.2">
      <c r="D199" s="49" t="str">
        <f>$D$182</f>
        <v>Training Activity #1 (Not in Use)</v>
      </c>
      <c r="H199" s="49" t="str">
        <f>COST_SUMMARY!C141</f>
        <v>Financial (LCU)</v>
      </c>
      <c r="I199" s="145">
        <f>SUM(J199:N199)</f>
        <v>0</v>
      </c>
      <c r="J199" s="42">
        <f>COST_SUMMARY!J141</f>
        <v>0</v>
      </c>
      <c r="K199" s="42">
        <f>COST_SUMMARY!K141</f>
        <v>0</v>
      </c>
      <c r="L199" s="42">
        <f>COST_SUMMARY!L141</f>
        <v>0</v>
      </c>
      <c r="M199" s="42">
        <f>COST_SUMMARY!M141</f>
        <v>0</v>
      </c>
      <c r="N199" s="42">
        <f>COST_SUMMARY!N141</f>
        <v>0</v>
      </c>
    </row>
    <row r="200" spans="2:14" s="10" customFormat="1" x14ac:dyDescent="0.2">
      <c r="D200" s="49" t="str">
        <f>$D$184</f>
        <v>Training Activity #2 (Not in Use)</v>
      </c>
      <c r="H200" s="49" t="str">
        <f>COST_SUMMARY!C155</f>
        <v>Financial (LCU)</v>
      </c>
      <c r="I200" s="145">
        <f>SUM(J200:N200)</f>
        <v>0</v>
      </c>
      <c r="J200" s="42">
        <f>COST_SUMMARY!J155</f>
        <v>0</v>
      </c>
      <c r="K200" s="42">
        <f>COST_SUMMARY!K155</f>
        <v>0</v>
      </c>
      <c r="L200" s="42">
        <f>COST_SUMMARY!L155</f>
        <v>0</v>
      </c>
      <c r="M200" s="42">
        <f>COST_SUMMARY!M155</f>
        <v>0</v>
      </c>
      <c r="N200" s="42">
        <f>COST_SUMMARY!N155</f>
        <v>0</v>
      </c>
    </row>
    <row r="201" spans="2:14" s="10" customFormat="1" x14ac:dyDescent="0.2">
      <c r="D201" s="10" t="str">
        <f>$D$186</f>
        <v>Training Activity #3 (Not in Use)</v>
      </c>
      <c r="H201" s="49" t="str">
        <f>COST_SUMMARY!C169</f>
        <v>Financial (LCU)</v>
      </c>
      <c r="I201" s="145">
        <f>SUM(J201:N201)</f>
        <v>0</v>
      </c>
      <c r="J201" s="42">
        <f>COST_SUMMARY!J169</f>
        <v>0</v>
      </c>
      <c r="K201" s="42">
        <f>COST_SUMMARY!K169</f>
        <v>0</v>
      </c>
      <c r="L201" s="42">
        <f>COST_SUMMARY!L169</f>
        <v>0</v>
      </c>
      <c r="M201" s="42">
        <f>COST_SUMMARY!M169</f>
        <v>0</v>
      </c>
      <c r="N201" s="42">
        <f>COST_SUMMARY!N169</f>
        <v>0</v>
      </c>
    </row>
    <row r="202" spans="2:14" s="10" customFormat="1" x14ac:dyDescent="0.2">
      <c r="D202" s="49" t="str">
        <f>$D$188</f>
        <v>Training Activity #4 (Not in Use)</v>
      </c>
      <c r="H202" s="49" t="str">
        <f>COST_SUMMARY!C183</f>
        <v>Financial (LCU)</v>
      </c>
      <c r="I202" s="145">
        <f>SUM(J202:N202)</f>
        <v>0</v>
      </c>
      <c r="J202" s="42">
        <f>COST_SUMMARY!J183</f>
        <v>0</v>
      </c>
      <c r="K202" s="42">
        <f>COST_SUMMARY!K183</f>
        <v>0</v>
      </c>
      <c r="L202" s="42">
        <f>COST_SUMMARY!L183</f>
        <v>0</v>
      </c>
      <c r="M202" s="42">
        <f>COST_SUMMARY!M183</f>
        <v>0</v>
      </c>
      <c r="N202" s="42">
        <f>COST_SUMMARY!N183</f>
        <v>0</v>
      </c>
    </row>
    <row r="203" spans="2:14" s="10" customFormat="1" x14ac:dyDescent="0.2">
      <c r="D203" s="101" t="str">
        <f>Lang_Total_SmallLetter&amp;" "&amp;B178&amp;" "&amp;Lang_Costs&amp;" "&amp;C197</f>
        <v>Total Training Costs Financial (LCU)</v>
      </c>
      <c r="H203" s="49" t="str">
        <f>C197</f>
        <v>Financial (LCU)</v>
      </c>
      <c r="I203" s="342">
        <f>SUM(J203:N203)</f>
        <v>0</v>
      </c>
      <c r="J203" s="113">
        <f t="shared" ref="J203:N203" si="22">SUM(J199:J202)</f>
        <v>0</v>
      </c>
      <c r="K203" s="113">
        <f t="shared" si="22"/>
        <v>0</v>
      </c>
      <c r="L203" s="113">
        <f t="shared" si="22"/>
        <v>0</v>
      </c>
      <c r="M203" s="113">
        <f t="shared" si="22"/>
        <v>0</v>
      </c>
      <c r="N203" s="113">
        <f t="shared" si="22"/>
        <v>0</v>
      </c>
    </row>
    <row r="204" spans="2:14" s="10" customFormat="1" x14ac:dyDescent="0.2"/>
    <row r="205" spans="2:14" s="10" customFormat="1" x14ac:dyDescent="0.2">
      <c r="D205" s="101" t="str">
        <f>B178&amp;" "&amp;Lang_Cost&amp;" "&amp;Lang_Per_Fully_Immunized_Person_FIP</f>
        <v>Training Cost per Fully Immunized Person (FIP)</v>
      </c>
      <c r="H205" s="49" t="str">
        <f>C197</f>
        <v>Financial (LCU)</v>
      </c>
      <c r="I205" s="145">
        <f>I203/I$37</f>
        <v>0</v>
      </c>
      <c r="J205" s="41">
        <f t="shared" ref="J205:N205" si="23">J203/J$37</f>
        <v>0</v>
      </c>
      <c r="K205" s="41">
        <f t="shared" si="23"/>
        <v>0</v>
      </c>
      <c r="L205" s="41">
        <f t="shared" si="23"/>
        <v>0</v>
      </c>
      <c r="M205" s="41">
        <f t="shared" si="23"/>
        <v>0</v>
      </c>
      <c r="N205" s="41">
        <f t="shared" si="23"/>
        <v>0</v>
      </c>
    </row>
    <row r="206" spans="2:14" s="10" customFormat="1" x14ac:dyDescent="0.2"/>
    <row r="207" spans="2:14" s="10" customFormat="1" x14ac:dyDescent="0.2"/>
    <row r="208" spans="2:14" s="10" customFormat="1" x14ac:dyDescent="0.2">
      <c r="C208" s="71" t="str">
        <f>Lang_Econ&amp;" ("&amp;Analy_Lu!$D$13&amp;")"</f>
        <v>Economic (LCU)</v>
      </c>
    </row>
    <row r="209" spans="2:14" s="10" customFormat="1" x14ac:dyDescent="0.2">
      <c r="I209" s="343" t="str">
        <f>Lang_All_Years</f>
        <v>ALL YEARS</v>
      </c>
    </row>
    <row r="210" spans="2:14" s="10" customFormat="1" x14ac:dyDescent="0.2">
      <c r="D210" s="49" t="str">
        <f>$D$182</f>
        <v>Training Activity #1 (Not in Use)</v>
      </c>
      <c r="H210" s="49" t="str">
        <f>COST_SUMMARY!C142</f>
        <v>Economic (LCU)</v>
      </c>
      <c r="I210" s="145">
        <f>SUM(J210:N210)</f>
        <v>0</v>
      </c>
      <c r="J210" s="42">
        <f>COST_SUMMARY!J142</f>
        <v>0</v>
      </c>
      <c r="K210" s="42">
        <f>COST_SUMMARY!K142</f>
        <v>0</v>
      </c>
      <c r="L210" s="42">
        <f>COST_SUMMARY!L142</f>
        <v>0</v>
      </c>
      <c r="M210" s="42">
        <f>COST_SUMMARY!M142</f>
        <v>0</v>
      </c>
      <c r="N210" s="42">
        <f>COST_SUMMARY!N142</f>
        <v>0</v>
      </c>
    </row>
    <row r="211" spans="2:14" s="10" customFormat="1" x14ac:dyDescent="0.2">
      <c r="D211" s="49" t="str">
        <f>$D$184</f>
        <v>Training Activity #2 (Not in Use)</v>
      </c>
      <c r="H211" s="49" t="str">
        <f>COST_SUMMARY!C156</f>
        <v>Economic (LCU)</v>
      </c>
      <c r="I211" s="145">
        <f>SUM(J211:N211)</f>
        <v>0</v>
      </c>
      <c r="J211" s="42">
        <f>COST_SUMMARY!J156</f>
        <v>0</v>
      </c>
      <c r="K211" s="42">
        <f>COST_SUMMARY!K156</f>
        <v>0</v>
      </c>
      <c r="L211" s="42">
        <f>COST_SUMMARY!L156</f>
        <v>0</v>
      </c>
      <c r="M211" s="42">
        <f>COST_SUMMARY!M156</f>
        <v>0</v>
      </c>
      <c r="N211" s="42">
        <f>COST_SUMMARY!N156</f>
        <v>0</v>
      </c>
    </row>
    <row r="212" spans="2:14" s="10" customFormat="1" x14ac:dyDescent="0.2">
      <c r="D212" s="10" t="str">
        <f>$D$186</f>
        <v>Training Activity #3 (Not in Use)</v>
      </c>
      <c r="H212" s="49" t="str">
        <f>COST_SUMMARY!C170</f>
        <v>Economic (LCU)</v>
      </c>
      <c r="I212" s="145">
        <f>SUM(J212:N212)</f>
        <v>0</v>
      </c>
      <c r="J212" s="42">
        <f>COST_SUMMARY!J170</f>
        <v>0</v>
      </c>
      <c r="K212" s="42">
        <f>COST_SUMMARY!K170</f>
        <v>0</v>
      </c>
      <c r="L212" s="42">
        <f>COST_SUMMARY!L170</f>
        <v>0</v>
      </c>
      <c r="M212" s="42">
        <f>COST_SUMMARY!M170</f>
        <v>0</v>
      </c>
      <c r="N212" s="42">
        <f>COST_SUMMARY!N170</f>
        <v>0</v>
      </c>
    </row>
    <row r="213" spans="2:14" s="10" customFormat="1" x14ac:dyDescent="0.2">
      <c r="D213" s="49" t="str">
        <f>$D$188</f>
        <v>Training Activity #4 (Not in Use)</v>
      </c>
      <c r="H213" s="49" t="str">
        <f>COST_SUMMARY!C184</f>
        <v>Economic (LCU)</v>
      </c>
      <c r="I213" s="145">
        <f>SUM(J213:N213)</f>
        <v>0</v>
      </c>
      <c r="J213" s="41">
        <f>COST_SUMMARY!J184</f>
        <v>0</v>
      </c>
      <c r="K213" s="41">
        <f>COST_SUMMARY!K184</f>
        <v>0</v>
      </c>
      <c r="L213" s="41">
        <f>COST_SUMMARY!L184</f>
        <v>0</v>
      </c>
      <c r="M213" s="41">
        <f>COST_SUMMARY!M184</f>
        <v>0</v>
      </c>
      <c r="N213" s="41">
        <f>COST_SUMMARY!N184</f>
        <v>0</v>
      </c>
    </row>
    <row r="214" spans="2:14" s="10" customFormat="1" x14ac:dyDescent="0.2">
      <c r="D214" s="101" t="str">
        <f>Lang_Total_SmallLetter&amp;" "&amp;B178&amp;" "&amp;Lang_Costs&amp;" "&amp;C208</f>
        <v>Total Training Costs Economic (LCU)</v>
      </c>
      <c r="H214" s="49" t="str">
        <f>$C$208</f>
        <v>Economic (LCU)</v>
      </c>
      <c r="I214" s="342">
        <f>SUM(J214:N214)</f>
        <v>0</v>
      </c>
      <c r="J214" s="113">
        <f t="shared" ref="J214:N214" si="24">SUM(J210:J213)</f>
        <v>0</v>
      </c>
      <c r="K214" s="113">
        <f t="shared" si="24"/>
        <v>0</v>
      </c>
      <c r="L214" s="113">
        <f t="shared" si="24"/>
        <v>0</v>
      </c>
      <c r="M214" s="113">
        <f t="shared" si="24"/>
        <v>0</v>
      </c>
      <c r="N214" s="113">
        <f t="shared" si="24"/>
        <v>0</v>
      </c>
    </row>
    <row r="215" spans="2:14" s="10" customFormat="1" x14ac:dyDescent="0.2"/>
    <row r="216" spans="2:14" s="10" customFormat="1" x14ac:dyDescent="0.2">
      <c r="D216" s="101" t="str">
        <f>B178&amp;" "&amp;Lang_Cost&amp;" "&amp;Lang_Per_Fully_Immunized_Person_FIP</f>
        <v>Training Cost per Fully Immunized Person (FIP)</v>
      </c>
      <c r="H216" s="49" t="str">
        <f>$C$208</f>
        <v>Economic (LCU)</v>
      </c>
      <c r="I216" s="145">
        <f>I214/I$37</f>
        <v>0</v>
      </c>
      <c r="J216" s="41">
        <f t="shared" ref="J216:N216" si="25">J214/J$37</f>
        <v>0</v>
      </c>
      <c r="K216" s="41">
        <f t="shared" si="25"/>
        <v>0</v>
      </c>
      <c r="L216" s="41">
        <f t="shared" si="25"/>
        <v>0</v>
      </c>
      <c r="M216" s="41">
        <f t="shared" si="25"/>
        <v>0</v>
      </c>
      <c r="N216" s="41">
        <f t="shared" si="25"/>
        <v>0</v>
      </c>
    </row>
    <row r="217" spans="2:14" s="10" customFormat="1" x14ac:dyDescent="0.2"/>
    <row r="218" spans="2:14" s="10" customFormat="1" x14ac:dyDescent="0.2"/>
    <row r="219" spans="2:14" s="10" customFormat="1" x14ac:dyDescent="0.2">
      <c r="B219" s="114" t="str">
        <f>Analy_Lu!$D$12</f>
        <v>USD</v>
      </c>
    </row>
    <row r="220" spans="2:14" s="10" customFormat="1" x14ac:dyDescent="0.2"/>
    <row r="221" spans="2:14" s="10" customFormat="1" x14ac:dyDescent="0.2">
      <c r="C221" s="71" t="str">
        <f>Lang_Fin&amp;" ("&amp;Analy_Lu!$D$12&amp;")"</f>
        <v>Financial (USD)</v>
      </c>
    </row>
    <row r="222" spans="2:14" s="10" customFormat="1" x14ac:dyDescent="0.2">
      <c r="I222" s="343" t="str">
        <f>Lang_All_Years</f>
        <v>ALL YEARS</v>
      </c>
    </row>
    <row r="223" spans="2:14" s="10" customFormat="1" x14ac:dyDescent="0.2">
      <c r="D223" s="49" t="str">
        <f>$D$182</f>
        <v>Training Activity #1 (Not in Use)</v>
      </c>
      <c r="H223" s="49" t="str">
        <f t="shared" ref="H223:H227" si="26">$C$221</f>
        <v>Financial (USD)</v>
      </c>
      <c r="I223" s="255">
        <f>SUM(J223:N223)</f>
        <v>0</v>
      </c>
      <c r="J223" s="119">
        <f t="shared" ref="J223:N226" si="27">J199/Analy_Exchange_Rate</f>
        <v>0</v>
      </c>
      <c r="K223" s="119">
        <f t="shared" si="27"/>
        <v>0</v>
      </c>
      <c r="L223" s="119">
        <f t="shared" si="27"/>
        <v>0</v>
      </c>
      <c r="M223" s="119">
        <f t="shared" si="27"/>
        <v>0</v>
      </c>
      <c r="N223" s="119">
        <f t="shared" si="27"/>
        <v>0</v>
      </c>
    </row>
    <row r="224" spans="2:14" s="10" customFormat="1" x14ac:dyDescent="0.2">
      <c r="D224" s="49" t="str">
        <f>$D$184</f>
        <v>Training Activity #2 (Not in Use)</v>
      </c>
      <c r="H224" s="49" t="str">
        <f t="shared" si="26"/>
        <v>Financial (USD)</v>
      </c>
      <c r="I224" s="255">
        <f>SUM(J224:N224)</f>
        <v>0</v>
      </c>
      <c r="J224" s="119">
        <f t="shared" si="27"/>
        <v>0</v>
      </c>
      <c r="K224" s="119">
        <f t="shared" si="27"/>
        <v>0</v>
      </c>
      <c r="L224" s="119">
        <f t="shared" si="27"/>
        <v>0</v>
      </c>
      <c r="M224" s="119">
        <f t="shared" si="27"/>
        <v>0</v>
      </c>
      <c r="N224" s="119">
        <f t="shared" si="27"/>
        <v>0</v>
      </c>
    </row>
    <row r="225" spans="3:14" s="10" customFormat="1" x14ac:dyDescent="0.2">
      <c r="D225" s="10" t="str">
        <f>$D$186</f>
        <v>Training Activity #3 (Not in Use)</v>
      </c>
      <c r="H225" s="49" t="str">
        <f t="shared" si="26"/>
        <v>Financial (USD)</v>
      </c>
      <c r="I225" s="255">
        <f>SUM(J225:N225)</f>
        <v>0</v>
      </c>
      <c r="J225" s="119">
        <f t="shared" si="27"/>
        <v>0</v>
      </c>
      <c r="K225" s="119">
        <f t="shared" si="27"/>
        <v>0</v>
      </c>
      <c r="L225" s="119">
        <f t="shared" si="27"/>
        <v>0</v>
      </c>
      <c r="M225" s="119">
        <f t="shared" si="27"/>
        <v>0</v>
      </c>
      <c r="N225" s="119">
        <f t="shared" si="27"/>
        <v>0</v>
      </c>
    </row>
    <row r="226" spans="3:14" s="10" customFormat="1" x14ac:dyDescent="0.2">
      <c r="D226" s="49" t="str">
        <f>$D$188</f>
        <v>Training Activity #4 (Not in Use)</v>
      </c>
      <c r="H226" s="49" t="str">
        <f t="shared" si="26"/>
        <v>Financial (USD)</v>
      </c>
      <c r="I226" s="255">
        <f>SUM(J226:N226)</f>
        <v>0</v>
      </c>
      <c r="J226" s="119">
        <f t="shared" si="27"/>
        <v>0</v>
      </c>
      <c r="K226" s="119">
        <f t="shared" si="27"/>
        <v>0</v>
      </c>
      <c r="L226" s="119">
        <f t="shared" si="27"/>
        <v>0</v>
      </c>
      <c r="M226" s="119">
        <f t="shared" si="27"/>
        <v>0</v>
      </c>
      <c r="N226" s="119">
        <f t="shared" si="27"/>
        <v>0</v>
      </c>
    </row>
    <row r="227" spans="3:14" s="10" customFormat="1" x14ac:dyDescent="0.2">
      <c r="D227" s="101" t="str">
        <f>Lang_Total_SmallLetter&amp;" "&amp;B178&amp;" "&amp;Lang_Costs&amp;" "&amp;C221</f>
        <v>Total Training Costs Financial (USD)</v>
      </c>
      <c r="H227" s="49" t="str">
        <f t="shared" si="26"/>
        <v>Financial (USD)</v>
      </c>
      <c r="I227" s="348">
        <f>SUM(J227:N227)</f>
        <v>0</v>
      </c>
      <c r="J227" s="125">
        <f t="shared" ref="J227:N227" si="28">SUM(J223:J226)</f>
        <v>0</v>
      </c>
      <c r="K227" s="125">
        <f t="shared" si="28"/>
        <v>0</v>
      </c>
      <c r="L227" s="125">
        <f t="shared" si="28"/>
        <v>0</v>
      </c>
      <c r="M227" s="125">
        <f t="shared" si="28"/>
        <v>0</v>
      </c>
      <c r="N227" s="125">
        <f t="shared" si="28"/>
        <v>0</v>
      </c>
    </row>
    <row r="228" spans="3:14" s="10" customFormat="1" x14ac:dyDescent="0.2">
      <c r="I228" s="227">
        <v>0</v>
      </c>
    </row>
    <row r="229" spans="3:14" s="10" customFormat="1" x14ac:dyDescent="0.2">
      <c r="D229" s="101" t="str">
        <f>B178&amp;" "&amp;Lang_Cost&amp;" "&amp;Lang_Per_Fully_Immunized_Person_FIP</f>
        <v>Training Cost per Fully Immunized Person (FIP)</v>
      </c>
      <c r="H229" s="49" t="str">
        <f>$C$221</f>
        <v>Financial (USD)</v>
      </c>
      <c r="I229" s="388">
        <f>I227/I$37</f>
        <v>0</v>
      </c>
      <c r="J229" s="116">
        <f t="shared" ref="J229:N229" si="29">J227/J$37</f>
        <v>0</v>
      </c>
      <c r="K229" s="116">
        <f t="shared" si="29"/>
        <v>0</v>
      </c>
      <c r="L229" s="116">
        <f t="shared" si="29"/>
        <v>0</v>
      </c>
      <c r="M229" s="116">
        <f t="shared" si="29"/>
        <v>0</v>
      </c>
      <c r="N229" s="116">
        <f t="shared" si="29"/>
        <v>0</v>
      </c>
    </row>
    <row r="230" spans="3:14" s="10" customFormat="1" x14ac:dyDescent="0.2"/>
    <row r="231" spans="3:14" s="10" customFormat="1" x14ac:dyDescent="0.2">
      <c r="C231" s="71" t="str">
        <f>Lang_Econ&amp;" ("&amp;Analy_Lu!$D$12&amp;")"</f>
        <v>Economic (USD)</v>
      </c>
    </row>
    <row r="232" spans="3:14" s="10" customFormat="1" x14ac:dyDescent="0.2">
      <c r="I232" s="343" t="str">
        <f>Lang_All_Years</f>
        <v>ALL YEARS</v>
      </c>
    </row>
    <row r="233" spans="3:14" s="10" customFormat="1" x14ac:dyDescent="0.2">
      <c r="D233" s="49" t="str">
        <f>$D$182</f>
        <v>Training Activity #1 (Not in Use)</v>
      </c>
      <c r="H233" s="49" t="str">
        <f t="shared" ref="H233:H237" si="30">$C$231</f>
        <v>Economic (USD)</v>
      </c>
      <c r="I233" s="255">
        <f>SUM(J233:N233)</f>
        <v>0</v>
      </c>
      <c r="J233" s="119">
        <f t="shared" ref="J233:N236" si="31">J210/Analy_Exchange_Rate</f>
        <v>0</v>
      </c>
      <c r="K233" s="119">
        <f t="shared" si="31"/>
        <v>0</v>
      </c>
      <c r="L233" s="119">
        <f t="shared" si="31"/>
        <v>0</v>
      </c>
      <c r="M233" s="119">
        <f t="shared" si="31"/>
        <v>0</v>
      </c>
      <c r="N233" s="119">
        <f t="shared" si="31"/>
        <v>0</v>
      </c>
    </row>
    <row r="234" spans="3:14" s="10" customFormat="1" x14ac:dyDescent="0.2">
      <c r="D234" s="49" t="str">
        <f>$D$184</f>
        <v>Training Activity #2 (Not in Use)</v>
      </c>
      <c r="H234" s="49" t="str">
        <f t="shared" si="30"/>
        <v>Economic (USD)</v>
      </c>
      <c r="I234" s="255">
        <f>SUM(J234:N234)</f>
        <v>0</v>
      </c>
      <c r="J234" s="119">
        <f t="shared" si="31"/>
        <v>0</v>
      </c>
      <c r="K234" s="119">
        <f t="shared" si="31"/>
        <v>0</v>
      </c>
      <c r="L234" s="119">
        <f t="shared" si="31"/>
        <v>0</v>
      </c>
      <c r="M234" s="119">
        <f t="shared" si="31"/>
        <v>0</v>
      </c>
      <c r="N234" s="119">
        <f t="shared" si="31"/>
        <v>0</v>
      </c>
    </row>
    <row r="235" spans="3:14" s="10" customFormat="1" x14ac:dyDescent="0.2">
      <c r="D235" s="10" t="str">
        <f>$D$186</f>
        <v>Training Activity #3 (Not in Use)</v>
      </c>
      <c r="H235" s="49" t="str">
        <f t="shared" si="30"/>
        <v>Economic (USD)</v>
      </c>
      <c r="I235" s="255">
        <f>SUM(J235:N235)</f>
        <v>0</v>
      </c>
      <c r="J235" s="119">
        <f t="shared" si="31"/>
        <v>0</v>
      </c>
      <c r="K235" s="119">
        <f t="shared" si="31"/>
        <v>0</v>
      </c>
      <c r="L235" s="119">
        <f t="shared" si="31"/>
        <v>0</v>
      </c>
      <c r="M235" s="119">
        <f t="shared" si="31"/>
        <v>0</v>
      </c>
      <c r="N235" s="119">
        <f t="shared" si="31"/>
        <v>0</v>
      </c>
    </row>
    <row r="236" spans="3:14" s="10" customFormat="1" x14ac:dyDescent="0.2">
      <c r="D236" s="49" t="str">
        <f>$D$188</f>
        <v>Training Activity #4 (Not in Use)</v>
      </c>
      <c r="H236" s="49" t="str">
        <f t="shared" si="30"/>
        <v>Economic (USD)</v>
      </c>
      <c r="I236" s="255">
        <f>SUM(J236:N236)</f>
        <v>0</v>
      </c>
      <c r="J236" s="119">
        <f t="shared" si="31"/>
        <v>0</v>
      </c>
      <c r="K236" s="119">
        <f t="shared" si="31"/>
        <v>0</v>
      </c>
      <c r="L236" s="119">
        <f t="shared" si="31"/>
        <v>0</v>
      </c>
      <c r="M236" s="119">
        <f t="shared" si="31"/>
        <v>0</v>
      </c>
      <c r="N236" s="119">
        <f t="shared" si="31"/>
        <v>0</v>
      </c>
    </row>
    <row r="237" spans="3:14" s="10" customFormat="1" x14ac:dyDescent="0.2">
      <c r="D237" s="101" t="str">
        <f>Lang_Total_SmallLetter&amp;" "&amp;B178&amp;" "&amp;Lang_Costs&amp;" "&amp;C231</f>
        <v>Total Training Costs Economic (USD)</v>
      </c>
      <c r="H237" s="49" t="str">
        <f t="shared" si="30"/>
        <v>Economic (USD)</v>
      </c>
      <c r="I237" s="348">
        <f>SUM(J237:N237)</f>
        <v>0</v>
      </c>
      <c r="J237" s="125">
        <f t="shared" ref="J237:N237" si="32">SUM(J233:J236)</f>
        <v>0</v>
      </c>
      <c r="K237" s="125">
        <f t="shared" si="32"/>
        <v>0</v>
      </c>
      <c r="L237" s="125">
        <f t="shared" si="32"/>
        <v>0</v>
      </c>
      <c r="M237" s="125">
        <f t="shared" si="32"/>
        <v>0</v>
      </c>
      <c r="N237" s="125">
        <f t="shared" si="32"/>
        <v>0</v>
      </c>
    </row>
    <row r="238" spans="3:14" s="10" customFormat="1" x14ac:dyDescent="0.2">
      <c r="I238" s="227">
        <v>0</v>
      </c>
    </row>
    <row r="239" spans="3:14" s="10" customFormat="1" x14ac:dyDescent="0.2">
      <c r="D239" s="101" t="str">
        <f>B178&amp;" "&amp;Lang_Cost&amp;" "&amp;Lang_Per_Fully_Immunized_Person_FIP</f>
        <v>Training Cost per Fully Immunized Person (FIP)</v>
      </c>
      <c r="H239" s="49" t="str">
        <f>$C$231</f>
        <v>Economic (USD)</v>
      </c>
      <c r="I239" s="388">
        <f>I237/I$37</f>
        <v>0</v>
      </c>
      <c r="J239" s="116">
        <f t="shared" ref="J239:N239" si="33">J237/J$37</f>
        <v>0</v>
      </c>
      <c r="K239" s="116">
        <f t="shared" si="33"/>
        <v>0</v>
      </c>
      <c r="L239" s="116">
        <f t="shared" si="33"/>
        <v>0</v>
      </c>
      <c r="M239" s="116">
        <f t="shared" si="33"/>
        <v>0</v>
      </c>
      <c r="N239" s="116">
        <f t="shared" si="33"/>
        <v>0</v>
      </c>
    </row>
    <row r="240" spans="3:14" s="10" customFormat="1" x14ac:dyDescent="0.2"/>
    <row r="241" spans="1:14" s="10" customFormat="1" x14ac:dyDescent="0.2"/>
    <row r="242" spans="1:14" s="10" customFormat="1" x14ac:dyDescent="0.2"/>
    <row r="243" spans="1:14" s="10" customFormat="1" x14ac:dyDescent="0.2">
      <c r="A243" s="12" t="s">
        <v>125</v>
      </c>
      <c r="B243" s="13" t="str">
        <f>Lang_Analysis&amp;" - "&amp;B245</f>
        <v>Analysis - Sensitisation</v>
      </c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</row>
    <row r="244" spans="1:14" s="10" customFormat="1" x14ac:dyDescent="0.2"/>
    <row r="245" spans="1:14" s="10" customFormat="1" x14ac:dyDescent="0.2">
      <c r="B245" s="65" t="str">
        <f>Lang_Sensitisation</f>
        <v>Sensitisation</v>
      </c>
    </row>
    <row r="246" spans="1:14" s="10" customFormat="1" x14ac:dyDescent="0.2"/>
    <row r="247" spans="1:14" s="10" customFormat="1" x14ac:dyDescent="0.2">
      <c r="B247" s="74" t="str">
        <f>Lang_Activity_Names_And_Quantities_Performed</f>
        <v>Activity Names and Quantities Performed</v>
      </c>
    </row>
    <row r="248" spans="1:14" s="10" customFormat="1" x14ac:dyDescent="0.2">
      <c r="I248" s="343" t="str">
        <f>Lang_All_Years</f>
        <v>ALL YEARS</v>
      </c>
    </row>
    <row r="249" spans="1:14" s="10" customFormat="1" x14ac:dyDescent="0.2">
      <c r="D249" s="49" t="str">
        <f>SENSITISATION!D12</f>
        <v xml:space="preserve"> Sensitisation Activity # 1 (Not in Use)</v>
      </c>
    </row>
    <row r="250" spans="1:14" s="10" customFormat="1" x14ac:dyDescent="0.2">
      <c r="E250" s="352" t="str">
        <f>SENSITISATION!D38</f>
        <v xml:space="preserve"> Sensitisation Activity # 1 (Not in Use) - Number of Activities per Year (Projected or Retrospective)</v>
      </c>
      <c r="I250" s="145">
        <f>SUM(J250:N250)</f>
        <v>0</v>
      </c>
      <c r="J250" s="42">
        <f>SENSITISATION!J38</f>
        <v>0</v>
      </c>
      <c r="K250" s="42">
        <f>SENSITISATION!K38</f>
        <v>0</v>
      </c>
      <c r="L250" s="42">
        <f>SENSITISATION!L38</f>
        <v>0</v>
      </c>
      <c r="M250" s="42">
        <f>SENSITISATION!M38</f>
        <v>0</v>
      </c>
      <c r="N250" s="42">
        <f>SENSITISATION!N38</f>
        <v>0</v>
      </c>
    </row>
    <row r="251" spans="1:14" s="10" customFormat="1" x14ac:dyDescent="0.2">
      <c r="D251" s="49" t="str">
        <f>SENSITISATION!D49</f>
        <v xml:space="preserve"> Sensitisation Activity # 2 (Not in Use)</v>
      </c>
    </row>
    <row r="252" spans="1:14" s="10" customFormat="1" x14ac:dyDescent="0.2">
      <c r="E252" s="352" t="str">
        <f>SENSITISATION!D75</f>
        <v xml:space="preserve"> Sensitisation Activity # 2 (Not in Use) - Number of Activities per Year (Projected or Retrospective)</v>
      </c>
      <c r="I252" s="145">
        <f>SUM(J252:N252)</f>
        <v>0</v>
      </c>
      <c r="J252" s="41">
        <f>SENSITISATION!J75</f>
        <v>0</v>
      </c>
      <c r="K252" s="41">
        <f>SENSITISATION!K75</f>
        <v>0</v>
      </c>
      <c r="L252" s="41">
        <f>SENSITISATION!L75</f>
        <v>0</v>
      </c>
      <c r="M252" s="41">
        <f>SENSITISATION!M75</f>
        <v>0</v>
      </c>
      <c r="N252" s="41">
        <f>SENSITISATION!N75</f>
        <v>0</v>
      </c>
    </row>
    <row r="253" spans="1:14" s="10" customFormat="1" x14ac:dyDescent="0.2">
      <c r="D253" s="49" t="str">
        <f>SENSITISATION!D86</f>
        <v xml:space="preserve"> Sensitisation Activity # 3 (Not in Use)</v>
      </c>
    </row>
    <row r="254" spans="1:14" s="10" customFormat="1" x14ac:dyDescent="0.2">
      <c r="E254" s="352" t="str">
        <f>SENSITISATION!D112</f>
        <v xml:space="preserve"> Sensitisation Activity # 3 (Not in Use) - Number of Activities per Year (Projected or Retrospective)</v>
      </c>
      <c r="I254" s="145">
        <f>SUM(J254:N254)</f>
        <v>0</v>
      </c>
      <c r="J254" s="41">
        <f>SENSITISATION!J112</f>
        <v>0</v>
      </c>
      <c r="K254" s="41">
        <f>SENSITISATION!K112</f>
        <v>0</v>
      </c>
      <c r="L254" s="41">
        <f>SENSITISATION!L112</f>
        <v>0</v>
      </c>
      <c r="M254" s="41">
        <f>SENSITISATION!M112</f>
        <v>0</v>
      </c>
      <c r="N254" s="41">
        <f>SENSITISATION!N112</f>
        <v>0</v>
      </c>
    </row>
    <row r="255" spans="1:14" s="10" customFormat="1" x14ac:dyDescent="0.2">
      <c r="D255" s="49" t="str">
        <f>SENSITISATION!D123</f>
        <v xml:space="preserve"> Sensitisation Activity # 4 (Not in Use)</v>
      </c>
    </row>
    <row r="256" spans="1:14" s="10" customFormat="1" x14ac:dyDescent="0.2">
      <c r="E256" s="352" t="str">
        <f>SENSITISATION!D154</f>
        <v xml:space="preserve"> Sensitisation Activity # 4 (Not in Use) - Number of Activities per Year (Projected or Retrospective)</v>
      </c>
      <c r="I256" s="145">
        <f>SUM(J256:N256)</f>
        <v>0</v>
      </c>
      <c r="J256" s="41">
        <f>SENSITISATION!J154</f>
        <v>0</v>
      </c>
      <c r="K256" s="41">
        <f>SENSITISATION!K154</f>
        <v>0</v>
      </c>
      <c r="L256" s="41">
        <f>SENSITISATION!L154</f>
        <v>0</v>
      </c>
      <c r="M256" s="41">
        <f>SENSITISATION!M154</f>
        <v>0</v>
      </c>
      <c r="N256" s="41">
        <f>SENSITISATION!N154</f>
        <v>0</v>
      </c>
    </row>
    <row r="257" spans="2:14" s="10" customFormat="1" x14ac:dyDescent="0.2">
      <c r="D257" s="49" t="str">
        <f>SENSITISATION!D166</f>
        <v xml:space="preserve"> Sensitisation Activity # 5 (Not in Use)</v>
      </c>
    </row>
    <row r="258" spans="2:14" s="10" customFormat="1" x14ac:dyDescent="0.2">
      <c r="E258" s="352" t="str">
        <f>SENSITISATION!D197</f>
        <v xml:space="preserve"> Sensitisation Activity # 5 (Not in Use) - Number of Activities per Year (Projected or Retrospective)</v>
      </c>
      <c r="I258" s="145">
        <f>SUM(J258:N258)</f>
        <v>0</v>
      </c>
      <c r="J258" s="41">
        <f>SENSITISATION!J197</f>
        <v>0</v>
      </c>
      <c r="K258" s="41">
        <f>SENSITISATION!K197</f>
        <v>0</v>
      </c>
      <c r="L258" s="41">
        <f>SENSITISATION!L197</f>
        <v>0</v>
      </c>
      <c r="M258" s="41">
        <f>SENSITISATION!M197</f>
        <v>0</v>
      </c>
      <c r="N258" s="41">
        <f>SENSITISATION!N197</f>
        <v>0</v>
      </c>
    </row>
    <row r="259" spans="2:14" s="10" customFormat="1" x14ac:dyDescent="0.2">
      <c r="D259" s="49" t="str">
        <f>SENSITISATION!D209</f>
        <v xml:space="preserve"> Sensitisation Activity # 6 (Not in Use)</v>
      </c>
    </row>
    <row r="260" spans="2:14" s="10" customFormat="1" x14ac:dyDescent="0.2">
      <c r="E260" s="352" t="str">
        <f>SENSITISATION!D240</f>
        <v xml:space="preserve"> Sensitisation Activity # 6 (Not in Use) - Number of Activities per Year (Projected or Retrospective)</v>
      </c>
      <c r="I260" s="145">
        <f>SUM(J260:N260)</f>
        <v>0</v>
      </c>
      <c r="J260" s="41">
        <f>SENSITISATION!J240</f>
        <v>0</v>
      </c>
      <c r="K260" s="41">
        <f>SENSITISATION!K240</f>
        <v>0</v>
      </c>
      <c r="L260" s="41">
        <f>SENSITISATION!L240</f>
        <v>0</v>
      </c>
      <c r="M260" s="41">
        <f>SENSITISATION!M240</f>
        <v>0</v>
      </c>
      <c r="N260" s="41">
        <f>SENSITISATION!N240</f>
        <v>0</v>
      </c>
    </row>
    <row r="261" spans="2:14" s="10" customFormat="1" x14ac:dyDescent="0.2"/>
    <row r="262" spans="2:14" s="10" customFormat="1" x14ac:dyDescent="0.2"/>
    <row r="263" spans="2:14" s="10" customFormat="1" x14ac:dyDescent="0.2">
      <c r="B263" s="55" t="str">
        <f>Lang_Costs</f>
        <v>Costs</v>
      </c>
    </row>
    <row r="264" spans="2:14" s="10" customFormat="1" x14ac:dyDescent="0.2"/>
    <row r="265" spans="2:14" s="10" customFormat="1" x14ac:dyDescent="0.2"/>
    <row r="266" spans="2:14" s="10" customFormat="1" x14ac:dyDescent="0.2">
      <c r="B266" s="114" t="str">
        <f>Analy_Lu!$D$13</f>
        <v>LCU</v>
      </c>
    </row>
    <row r="267" spans="2:14" s="10" customFormat="1" x14ac:dyDescent="0.2"/>
    <row r="268" spans="2:14" s="10" customFormat="1" x14ac:dyDescent="0.2">
      <c r="C268" s="71" t="str">
        <f>Lang_Fin&amp;" ("&amp;Analy_Lu!$D$13&amp;")"</f>
        <v>Financial (LCU)</v>
      </c>
    </row>
    <row r="269" spans="2:14" s="10" customFormat="1" x14ac:dyDescent="0.2">
      <c r="I269" s="343" t="str">
        <f>Lang_All_Years</f>
        <v>ALL YEARS</v>
      </c>
    </row>
    <row r="270" spans="2:14" s="10" customFormat="1" x14ac:dyDescent="0.2">
      <c r="D270" s="49" t="str">
        <f>$D$249</f>
        <v xml:space="preserve"> Sensitisation Activity # 1 (Not in Use)</v>
      </c>
      <c r="H270" s="49" t="str">
        <f>COST_SUMMARY!C197</f>
        <v>Financial (LCU)</v>
      </c>
      <c r="I270" s="145">
        <f t="shared" ref="I270:I276" si="34">SUM(J270:N270)</f>
        <v>0</v>
      </c>
      <c r="J270" s="42">
        <f>COST_SUMMARY!J197</f>
        <v>0</v>
      </c>
      <c r="K270" s="42">
        <f>COST_SUMMARY!K197</f>
        <v>0</v>
      </c>
      <c r="L270" s="42">
        <f>COST_SUMMARY!L197</f>
        <v>0</v>
      </c>
      <c r="M270" s="42">
        <f>COST_SUMMARY!M197</f>
        <v>0</v>
      </c>
      <c r="N270" s="42">
        <f>COST_SUMMARY!N197</f>
        <v>0</v>
      </c>
    </row>
    <row r="271" spans="2:14" s="10" customFormat="1" x14ac:dyDescent="0.2">
      <c r="D271" s="49" t="str">
        <f>$D$251</f>
        <v xml:space="preserve"> Sensitisation Activity # 2 (Not in Use)</v>
      </c>
      <c r="H271" s="49" t="str">
        <f>COST_SUMMARY!C211</f>
        <v>Financial (LCU)</v>
      </c>
      <c r="I271" s="145">
        <f t="shared" si="34"/>
        <v>0</v>
      </c>
      <c r="J271" s="42">
        <f>COST_SUMMARY!J211</f>
        <v>0</v>
      </c>
      <c r="K271" s="42">
        <f>COST_SUMMARY!K211</f>
        <v>0</v>
      </c>
      <c r="L271" s="42">
        <f>COST_SUMMARY!L211</f>
        <v>0</v>
      </c>
      <c r="M271" s="42">
        <f>COST_SUMMARY!M211</f>
        <v>0</v>
      </c>
      <c r="N271" s="42">
        <f>COST_SUMMARY!N211</f>
        <v>0</v>
      </c>
    </row>
    <row r="272" spans="2:14" s="10" customFormat="1" x14ac:dyDescent="0.2">
      <c r="D272" s="49" t="str">
        <f>$D$253</f>
        <v xml:space="preserve"> Sensitisation Activity # 3 (Not in Use)</v>
      </c>
      <c r="H272" s="49" t="str">
        <f>COST_SUMMARY!C225</f>
        <v>Financial (LCU)</v>
      </c>
      <c r="I272" s="145">
        <f t="shared" si="34"/>
        <v>0</v>
      </c>
      <c r="J272" s="42">
        <f>COST_SUMMARY!J225</f>
        <v>0</v>
      </c>
      <c r="K272" s="42">
        <f>COST_SUMMARY!K225</f>
        <v>0</v>
      </c>
      <c r="L272" s="42">
        <f>COST_SUMMARY!L225</f>
        <v>0</v>
      </c>
      <c r="M272" s="42">
        <f>COST_SUMMARY!M225</f>
        <v>0</v>
      </c>
      <c r="N272" s="42">
        <f>COST_SUMMARY!N225</f>
        <v>0</v>
      </c>
    </row>
    <row r="273" spans="3:14" s="10" customFormat="1" x14ac:dyDescent="0.2">
      <c r="D273" s="49" t="str">
        <f>$D$255</f>
        <v xml:space="preserve"> Sensitisation Activity # 4 (Not in Use)</v>
      </c>
      <c r="H273" s="49" t="str">
        <f>COST_SUMMARY!C239</f>
        <v>Financial (LCU)</v>
      </c>
      <c r="I273" s="145">
        <f t="shared" si="34"/>
        <v>0</v>
      </c>
      <c r="J273" s="42">
        <f>COST_SUMMARY!J239</f>
        <v>0</v>
      </c>
      <c r="K273" s="42">
        <f>COST_SUMMARY!K239</f>
        <v>0</v>
      </c>
      <c r="L273" s="42">
        <f>COST_SUMMARY!L239</f>
        <v>0</v>
      </c>
      <c r="M273" s="42">
        <f>COST_SUMMARY!M239</f>
        <v>0</v>
      </c>
      <c r="N273" s="42">
        <f>COST_SUMMARY!N239</f>
        <v>0</v>
      </c>
    </row>
    <row r="274" spans="3:14" s="10" customFormat="1" x14ac:dyDescent="0.2">
      <c r="D274" s="49" t="str">
        <f>$D$257</f>
        <v xml:space="preserve"> Sensitisation Activity # 5 (Not in Use)</v>
      </c>
      <c r="H274" s="49" t="str">
        <f>COST_SUMMARY!C253</f>
        <v>Financial (LCU)</v>
      </c>
      <c r="I274" s="145">
        <f t="shared" si="34"/>
        <v>0</v>
      </c>
      <c r="J274" s="42">
        <f>COST_SUMMARY!J253</f>
        <v>0</v>
      </c>
      <c r="K274" s="42">
        <f>COST_SUMMARY!K253</f>
        <v>0</v>
      </c>
      <c r="L274" s="42">
        <f>COST_SUMMARY!L253</f>
        <v>0</v>
      </c>
      <c r="M274" s="42">
        <f>COST_SUMMARY!M253</f>
        <v>0</v>
      </c>
      <c r="N274" s="42">
        <f>COST_SUMMARY!N253</f>
        <v>0</v>
      </c>
    </row>
    <row r="275" spans="3:14" s="10" customFormat="1" x14ac:dyDescent="0.2">
      <c r="D275" s="49" t="str">
        <f>$D$259</f>
        <v xml:space="preserve"> Sensitisation Activity # 6 (Not in Use)</v>
      </c>
      <c r="H275" s="49" t="str">
        <f>COST_SUMMARY!C267</f>
        <v>Financial (LCU)</v>
      </c>
      <c r="I275" s="145">
        <f t="shared" si="34"/>
        <v>0</v>
      </c>
      <c r="J275" s="42">
        <f>COST_SUMMARY!J267</f>
        <v>0</v>
      </c>
      <c r="K275" s="42">
        <f>COST_SUMMARY!K267</f>
        <v>0</v>
      </c>
      <c r="L275" s="42">
        <f>COST_SUMMARY!L267</f>
        <v>0</v>
      </c>
      <c r="M275" s="42">
        <f>COST_SUMMARY!M267</f>
        <v>0</v>
      </c>
      <c r="N275" s="42">
        <f>COST_SUMMARY!N267</f>
        <v>0</v>
      </c>
    </row>
    <row r="276" spans="3:14" s="10" customFormat="1" x14ac:dyDescent="0.2">
      <c r="D276" s="101" t="str">
        <f>Lang_Total_SmallLetter&amp;" "&amp;B245&amp;" "&amp;Lang_Costs&amp;" "&amp;C268</f>
        <v>Total Sensitisation Costs Financial (LCU)</v>
      </c>
      <c r="H276" s="49" t="str">
        <f>C268</f>
        <v>Financial (LCU)</v>
      </c>
      <c r="I276" s="342">
        <f t="shared" si="34"/>
        <v>0</v>
      </c>
      <c r="J276" s="113">
        <f t="shared" ref="J276:N276" si="35">SUM(J270:J275)</f>
        <v>0</v>
      </c>
      <c r="K276" s="113">
        <f t="shared" si="35"/>
        <v>0</v>
      </c>
      <c r="L276" s="113">
        <f t="shared" si="35"/>
        <v>0</v>
      </c>
      <c r="M276" s="113">
        <f t="shared" si="35"/>
        <v>0</v>
      </c>
      <c r="N276" s="113">
        <f t="shared" si="35"/>
        <v>0</v>
      </c>
    </row>
    <row r="277" spans="3:14" s="10" customFormat="1" x14ac:dyDescent="0.2"/>
    <row r="278" spans="3:14" s="10" customFormat="1" x14ac:dyDescent="0.2">
      <c r="D278" s="101" t="str">
        <f>B245&amp;" "&amp;Lang_Cost&amp;" "&amp;Lang_Per_Fully_Immunized_Person_FIP</f>
        <v>Sensitisation Cost per Fully Immunized Person (FIP)</v>
      </c>
      <c r="H278" s="49" t="str">
        <f>C268</f>
        <v>Financial (LCU)</v>
      </c>
      <c r="I278" s="145">
        <f>I276/$I$37</f>
        <v>0</v>
      </c>
      <c r="J278" s="42">
        <f t="shared" ref="J278:N278" si="36">J276/J$37</f>
        <v>0</v>
      </c>
      <c r="K278" s="42">
        <f t="shared" si="36"/>
        <v>0</v>
      </c>
      <c r="L278" s="42">
        <f t="shared" si="36"/>
        <v>0</v>
      </c>
      <c r="M278" s="42">
        <f t="shared" si="36"/>
        <v>0</v>
      </c>
      <c r="N278" s="42">
        <f t="shared" si="36"/>
        <v>0</v>
      </c>
    </row>
    <row r="279" spans="3:14" s="10" customFormat="1" x14ac:dyDescent="0.2"/>
    <row r="280" spans="3:14" s="10" customFormat="1" x14ac:dyDescent="0.2"/>
    <row r="281" spans="3:14" s="10" customFormat="1" x14ac:dyDescent="0.2">
      <c r="C281" s="71" t="str">
        <f>Lang_Econ&amp;" ("&amp;Analy_Lu!$D$13&amp;")"</f>
        <v>Economic (LCU)</v>
      </c>
    </row>
    <row r="282" spans="3:14" s="10" customFormat="1" x14ac:dyDescent="0.2">
      <c r="I282" s="343" t="str">
        <f>Lang_All_Years</f>
        <v>ALL YEARS</v>
      </c>
    </row>
    <row r="283" spans="3:14" s="10" customFormat="1" x14ac:dyDescent="0.2">
      <c r="D283" s="49" t="str">
        <f>$D$249</f>
        <v xml:space="preserve"> Sensitisation Activity # 1 (Not in Use)</v>
      </c>
      <c r="H283" s="49" t="str">
        <f>COST_SUMMARY!C198</f>
        <v>Economic (LCU)</v>
      </c>
      <c r="I283" s="145">
        <f t="shared" ref="I283:I289" si="37">SUM(J283:N283)</f>
        <v>0</v>
      </c>
      <c r="J283" s="42">
        <f>COST_SUMMARY!J198</f>
        <v>0</v>
      </c>
      <c r="K283" s="42">
        <f>COST_SUMMARY!K198</f>
        <v>0</v>
      </c>
      <c r="L283" s="42">
        <f>COST_SUMMARY!L198</f>
        <v>0</v>
      </c>
      <c r="M283" s="42">
        <f>COST_SUMMARY!M198</f>
        <v>0</v>
      </c>
      <c r="N283" s="42">
        <f>COST_SUMMARY!N198</f>
        <v>0</v>
      </c>
    </row>
    <row r="284" spans="3:14" s="10" customFormat="1" x14ac:dyDescent="0.2">
      <c r="D284" s="49" t="str">
        <f>$D$251</f>
        <v xml:space="preserve"> Sensitisation Activity # 2 (Not in Use)</v>
      </c>
      <c r="H284" s="49" t="str">
        <f>COST_SUMMARY!C212</f>
        <v>Economic (LCU)</v>
      </c>
      <c r="I284" s="145">
        <f t="shared" si="37"/>
        <v>0</v>
      </c>
      <c r="J284" s="42">
        <f>COST_SUMMARY!J212</f>
        <v>0</v>
      </c>
      <c r="K284" s="42">
        <f>COST_SUMMARY!K212</f>
        <v>0</v>
      </c>
      <c r="L284" s="42">
        <f>COST_SUMMARY!L212</f>
        <v>0</v>
      </c>
      <c r="M284" s="42">
        <f>COST_SUMMARY!M212</f>
        <v>0</v>
      </c>
      <c r="N284" s="42">
        <f>COST_SUMMARY!N212</f>
        <v>0</v>
      </c>
    </row>
    <row r="285" spans="3:14" s="10" customFormat="1" x14ac:dyDescent="0.2">
      <c r="D285" s="49" t="str">
        <f>$D$253</f>
        <v xml:space="preserve"> Sensitisation Activity # 3 (Not in Use)</v>
      </c>
      <c r="H285" s="49" t="str">
        <f>COST_SUMMARY!C226</f>
        <v>Economic (LCU)</v>
      </c>
      <c r="I285" s="145">
        <f t="shared" si="37"/>
        <v>0</v>
      </c>
      <c r="J285" s="42">
        <f>COST_SUMMARY!J226</f>
        <v>0</v>
      </c>
      <c r="K285" s="42">
        <f>COST_SUMMARY!K226</f>
        <v>0</v>
      </c>
      <c r="L285" s="42">
        <f>COST_SUMMARY!L226</f>
        <v>0</v>
      </c>
      <c r="M285" s="42">
        <f>COST_SUMMARY!M226</f>
        <v>0</v>
      </c>
      <c r="N285" s="42">
        <f>COST_SUMMARY!N226</f>
        <v>0</v>
      </c>
    </row>
    <row r="286" spans="3:14" s="10" customFormat="1" x14ac:dyDescent="0.2">
      <c r="D286" s="49" t="str">
        <f>$D$255</f>
        <v xml:space="preserve"> Sensitisation Activity # 4 (Not in Use)</v>
      </c>
      <c r="H286" s="49" t="str">
        <f>COST_SUMMARY!C240</f>
        <v>Economic (LCU)</v>
      </c>
      <c r="I286" s="145">
        <f t="shared" si="37"/>
        <v>0</v>
      </c>
      <c r="J286" s="42">
        <f>COST_SUMMARY!J240</f>
        <v>0</v>
      </c>
      <c r="K286" s="42">
        <f>COST_SUMMARY!K240</f>
        <v>0</v>
      </c>
      <c r="L286" s="42">
        <f>COST_SUMMARY!L240</f>
        <v>0</v>
      </c>
      <c r="M286" s="42">
        <f>COST_SUMMARY!M240</f>
        <v>0</v>
      </c>
      <c r="N286" s="42">
        <f>COST_SUMMARY!N240</f>
        <v>0</v>
      </c>
    </row>
    <row r="287" spans="3:14" s="10" customFormat="1" x14ac:dyDescent="0.2">
      <c r="D287" s="49" t="str">
        <f>$D$257</f>
        <v xml:space="preserve"> Sensitisation Activity # 5 (Not in Use)</v>
      </c>
      <c r="H287" s="49" t="str">
        <f>COST_SUMMARY!C254</f>
        <v>Economic (LCU)</v>
      </c>
      <c r="I287" s="145">
        <f t="shared" si="37"/>
        <v>0</v>
      </c>
      <c r="J287" s="42">
        <f>COST_SUMMARY!J254</f>
        <v>0</v>
      </c>
      <c r="K287" s="42">
        <f>COST_SUMMARY!K254</f>
        <v>0</v>
      </c>
      <c r="L287" s="42">
        <f>COST_SUMMARY!L254</f>
        <v>0</v>
      </c>
      <c r="M287" s="42">
        <f>COST_SUMMARY!M254</f>
        <v>0</v>
      </c>
      <c r="N287" s="42">
        <f>COST_SUMMARY!N254</f>
        <v>0</v>
      </c>
    </row>
    <row r="288" spans="3:14" s="10" customFormat="1" x14ac:dyDescent="0.2">
      <c r="D288" s="49" t="str">
        <f>$D$259</f>
        <v xml:space="preserve"> Sensitisation Activity # 6 (Not in Use)</v>
      </c>
      <c r="H288" s="49" t="str">
        <f>COST_SUMMARY!C268</f>
        <v>Economic (LCU)</v>
      </c>
      <c r="I288" s="145">
        <f t="shared" si="37"/>
        <v>0</v>
      </c>
      <c r="J288" s="42">
        <f>COST_SUMMARY!J268</f>
        <v>0</v>
      </c>
      <c r="K288" s="42">
        <f>COST_SUMMARY!K268</f>
        <v>0</v>
      </c>
      <c r="L288" s="42">
        <f>COST_SUMMARY!L268</f>
        <v>0</v>
      </c>
      <c r="M288" s="42">
        <f>COST_SUMMARY!M268</f>
        <v>0</v>
      </c>
      <c r="N288" s="42">
        <f>COST_SUMMARY!N268</f>
        <v>0</v>
      </c>
    </row>
    <row r="289" spans="2:14" s="10" customFormat="1" x14ac:dyDescent="0.2">
      <c r="D289" s="101" t="str">
        <f>Lang_Total_SmallLetter&amp;" "&amp;B245&amp;" "&amp;Lang_Costs&amp;" "&amp;C281</f>
        <v>Total Sensitisation Costs Economic (LCU)</v>
      </c>
      <c r="H289" s="49" t="str">
        <f>C281</f>
        <v>Economic (LCU)</v>
      </c>
      <c r="I289" s="342">
        <f t="shared" si="37"/>
        <v>0</v>
      </c>
      <c r="J289" s="113">
        <f t="shared" ref="J289:N289" si="38">SUM(J283:J288)</f>
        <v>0</v>
      </c>
      <c r="K289" s="113">
        <f t="shared" si="38"/>
        <v>0</v>
      </c>
      <c r="L289" s="113">
        <f t="shared" si="38"/>
        <v>0</v>
      </c>
      <c r="M289" s="113">
        <f t="shared" si="38"/>
        <v>0</v>
      </c>
      <c r="N289" s="113">
        <f t="shared" si="38"/>
        <v>0</v>
      </c>
    </row>
    <row r="290" spans="2:14" s="10" customFormat="1" x14ac:dyDescent="0.2"/>
    <row r="291" spans="2:14" s="10" customFormat="1" x14ac:dyDescent="0.2">
      <c r="D291" s="101" t="str">
        <f>B245&amp;" "&amp;Lang_Cost&amp;" "&amp;Lang_Per_Fully_Immunized_Person_FIP</f>
        <v>Sensitisation Cost per Fully Immunized Person (FIP)</v>
      </c>
      <c r="H291" s="49" t="str">
        <f>C281</f>
        <v>Economic (LCU)</v>
      </c>
      <c r="I291" s="145">
        <f>I289/$I$37</f>
        <v>0</v>
      </c>
      <c r="J291" s="42">
        <f t="shared" ref="J291:N291" si="39">J289/J$37</f>
        <v>0</v>
      </c>
      <c r="K291" s="42">
        <f t="shared" si="39"/>
        <v>0</v>
      </c>
      <c r="L291" s="42">
        <f t="shared" si="39"/>
        <v>0</v>
      </c>
      <c r="M291" s="42">
        <f t="shared" si="39"/>
        <v>0</v>
      </c>
      <c r="N291" s="42">
        <f t="shared" si="39"/>
        <v>0</v>
      </c>
    </row>
    <row r="292" spans="2:14" s="10" customFormat="1" x14ac:dyDescent="0.2"/>
    <row r="293" spans="2:14" s="10" customFormat="1" x14ac:dyDescent="0.2"/>
    <row r="294" spans="2:14" s="10" customFormat="1" x14ac:dyDescent="0.2">
      <c r="B294" s="114" t="str">
        <f>Analy_Lu!$D$12</f>
        <v>USD</v>
      </c>
    </row>
    <row r="295" spans="2:14" s="10" customFormat="1" x14ac:dyDescent="0.2"/>
    <row r="296" spans="2:14" s="10" customFormat="1" x14ac:dyDescent="0.2">
      <c r="C296" s="71" t="str">
        <f>Lang_Fin&amp;" ("&amp;Analy_Lu!$D$12&amp;")"</f>
        <v>Financial (USD)</v>
      </c>
    </row>
    <row r="297" spans="2:14" s="10" customFormat="1" x14ac:dyDescent="0.2">
      <c r="I297" s="343" t="str">
        <f>Lang_All_Years</f>
        <v>ALL YEARS</v>
      </c>
    </row>
    <row r="298" spans="2:14" s="10" customFormat="1" x14ac:dyDescent="0.2">
      <c r="D298" s="49" t="str">
        <f>$D$249</f>
        <v xml:space="preserve"> Sensitisation Activity # 1 (Not in Use)</v>
      </c>
      <c r="H298" s="49" t="str">
        <f t="shared" ref="H298:H304" si="40">$C$296</f>
        <v>Financial (USD)</v>
      </c>
      <c r="I298" s="255">
        <f t="shared" ref="I298:I304" si="41">SUM(J298:N298)</f>
        <v>0</v>
      </c>
      <c r="J298" s="119">
        <f t="shared" ref="J298:N303" si="42">J270/Analy_Exchange_Rate</f>
        <v>0</v>
      </c>
      <c r="K298" s="119">
        <f t="shared" si="42"/>
        <v>0</v>
      </c>
      <c r="L298" s="119">
        <f t="shared" si="42"/>
        <v>0</v>
      </c>
      <c r="M298" s="119">
        <f t="shared" si="42"/>
        <v>0</v>
      </c>
      <c r="N298" s="119">
        <f t="shared" si="42"/>
        <v>0</v>
      </c>
    </row>
    <row r="299" spans="2:14" s="10" customFormat="1" x14ac:dyDescent="0.2">
      <c r="D299" s="49" t="str">
        <f>$D$251</f>
        <v xml:space="preserve"> Sensitisation Activity # 2 (Not in Use)</v>
      </c>
      <c r="H299" s="49" t="str">
        <f t="shared" si="40"/>
        <v>Financial (USD)</v>
      </c>
      <c r="I299" s="255">
        <f t="shared" si="41"/>
        <v>0</v>
      </c>
      <c r="J299" s="119">
        <f t="shared" si="42"/>
        <v>0</v>
      </c>
      <c r="K299" s="119">
        <f t="shared" si="42"/>
        <v>0</v>
      </c>
      <c r="L299" s="119">
        <f t="shared" si="42"/>
        <v>0</v>
      </c>
      <c r="M299" s="119">
        <f t="shared" si="42"/>
        <v>0</v>
      </c>
      <c r="N299" s="119">
        <f t="shared" si="42"/>
        <v>0</v>
      </c>
    </row>
    <row r="300" spans="2:14" s="10" customFormat="1" x14ac:dyDescent="0.2">
      <c r="D300" s="49" t="str">
        <f>$D$253</f>
        <v xml:space="preserve"> Sensitisation Activity # 3 (Not in Use)</v>
      </c>
      <c r="H300" s="49" t="str">
        <f t="shared" si="40"/>
        <v>Financial (USD)</v>
      </c>
      <c r="I300" s="255">
        <f t="shared" si="41"/>
        <v>0</v>
      </c>
      <c r="J300" s="119">
        <f t="shared" si="42"/>
        <v>0</v>
      </c>
      <c r="K300" s="119">
        <f t="shared" si="42"/>
        <v>0</v>
      </c>
      <c r="L300" s="119">
        <f t="shared" si="42"/>
        <v>0</v>
      </c>
      <c r="M300" s="119">
        <f t="shared" si="42"/>
        <v>0</v>
      </c>
      <c r="N300" s="119">
        <f t="shared" si="42"/>
        <v>0</v>
      </c>
    </row>
    <row r="301" spans="2:14" s="10" customFormat="1" x14ac:dyDescent="0.2">
      <c r="D301" s="49" t="str">
        <f>$D$255</f>
        <v xml:space="preserve"> Sensitisation Activity # 4 (Not in Use)</v>
      </c>
      <c r="H301" s="49" t="str">
        <f t="shared" si="40"/>
        <v>Financial (USD)</v>
      </c>
      <c r="I301" s="255">
        <f t="shared" si="41"/>
        <v>0</v>
      </c>
      <c r="J301" s="119">
        <f t="shared" si="42"/>
        <v>0</v>
      </c>
      <c r="K301" s="119">
        <f t="shared" si="42"/>
        <v>0</v>
      </c>
      <c r="L301" s="119">
        <f t="shared" si="42"/>
        <v>0</v>
      </c>
      <c r="M301" s="119">
        <f t="shared" si="42"/>
        <v>0</v>
      </c>
      <c r="N301" s="119">
        <f t="shared" si="42"/>
        <v>0</v>
      </c>
    </row>
    <row r="302" spans="2:14" s="10" customFormat="1" x14ac:dyDescent="0.2">
      <c r="D302" s="49" t="str">
        <f>$D$257</f>
        <v xml:space="preserve"> Sensitisation Activity # 5 (Not in Use)</v>
      </c>
      <c r="H302" s="49" t="str">
        <f t="shared" si="40"/>
        <v>Financial (USD)</v>
      </c>
      <c r="I302" s="255">
        <f t="shared" si="41"/>
        <v>0</v>
      </c>
      <c r="J302" s="119">
        <f t="shared" si="42"/>
        <v>0</v>
      </c>
      <c r="K302" s="119">
        <f t="shared" si="42"/>
        <v>0</v>
      </c>
      <c r="L302" s="119">
        <f t="shared" si="42"/>
        <v>0</v>
      </c>
      <c r="M302" s="119">
        <f t="shared" si="42"/>
        <v>0</v>
      </c>
      <c r="N302" s="119">
        <f t="shared" si="42"/>
        <v>0</v>
      </c>
    </row>
    <row r="303" spans="2:14" s="10" customFormat="1" x14ac:dyDescent="0.2">
      <c r="D303" s="49" t="str">
        <f>$D$259</f>
        <v xml:space="preserve"> Sensitisation Activity # 6 (Not in Use)</v>
      </c>
      <c r="H303" s="49" t="str">
        <f t="shared" si="40"/>
        <v>Financial (USD)</v>
      </c>
      <c r="I303" s="255">
        <f t="shared" si="41"/>
        <v>0</v>
      </c>
      <c r="J303" s="119">
        <f t="shared" si="42"/>
        <v>0</v>
      </c>
      <c r="K303" s="119">
        <f t="shared" si="42"/>
        <v>0</v>
      </c>
      <c r="L303" s="119">
        <f t="shared" si="42"/>
        <v>0</v>
      </c>
      <c r="M303" s="119">
        <f t="shared" si="42"/>
        <v>0</v>
      </c>
      <c r="N303" s="119">
        <f t="shared" si="42"/>
        <v>0</v>
      </c>
    </row>
    <row r="304" spans="2:14" s="10" customFormat="1" x14ac:dyDescent="0.2">
      <c r="D304" s="101" t="str">
        <f>Lang_Total_SmallLetter&amp;" "&amp;B245&amp;" "&amp;Lang_Costs&amp;" "&amp;C296</f>
        <v>Total Sensitisation Costs Financial (USD)</v>
      </c>
      <c r="H304" s="49" t="str">
        <f t="shared" si="40"/>
        <v>Financial (USD)</v>
      </c>
      <c r="I304" s="348">
        <f t="shared" si="41"/>
        <v>0</v>
      </c>
      <c r="J304" s="125">
        <f t="shared" ref="J304:N304" si="43">SUM(J298:J303)</f>
        <v>0</v>
      </c>
      <c r="K304" s="125">
        <f t="shared" si="43"/>
        <v>0</v>
      </c>
      <c r="L304" s="125">
        <f t="shared" si="43"/>
        <v>0</v>
      </c>
      <c r="M304" s="125">
        <f t="shared" si="43"/>
        <v>0</v>
      </c>
      <c r="N304" s="125">
        <f t="shared" si="43"/>
        <v>0</v>
      </c>
    </row>
    <row r="305" spans="3:14" s="10" customFormat="1" x14ac:dyDescent="0.2"/>
    <row r="306" spans="3:14" s="10" customFormat="1" x14ac:dyDescent="0.2">
      <c r="D306" s="101" t="str">
        <f>B245&amp;" "&amp;Lang_Cost&amp;" "&amp;Lang_Per_Fully_Immunized_Person_FIP</f>
        <v>Sensitisation Cost per Fully Immunized Person (FIP)</v>
      </c>
      <c r="H306" s="49" t="str">
        <f>C296</f>
        <v>Financial (USD)</v>
      </c>
      <c r="I306" s="388">
        <f>I304/$I$37</f>
        <v>0</v>
      </c>
      <c r="J306" s="116">
        <f t="shared" ref="J306:N306" si="44">J304/J$37</f>
        <v>0</v>
      </c>
      <c r="K306" s="116">
        <f t="shared" si="44"/>
        <v>0</v>
      </c>
      <c r="L306" s="116">
        <f t="shared" si="44"/>
        <v>0</v>
      </c>
      <c r="M306" s="116">
        <f t="shared" si="44"/>
        <v>0</v>
      </c>
      <c r="N306" s="116">
        <f t="shared" si="44"/>
        <v>0</v>
      </c>
    </row>
    <row r="307" spans="3:14" s="10" customFormat="1" x14ac:dyDescent="0.2"/>
    <row r="308" spans="3:14" s="10" customFormat="1" x14ac:dyDescent="0.2">
      <c r="C308" s="71" t="str">
        <f>Lang_Econ&amp;" ("&amp;Analy_Lu!$D$12&amp;")"</f>
        <v>Economic (USD)</v>
      </c>
    </row>
    <row r="309" spans="3:14" s="10" customFormat="1" x14ac:dyDescent="0.2">
      <c r="I309" s="343" t="str">
        <f>Lang_All_Years</f>
        <v>ALL YEARS</v>
      </c>
    </row>
    <row r="310" spans="3:14" s="10" customFormat="1" x14ac:dyDescent="0.2">
      <c r="D310" s="49" t="str">
        <f>$D$249</f>
        <v xml:space="preserve"> Sensitisation Activity # 1 (Not in Use)</v>
      </c>
      <c r="H310" s="49" t="str">
        <f t="shared" ref="H310:H316" si="45">$C$308</f>
        <v>Economic (USD)</v>
      </c>
      <c r="I310" s="255">
        <f t="shared" ref="I310:I316" si="46">SUM(J310:N310)</f>
        <v>0</v>
      </c>
      <c r="J310" s="119">
        <f t="shared" ref="J310:N315" si="47">J283/Analy_Exchange_Rate</f>
        <v>0</v>
      </c>
      <c r="K310" s="119">
        <f t="shared" si="47"/>
        <v>0</v>
      </c>
      <c r="L310" s="119">
        <f t="shared" si="47"/>
        <v>0</v>
      </c>
      <c r="M310" s="119">
        <f t="shared" si="47"/>
        <v>0</v>
      </c>
      <c r="N310" s="119">
        <f t="shared" si="47"/>
        <v>0</v>
      </c>
    </row>
    <row r="311" spans="3:14" s="10" customFormat="1" x14ac:dyDescent="0.2">
      <c r="D311" s="49" t="str">
        <f>$D$251</f>
        <v xml:space="preserve"> Sensitisation Activity # 2 (Not in Use)</v>
      </c>
      <c r="H311" s="49" t="str">
        <f t="shared" si="45"/>
        <v>Economic (USD)</v>
      </c>
      <c r="I311" s="255">
        <f t="shared" si="46"/>
        <v>0</v>
      </c>
      <c r="J311" s="119">
        <f t="shared" si="47"/>
        <v>0</v>
      </c>
      <c r="K311" s="119">
        <f t="shared" si="47"/>
        <v>0</v>
      </c>
      <c r="L311" s="119">
        <f t="shared" si="47"/>
        <v>0</v>
      </c>
      <c r="M311" s="119">
        <f t="shared" si="47"/>
        <v>0</v>
      </c>
      <c r="N311" s="119">
        <f t="shared" si="47"/>
        <v>0</v>
      </c>
    </row>
    <row r="312" spans="3:14" s="10" customFormat="1" x14ac:dyDescent="0.2">
      <c r="D312" s="49" t="str">
        <f>$D$253</f>
        <v xml:space="preserve"> Sensitisation Activity # 3 (Not in Use)</v>
      </c>
      <c r="H312" s="49" t="str">
        <f t="shared" si="45"/>
        <v>Economic (USD)</v>
      </c>
      <c r="I312" s="255">
        <f t="shared" si="46"/>
        <v>0</v>
      </c>
      <c r="J312" s="119">
        <f t="shared" si="47"/>
        <v>0</v>
      </c>
      <c r="K312" s="119">
        <f t="shared" si="47"/>
        <v>0</v>
      </c>
      <c r="L312" s="119">
        <f t="shared" si="47"/>
        <v>0</v>
      </c>
      <c r="M312" s="119">
        <f t="shared" si="47"/>
        <v>0</v>
      </c>
      <c r="N312" s="119">
        <f t="shared" si="47"/>
        <v>0</v>
      </c>
    </row>
    <row r="313" spans="3:14" s="10" customFormat="1" x14ac:dyDescent="0.2">
      <c r="D313" s="49" t="str">
        <f>$D$255</f>
        <v xml:space="preserve"> Sensitisation Activity # 4 (Not in Use)</v>
      </c>
      <c r="H313" s="49" t="str">
        <f t="shared" si="45"/>
        <v>Economic (USD)</v>
      </c>
      <c r="I313" s="255">
        <f t="shared" si="46"/>
        <v>0</v>
      </c>
      <c r="J313" s="119">
        <f t="shared" si="47"/>
        <v>0</v>
      </c>
      <c r="K313" s="119">
        <f t="shared" si="47"/>
        <v>0</v>
      </c>
      <c r="L313" s="119">
        <f t="shared" si="47"/>
        <v>0</v>
      </c>
      <c r="M313" s="119">
        <f t="shared" si="47"/>
        <v>0</v>
      </c>
      <c r="N313" s="119">
        <f t="shared" si="47"/>
        <v>0</v>
      </c>
    </row>
    <row r="314" spans="3:14" s="10" customFormat="1" x14ac:dyDescent="0.2">
      <c r="D314" s="49" t="str">
        <f>$D$257</f>
        <v xml:space="preserve"> Sensitisation Activity # 5 (Not in Use)</v>
      </c>
      <c r="H314" s="49" t="str">
        <f t="shared" si="45"/>
        <v>Economic (USD)</v>
      </c>
      <c r="I314" s="255">
        <f t="shared" si="46"/>
        <v>0</v>
      </c>
      <c r="J314" s="119">
        <f t="shared" si="47"/>
        <v>0</v>
      </c>
      <c r="K314" s="119">
        <f t="shared" si="47"/>
        <v>0</v>
      </c>
      <c r="L314" s="119">
        <f t="shared" si="47"/>
        <v>0</v>
      </c>
      <c r="M314" s="119">
        <f t="shared" si="47"/>
        <v>0</v>
      </c>
      <c r="N314" s="119">
        <f t="shared" si="47"/>
        <v>0</v>
      </c>
    </row>
    <row r="315" spans="3:14" s="10" customFormat="1" x14ac:dyDescent="0.2">
      <c r="D315" s="49" t="str">
        <f>$D$259</f>
        <v xml:space="preserve"> Sensitisation Activity # 6 (Not in Use)</v>
      </c>
      <c r="H315" s="49" t="str">
        <f t="shared" si="45"/>
        <v>Economic (USD)</v>
      </c>
      <c r="I315" s="255">
        <f t="shared" si="46"/>
        <v>0</v>
      </c>
      <c r="J315" s="119">
        <f t="shared" si="47"/>
        <v>0</v>
      </c>
      <c r="K315" s="119">
        <f t="shared" si="47"/>
        <v>0</v>
      </c>
      <c r="L315" s="119">
        <f t="shared" si="47"/>
        <v>0</v>
      </c>
      <c r="M315" s="119">
        <f t="shared" si="47"/>
        <v>0</v>
      </c>
      <c r="N315" s="119">
        <f t="shared" si="47"/>
        <v>0</v>
      </c>
    </row>
    <row r="316" spans="3:14" s="10" customFormat="1" x14ac:dyDescent="0.2">
      <c r="D316" s="101" t="str">
        <f>Lang_Total_SmallLetter&amp;" "&amp;B245&amp;" "&amp;Lang_Costs&amp;" "&amp;C308</f>
        <v>Total Sensitisation Costs Economic (USD)</v>
      </c>
      <c r="H316" s="49" t="str">
        <f t="shared" si="45"/>
        <v>Economic (USD)</v>
      </c>
      <c r="I316" s="348">
        <f t="shared" si="46"/>
        <v>0</v>
      </c>
      <c r="J316" s="125">
        <f t="shared" ref="J316:N316" si="48">SUM(J310:J315)</f>
        <v>0</v>
      </c>
      <c r="K316" s="125">
        <f t="shared" si="48"/>
        <v>0</v>
      </c>
      <c r="L316" s="125">
        <f t="shared" si="48"/>
        <v>0</v>
      </c>
      <c r="M316" s="125">
        <f t="shared" si="48"/>
        <v>0</v>
      </c>
      <c r="N316" s="125">
        <f t="shared" si="48"/>
        <v>0</v>
      </c>
    </row>
    <row r="317" spans="3:14" s="10" customFormat="1" x14ac:dyDescent="0.2"/>
    <row r="318" spans="3:14" s="10" customFormat="1" x14ac:dyDescent="0.2">
      <c r="D318" s="101" t="str">
        <f>B245&amp;" "&amp;Lang_Cost&amp;" "&amp;Lang_Per_Fully_Immunized_Person_FIP</f>
        <v>Sensitisation Cost per Fully Immunized Person (FIP)</v>
      </c>
      <c r="H318" s="49" t="str">
        <f>$C$308</f>
        <v>Economic (USD)</v>
      </c>
      <c r="I318" s="388">
        <f>I316/$I$37</f>
        <v>0</v>
      </c>
      <c r="J318" s="116">
        <f t="shared" ref="J318:N318" si="49">J316/J$37</f>
        <v>0</v>
      </c>
      <c r="K318" s="116">
        <f t="shared" si="49"/>
        <v>0</v>
      </c>
      <c r="L318" s="116">
        <f t="shared" si="49"/>
        <v>0</v>
      </c>
      <c r="M318" s="116">
        <f t="shared" si="49"/>
        <v>0</v>
      </c>
      <c r="N318" s="116">
        <f t="shared" si="49"/>
        <v>0</v>
      </c>
    </row>
    <row r="319" spans="3:14" s="10" customFormat="1" x14ac:dyDescent="0.2"/>
    <row r="320" spans="3:14" s="10" customFormat="1" x14ac:dyDescent="0.2"/>
    <row r="321" spans="1:14" s="10" customFormat="1" x14ac:dyDescent="0.2"/>
    <row r="322" spans="1:14" s="10" customFormat="1" x14ac:dyDescent="0.2">
      <c r="A322" s="12" t="s">
        <v>125</v>
      </c>
      <c r="B322" s="13" t="str">
        <f>Lang_Analysis&amp;" - "&amp;B324</f>
        <v>Analysis - Social Mobilisation</v>
      </c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</row>
    <row r="323" spans="1:14" s="10" customFormat="1" x14ac:dyDescent="0.2"/>
    <row r="324" spans="1:14" s="10" customFormat="1" x14ac:dyDescent="0.2">
      <c r="B324" s="65" t="str">
        <f>Lang_Social_Mobilisation</f>
        <v>Social Mobilisation</v>
      </c>
    </row>
    <row r="325" spans="1:14" s="10" customFormat="1" x14ac:dyDescent="0.2"/>
    <row r="326" spans="1:14" s="10" customFormat="1" x14ac:dyDescent="0.2">
      <c r="B326" s="74" t="str">
        <f>Lang_Activity_Names_And_Quantities_Performed</f>
        <v>Activity Names and Quantities Performed</v>
      </c>
    </row>
    <row r="327" spans="1:14" s="10" customFormat="1" x14ac:dyDescent="0.2">
      <c r="I327" s="343" t="str">
        <f>Lang_All_Years</f>
        <v>ALL YEARS</v>
      </c>
    </row>
    <row r="328" spans="1:14" s="10" customFormat="1" x14ac:dyDescent="0.2">
      <c r="D328" s="49" t="str">
        <f>SOCIAL_MOBILISATION!D12</f>
        <v>IEC Soc Mob  Activity # 1 (Not in Use)</v>
      </c>
    </row>
    <row r="329" spans="1:14" s="10" customFormat="1" x14ac:dyDescent="0.2">
      <c r="E329" s="352" t="str">
        <f>SOCIAL_MOBILISATION!D38</f>
        <v>IEC Soc Mob  Activity # 1 (Not in Use) - Number of Activities per Year (Projected or Retrospective)</v>
      </c>
      <c r="I329" s="145">
        <f>SUM(J329:N329)</f>
        <v>0</v>
      </c>
      <c r="J329" s="41">
        <f>SOCIAL_MOBILISATION!J38</f>
        <v>0</v>
      </c>
      <c r="K329" s="41">
        <f>SOCIAL_MOBILISATION!K38</f>
        <v>0</v>
      </c>
      <c r="L329" s="41">
        <f>SOCIAL_MOBILISATION!L38</f>
        <v>0</v>
      </c>
      <c r="M329" s="41">
        <f>SOCIAL_MOBILISATION!M38</f>
        <v>0</v>
      </c>
      <c r="N329" s="41">
        <f>SOCIAL_MOBILISATION!N38</f>
        <v>0</v>
      </c>
    </row>
    <row r="330" spans="1:14" s="10" customFormat="1" x14ac:dyDescent="0.2">
      <c r="D330" s="49" t="str">
        <f>SOCIAL_MOBILISATION!D49</f>
        <v>IEC Soc Mob  Activity # 2 (Not in Use)</v>
      </c>
    </row>
    <row r="331" spans="1:14" s="10" customFormat="1" x14ac:dyDescent="0.2">
      <c r="E331" s="352" t="str">
        <f>SOCIAL_MOBILISATION!D75</f>
        <v>IEC Soc Mob  Activity # 2 (Not in Use) - Number of Activities per Year (Projected or Retrospective)</v>
      </c>
      <c r="I331" s="145">
        <f>SUM(J331:N331)</f>
        <v>0</v>
      </c>
      <c r="J331" s="41">
        <f>SOCIAL_MOBILISATION!J75</f>
        <v>0</v>
      </c>
      <c r="K331" s="41">
        <f>SOCIAL_MOBILISATION!K75</f>
        <v>0</v>
      </c>
      <c r="L331" s="41">
        <f>SOCIAL_MOBILISATION!L75</f>
        <v>0</v>
      </c>
      <c r="M331" s="41">
        <f>SOCIAL_MOBILISATION!M75</f>
        <v>0</v>
      </c>
      <c r="N331" s="41">
        <f>SOCIAL_MOBILISATION!N75</f>
        <v>0</v>
      </c>
    </row>
    <row r="332" spans="1:14" s="10" customFormat="1" x14ac:dyDescent="0.2">
      <c r="D332" s="49" t="str">
        <f>SOCIAL_MOBILISATION!D86</f>
        <v>IEC Soc Mob  Activity # 3 (Not in Use)</v>
      </c>
    </row>
    <row r="333" spans="1:14" s="10" customFormat="1" x14ac:dyDescent="0.2">
      <c r="E333" s="352" t="str">
        <f>SOCIAL_MOBILISATION!D112</f>
        <v>IEC Soc Mob  Activity # 3 (Not in Use) - Number of Activities per Year (Projected or Retrospective)</v>
      </c>
      <c r="I333" s="145">
        <f>SUM(J333:N333)</f>
        <v>0</v>
      </c>
      <c r="J333" s="41">
        <f>SOCIAL_MOBILISATION!J112</f>
        <v>0</v>
      </c>
      <c r="K333" s="41">
        <f>SOCIAL_MOBILISATION!K112</f>
        <v>0</v>
      </c>
      <c r="L333" s="41">
        <f>SOCIAL_MOBILISATION!L112</f>
        <v>0</v>
      </c>
      <c r="M333" s="41">
        <f>SOCIAL_MOBILISATION!M112</f>
        <v>0</v>
      </c>
      <c r="N333" s="41">
        <f>SOCIAL_MOBILISATION!N112</f>
        <v>0</v>
      </c>
    </row>
    <row r="334" spans="1:14" s="10" customFormat="1" x14ac:dyDescent="0.2">
      <c r="D334" s="49" t="str">
        <f>SOCIAL_MOBILISATION!D123</f>
        <v>IEC Soc Mob  Activity # 4  (Not in Use)</v>
      </c>
    </row>
    <row r="335" spans="1:14" s="10" customFormat="1" x14ac:dyDescent="0.2">
      <c r="E335" s="352" t="str">
        <f>SOCIAL_MOBILISATION!D154</f>
        <v>IEC Soc Mob  Activity # 4  (Not in Use) - Number of Activities per Year (Projected or Retrospective)</v>
      </c>
      <c r="I335" s="145">
        <f>SUM(J335:N335)</f>
        <v>0</v>
      </c>
      <c r="J335" s="41">
        <f>SOCIAL_MOBILISATION!J154</f>
        <v>0</v>
      </c>
      <c r="K335" s="41">
        <f>SOCIAL_MOBILISATION!K154</f>
        <v>0</v>
      </c>
      <c r="L335" s="41">
        <f>SOCIAL_MOBILISATION!L154</f>
        <v>0</v>
      </c>
      <c r="M335" s="41">
        <f>SOCIAL_MOBILISATION!M154</f>
        <v>0</v>
      </c>
      <c r="N335" s="41">
        <f>SOCIAL_MOBILISATION!N154</f>
        <v>0</v>
      </c>
    </row>
    <row r="336" spans="1:14" s="10" customFormat="1" x14ac:dyDescent="0.2">
      <c r="D336" s="49" t="str">
        <f>SOCIAL_MOBILISATION!D166</f>
        <v>IEC Soc Mob  Activity # 5  (Not in Use)</v>
      </c>
    </row>
    <row r="337" spans="2:14" s="10" customFormat="1" x14ac:dyDescent="0.2">
      <c r="E337" s="352" t="str">
        <f>SOCIAL_MOBILISATION!D197</f>
        <v>IEC Soc Mob  Activity # 5  (Not in Use) - Number of Activities per Year (Projected or Retrospective)</v>
      </c>
      <c r="I337" s="145">
        <f>SUM(J337:N337)</f>
        <v>0</v>
      </c>
      <c r="J337" s="41">
        <f>SOCIAL_MOBILISATION!J197</f>
        <v>0</v>
      </c>
      <c r="K337" s="41">
        <f>SOCIAL_MOBILISATION!K197</f>
        <v>0</v>
      </c>
      <c r="L337" s="41">
        <f>SOCIAL_MOBILISATION!L197</f>
        <v>0</v>
      </c>
      <c r="M337" s="41">
        <f>SOCIAL_MOBILISATION!M197</f>
        <v>0</v>
      </c>
      <c r="N337" s="41">
        <f>SOCIAL_MOBILISATION!N197</f>
        <v>0</v>
      </c>
    </row>
    <row r="338" spans="2:14" s="10" customFormat="1" x14ac:dyDescent="0.2">
      <c r="D338" s="49" t="str">
        <f>SOCIAL_MOBILISATION!D209</f>
        <v>IEC Soc Mob  Activity # 6 (Not in Use)</v>
      </c>
    </row>
    <row r="339" spans="2:14" s="10" customFormat="1" x14ac:dyDescent="0.2">
      <c r="E339" s="352" t="str">
        <f>SOCIAL_MOBILISATION!D240</f>
        <v>IEC Soc Mob  Activity # 6 (Not in Use) - Number of Activities per Year (Projected or Retrospective)</v>
      </c>
      <c r="I339" s="145">
        <f>SUM(J339:N339)</f>
        <v>0</v>
      </c>
      <c r="J339" s="41">
        <f>SOCIAL_MOBILISATION!J240</f>
        <v>0</v>
      </c>
      <c r="K339" s="41">
        <f>SOCIAL_MOBILISATION!K240</f>
        <v>0</v>
      </c>
      <c r="L339" s="41">
        <f>SOCIAL_MOBILISATION!L240</f>
        <v>0</v>
      </c>
      <c r="M339" s="41">
        <f>SOCIAL_MOBILISATION!M240</f>
        <v>0</v>
      </c>
      <c r="N339" s="41">
        <f>SOCIAL_MOBILISATION!N240</f>
        <v>0</v>
      </c>
    </row>
    <row r="340" spans="2:14" s="10" customFormat="1" x14ac:dyDescent="0.2">
      <c r="D340" s="49" t="str">
        <f>SOCIAL_MOBILISATION!D252</f>
        <v>IEC Soc Mob  Activity # 7 (Not in Use)</v>
      </c>
    </row>
    <row r="341" spans="2:14" s="10" customFormat="1" x14ac:dyDescent="0.2">
      <c r="E341" s="352" t="str">
        <f>SOCIAL_MOBILISATION!D283</f>
        <v>IEC Soc Mob  Activity # 7 (Not in Use) - Number of Activities per Year (Projected or Retrospective)</v>
      </c>
      <c r="I341" s="145">
        <f>SUM(J341:N341)</f>
        <v>0</v>
      </c>
      <c r="J341" s="41">
        <f>SOCIAL_MOBILISATION!J283</f>
        <v>0</v>
      </c>
      <c r="K341" s="41">
        <f>SOCIAL_MOBILISATION!K283</f>
        <v>0</v>
      </c>
      <c r="L341" s="41">
        <f>SOCIAL_MOBILISATION!L283</f>
        <v>0</v>
      </c>
      <c r="M341" s="41">
        <f>SOCIAL_MOBILISATION!M283</f>
        <v>0</v>
      </c>
      <c r="N341" s="41">
        <f>SOCIAL_MOBILISATION!N283</f>
        <v>0</v>
      </c>
    </row>
    <row r="342" spans="2:14" s="10" customFormat="1" x14ac:dyDescent="0.2">
      <c r="D342" s="49" t="str">
        <f>SOCIAL_MOBILISATION!D295</f>
        <v>IEC Soc Mob  Activity # 8 (Not in Use)</v>
      </c>
    </row>
    <row r="343" spans="2:14" s="10" customFormat="1" x14ac:dyDescent="0.2">
      <c r="E343" s="352" t="str">
        <f>SOCIAL_MOBILISATION!D326</f>
        <v>IEC Soc Mob  Activity # 8 (Not in Use) - Number of Activities per Year (Projected or Retrospective)</v>
      </c>
      <c r="I343" s="145">
        <f>SUM(J343:N343)</f>
        <v>0</v>
      </c>
      <c r="J343" s="41">
        <f>SOCIAL_MOBILISATION!J326</f>
        <v>0</v>
      </c>
      <c r="K343" s="41">
        <f>SOCIAL_MOBILISATION!K326</f>
        <v>0</v>
      </c>
      <c r="L343" s="41">
        <f>SOCIAL_MOBILISATION!L326</f>
        <v>0</v>
      </c>
      <c r="M343" s="41">
        <f>SOCIAL_MOBILISATION!M326</f>
        <v>0</v>
      </c>
      <c r="N343" s="41">
        <f>SOCIAL_MOBILISATION!N326</f>
        <v>0</v>
      </c>
    </row>
    <row r="344" spans="2:14" s="10" customFormat="1" x14ac:dyDescent="0.2"/>
    <row r="345" spans="2:14" s="10" customFormat="1" x14ac:dyDescent="0.2"/>
    <row r="346" spans="2:14" s="10" customFormat="1" x14ac:dyDescent="0.2">
      <c r="B346" s="55" t="str">
        <f>Lang_Costs</f>
        <v>Costs</v>
      </c>
    </row>
    <row r="347" spans="2:14" s="10" customFormat="1" x14ac:dyDescent="0.2"/>
    <row r="348" spans="2:14" s="10" customFormat="1" x14ac:dyDescent="0.2"/>
    <row r="349" spans="2:14" s="10" customFormat="1" x14ac:dyDescent="0.2">
      <c r="B349" s="114" t="str">
        <f>Analy_Lu!$D$13</f>
        <v>LCU</v>
      </c>
    </row>
    <row r="350" spans="2:14" s="10" customFormat="1" x14ac:dyDescent="0.2"/>
    <row r="351" spans="2:14" s="10" customFormat="1" x14ac:dyDescent="0.2">
      <c r="C351" s="71" t="str">
        <f>Lang_Fin&amp;" ("&amp;Analy_Lu!$D$13&amp;")"</f>
        <v>Financial (LCU)</v>
      </c>
    </row>
    <row r="352" spans="2:14" s="10" customFormat="1" x14ac:dyDescent="0.2">
      <c r="I352" s="343" t="str">
        <f>Lang_All_Years</f>
        <v>ALL YEARS</v>
      </c>
    </row>
    <row r="353" spans="3:14" s="10" customFormat="1" x14ac:dyDescent="0.2">
      <c r="D353" s="49" t="str">
        <f>$D$328</f>
        <v>IEC Soc Mob  Activity # 1 (Not in Use)</v>
      </c>
      <c r="H353" s="49" t="str">
        <f>COST_SUMMARY!C281</f>
        <v>Financial (LCU)</v>
      </c>
      <c r="I353" s="145">
        <f t="shared" ref="I353:I361" si="50">SUM(J353:N353)</f>
        <v>0</v>
      </c>
      <c r="J353" s="41">
        <f>COST_SUMMARY!J281</f>
        <v>0</v>
      </c>
      <c r="K353" s="41">
        <f>COST_SUMMARY!K281</f>
        <v>0</v>
      </c>
      <c r="L353" s="41">
        <f>COST_SUMMARY!L281</f>
        <v>0</v>
      </c>
      <c r="M353" s="41">
        <f>COST_SUMMARY!M281</f>
        <v>0</v>
      </c>
      <c r="N353" s="41">
        <f>COST_SUMMARY!N281</f>
        <v>0</v>
      </c>
    </row>
    <row r="354" spans="3:14" s="10" customFormat="1" x14ac:dyDescent="0.2">
      <c r="D354" s="49" t="str">
        <f>$D$330</f>
        <v>IEC Soc Mob  Activity # 2 (Not in Use)</v>
      </c>
      <c r="H354" s="49" t="str">
        <f>COST_SUMMARY!C295</f>
        <v>Financial (LCU)</v>
      </c>
      <c r="I354" s="145">
        <f t="shared" si="50"/>
        <v>0</v>
      </c>
      <c r="J354" s="41">
        <f>COST_SUMMARY!J295</f>
        <v>0</v>
      </c>
      <c r="K354" s="41">
        <f>COST_SUMMARY!K295</f>
        <v>0</v>
      </c>
      <c r="L354" s="41">
        <f>COST_SUMMARY!L295</f>
        <v>0</v>
      </c>
      <c r="M354" s="41">
        <f>COST_SUMMARY!M295</f>
        <v>0</v>
      </c>
      <c r="N354" s="41">
        <f>COST_SUMMARY!N295</f>
        <v>0</v>
      </c>
    </row>
    <row r="355" spans="3:14" s="10" customFormat="1" x14ac:dyDescent="0.2">
      <c r="D355" s="49" t="str">
        <f>$D$332</f>
        <v>IEC Soc Mob  Activity # 3 (Not in Use)</v>
      </c>
      <c r="H355" s="49" t="str">
        <f>COST_SUMMARY!C309</f>
        <v>Financial (LCU)</v>
      </c>
      <c r="I355" s="145">
        <f t="shared" si="50"/>
        <v>0</v>
      </c>
      <c r="J355" s="41">
        <f>COST_SUMMARY!J309</f>
        <v>0</v>
      </c>
      <c r="K355" s="41">
        <f>COST_SUMMARY!K309</f>
        <v>0</v>
      </c>
      <c r="L355" s="41">
        <f>COST_SUMMARY!L309</f>
        <v>0</v>
      </c>
      <c r="M355" s="41">
        <f>COST_SUMMARY!M309</f>
        <v>0</v>
      </c>
      <c r="N355" s="41">
        <f>COST_SUMMARY!N309</f>
        <v>0</v>
      </c>
    </row>
    <row r="356" spans="3:14" s="10" customFormat="1" x14ac:dyDescent="0.2">
      <c r="D356" s="49" t="str">
        <f>$D$334</f>
        <v>IEC Soc Mob  Activity # 4  (Not in Use)</v>
      </c>
      <c r="H356" s="49" t="str">
        <f>COST_SUMMARY!C323</f>
        <v>Financial (LCU)</v>
      </c>
      <c r="I356" s="145">
        <f t="shared" si="50"/>
        <v>0</v>
      </c>
      <c r="J356" s="41">
        <f>COST_SUMMARY!J323</f>
        <v>0</v>
      </c>
      <c r="K356" s="41">
        <f>COST_SUMMARY!K323</f>
        <v>0</v>
      </c>
      <c r="L356" s="41">
        <f>COST_SUMMARY!L323</f>
        <v>0</v>
      </c>
      <c r="M356" s="41">
        <f>COST_SUMMARY!M323</f>
        <v>0</v>
      </c>
      <c r="N356" s="41">
        <f>COST_SUMMARY!N323</f>
        <v>0</v>
      </c>
    </row>
    <row r="357" spans="3:14" s="10" customFormat="1" x14ac:dyDescent="0.2">
      <c r="D357" s="49" t="str">
        <f>$D$336</f>
        <v>IEC Soc Mob  Activity # 5  (Not in Use)</v>
      </c>
      <c r="H357" s="49" t="str">
        <f>COST_SUMMARY!C337</f>
        <v>Financial (LCU)</v>
      </c>
      <c r="I357" s="145">
        <f t="shared" si="50"/>
        <v>0</v>
      </c>
      <c r="J357" s="41">
        <f>COST_SUMMARY!J337</f>
        <v>0</v>
      </c>
      <c r="K357" s="41">
        <f>COST_SUMMARY!K337</f>
        <v>0</v>
      </c>
      <c r="L357" s="41">
        <f>COST_SUMMARY!L337</f>
        <v>0</v>
      </c>
      <c r="M357" s="41">
        <f>COST_SUMMARY!M337</f>
        <v>0</v>
      </c>
      <c r="N357" s="41">
        <f>COST_SUMMARY!N337</f>
        <v>0</v>
      </c>
    </row>
    <row r="358" spans="3:14" s="10" customFormat="1" x14ac:dyDescent="0.2">
      <c r="D358" s="49" t="str">
        <f>$D$338</f>
        <v>IEC Soc Mob  Activity # 6 (Not in Use)</v>
      </c>
      <c r="H358" s="49" t="str">
        <f>COST_SUMMARY!C351</f>
        <v>Financial (LCU)</v>
      </c>
      <c r="I358" s="145">
        <f t="shared" si="50"/>
        <v>0</v>
      </c>
      <c r="J358" s="41">
        <f>COST_SUMMARY!J351</f>
        <v>0</v>
      </c>
      <c r="K358" s="41">
        <f>COST_SUMMARY!K351</f>
        <v>0</v>
      </c>
      <c r="L358" s="41">
        <f>COST_SUMMARY!L351</f>
        <v>0</v>
      </c>
      <c r="M358" s="41">
        <f>COST_SUMMARY!M351</f>
        <v>0</v>
      </c>
      <c r="N358" s="41">
        <f>COST_SUMMARY!N351</f>
        <v>0</v>
      </c>
    </row>
    <row r="359" spans="3:14" s="10" customFormat="1" x14ac:dyDescent="0.2">
      <c r="D359" s="49" t="str">
        <f>$D$340</f>
        <v>IEC Soc Mob  Activity # 7 (Not in Use)</v>
      </c>
      <c r="H359" s="49" t="str">
        <f>COST_SUMMARY!C365</f>
        <v>Financial (LCU)</v>
      </c>
      <c r="I359" s="145">
        <f t="shared" si="50"/>
        <v>0</v>
      </c>
      <c r="J359" s="41">
        <f>COST_SUMMARY!J365</f>
        <v>0</v>
      </c>
      <c r="K359" s="41">
        <f>COST_SUMMARY!K365</f>
        <v>0</v>
      </c>
      <c r="L359" s="41">
        <f>COST_SUMMARY!L365</f>
        <v>0</v>
      </c>
      <c r="M359" s="41">
        <f>COST_SUMMARY!M365</f>
        <v>0</v>
      </c>
      <c r="N359" s="41">
        <f>COST_SUMMARY!N365</f>
        <v>0</v>
      </c>
    </row>
    <row r="360" spans="3:14" s="10" customFormat="1" x14ac:dyDescent="0.2">
      <c r="D360" s="49" t="str">
        <f>$D$342</f>
        <v>IEC Soc Mob  Activity # 8 (Not in Use)</v>
      </c>
      <c r="H360" s="49" t="str">
        <f>COST_SUMMARY!C379</f>
        <v>Financial (LCU)</v>
      </c>
      <c r="I360" s="145">
        <f t="shared" si="50"/>
        <v>0</v>
      </c>
      <c r="J360" s="41">
        <f>COST_SUMMARY!J379</f>
        <v>0</v>
      </c>
      <c r="K360" s="41">
        <f>COST_SUMMARY!K379</f>
        <v>0</v>
      </c>
      <c r="L360" s="41">
        <f>COST_SUMMARY!L379</f>
        <v>0</v>
      </c>
      <c r="M360" s="41">
        <f>COST_SUMMARY!M379</f>
        <v>0</v>
      </c>
      <c r="N360" s="41">
        <f>COST_SUMMARY!N379</f>
        <v>0</v>
      </c>
    </row>
    <row r="361" spans="3:14" s="10" customFormat="1" x14ac:dyDescent="0.2">
      <c r="D361" s="101" t="str">
        <f>Lang_Total_SmallLetter&amp;" "&amp;B324&amp;" "&amp;Lang_Costs&amp;" "&amp;C351</f>
        <v>Total Social Mobilisation Costs Financial (LCU)</v>
      </c>
      <c r="H361" s="49" t="str">
        <f>C351</f>
        <v>Financial (LCU)</v>
      </c>
      <c r="I361" s="342">
        <f t="shared" si="50"/>
        <v>0</v>
      </c>
      <c r="J361" s="113">
        <f t="shared" ref="J361:N361" si="51">SUM(J353:J360)</f>
        <v>0</v>
      </c>
      <c r="K361" s="113">
        <f t="shared" si="51"/>
        <v>0</v>
      </c>
      <c r="L361" s="113">
        <f t="shared" si="51"/>
        <v>0</v>
      </c>
      <c r="M361" s="113">
        <f t="shared" si="51"/>
        <v>0</v>
      </c>
      <c r="N361" s="113">
        <f t="shared" si="51"/>
        <v>0</v>
      </c>
    </row>
    <row r="362" spans="3:14" s="10" customFormat="1" x14ac:dyDescent="0.2"/>
    <row r="363" spans="3:14" s="10" customFormat="1" x14ac:dyDescent="0.2">
      <c r="D363" s="101" t="str">
        <f>B324&amp;" "&amp;Lang_Cost&amp;" "&amp;Lang_Per_Fully_Immunized_Person_FIP</f>
        <v>Social Mobilisation Cost per Fully Immunized Person (FIP)</v>
      </c>
      <c r="H363" s="49" t="str">
        <f>C351</f>
        <v>Financial (LCU)</v>
      </c>
      <c r="I363" s="145">
        <f>I361/$I$37</f>
        <v>0</v>
      </c>
      <c r="J363" s="41">
        <f t="shared" ref="J363:N363" si="52">J361/J$37</f>
        <v>0</v>
      </c>
      <c r="K363" s="41">
        <f t="shared" si="52"/>
        <v>0</v>
      </c>
      <c r="L363" s="41">
        <f t="shared" si="52"/>
        <v>0</v>
      </c>
      <c r="M363" s="41">
        <f t="shared" si="52"/>
        <v>0</v>
      </c>
      <c r="N363" s="41">
        <f t="shared" si="52"/>
        <v>0</v>
      </c>
    </row>
    <row r="364" spans="3:14" s="10" customFormat="1" x14ac:dyDescent="0.2"/>
    <row r="365" spans="3:14" s="10" customFormat="1" x14ac:dyDescent="0.2"/>
    <row r="366" spans="3:14" s="10" customFormat="1" x14ac:dyDescent="0.2">
      <c r="C366" s="71" t="str">
        <f>Lang_Econ&amp;" ("&amp;Analy_Lu!$D$13&amp;")"</f>
        <v>Economic (LCU)</v>
      </c>
    </row>
    <row r="367" spans="3:14" s="10" customFormat="1" x14ac:dyDescent="0.2">
      <c r="I367" s="343" t="str">
        <f>Lang_All_Years</f>
        <v>ALL YEARS</v>
      </c>
    </row>
    <row r="368" spans="3:14" s="10" customFormat="1" x14ac:dyDescent="0.2">
      <c r="D368" s="49" t="str">
        <f>$D$328</f>
        <v>IEC Soc Mob  Activity # 1 (Not in Use)</v>
      </c>
      <c r="H368" s="49" t="str">
        <f>COST_SUMMARY!C282</f>
        <v>Economic (LCU)</v>
      </c>
      <c r="I368" s="145">
        <f t="shared" ref="I368:I376" si="53">SUM(J368:N368)</f>
        <v>0</v>
      </c>
      <c r="J368" s="41">
        <f>COST_SUMMARY!J282</f>
        <v>0</v>
      </c>
      <c r="K368" s="41">
        <f>COST_SUMMARY!K282</f>
        <v>0</v>
      </c>
      <c r="L368" s="41">
        <f>COST_SUMMARY!L282</f>
        <v>0</v>
      </c>
      <c r="M368" s="41">
        <f>COST_SUMMARY!M282</f>
        <v>0</v>
      </c>
      <c r="N368" s="41">
        <f>COST_SUMMARY!N282</f>
        <v>0</v>
      </c>
    </row>
    <row r="369" spans="2:14" s="10" customFormat="1" x14ac:dyDescent="0.2">
      <c r="D369" s="49" t="str">
        <f>$D$330</f>
        <v>IEC Soc Mob  Activity # 2 (Not in Use)</v>
      </c>
      <c r="H369" s="49" t="str">
        <f>COST_SUMMARY!C296</f>
        <v>Economic (LCU)</v>
      </c>
      <c r="I369" s="145">
        <f t="shared" si="53"/>
        <v>0</v>
      </c>
      <c r="J369" s="41">
        <f>COST_SUMMARY!J296</f>
        <v>0</v>
      </c>
      <c r="K369" s="41">
        <f>COST_SUMMARY!K296</f>
        <v>0</v>
      </c>
      <c r="L369" s="41">
        <f>COST_SUMMARY!L296</f>
        <v>0</v>
      </c>
      <c r="M369" s="41">
        <f>COST_SUMMARY!M296</f>
        <v>0</v>
      </c>
      <c r="N369" s="41">
        <f>COST_SUMMARY!N296</f>
        <v>0</v>
      </c>
    </row>
    <row r="370" spans="2:14" s="10" customFormat="1" x14ac:dyDescent="0.2">
      <c r="D370" s="49" t="str">
        <f>$D$332</f>
        <v>IEC Soc Mob  Activity # 3 (Not in Use)</v>
      </c>
      <c r="H370" s="49" t="str">
        <f>COST_SUMMARY!C310</f>
        <v>Economic (LCU)</v>
      </c>
      <c r="I370" s="145">
        <f t="shared" si="53"/>
        <v>0</v>
      </c>
      <c r="J370" s="41">
        <f>COST_SUMMARY!J310</f>
        <v>0</v>
      </c>
      <c r="K370" s="41">
        <f>COST_SUMMARY!K310</f>
        <v>0</v>
      </c>
      <c r="L370" s="41">
        <f>COST_SUMMARY!L310</f>
        <v>0</v>
      </c>
      <c r="M370" s="41">
        <f>COST_SUMMARY!M310</f>
        <v>0</v>
      </c>
      <c r="N370" s="41">
        <f>COST_SUMMARY!N310</f>
        <v>0</v>
      </c>
    </row>
    <row r="371" spans="2:14" s="10" customFormat="1" x14ac:dyDescent="0.2">
      <c r="D371" s="49" t="str">
        <f>$D$334</f>
        <v>IEC Soc Mob  Activity # 4  (Not in Use)</v>
      </c>
      <c r="H371" s="49" t="str">
        <f>COST_SUMMARY!C324</f>
        <v>Economic (LCU)</v>
      </c>
      <c r="I371" s="145">
        <f t="shared" si="53"/>
        <v>0</v>
      </c>
      <c r="J371" s="41">
        <f>COST_SUMMARY!J324</f>
        <v>0</v>
      </c>
      <c r="K371" s="41">
        <f>COST_SUMMARY!K324</f>
        <v>0</v>
      </c>
      <c r="L371" s="41">
        <f>COST_SUMMARY!L324</f>
        <v>0</v>
      </c>
      <c r="M371" s="41">
        <f>COST_SUMMARY!M324</f>
        <v>0</v>
      </c>
      <c r="N371" s="41">
        <f>COST_SUMMARY!N324</f>
        <v>0</v>
      </c>
    </row>
    <row r="372" spans="2:14" s="10" customFormat="1" x14ac:dyDescent="0.2">
      <c r="D372" s="49" t="str">
        <f>$D$336</f>
        <v>IEC Soc Mob  Activity # 5  (Not in Use)</v>
      </c>
      <c r="H372" s="49" t="str">
        <f>COST_SUMMARY!C338</f>
        <v>Economic (LCU)</v>
      </c>
      <c r="I372" s="145">
        <f t="shared" si="53"/>
        <v>0</v>
      </c>
      <c r="J372" s="41">
        <f>COST_SUMMARY!J338</f>
        <v>0</v>
      </c>
      <c r="K372" s="41">
        <f>COST_SUMMARY!K338</f>
        <v>0</v>
      </c>
      <c r="L372" s="41">
        <f>COST_SUMMARY!L338</f>
        <v>0</v>
      </c>
      <c r="M372" s="41">
        <f>COST_SUMMARY!M338</f>
        <v>0</v>
      </c>
      <c r="N372" s="41">
        <f>COST_SUMMARY!N338</f>
        <v>0</v>
      </c>
    </row>
    <row r="373" spans="2:14" s="10" customFormat="1" x14ac:dyDescent="0.2">
      <c r="D373" s="49" t="str">
        <f>$D$338</f>
        <v>IEC Soc Mob  Activity # 6 (Not in Use)</v>
      </c>
      <c r="H373" s="49" t="str">
        <f>COST_SUMMARY!C352</f>
        <v>Economic (LCU)</v>
      </c>
      <c r="I373" s="145">
        <f t="shared" si="53"/>
        <v>0</v>
      </c>
      <c r="J373" s="41">
        <f>COST_SUMMARY!J352</f>
        <v>0</v>
      </c>
      <c r="K373" s="41">
        <f>COST_SUMMARY!K352</f>
        <v>0</v>
      </c>
      <c r="L373" s="41">
        <f>COST_SUMMARY!L352</f>
        <v>0</v>
      </c>
      <c r="M373" s="41">
        <f>COST_SUMMARY!M352</f>
        <v>0</v>
      </c>
      <c r="N373" s="41">
        <f>COST_SUMMARY!N352</f>
        <v>0</v>
      </c>
    </row>
    <row r="374" spans="2:14" s="10" customFormat="1" x14ac:dyDescent="0.2">
      <c r="D374" s="49" t="str">
        <f>$D$340</f>
        <v>IEC Soc Mob  Activity # 7 (Not in Use)</v>
      </c>
      <c r="H374" s="49" t="str">
        <f>COST_SUMMARY!C366</f>
        <v>Economic (LCU)</v>
      </c>
      <c r="I374" s="145">
        <f t="shared" si="53"/>
        <v>0</v>
      </c>
      <c r="J374" s="41">
        <f>COST_SUMMARY!J366</f>
        <v>0</v>
      </c>
      <c r="K374" s="41">
        <f>COST_SUMMARY!K366</f>
        <v>0</v>
      </c>
      <c r="L374" s="41">
        <f>COST_SUMMARY!L366</f>
        <v>0</v>
      </c>
      <c r="M374" s="41">
        <f>COST_SUMMARY!M366</f>
        <v>0</v>
      </c>
      <c r="N374" s="41">
        <f>COST_SUMMARY!N366</f>
        <v>0</v>
      </c>
    </row>
    <row r="375" spans="2:14" s="10" customFormat="1" x14ac:dyDescent="0.2">
      <c r="D375" s="49" t="str">
        <f>$D$342</f>
        <v>IEC Soc Mob  Activity # 8 (Not in Use)</v>
      </c>
      <c r="H375" s="49" t="str">
        <f>COST_SUMMARY!C380</f>
        <v>Economic (LCU)</v>
      </c>
      <c r="I375" s="145">
        <f t="shared" si="53"/>
        <v>0</v>
      </c>
      <c r="J375" s="41">
        <f>COST_SUMMARY!J380</f>
        <v>0</v>
      </c>
      <c r="K375" s="41">
        <f>COST_SUMMARY!K380</f>
        <v>0</v>
      </c>
      <c r="L375" s="41">
        <f>COST_SUMMARY!L380</f>
        <v>0</v>
      </c>
      <c r="M375" s="41">
        <f>COST_SUMMARY!M380</f>
        <v>0</v>
      </c>
      <c r="N375" s="41">
        <f>COST_SUMMARY!N380</f>
        <v>0</v>
      </c>
    </row>
    <row r="376" spans="2:14" s="10" customFormat="1" x14ac:dyDescent="0.2">
      <c r="D376" s="101" t="str">
        <f>Lang_Total_SmallLetter&amp;" "&amp;B324&amp;" "&amp;Lang_Costs&amp;" "&amp;C366</f>
        <v>Total Social Mobilisation Costs Economic (LCU)</v>
      </c>
      <c r="H376" s="49" t="str">
        <f>C366</f>
        <v>Economic (LCU)</v>
      </c>
      <c r="I376" s="342">
        <f t="shared" si="53"/>
        <v>0</v>
      </c>
      <c r="J376" s="113">
        <f t="shared" ref="J376:N376" si="54">SUM(J368:J375)</f>
        <v>0</v>
      </c>
      <c r="K376" s="113">
        <f t="shared" si="54"/>
        <v>0</v>
      </c>
      <c r="L376" s="113">
        <f t="shared" si="54"/>
        <v>0</v>
      </c>
      <c r="M376" s="113">
        <f t="shared" si="54"/>
        <v>0</v>
      </c>
      <c r="N376" s="113">
        <f t="shared" si="54"/>
        <v>0</v>
      </c>
    </row>
    <row r="377" spans="2:14" s="10" customFormat="1" x14ac:dyDescent="0.2"/>
    <row r="378" spans="2:14" s="10" customFormat="1" x14ac:dyDescent="0.2">
      <c r="D378" s="101" t="str">
        <f>B324&amp;" "&amp;Lang_Cost&amp;" "&amp;Lang_Per_Fully_Immunized_Person_FIP</f>
        <v>Social Mobilisation Cost per Fully Immunized Person (FIP)</v>
      </c>
      <c r="H378" s="49" t="str">
        <f>C366</f>
        <v>Economic (LCU)</v>
      </c>
      <c r="I378" s="145">
        <f>I376/$I$37</f>
        <v>0</v>
      </c>
      <c r="J378" s="41">
        <f t="shared" ref="J378:N378" si="55">J376/J$37</f>
        <v>0</v>
      </c>
      <c r="K378" s="41">
        <f t="shared" si="55"/>
        <v>0</v>
      </c>
      <c r="L378" s="41">
        <f t="shared" si="55"/>
        <v>0</v>
      </c>
      <c r="M378" s="41">
        <f t="shared" si="55"/>
        <v>0</v>
      </c>
      <c r="N378" s="41">
        <f t="shared" si="55"/>
        <v>0</v>
      </c>
    </row>
    <row r="379" spans="2:14" s="10" customFormat="1" x14ac:dyDescent="0.2"/>
    <row r="380" spans="2:14" s="10" customFormat="1" x14ac:dyDescent="0.2"/>
    <row r="381" spans="2:14" s="10" customFormat="1" x14ac:dyDescent="0.2">
      <c r="B381" s="114" t="str">
        <f>Analy_Lu!$D$12</f>
        <v>USD</v>
      </c>
    </row>
    <row r="382" spans="2:14" s="10" customFormat="1" x14ac:dyDescent="0.2"/>
    <row r="383" spans="2:14" s="10" customFormat="1" x14ac:dyDescent="0.2">
      <c r="C383" s="71" t="str">
        <f>Lang_Fin&amp;" ("&amp;Analy_Lu!$D$12&amp;")"</f>
        <v>Financial (USD)</v>
      </c>
    </row>
    <row r="384" spans="2:14" s="10" customFormat="1" x14ac:dyDescent="0.2">
      <c r="I384" s="343" t="str">
        <f>Lang_All_Years</f>
        <v>ALL YEARS</v>
      </c>
    </row>
    <row r="385" spans="3:14" s="10" customFormat="1" x14ac:dyDescent="0.2">
      <c r="D385" s="49" t="str">
        <f>$D$328</f>
        <v>IEC Soc Mob  Activity # 1 (Not in Use)</v>
      </c>
      <c r="H385" s="49" t="str">
        <f t="shared" ref="H385:H393" si="56">$C$383</f>
        <v>Financial (USD)</v>
      </c>
      <c r="I385" s="255">
        <f t="shared" ref="I385:I393" si="57">SUM(J385:N385)</f>
        <v>0</v>
      </c>
      <c r="J385" s="116">
        <f t="shared" ref="J385:N392" si="58">J353/Analy_Exchange_Rate</f>
        <v>0</v>
      </c>
      <c r="K385" s="116">
        <f t="shared" si="58"/>
        <v>0</v>
      </c>
      <c r="L385" s="116">
        <f t="shared" si="58"/>
        <v>0</v>
      </c>
      <c r="M385" s="116">
        <f t="shared" si="58"/>
        <v>0</v>
      </c>
      <c r="N385" s="116">
        <f t="shared" si="58"/>
        <v>0</v>
      </c>
    </row>
    <row r="386" spans="3:14" s="10" customFormat="1" x14ac:dyDescent="0.2">
      <c r="D386" s="49" t="str">
        <f>$D$330</f>
        <v>IEC Soc Mob  Activity # 2 (Not in Use)</v>
      </c>
      <c r="H386" s="49" t="str">
        <f t="shared" si="56"/>
        <v>Financial (USD)</v>
      </c>
      <c r="I386" s="255">
        <f t="shared" si="57"/>
        <v>0</v>
      </c>
      <c r="J386" s="116">
        <f t="shared" si="58"/>
        <v>0</v>
      </c>
      <c r="K386" s="116">
        <f t="shared" si="58"/>
        <v>0</v>
      </c>
      <c r="L386" s="116">
        <f t="shared" si="58"/>
        <v>0</v>
      </c>
      <c r="M386" s="116">
        <f t="shared" si="58"/>
        <v>0</v>
      </c>
      <c r="N386" s="116">
        <f t="shared" si="58"/>
        <v>0</v>
      </c>
    </row>
    <row r="387" spans="3:14" s="10" customFormat="1" x14ac:dyDescent="0.2">
      <c r="D387" s="49" t="str">
        <f>$D$332</f>
        <v>IEC Soc Mob  Activity # 3 (Not in Use)</v>
      </c>
      <c r="H387" s="49" t="str">
        <f t="shared" si="56"/>
        <v>Financial (USD)</v>
      </c>
      <c r="I387" s="255">
        <f t="shared" si="57"/>
        <v>0</v>
      </c>
      <c r="J387" s="116">
        <f t="shared" si="58"/>
        <v>0</v>
      </c>
      <c r="K387" s="116">
        <f t="shared" si="58"/>
        <v>0</v>
      </c>
      <c r="L387" s="116">
        <f t="shared" si="58"/>
        <v>0</v>
      </c>
      <c r="M387" s="116">
        <f t="shared" si="58"/>
        <v>0</v>
      </c>
      <c r="N387" s="116">
        <f t="shared" si="58"/>
        <v>0</v>
      </c>
    </row>
    <row r="388" spans="3:14" s="10" customFormat="1" x14ac:dyDescent="0.2">
      <c r="D388" s="49" t="str">
        <f>$D$334</f>
        <v>IEC Soc Mob  Activity # 4  (Not in Use)</v>
      </c>
      <c r="H388" s="49" t="str">
        <f t="shared" si="56"/>
        <v>Financial (USD)</v>
      </c>
      <c r="I388" s="255">
        <f t="shared" si="57"/>
        <v>0</v>
      </c>
      <c r="J388" s="116">
        <f t="shared" si="58"/>
        <v>0</v>
      </c>
      <c r="K388" s="116">
        <f t="shared" si="58"/>
        <v>0</v>
      </c>
      <c r="L388" s="116">
        <f t="shared" si="58"/>
        <v>0</v>
      </c>
      <c r="M388" s="116">
        <f t="shared" si="58"/>
        <v>0</v>
      </c>
      <c r="N388" s="116">
        <f t="shared" si="58"/>
        <v>0</v>
      </c>
    </row>
    <row r="389" spans="3:14" s="10" customFormat="1" x14ac:dyDescent="0.2">
      <c r="D389" s="49" t="str">
        <f>$D$336</f>
        <v>IEC Soc Mob  Activity # 5  (Not in Use)</v>
      </c>
      <c r="H389" s="49" t="str">
        <f t="shared" si="56"/>
        <v>Financial (USD)</v>
      </c>
      <c r="I389" s="255">
        <f t="shared" si="57"/>
        <v>0</v>
      </c>
      <c r="J389" s="116">
        <f t="shared" si="58"/>
        <v>0</v>
      </c>
      <c r="K389" s="116">
        <f t="shared" si="58"/>
        <v>0</v>
      </c>
      <c r="L389" s="116">
        <f t="shared" si="58"/>
        <v>0</v>
      </c>
      <c r="M389" s="116">
        <f t="shared" si="58"/>
        <v>0</v>
      </c>
      <c r="N389" s="116">
        <f t="shared" si="58"/>
        <v>0</v>
      </c>
    </row>
    <row r="390" spans="3:14" s="10" customFormat="1" x14ac:dyDescent="0.2">
      <c r="D390" s="49" t="str">
        <f>$D$338</f>
        <v>IEC Soc Mob  Activity # 6 (Not in Use)</v>
      </c>
      <c r="H390" s="49" t="str">
        <f t="shared" si="56"/>
        <v>Financial (USD)</v>
      </c>
      <c r="I390" s="255">
        <f t="shared" si="57"/>
        <v>0</v>
      </c>
      <c r="J390" s="116">
        <f t="shared" si="58"/>
        <v>0</v>
      </c>
      <c r="K390" s="116">
        <f t="shared" si="58"/>
        <v>0</v>
      </c>
      <c r="L390" s="116">
        <f t="shared" si="58"/>
        <v>0</v>
      </c>
      <c r="M390" s="116">
        <f t="shared" si="58"/>
        <v>0</v>
      </c>
      <c r="N390" s="116">
        <f t="shared" si="58"/>
        <v>0</v>
      </c>
    </row>
    <row r="391" spans="3:14" s="10" customFormat="1" x14ac:dyDescent="0.2">
      <c r="D391" s="49" t="str">
        <f>$D$340</f>
        <v>IEC Soc Mob  Activity # 7 (Not in Use)</v>
      </c>
      <c r="H391" s="49" t="str">
        <f t="shared" si="56"/>
        <v>Financial (USD)</v>
      </c>
      <c r="I391" s="255">
        <f t="shared" si="57"/>
        <v>0</v>
      </c>
      <c r="J391" s="116">
        <f t="shared" si="58"/>
        <v>0</v>
      </c>
      <c r="K391" s="116">
        <f t="shared" si="58"/>
        <v>0</v>
      </c>
      <c r="L391" s="116">
        <f t="shared" si="58"/>
        <v>0</v>
      </c>
      <c r="M391" s="116">
        <f t="shared" si="58"/>
        <v>0</v>
      </c>
      <c r="N391" s="116">
        <f t="shared" si="58"/>
        <v>0</v>
      </c>
    </row>
    <row r="392" spans="3:14" s="10" customFormat="1" x14ac:dyDescent="0.2">
      <c r="D392" s="49" t="str">
        <f>$D$342</f>
        <v>IEC Soc Mob  Activity # 8 (Not in Use)</v>
      </c>
      <c r="H392" s="49" t="str">
        <f t="shared" si="56"/>
        <v>Financial (USD)</v>
      </c>
      <c r="I392" s="255">
        <f t="shared" si="57"/>
        <v>0</v>
      </c>
      <c r="J392" s="116">
        <f t="shared" si="58"/>
        <v>0</v>
      </c>
      <c r="K392" s="116">
        <f t="shared" si="58"/>
        <v>0</v>
      </c>
      <c r="L392" s="116">
        <f t="shared" si="58"/>
        <v>0</v>
      </c>
      <c r="M392" s="116">
        <f t="shared" si="58"/>
        <v>0</v>
      </c>
      <c r="N392" s="116">
        <f t="shared" si="58"/>
        <v>0</v>
      </c>
    </row>
    <row r="393" spans="3:14" s="10" customFormat="1" x14ac:dyDescent="0.2">
      <c r="D393" s="101" t="str">
        <f>Lang_Total_SmallLetter&amp;" "&amp;B324&amp;" "&amp;Lang_Costs&amp;" "&amp;C383</f>
        <v>Total Social Mobilisation Costs Financial (USD)</v>
      </c>
      <c r="H393" s="49" t="str">
        <f t="shared" si="56"/>
        <v>Financial (USD)</v>
      </c>
      <c r="I393" s="348">
        <f t="shared" si="57"/>
        <v>0</v>
      </c>
      <c r="J393" s="121">
        <f t="shared" ref="J393:N393" si="59">SUM(J385:J392)</f>
        <v>0</v>
      </c>
      <c r="K393" s="121">
        <f t="shared" si="59"/>
        <v>0</v>
      </c>
      <c r="L393" s="121">
        <f t="shared" si="59"/>
        <v>0</v>
      </c>
      <c r="M393" s="121">
        <f t="shared" si="59"/>
        <v>0</v>
      </c>
      <c r="N393" s="121">
        <f t="shared" si="59"/>
        <v>0</v>
      </c>
    </row>
    <row r="394" spans="3:14" s="10" customFormat="1" x14ac:dyDescent="0.2"/>
    <row r="395" spans="3:14" s="10" customFormat="1" x14ac:dyDescent="0.2">
      <c r="D395" s="101" t="str">
        <f>B324&amp;" "&amp;Lang_Cost&amp;" "&amp;Lang_Per_Fully_Immunized_Person_FIP</f>
        <v>Social Mobilisation Cost per Fully Immunized Person (FIP)</v>
      </c>
      <c r="H395" s="49" t="str">
        <f>$C$383</f>
        <v>Financial (USD)</v>
      </c>
      <c r="I395" s="388">
        <f>I393/$I$37</f>
        <v>0</v>
      </c>
      <c r="J395" s="116">
        <f t="shared" ref="J395:N395" si="60">J393/J$37</f>
        <v>0</v>
      </c>
      <c r="K395" s="116">
        <f t="shared" si="60"/>
        <v>0</v>
      </c>
      <c r="L395" s="116">
        <f t="shared" si="60"/>
        <v>0</v>
      </c>
      <c r="M395" s="116">
        <f t="shared" si="60"/>
        <v>0</v>
      </c>
      <c r="N395" s="116">
        <f t="shared" si="60"/>
        <v>0</v>
      </c>
    </row>
    <row r="396" spans="3:14" s="10" customFormat="1" x14ac:dyDescent="0.2"/>
    <row r="397" spans="3:14" s="10" customFormat="1" x14ac:dyDescent="0.2">
      <c r="C397" s="71" t="str">
        <f>Lang_Econ&amp;" ("&amp;Analy_Lu!$D$12&amp;")"</f>
        <v>Economic (USD)</v>
      </c>
    </row>
    <row r="398" spans="3:14" s="10" customFormat="1" x14ac:dyDescent="0.2">
      <c r="I398" s="343" t="str">
        <f>Lang_All_Years</f>
        <v>ALL YEARS</v>
      </c>
    </row>
    <row r="399" spans="3:14" s="10" customFormat="1" x14ac:dyDescent="0.2">
      <c r="D399" s="49" t="str">
        <f>$D$328</f>
        <v>IEC Soc Mob  Activity # 1 (Not in Use)</v>
      </c>
      <c r="H399" s="49" t="str">
        <f t="shared" ref="H399:H407" si="61">$C$397</f>
        <v>Economic (USD)</v>
      </c>
      <c r="I399" s="255">
        <f t="shared" ref="I399:I407" si="62">SUM(J399:N399)</f>
        <v>0</v>
      </c>
      <c r="J399" s="116">
        <f t="shared" ref="J399:N406" si="63">J368/Analy_Exchange_Rate</f>
        <v>0</v>
      </c>
      <c r="K399" s="116">
        <f t="shared" si="63"/>
        <v>0</v>
      </c>
      <c r="L399" s="116">
        <f t="shared" si="63"/>
        <v>0</v>
      </c>
      <c r="M399" s="116">
        <f t="shared" si="63"/>
        <v>0</v>
      </c>
      <c r="N399" s="116">
        <f t="shared" si="63"/>
        <v>0</v>
      </c>
    </row>
    <row r="400" spans="3:14" s="10" customFormat="1" x14ac:dyDescent="0.2">
      <c r="D400" s="49" t="str">
        <f>$D$330</f>
        <v>IEC Soc Mob  Activity # 2 (Not in Use)</v>
      </c>
      <c r="H400" s="49" t="str">
        <f t="shared" si="61"/>
        <v>Economic (USD)</v>
      </c>
      <c r="I400" s="255">
        <f t="shared" si="62"/>
        <v>0</v>
      </c>
      <c r="J400" s="116">
        <f t="shared" si="63"/>
        <v>0</v>
      </c>
      <c r="K400" s="116">
        <f t="shared" si="63"/>
        <v>0</v>
      </c>
      <c r="L400" s="116">
        <f t="shared" si="63"/>
        <v>0</v>
      </c>
      <c r="M400" s="116">
        <f t="shared" si="63"/>
        <v>0</v>
      </c>
      <c r="N400" s="116">
        <f t="shared" si="63"/>
        <v>0</v>
      </c>
    </row>
    <row r="401" spans="1:14" s="10" customFormat="1" x14ac:dyDescent="0.2">
      <c r="D401" s="49" t="str">
        <f>$D$332</f>
        <v>IEC Soc Mob  Activity # 3 (Not in Use)</v>
      </c>
      <c r="H401" s="49" t="str">
        <f t="shared" si="61"/>
        <v>Economic (USD)</v>
      </c>
      <c r="I401" s="255">
        <f t="shared" si="62"/>
        <v>0</v>
      </c>
      <c r="J401" s="116">
        <f t="shared" si="63"/>
        <v>0</v>
      </c>
      <c r="K401" s="116">
        <f t="shared" si="63"/>
        <v>0</v>
      </c>
      <c r="L401" s="116">
        <f t="shared" si="63"/>
        <v>0</v>
      </c>
      <c r="M401" s="116">
        <f t="shared" si="63"/>
        <v>0</v>
      </c>
      <c r="N401" s="116">
        <f t="shared" si="63"/>
        <v>0</v>
      </c>
    </row>
    <row r="402" spans="1:14" s="10" customFormat="1" x14ac:dyDescent="0.2">
      <c r="D402" s="49" t="str">
        <f>$D$334</f>
        <v>IEC Soc Mob  Activity # 4  (Not in Use)</v>
      </c>
      <c r="H402" s="49" t="str">
        <f t="shared" si="61"/>
        <v>Economic (USD)</v>
      </c>
      <c r="I402" s="255">
        <f t="shared" si="62"/>
        <v>0</v>
      </c>
      <c r="J402" s="116">
        <f t="shared" si="63"/>
        <v>0</v>
      </c>
      <c r="K402" s="116">
        <f t="shared" si="63"/>
        <v>0</v>
      </c>
      <c r="L402" s="116">
        <f t="shared" si="63"/>
        <v>0</v>
      </c>
      <c r="M402" s="116">
        <f t="shared" si="63"/>
        <v>0</v>
      </c>
      <c r="N402" s="116">
        <f t="shared" si="63"/>
        <v>0</v>
      </c>
    </row>
    <row r="403" spans="1:14" s="10" customFormat="1" x14ac:dyDescent="0.2">
      <c r="D403" s="49" t="str">
        <f>$D$336</f>
        <v>IEC Soc Mob  Activity # 5  (Not in Use)</v>
      </c>
      <c r="H403" s="49" t="str">
        <f t="shared" si="61"/>
        <v>Economic (USD)</v>
      </c>
      <c r="I403" s="255">
        <f t="shared" si="62"/>
        <v>0</v>
      </c>
      <c r="J403" s="116">
        <f t="shared" si="63"/>
        <v>0</v>
      </c>
      <c r="K403" s="116">
        <f t="shared" si="63"/>
        <v>0</v>
      </c>
      <c r="L403" s="116">
        <f t="shared" si="63"/>
        <v>0</v>
      </c>
      <c r="M403" s="116">
        <f t="shared" si="63"/>
        <v>0</v>
      </c>
      <c r="N403" s="116">
        <f t="shared" si="63"/>
        <v>0</v>
      </c>
    </row>
    <row r="404" spans="1:14" s="10" customFormat="1" x14ac:dyDescent="0.2">
      <c r="D404" s="49" t="str">
        <f>$D$338</f>
        <v>IEC Soc Mob  Activity # 6 (Not in Use)</v>
      </c>
      <c r="H404" s="49" t="str">
        <f t="shared" si="61"/>
        <v>Economic (USD)</v>
      </c>
      <c r="I404" s="255">
        <f t="shared" si="62"/>
        <v>0</v>
      </c>
      <c r="J404" s="116">
        <f t="shared" si="63"/>
        <v>0</v>
      </c>
      <c r="K404" s="116">
        <f t="shared" si="63"/>
        <v>0</v>
      </c>
      <c r="L404" s="116">
        <f t="shared" si="63"/>
        <v>0</v>
      </c>
      <c r="M404" s="116">
        <f t="shared" si="63"/>
        <v>0</v>
      </c>
      <c r="N404" s="116">
        <f t="shared" si="63"/>
        <v>0</v>
      </c>
    </row>
    <row r="405" spans="1:14" s="10" customFormat="1" x14ac:dyDescent="0.2">
      <c r="D405" s="49" t="str">
        <f>$D$340</f>
        <v>IEC Soc Mob  Activity # 7 (Not in Use)</v>
      </c>
      <c r="H405" s="49" t="str">
        <f t="shared" si="61"/>
        <v>Economic (USD)</v>
      </c>
      <c r="I405" s="255">
        <f t="shared" si="62"/>
        <v>0</v>
      </c>
      <c r="J405" s="116">
        <f t="shared" si="63"/>
        <v>0</v>
      </c>
      <c r="K405" s="116">
        <f t="shared" si="63"/>
        <v>0</v>
      </c>
      <c r="L405" s="116">
        <f t="shared" si="63"/>
        <v>0</v>
      </c>
      <c r="M405" s="116">
        <f t="shared" si="63"/>
        <v>0</v>
      </c>
      <c r="N405" s="116">
        <f t="shared" si="63"/>
        <v>0</v>
      </c>
    </row>
    <row r="406" spans="1:14" s="10" customFormat="1" x14ac:dyDescent="0.2">
      <c r="D406" s="49" t="str">
        <f>$D$342</f>
        <v>IEC Soc Mob  Activity # 8 (Not in Use)</v>
      </c>
      <c r="H406" s="49" t="str">
        <f t="shared" si="61"/>
        <v>Economic (USD)</v>
      </c>
      <c r="I406" s="255">
        <f t="shared" si="62"/>
        <v>0</v>
      </c>
      <c r="J406" s="116">
        <f t="shared" si="63"/>
        <v>0</v>
      </c>
      <c r="K406" s="116">
        <f t="shared" si="63"/>
        <v>0</v>
      </c>
      <c r="L406" s="116">
        <f t="shared" si="63"/>
        <v>0</v>
      </c>
      <c r="M406" s="116">
        <f t="shared" si="63"/>
        <v>0</v>
      </c>
      <c r="N406" s="116">
        <f t="shared" si="63"/>
        <v>0</v>
      </c>
    </row>
    <row r="407" spans="1:14" s="10" customFormat="1" x14ac:dyDescent="0.2">
      <c r="D407" s="101" t="str">
        <f>Lang_Total_SmallLetter&amp;" "&amp;B324&amp;" "&amp;Lang_Costs&amp;" "&amp;C397</f>
        <v>Total Social Mobilisation Costs Economic (USD)</v>
      </c>
      <c r="H407" s="49" t="str">
        <f t="shared" si="61"/>
        <v>Economic (USD)</v>
      </c>
      <c r="I407" s="348">
        <f t="shared" si="62"/>
        <v>0</v>
      </c>
      <c r="J407" s="121">
        <f t="shared" ref="J407:N407" si="64">SUM(J399:J406)</f>
        <v>0</v>
      </c>
      <c r="K407" s="121">
        <f t="shared" si="64"/>
        <v>0</v>
      </c>
      <c r="L407" s="121">
        <f t="shared" si="64"/>
        <v>0</v>
      </c>
      <c r="M407" s="121">
        <f t="shared" si="64"/>
        <v>0</v>
      </c>
      <c r="N407" s="121">
        <f t="shared" si="64"/>
        <v>0</v>
      </c>
    </row>
    <row r="408" spans="1:14" s="10" customFormat="1" x14ac:dyDescent="0.2"/>
    <row r="409" spans="1:14" s="10" customFormat="1" x14ac:dyDescent="0.2">
      <c r="D409" s="101" t="str">
        <f>B324&amp;" "&amp;Lang_Cost&amp;" "&amp;Lang_Per_Fully_Immunized_Person_FIP</f>
        <v>Social Mobilisation Cost per Fully Immunized Person (FIP)</v>
      </c>
      <c r="H409" s="49" t="str">
        <f>$C$397</f>
        <v>Economic (USD)</v>
      </c>
      <c r="I409" s="388">
        <f>I407/$I$37</f>
        <v>0</v>
      </c>
      <c r="J409" s="116">
        <f t="shared" ref="J409:N409" si="65">J407/J$37</f>
        <v>0</v>
      </c>
      <c r="K409" s="116">
        <f t="shared" si="65"/>
        <v>0</v>
      </c>
      <c r="L409" s="116">
        <f t="shared" si="65"/>
        <v>0</v>
      </c>
      <c r="M409" s="116">
        <f t="shared" si="65"/>
        <v>0</v>
      </c>
      <c r="N409" s="116">
        <f t="shared" si="65"/>
        <v>0</v>
      </c>
    </row>
    <row r="410" spans="1:14" s="10" customFormat="1" x14ac:dyDescent="0.2"/>
    <row r="411" spans="1:14" s="10" customFormat="1" x14ac:dyDescent="0.2"/>
    <row r="412" spans="1:14" s="10" customFormat="1" x14ac:dyDescent="0.2"/>
    <row r="413" spans="1:14" s="10" customFormat="1" x14ac:dyDescent="0.2">
      <c r="A413" s="12" t="s">
        <v>125</v>
      </c>
      <c r="B413" s="13" t="str">
        <f>Lang_Analysis&amp;" - "&amp;B415</f>
        <v>Analysis - Service Delivery</v>
      </c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</row>
    <row r="414" spans="1:14" s="10" customFormat="1" x14ac:dyDescent="0.2"/>
    <row r="415" spans="1:14" s="10" customFormat="1" x14ac:dyDescent="0.2">
      <c r="B415" s="65" t="str">
        <f>Lang_Service_Delivery</f>
        <v>Service Delivery</v>
      </c>
    </row>
    <row r="416" spans="1:14" s="10" customFormat="1" x14ac:dyDescent="0.2"/>
    <row r="417" spans="2:14" s="10" customFormat="1" x14ac:dyDescent="0.2">
      <c r="B417" s="74" t="str">
        <f>Lang_Activity_Names_And_Quantities_Performed</f>
        <v>Activity Names and Quantities Performed</v>
      </c>
    </row>
    <row r="418" spans="2:14" s="10" customFormat="1" x14ac:dyDescent="0.2">
      <c r="I418" s="343" t="str">
        <f>Lang_All_Years</f>
        <v>ALL YEARS</v>
      </c>
    </row>
    <row r="419" spans="2:14" s="10" customFormat="1" x14ac:dyDescent="0.2"/>
    <row r="420" spans="2:14" s="10" customFormat="1" x14ac:dyDescent="0.2">
      <c r="D420" s="248" t="str">
        <f>COST_SUMMARY!D390</f>
        <v>Number of Single Vaccination Activities Required to Administer Vaccines in a Single Vaccination Service Delivery Type 1</v>
      </c>
      <c r="I420" s="145">
        <f>SUM(J420:N420)</f>
        <v>391744.28</v>
      </c>
      <c r="J420" s="42">
        <f>COST_SUMMARY!J390</f>
        <v>75999.24000000002</v>
      </c>
      <c r="K420" s="42">
        <f>COST_SUMMARY!K390</f>
        <v>77140</v>
      </c>
      <c r="L420" s="42">
        <f>COST_SUMMARY!L390</f>
        <v>78313.440000000002</v>
      </c>
      <c r="M420" s="42">
        <f>COST_SUMMARY!M390</f>
        <v>79522.98000000001</v>
      </c>
      <c r="N420" s="42">
        <f>COST_SUMMARY!N390</f>
        <v>80768.62</v>
      </c>
    </row>
    <row r="421" spans="2:14" s="10" customFormat="1" x14ac:dyDescent="0.2">
      <c r="D421" s="49" t="str">
        <f>COST_SUMMARY!D404</f>
        <v>Number of Single Vaccination Activities Required to Administer Vaccines in a Single Vaccination Service Delivery Type 2</v>
      </c>
      <c r="I421" s="145">
        <f>SUM(J421:N421)</f>
        <v>391744.28</v>
      </c>
      <c r="J421" s="248">
        <f>COST_SUMMARY!J404</f>
        <v>75999.24000000002</v>
      </c>
      <c r="K421" s="248">
        <f>COST_SUMMARY!K404</f>
        <v>77140</v>
      </c>
      <c r="L421" s="248">
        <f>COST_SUMMARY!L404</f>
        <v>78313.440000000002</v>
      </c>
      <c r="M421" s="248">
        <f>COST_SUMMARY!M404</f>
        <v>79522.98000000001</v>
      </c>
      <c r="N421" s="248">
        <f>COST_SUMMARY!N404</f>
        <v>80768.62</v>
      </c>
    </row>
    <row r="422" spans="2:14" s="10" customFormat="1" x14ac:dyDescent="0.2">
      <c r="D422" s="49" t="str">
        <f>COST_SUMMARY!D418</f>
        <v>Total (HPV 1 &amp; HPV 2) Small Group Vaccination Activity (30 people vaccinated) Activities (Projection)</v>
      </c>
      <c r="I422" s="145">
        <f>SUM(J422:N422)</f>
        <v>3264.5356666666667</v>
      </c>
      <c r="J422" s="42">
        <f>COST_SUMMARY!J418</f>
        <v>633.32700000000011</v>
      </c>
      <c r="K422" s="42">
        <f>COST_SUMMARY!K418</f>
        <v>642.83333333333337</v>
      </c>
      <c r="L422" s="42">
        <f>COST_SUMMARY!L418</f>
        <v>652.61199999999997</v>
      </c>
      <c r="M422" s="42">
        <f>COST_SUMMARY!M418</f>
        <v>662.69150000000013</v>
      </c>
      <c r="N422" s="42">
        <f>COST_SUMMARY!N418</f>
        <v>673.0718333333333</v>
      </c>
    </row>
    <row r="423" spans="2:14" s="10" customFormat="1" x14ac:dyDescent="0.2">
      <c r="D423" s="49" t="str">
        <f>COST_SUMMARY!D432</f>
        <v>Total (HPV 1 &amp; HPV 2) Large Group Vaccination Activity (100 people vaccinated) Activities (Projection)</v>
      </c>
      <c r="I423" s="145">
        <f>SUM(J423:N423)</f>
        <v>979.36070000000007</v>
      </c>
      <c r="J423" s="42">
        <f>COST_SUMMARY!J432</f>
        <v>189.99810000000005</v>
      </c>
      <c r="K423" s="42">
        <f>COST_SUMMARY!K432</f>
        <v>192.85</v>
      </c>
      <c r="L423" s="42">
        <f>COST_SUMMARY!L432</f>
        <v>195.78360000000001</v>
      </c>
      <c r="M423" s="42">
        <f>COST_SUMMARY!M432</f>
        <v>198.80745000000002</v>
      </c>
      <c r="N423" s="42">
        <f>COST_SUMMARY!N432</f>
        <v>201.92155</v>
      </c>
    </row>
    <row r="424" spans="2:14" s="10" customFormat="1" x14ac:dyDescent="0.2"/>
    <row r="425" spans="2:14" s="10" customFormat="1" x14ac:dyDescent="0.2">
      <c r="B425" s="55" t="str">
        <f>Lang_Costs</f>
        <v>Costs</v>
      </c>
    </row>
    <row r="426" spans="2:14" s="10" customFormat="1" x14ac:dyDescent="0.2"/>
    <row r="427" spans="2:14" s="10" customFormat="1" x14ac:dyDescent="0.2"/>
    <row r="428" spans="2:14" s="10" customFormat="1" x14ac:dyDescent="0.2">
      <c r="B428" s="114" t="str">
        <f>Analy_Lu!$D$13</f>
        <v>LCU</v>
      </c>
    </row>
    <row r="429" spans="2:14" s="10" customFormat="1" x14ac:dyDescent="0.2"/>
    <row r="430" spans="2:14" s="10" customFormat="1" x14ac:dyDescent="0.2">
      <c r="C430" s="71" t="str">
        <f>Lang_Fin&amp;" ("&amp;Analy_Lu!$D$13&amp;")"</f>
        <v>Financial (LCU)</v>
      </c>
    </row>
    <row r="431" spans="2:14" s="10" customFormat="1" x14ac:dyDescent="0.2">
      <c r="I431" s="343" t="str">
        <f>Lang_All_Years</f>
        <v>ALL YEARS</v>
      </c>
    </row>
    <row r="432" spans="2:14" s="10" customFormat="1" x14ac:dyDescent="0.2">
      <c r="D432" s="49" t="str">
        <f>COST_SUMMARY!C393</f>
        <v>Single Vaccination Service Delivery Type 1 Financial (LCU)</v>
      </c>
      <c r="I432" s="145">
        <f>SUM(J432:N432)</f>
        <v>0</v>
      </c>
      <c r="J432" s="42">
        <f>COST_SUMMARY!J393</f>
        <v>0</v>
      </c>
      <c r="K432" s="42">
        <f>COST_SUMMARY!K393</f>
        <v>0</v>
      </c>
      <c r="L432" s="42">
        <f>COST_SUMMARY!L393</f>
        <v>0</v>
      </c>
      <c r="M432" s="42">
        <f>COST_SUMMARY!M393</f>
        <v>0</v>
      </c>
      <c r="N432" s="42">
        <f>COST_SUMMARY!N393</f>
        <v>0</v>
      </c>
    </row>
    <row r="433" spans="3:14" s="10" customFormat="1" x14ac:dyDescent="0.2">
      <c r="D433" s="49" t="str">
        <f>COST_SUMMARY!C407</f>
        <v>Single Vaccination Service Delivery Type 2 Financial (LCU)</v>
      </c>
      <c r="I433" s="145">
        <f>SUM(J433:N433)</f>
        <v>0</v>
      </c>
      <c r="J433" s="42">
        <f>COST_SUMMARY!J407</f>
        <v>0</v>
      </c>
      <c r="K433" s="42">
        <f>COST_SUMMARY!K407</f>
        <v>0</v>
      </c>
      <c r="L433" s="42">
        <f>COST_SUMMARY!L407</f>
        <v>0</v>
      </c>
      <c r="M433" s="42">
        <f>COST_SUMMARY!M407</f>
        <v>0</v>
      </c>
      <c r="N433" s="42">
        <f>COST_SUMMARY!N407</f>
        <v>0</v>
      </c>
    </row>
    <row r="434" spans="3:14" s="10" customFormat="1" x14ac:dyDescent="0.2">
      <c r="D434" s="49" t="str">
        <f>COST_SUMMARY!C421</f>
        <v>Small Group Vaccination Activity (30 people vaccinated) Financial (LCU)</v>
      </c>
      <c r="I434" s="145">
        <f>SUM(J434:N434)</f>
        <v>0</v>
      </c>
      <c r="J434" s="42">
        <f>COST_SUMMARY!J421</f>
        <v>0</v>
      </c>
      <c r="K434" s="42">
        <f>COST_SUMMARY!K421</f>
        <v>0</v>
      </c>
      <c r="L434" s="42">
        <f>COST_SUMMARY!L421</f>
        <v>0</v>
      </c>
      <c r="M434" s="42">
        <f>COST_SUMMARY!M421</f>
        <v>0</v>
      </c>
      <c r="N434" s="42">
        <f>COST_SUMMARY!N421</f>
        <v>0</v>
      </c>
    </row>
    <row r="435" spans="3:14" s="10" customFormat="1" x14ac:dyDescent="0.2">
      <c r="D435" s="49" t="str">
        <f>COST_SUMMARY!C435</f>
        <v>Large Group Vaccination Activity (100 people vaccinated) Financial (LCU)</v>
      </c>
      <c r="I435" s="145">
        <f>SUM(J435:N435)</f>
        <v>0</v>
      </c>
      <c r="J435" s="42">
        <f>COST_SUMMARY!J435</f>
        <v>0</v>
      </c>
      <c r="K435" s="42">
        <f>COST_SUMMARY!K435</f>
        <v>0</v>
      </c>
      <c r="L435" s="42">
        <f>COST_SUMMARY!L435</f>
        <v>0</v>
      </c>
      <c r="M435" s="42">
        <f>COST_SUMMARY!M435</f>
        <v>0</v>
      </c>
      <c r="N435" s="42">
        <f>COST_SUMMARY!N435</f>
        <v>0</v>
      </c>
    </row>
    <row r="436" spans="3:14" s="10" customFormat="1" x14ac:dyDescent="0.2">
      <c r="D436" s="101" t="str">
        <f>Lang_Total_SmallLetter&amp;" "&amp;B415&amp;" "&amp;Lang_Costs&amp;" "&amp;C430</f>
        <v>Total Service Delivery Costs Financial (LCU)</v>
      </c>
      <c r="I436" s="342">
        <f>SUM(J436:N436)</f>
        <v>0</v>
      </c>
      <c r="J436" s="113">
        <f t="shared" ref="J436:N436" si="66">SUM(J432:J435)</f>
        <v>0</v>
      </c>
      <c r="K436" s="113">
        <f t="shared" si="66"/>
        <v>0</v>
      </c>
      <c r="L436" s="113">
        <f t="shared" si="66"/>
        <v>0</v>
      </c>
      <c r="M436" s="113">
        <f t="shared" si="66"/>
        <v>0</v>
      </c>
      <c r="N436" s="113">
        <f t="shared" si="66"/>
        <v>0</v>
      </c>
    </row>
    <row r="437" spans="3:14" s="10" customFormat="1" x14ac:dyDescent="0.2"/>
    <row r="438" spans="3:14" s="10" customFormat="1" x14ac:dyDescent="0.2">
      <c r="D438" s="101" t="str">
        <f>B415&amp;" "&amp;Lang_Cost&amp;" "&amp;Lang_Per_Fully_Immunized_Person_FIP</f>
        <v>Service Delivery Cost per Fully Immunized Person (FIP)</v>
      </c>
      <c r="H438" s="49" t="str">
        <f>C430</f>
        <v>Financial (LCU)</v>
      </c>
      <c r="I438" s="145">
        <f>I436/I$37</f>
        <v>0</v>
      </c>
      <c r="J438" s="42">
        <f t="shared" ref="J438:N438" si="67">J436/J$37</f>
        <v>0</v>
      </c>
      <c r="K438" s="42">
        <f t="shared" si="67"/>
        <v>0</v>
      </c>
      <c r="L438" s="42">
        <f t="shared" si="67"/>
        <v>0</v>
      </c>
      <c r="M438" s="42">
        <f t="shared" si="67"/>
        <v>0</v>
      </c>
      <c r="N438" s="42">
        <f t="shared" si="67"/>
        <v>0</v>
      </c>
    </row>
    <row r="439" spans="3:14" s="10" customFormat="1" x14ac:dyDescent="0.2"/>
    <row r="440" spans="3:14" s="10" customFormat="1" x14ac:dyDescent="0.2"/>
    <row r="441" spans="3:14" s="10" customFormat="1" x14ac:dyDescent="0.2">
      <c r="C441" s="71" t="str">
        <f>Lang_Econ&amp;" ("&amp;Analy_Lu!$D$13&amp;")"</f>
        <v>Economic (LCU)</v>
      </c>
    </row>
    <row r="442" spans="3:14" s="10" customFormat="1" x14ac:dyDescent="0.2">
      <c r="I442" s="343" t="str">
        <f>Lang_All_Years</f>
        <v>ALL YEARS</v>
      </c>
    </row>
    <row r="443" spans="3:14" s="10" customFormat="1" x14ac:dyDescent="0.2">
      <c r="D443" s="49" t="str">
        <f>COST_SUMMARY!C394</f>
        <v>Single Vaccination Service Delivery Type 1 Economic (LCU)</v>
      </c>
      <c r="I443" s="145">
        <f>SUM(J443:N443)</f>
        <v>0</v>
      </c>
      <c r="J443" s="42">
        <f>COST_SUMMARY!J394</f>
        <v>0</v>
      </c>
      <c r="K443" s="42">
        <f>COST_SUMMARY!K394</f>
        <v>0</v>
      </c>
      <c r="L443" s="42">
        <f>COST_SUMMARY!L394</f>
        <v>0</v>
      </c>
      <c r="M443" s="42">
        <f>COST_SUMMARY!M394</f>
        <v>0</v>
      </c>
      <c r="N443" s="42">
        <f>COST_SUMMARY!N394</f>
        <v>0</v>
      </c>
    </row>
    <row r="444" spans="3:14" s="10" customFormat="1" x14ac:dyDescent="0.2">
      <c r="D444" s="49" t="str">
        <f>COST_SUMMARY!C408</f>
        <v>Single Vaccination Service Delivery Type 2 Economic (LCU)</v>
      </c>
      <c r="I444" s="145">
        <f>SUM(J444:N444)</f>
        <v>0</v>
      </c>
      <c r="J444" s="42">
        <f>COST_SUMMARY!J408</f>
        <v>0</v>
      </c>
      <c r="K444" s="42">
        <f>COST_SUMMARY!K408</f>
        <v>0</v>
      </c>
      <c r="L444" s="42">
        <f>COST_SUMMARY!L408</f>
        <v>0</v>
      </c>
      <c r="M444" s="42">
        <f>COST_SUMMARY!M408</f>
        <v>0</v>
      </c>
      <c r="N444" s="42">
        <f>COST_SUMMARY!N408</f>
        <v>0</v>
      </c>
    </row>
    <row r="445" spans="3:14" s="10" customFormat="1" x14ac:dyDescent="0.2">
      <c r="D445" s="49" t="str">
        <f>COST_SUMMARY!C422</f>
        <v>Small Group Vaccination Activity (30 people vaccinated) Economic (LCU)</v>
      </c>
      <c r="I445" s="145">
        <f>SUM(J445:N445)</f>
        <v>0</v>
      </c>
      <c r="J445" s="42">
        <f>COST_SUMMARY!J422</f>
        <v>0</v>
      </c>
      <c r="K445" s="42">
        <f>COST_SUMMARY!K422</f>
        <v>0</v>
      </c>
      <c r="L445" s="42">
        <f>COST_SUMMARY!L422</f>
        <v>0</v>
      </c>
      <c r="M445" s="42">
        <f>COST_SUMMARY!M422</f>
        <v>0</v>
      </c>
      <c r="N445" s="42">
        <f>COST_SUMMARY!N422</f>
        <v>0</v>
      </c>
    </row>
    <row r="446" spans="3:14" s="10" customFormat="1" x14ac:dyDescent="0.2">
      <c r="D446" s="49" t="str">
        <f>COST_SUMMARY!C436</f>
        <v>Large Group Vaccination Activity (100 people vaccinated) Economic (LCU)</v>
      </c>
      <c r="I446" s="145">
        <f>SUM(J446:N446)</f>
        <v>0</v>
      </c>
      <c r="J446" s="42">
        <f>COST_SUMMARY!J436</f>
        <v>0</v>
      </c>
      <c r="K446" s="42">
        <f>COST_SUMMARY!K436</f>
        <v>0</v>
      </c>
      <c r="L446" s="42">
        <f>COST_SUMMARY!L436</f>
        <v>0</v>
      </c>
      <c r="M446" s="42">
        <f>COST_SUMMARY!M436</f>
        <v>0</v>
      </c>
      <c r="N446" s="42">
        <f>COST_SUMMARY!N436</f>
        <v>0</v>
      </c>
    </row>
    <row r="447" spans="3:14" s="10" customFormat="1" x14ac:dyDescent="0.2">
      <c r="D447" s="101" t="str">
        <f>Lang_Total_SmallLetter&amp;" "&amp;B415&amp;" "&amp;Lang_Costs&amp;" "&amp;C441</f>
        <v>Total Service Delivery Costs Economic (LCU)</v>
      </c>
      <c r="I447" s="342">
        <f>SUM(J447:N447)</f>
        <v>0</v>
      </c>
      <c r="J447" s="113">
        <f t="shared" ref="J447:N447" si="68">SUM(J443:J446)</f>
        <v>0</v>
      </c>
      <c r="K447" s="113">
        <f t="shared" si="68"/>
        <v>0</v>
      </c>
      <c r="L447" s="113">
        <f t="shared" si="68"/>
        <v>0</v>
      </c>
      <c r="M447" s="113">
        <f t="shared" si="68"/>
        <v>0</v>
      </c>
      <c r="N447" s="113">
        <f t="shared" si="68"/>
        <v>0</v>
      </c>
    </row>
    <row r="448" spans="3:14" s="10" customFormat="1" x14ac:dyDescent="0.2"/>
    <row r="449" spans="2:14" s="10" customFormat="1" x14ac:dyDescent="0.2">
      <c r="D449" s="101" t="str">
        <f>B415&amp;" "&amp;Lang_Cost&amp;" "&amp;Lang_Per_Fully_Immunized_Person_FIP</f>
        <v>Service Delivery Cost per Fully Immunized Person (FIP)</v>
      </c>
      <c r="H449" s="49" t="str">
        <f>$C$441</f>
        <v>Economic (LCU)</v>
      </c>
      <c r="I449" s="145">
        <f>I447/I$37</f>
        <v>0</v>
      </c>
      <c r="J449" s="42">
        <f t="shared" ref="J449:N449" si="69">J447/J$37</f>
        <v>0</v>
      </c>
      <c r="K449" s="42">
        <f t="shared" si="69"/>
        <v>0</v>
      </c>
      <c r="L449" s="42">
        <f t="shared" si="69"/>
        <v>0</v>
      </c>
      <c r="M449" s="42">
        <f t="shared" si="69"/>
        <v>0</v>
      </c>
      <c r="N449" s="42">
        <f t="shared" si="69"/>
        <v>0</v>
      </c>
    </row>
    <row r="450" spans="2:14" s="10" customFormat="1" x14ac:dyDescent="0.2"/>
    <row r="451" spans="2:14" s="10" customFormat="1" x14ac:dyDescent="0.2"/>
    <row r="452" spans="2:14" s="10" customFormat="1" x14ac:dyDescent="0.2">
      <c r="B452" s="114" t="str">
        <f>Analy_Lu!$D$12</f>
        <v>USD</v>
      </c>
    </row>
    <row r="453" spans="2:14" s="10" customFormat="1" x14ac:dyDescent="0.2"/>
    <row r="454" spans="2:14" s="10" customFormat="1" x14ac:dyDescent="0.2">
      <c r="C454" s="71" t="str">
        <f>Lang_Fin&amp;" ("&amp;Analy_Lu!$D$12&amp;")"</f>
        <v>Financial (USD)</v>
      </c>
    </row>
    <row r="455" spans="2:14" s="10" customFormat="1" x14ac:dyDescent="0.2">
      <c r="I455" s="343" t="str">
        <f>Lang_All_Years</f>
        <v>ALL YEARS</v>
      </c>
    </row>
    <row r="456" spans="2:14" s="10" customFormat="1" x14ac:dyDescent="0.2">
      <c r="D456" s="53" t="str">
        <f>HL_LVL2_ACTV_6_Name&amp;" "&amp;$C$454</f>
        <v>Single Vaccination Service Delivery Type 1 Financial (USD)</v>
      </c>
      <c r="I456" s="255">
        <f>SUM(J456:N456)</f>
        <v>0</v>
      </c>
      <c r="J456" s="116">
        <f t="shared" ref="J456:N459" si="70">J432/Analy_Exchange_Rate</f>
        <v>0</v>
      </c>
      <c r="K456" s="116">
        <f t="shared" si="70"/>
        <v>0</v>
      </c>
      <c r="L456" s="116">
        <f t="shared" si="70"/>
        <v>0</v>
      </c>
      <c r="M456" s="116">
        <f t="shared" si="70"/>
        <v>0</v>
      </c>
      <c r="N456" s="116">
        <f t="shared" si="70"/>
        <v>0</v>
      </c>
    </row>
    <row r="457" spans="2:14" s="10" customFormat="1" x14ac:dyDescent="0.2">
      <c r="D457" s="53" t="str">
        <f>HL_LVL2_ACTV_12_Name&amp;" "&amp;$C$454</f>
        <v>Single Vaccination Service Delivery Type 2 Financial (USD)</v>
      </c>
      <c r="I457" s="255">
        <f>SUM(J457:N457)</f>
        <v>0</v>
      </c>
      <c r="J457" s="116">
        <f t="shared" si="70"/>
        <v>0</v>
      </c>
      <c r="K457" s="116">
        <f t="shared" si="70"/>
        <v>0</v>
      </c>
      <c r="L457" s="116">
        <f t="shared" si="70"/>
        <v>0</v>
      </c>
      <c r="M457" s="116">
        <f t="shared" si="70"/>
        <v>0</v>
      </c>
      <c r="N457" s="116">
        <f t="shared" si="70"/>
        <v>0</v>
      </c>
    </row>
    <row r="458" spans="2:14" s="10" customFormat="1" x14ac:dyDescent="0.2">
      <c r="D458" s="53" t="str">
        <f>HL_LVL2_ACTV_13_Name&amp;" "&amp;$C$454</f>
        <v>Small Group Vaccination Activity (30 people vaccinated) Financial (USD)</v>
      </c>
      <c r="I458" s="255">
        <f>SUM(J458:N458)</f>
        <v>0</v>
      </c>
      <c r="J458" s="116">
        <f t="shared" si="70"/>
        <v>0</v>
      </c>
      <c r="K458" s="116">
        <f t="shared" si="70"/>
        <v>0</v>
      </c>
      <c r="L458" s="116">
        <f t="shared" si="70"/>
        <v>0</v>
      </c>
      <c r="M458" s="116">
        <f t="shared" si="70"/>
        <v>0</v>
      </c>
      <c r="N458" s="116">
        <f t="shared" si="70"/>
        <v>0</v>
      </c>
    </row>
    <row r="459" spans="2:14" s="10" customFormat="1" x14ac:dyDescent="0.2">
      <c r="D459" s="53" t="str">
        <f>HL_LVL2_ACTV_9_Name&amp;" "&amp;$C$454</f>
        <v>Large Group Vaccination Activity (100 people vaccinated) Financial (USD)</v>
      </c>
      <c r="I459" s="255">
        <f>SUM(J459:N459)</f>
        <v>0</v>
      </c>
      <c r="J459" s="116">
        <f t="shared" si="70"/>
        <v>0</v>
      </c>
      <c r="K459" s="116">
        <f t="shared" si="70"/>
        <v>0</v>
      </c>
      <c r="L459" s="116">
        <f t="shared" si="70"/>
        <v>0</v>
      </c>
      <c r="M459" s="116">
        <f t="shared" si="70"/>
        <v>0</v>
      </c>
      <c r="N459" s="116">
        <f t="shared" si="70"/>
        <v>0</v>
      </c>
    </row>
    <row r="460" spans="2:14" s="10" customFormat="1" x14ac:dyDescent="0.2">
      <c r="D460" s="101" t="str">
        <f>Lang_Total_SmallLetter&amp;" "&amp;B415&amp;" "&amp;Lang_Costs&amp;" "&amp;C454</f>
        <v>Total Service Delivery Costs Financial (USD)</v>
      </c>
      <c r="I460" s="348">
        <f>SUM(J460:N460)</f>
        <v>0</v>
      </c>
      <c r="J460" s="125">
        <f t="shared" ref="J460:N460" si="71">SUM(J456:J459)</f>
        <v>0</v>
      </c>
      <c r="K460" s="125">
        <f t="shared" si="71"/>
        <v>0</v>
      </c>
      <c r="L460" s="125">
        <f t="shared" si="71"/>
        <v>0</v>
      </c>
      <c r="M460" s="125">
        <f t="shared" si="71"/>
        <v>0</v>
      </c>
      <c r="N460" s="125">
        <f t="shared" si="71"/>
        <v>0</v>
      </c>
    </row>
    <row r="461" spans="2:14" s="10" customFormat="1" x14ac:dyDescent="0.2"/>
    <row r="462" spans="2:14" s="10" customFormat="1" x14ac:dyDescent="0.2">
      <c r="D462" s="101" t="str">
        <f>B415&amp;" "&amp;Lang_Cost&amp;" "&amp;Lang_Per_Fully_Immunized_Person_FIP</f>
        <v>Service Delivery Cost per Fully Immunized Person (FIP)</v>
      </c>
      <c r="H462" s="49" t="str">
        <f>$C$454</f>
        <v>Financial (USD)</v>
      </c>
      <c r="I462" s="388">
        <f>I460/I$37</f>
        <v>0</v>
      </c>
      <c r="J462" s="116">
        <f t="shared" ref="J462:N462" si="72">J460/J$37</f>
        <v>0</v>
      </c>
      <c r="K462" s="116">
        <f t="shared" si="72"/>
        <v>0</v>
      </c>
      <c r="L462" s="116">
        <f t="shared" si="72"/>
        <v>0</v>
      </c>
      <c r="M462" s="116">
        <f t="shared" si="72"/>
        <v>0</v>
      </c>
      <c r="N462" s="116">
        <f t="shared" si="72"/>
        <v>0</v>
      </c>
    </row>
    <row r="463" spans="2:14" s="10" customFormat="1" x14ac:dyDescent="0.2"/>
    <row r="464" spans="2:14" s="10" customFormat="1" x14ac:dyDescent="0.2">
      <c r="C464" s="71" t="str">
        <f>Lang_Econ&amp;" ("&amp;Analy_Lu!$D$12&amp;")"</f>
        <v>Economic (USD)</v>
      </c>
    </row>
    <row r="465" spans="1:14" s="10" customFormat="1" x14ac:dyDescent="0.2">
      <c r="I465" s="343" t="str">
        <f>Lang_All_Years</f>
        <v>ALL YEARS</v>
      </c>
    </row>
    <row r="466" spans="1:14" s="10" customFormat="1" x14ac:dyDescent="0.2">
      <c r="D466" s="53" t="str">
        <f>HL_LVL2_ACTV_6_Name&amp;" "&amp;$C$464</f>
        <v>Single Vaccination Service Delivery Type 1 Economic (USD)</v>
      </c>
      <c r="I466" s="255">
        <f>SUM(J466:N466)</f>
        <v>0</v>
      </c>
      <c r="J466" s="116">
        <f t="shared" ref="J466:N469" si="73">J443/Analy_Exchange_Rate</f>
        <v>0</v>
      </c>
      <c r="K466" s="116">
        <f t="shared" si="73"/>
        <v>0</v>
      </c>
      <c r="L466" s="116">
        <f t="shared" si="73"/>
        <v>0</v>
      </c>
      <c r="M466" s="116">
        <f t="shared" si="73"/>
        <v>0</v>
      </c>
      <c r="N466" s="116">
        <f t="shared" si="73"/>
        <v>0</v>
      </c>
    </row>
    <row r="467" spans="1:14" s="10" customFormat="1" x14ac:dyDescent="0.2">
      <c r="D467" s="53" t="str">
        <f>HL_LVL2_ACTV_12_Name&amp;" "&amp;$C$464</f>
        <v>Single Vaccination Service Delivery Type 2 Economic (USD)</v>
      </c>
      <c r="I467" s="255">
        <f>SUM(J467:N467)</f>
        <v>0</v>
      </c>
      <c r="J467" s="116">
        <f t="shared" si="73"/>
        <v>0</v>
      </c>
      <c r="K467" s="116">
        <f t="shared" si="73"/>
        <v>0</v>
      </c>
      <c r="L467" s="116">
        <f t="shared" si="73"/>
        <v>0</v>
      </c>
      <c r="M467" s="116">
        <f t="shared" si="73"/>
        <v>0</v>
      </c>
      <c r="N467" s="116">
        <f t="shared" si="73"/>
        <v>0</v>
      </c>
    </row>
    <row r="468" spans="1:14" s="10" customFormat="1" x14ac:dyDescent="0.2">
      <c r="D468" s="53" t="str">
        <f>HL_LVL2_ACTV_13_Name&amp;" "&amp;$C$464</f>
        <v>Small Group Vaccination Activity (30 people vaccinated) Economic (USD)</v>
      </c>
      <c r="I468" s="255">
        <f>SUM(J468:N468)</f>
        <v>0</v>
      </c>
      <c r="J468" s="116">
        <f t="shared" si="73"/>
        <v>0</v>
      </c>
      <c r="K468" s="116">
        <f t="shared" si="73"/>
        <v>0</v>
      </c>
      <c r="L468" s="116">
        <f t="shared" si="73"/>
        <v>0</v>
      </c>
      <c r="M468" s="116">
        <f t="shared" si="73"/>
        <v>0</v>
      </c>
      <c r="N468" s="116">
        <f t="shared" si="73"/>
        <v>0</v>
      </c>
    </row>
    <row r="469" spans="1:14" s="10" customFormat="1" x14ac:dyDescent="0.2">
      <c r="D469" s="53" t="str">
        <f>HL_LVL2_ACTV_9_Name&amp;" "&amp;$C$464</f>
        <v>Large Group Vaccination Activity (100 people vaccinated) Economic (USD)</v>
      </c>
      <c r="I469" s="255">
        <f>SUM(J469:N469)</f>
        <v>0</v>
      </c>
      <c r="J469" s="116">
        <f t="shared" si="73"/>
        <v>0</v>
      </c>
      <c r="K469" s="116">
        <f t="shared" si="73"/>
        <v>0</v>
      </c>
      <c r="L469" s="116">
        <f t="shared" si="73"/>
        <v>0</v>
      </c>
      <c r="M469" s="116">
        <f t="shared" si="73"/>
        <v>0</v>
      </c>
      <c r="N469" s="116">
        <f t="shared" si="73"/>
        <v>0</v>
      </c>
    </row>
    <row r="470" spans="1:14" s="10" customFormat="1" x14ac:dyDescent="0.2">
      <c r="D470" s="101" t="str">
        <f>Lang_Total_SmallLetter&amp;" "&amp;B415&amp;" "&amp;Lang_Costs&amp;" "&amp;C464</f>
        <v>Total Service Delivery Costs Economic (USD)</v>
      </c>
      <c r="I470" s="348">
        <f>SUM(J470:N470)</f>
        <v>0</v>
      </c>
      <c r="J470" s="125">
        <f t="shared" ref="J470:N470" si="74">SUM(J466:J469)</f>
        <v>0</v>
      </c>
      <c r="K470" s="125">
        <f t="shared" si="74"/>
        <v>0</v>
      </c>
      <c r="L470" s="125">
        <f t="shared" si="74"/>
        <v>0</v>
      </c>
      <c r="M470" s="125">
        <f t="shared" si="74"/>
        <v>0</v>
      </c>
      <c r="N470" s="125">
        <f t="shared" si="74"/>
        <v>0</v>
      </c>
    </row>
    <row r="471" spans="1:14" s="10" customFormat="1" x14ac:dyDescent="0.2"/>
    <row r="472" spans="1:14" s="10" customFormat="1" x14ac:dyDescent="0.2">
      <c r="D472" s="101" t="str">
        <f>B415&amp;" "&amp;Lang_Cost&amp;" "&amp;Lang_Per_Fully_Immunized_Person_FIP</f>
        <v>Service Delivery Cost per Fully Immunized Person (FIP)</v>
      </c>
      <c r="H472" s="49" t="str">
        <f>$C$464</f>
        <v>Economic (USD)</v>
      </c>
      <c r="I472" s="388">
        <f>I470/I$37</f>
        <v>0</v>
      </c>
      <c r="J472" s="116">
        <f t="shared" ref="J472:N472" si="75">J470/J$37</f>
        <v>0</v>
      </c>
      <c r="K472" s="116">
        <f t="shared" si="75"/>
        <v>0</v>
      </c>
      <c r="L472" s="116">
        <f t="shared" si="75"/>
        <v>0</v>
      </c>
      <c r="M472" s="116">
        <f t="shared" si="75"/>
        <v>0</v>
      </c>
      <c r="N472" s="116">
        <f t="shared" si="75"/>
        <v>0</v>
      </c>
    </row>
    <row r="473" spans="1:14" s="10" customFormat="1" x14ac:dyDescent="0.2"/>
    <row r="474" spans="1:14" s="10" customFormat="1" x14ac:dyDescent="0.2"/>
    <row r="475" spans="1:14" s="10" customFormat="1" x14ac:dyDescent="0.2">
      <c r="A475" s="12" t="s">
        <v>125</v>
      </c>
      <c r="B475" s="13" t="str">
        <f>Lang_Analysis&amp;" - "&amp;B477</f>
        <v>Analysis - Supervision</v>
      </c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</row>
    <row r="476" spans="1:14" s="10" customFormat="1" x14ac:dyDescent="0.2"/>
    <row r="477" spans="1:14" s="10" customFormat="1" x14ac:dyDescent="0.2">
      <c r="B477" s="65" t="str">
        <f>Lang_Supervision</f>
        <v>Supervision</v>
      </c>
    </row>
    <row r="478" spans="1:14" s="10" customFormat="1" x14ac:dyDescent="0.2"/>
    <row r="479" spans="1:14" s="10" customFormat="1" x14ac:dyDescent="0.2">
      <c r="B479" s="74" t="str">
        <f>Lang_Activity_Names_And_Quantities_Performed</f>
        <v>Activity Names and Quantities Performed</v>
      </c>
    </row>
    <row r="480" spans="1:14" s="10" customFormat="1" x14ac:dyDescent="0.2">
      <c r="I480" s="343" t="str">
        <f>Lang_All_Years</f>
        <v>ALL YEARS</v>
      </c>
    </row>
    <row r="481" spans="2:14" s="10" customFormat="1" x14ac:dyDescent="0.2">
      <c r="D481" s="352" t="str">
        <f>SUPERVISION!D38</f>
        <v>SME Activity #1 (Not in Use) - Number of Activities per Year (Projected or Retrospective)</v>
      </c>
      <c r="I481" s="145">
        <f t="shared" ref="I481:I487" si="76">SUM(J481:N481)</f>
        <v>0</v>
      </c>
      <c r="J481" s="351">
        <f>SUPERVISION!J38</f>
        <v>0</v>
      </c>
      <c r="K481" s="351">
        <f>SUPERVISION!K38</f>
        <v>0</v>
      </c>
      <c r="L481" s="351">
        <f>SUPERVISION!L38</f>
        <v>0</v>
      </c>
      <c r="M481" s="351">
        <f>SUPERVISION!M38</f>
        <v>0</v>
      </c>
      <c r="N481" s="351">
        <f>SUPERVISION!N38</f>
        <v>0</v>
      </c>
    </row>
    <row r="482" spans="2:14" s="10" customFormat="1" x14ac:dyDescent="0.2">
      <c r="D482" s="352" t="str">
        <f>SUPERVISION!D75</f>
        <v>SME Activity #2 (Not in Use) - Number of Activities per Year (Projected or Retrospective)</v>
      </c>
      <c r="I482" s="145">
        <f t="shared" si="76"/>
        <v>0</v>
      </c>
      <c r="J482" s="351">
        <f>SUPERVISION!J75</f>
        <v>0</v>
      </c>
      <c r="K482" s="351">
        <f>SUPERVISION!K75</f>
        <v>0</v>
      </c>
      <c r="L482" s="351">
        <f>SUPERVISION!L75</f>
        <v>0</v>
      </c>
      <c r="M482" s="351">
        <f>SUPERVISION!M75</f>
        <v>0</v>
      </c>
      <c r="N482" s="351">
        <f>SUPERVISION!N75</f>
        <v>0</v>
      </c>
    </row>
    <row r="483" spans="2:14" s="10" customFormat="1" x14ac:dyDescent="0.2">
      <c r="D483" s="352" t="str">
        <f>SUPERVISION!D112</f>
        <v>SME Activity #3 (Not in Use) - Number of Activities per Year (Projected or Retrospective)</v>
      </c>
      <c r="I483" s="145">
        <f t="shared" si="76"/>
        <v>0</v>
      </c>
      <c r="J483" s="351">
        <f>SUPERVISION!J112</f>
        <v>0</v>
      </c>
      <c r="K483" s="351">
        <f>SUPERVISION!K112</f>
        <v>0</v>
      </c>
      <c r="L483" s="351">
        <f>SUPERVISION!L112</f>
        <v>0</v>
      </c>
      <c r="M483" s="351">
        <f>SUPERVISION!M112</f>
        <v>0</v>
      </c>
      <c r="N483" s="351">
        <f>SUPERVISION!N112</f>
        <v>0</v>
      </c>
    </row>
    <row r="484" spans="2:14" s="10" customFormat="1" x14ac:dyDescent="0.2">
      <c r="D484" s="352" t="str">
        <f>SUPERVISION!D149</f>
        <v>SME Activity #4 (Not in Use) - Number of Activities per Year (Projected or Retrospective)</v>
      </c>
      <c r="I484" s="145">
        <f t="shared" si="76"/>
        <v>0</v>
      </c>
      <c r="J484" s="351">
        <f>SUPERVISION!J149</f>
        <v>0</v>
      </c>
      <c r="K484" s="351">
        <f>SUPERVISION!K149</f>
        <v>0</v>
      </c>
      <c r="L484" s="351">
        <f>SUPERVISION!L149</f>
        <v>0</v>
      </c>
      <c r="M484" s="351">
        <f>SUPERVISION!M149</f>
        <v>0</v>
      </c>
      <c r="N484" s="351">
        <f>SUPERVISION!N149</f>
        <v>0</v>
      </c>
    </row>
    <row r="485" spans="2:14" s="10" customFormat="1" x14ac:dyDescent="0.2">
      <c r="D485" s="352" t="str">
        <f>SUPERVISION!D191</f>
        <v>SME Activity #5 (Not in Use) - Number of Activities per Year (Projected or Retrospective)</v>
      </c>
      <c r="I485" s="145">
        <f t="shared" si="76"/>
        <v>0</v>
      </c>
      <c r="J485" s="351">
        <f>SUPERVISION!J191</f>
        <v>0</v>
      </c>
      <c r="K485" s="351">
        <f>SUPERVISION!K191</f>
        <v>0</v>
      </c>
      <c r="L485" s="351">
        <f>SUPERVISION!L191</f>
        <v>0</v>
      </c>
      <c r="M485" s="351">
        <f>SUPERVISION!M191</f>
        <v>0</v>
      </c>
      <c r="N485" s="351">
        <f>SUPERVISION!N191</f>
        <v>0</v>
      </c>
    </row>
    <row r="486" spans="2:14" s="10" customFormat="1" x14ac:dyDescent="0.2">
      <c r="D486" s="352" t="str">
        <f>SUPERVISION!D234</f>
        <v>SME Activity #6 (Not in Use) - Number of Activities per Year (Projected or Retrospective)</v>
      </c>
      <c r="I486" s="145">
        <f t="shared" si="76"/>
        <v>0</v>
      </c>
      <c r="J486" s="351">
        <f>SUPERVISION!J234</f>
        <v>0</v>
      </c>
      <c r="K486" s="351">
        <f>SUPERVISION!K234</f>
        <v>0</v>
      </c>
      <c r="L486" s="351">
        <f>SUPERVISION!L234</f>
        <v>0</v>
      </c>
      <c r="M486" s="351">
        <f>SUPERVISION!M234</f>
        <v>0</v>
      </c>
      <c r="N486" s="351">
        <f>SUPERVISION!N234</f>
        <v>0</v>
      </c>
    </row>
    <row r="487" spans="2:14" s="10" customFormat="1" x14ac:dyDescent="0.2">
      <c r="D487" s="352" t="str">
        <f>SUPERVISION!D277</f>
        <v>SME Activity #7 (Not in Use) - Number of Activities per Year (Projected or Retrospective)</v>
      </c>
      <c r="I487" s="145">
        <f t="shared" si="76"/>
        <v>0</v>
      </c>
      <c r="J487" s="351">
        <f>SUPERVISION!J277</f>
        <v>0</v>
      </c>
      <c r="K487" s="351">
        <f>SUPERVISION!K277</f>
        <v>0</v>
      </c>
      <c r="L487" s="351">
        <f>SUPERVISION!L277</f>
        <v>0</v>
      </c>
      <c r="M487" s="351">
        <f>SUPERVISION!M277</f>
        <v>0</v>
      </c>
      <c r="N487" s="351">
        <f>SUPERVISION!N277</f>
        <v>0</v>
      </c>
    </row>
    <row r="488" spans="2:14" s="10" customFormat="1" x14ac:dyDescent="0.2"/>
    <row r="489" spans="2:14" s="10" customFormat="1" x14ac:dyDescent="0.2"/>
    <row r="490" spans="2:14" s="10" customFormat="1" x14ac:dyDescent="0.2">
      <c r="B490" s="55" t="str">
        <f>Lang_Costs</f>
        <v>Costs</v>
      </c>
    </row>
    <row r="491" spans="2:14" s="10" customFormat="1" x14ac:dyDescent="0.2"/>
    <row r="492" spans="2:14" s="10" customFormat="1" x14ac:dyDescent="0.2"/>
    <row r="493" spans="2:14" s="10" customFormat="1" x14ac:dyDescent="0.2">
      <c r="B493" s="114" t="str">
        <f>Analy_Lu!$D$13</f>
        <v>LCU</v>
      </c>
    </row>
    <row r="494" spans="2:14" s="10" customFormat="1" x14ac:dyDescent="0.2"/>
    <row r="495" spans="2:14" s="10" customFormat="1" x14ac:dyDescent="0.2">
      <c r="C495" s="71" t="str">
        <f>Lang_Fin&amp;" ("&amp;Analy_Lu!$D$13&amp;")"</f>
        <v>Financial (LCU)</v>
      </c>
    </row>
    <row r="496" spans="2:14" s="10" customFormat="1" x14ac:dyDescent="0.2">
      <c r="I496" s="343" t="str">
        <f>Lang_All_Years</f>
        <v>ALL YEARS</v>
      </c>
    </row>
    <row r="497" spans="3:14" s="10" customFormat="1" x14ac:dyDescent="0.2">
      <c r="D497" s="53" t="str">
        <f>HL_TOP_ACTV_5_Name&amp;" "&amp;$C$495</f>
        <v>SME Activity #1 (Not in Use) Financial (LCU)</v>
      </c>
      <c r="I497" s="145">
        <f t="shared" ref="I497:I504" si="77">SUM(J497:N497)</f>
        <v>0</v>
      </c>
      <c r="J497" s="42">
        <f>COST_SUMMARY!J449</f>
        <v>0</v>
      </c>
      <c r="K497" s="42">
        <f>COST_SUMMARY!K449</f>
        <v>0</v>
      </c>
      <c r="L497" s="42">
        <f>COST_SUMMARY!L449</f>
        <v>0</v>
      </c>
      <c r="M497" s="42">
        <f>COST_SUMMARY!M449</f>
        <v>0</v>
      </c>
      <c r="N497" s="42">
        <f>COST_SUMMARY!N449</f>
        <v>0</v>
      </c>
    </row>
    <row r="498" spans="3:14" s="10" customFormat="1" x14ac:dyDescent="0.2">
      <c r="D498" s="53" t="str">
        <f>HL_TOP_ACTV_17_Name&amp;" "&amp;$C$495</f>
        <v>SME Activity #2 (Not in Use) Financial (LCU)</v>
      </c>
      <c r="I498" s="145">
        <f t="shared" si="77"/>
        <v>0</v>
      </c>
      <c r="J498" s="42">
        <f>COST_SUMMARY!J463</f>
        <v>0</v>
      </c>
      <c r="K498" s="42">
        <f>COST_SUMMARY!K463</f>
        <v>0</v>
      </c>
      <c r="L498" s="42">
        <f>COST_SUMMARY!L463</f>
        <v>0</v>
      </c>
      <c r="M498" s="42">
        <f>COST_SUMMARY!M463</f>
        <v>0</v>
      </c>
      <c r="N498" s="42">
        <f>COST_SUMMARY!N463</f>
        <v>0</v>
      </c>
    </row>
    <row r="499" spans="3:14" s="10" customFormat="1" x14ac:dyDescent="0.2">
      <c r="D499" s="53" t="str">
        <f>HL_TOP_ACTV_18_Name&amp;" "&amp;$C$495</f>
        <v>SME Activity #3 (Not in Use) Financial (LCU)</v>
      </c>
      <c r="I499" s="145">
        <f t="shared" si="77"/>
        <v>0</v>
      </c>
      <c r="J499" s="42">
        <f>COST_SUMMARY!J477</f>
        <v>0</v>
      </c>
      <c r="K499" s="42">
        <f>COST_SUMMARY!K477</f>
        <v>0</v>
      </c>
      <c r="L499" s="42">
        <f>COST_SUMMARY!L477</f>
        <v>0</v>
      </c>
      <c r="M499" s="42">
        <f>COST_SUMMARY!M477</f>
        <v>0</v>
      </c>
      <c r="N499" s="42">
        <f>COST_SUMMARY!N477</f>
        <v>0</v>
      </c>
    </row>
    <row r="500" spans="3:14" s="10" customFormat="1" x14ac:dyDescent="0.2">
      <c r="D500" s="53" t="str">
        <f>HL_TOP_ACTV_8_Name&amp;" "&amp;$C$495</f>
        <v>SME Activity #4 (Not in Use) Financial (LCU)</v>
      </c>
      <c r="I500" s="145">
        <f t="shared" si="77"/>
        <v>0</v>
      </c>
      <c r="J500" s="42">
        <f>COST_SUMMARY!J491</f>
        <v>0</v>
      </c>
      <c r="K500" s="42">
        <f>COST_SUMMARY!K491</f>
        <v>0</v>
      </c>
      <c r="L500" s="42">
        <f>COST_SUMMARY!L491</f>
        <v>0</v>
      </c>
      <c r="M500" s="42">
        <f>COST_SUMMARY!M491</f>
        <v>0</v>
      </c>
      <c r="N500" s="42">
        <f>COST_SUMMARY!N491</f>
        <v>0</v>
      </c>
    </row>
    <row r="501" spans="3:14" s="10" customFormat="1" x14ac:dyDescent="0.2">
      <c r="D501" s="53" t="str">
        <f>HL_LVL2_ACTV_5_Name&amp;" "&amp;$C$495</f>
        <v>SME Activity #5 (Not in Use) Financial (LCU)</v>
      </c>
      <c r="I501" s="145">
        <f t="shared" si="77"/>
        <v>0</v>
      </c>
      <c r="J501" s="42">
        <f>COST_SUMMARY!J505</f>
        <v>0</v>
      </c>
      <c r="K501" s="42">
        <f>COST_SUMMARY!K505</f>
        <v>0</v>
      </c>
      <c r="L501" s="42">
        <f>COST_SUMMARY!L505</f>
        <v>0</v>
      </c>
      <c r="M501" s="42">
        <f>COST_SUMMARY!M505</f>
        <v>0</v>
      </c>
      <c r="N501" s="42">
        <f>COST_SUMMARY!N505</f>
        <v>0</v>
      </c>
    </row>
    <row r="502" spans="3:14" s="10" customFormat="1" x14ac:dyDescent="0.2">
      <c r="D502" s="53" t="str">
        <f>HL_LVL2_ACTV_14_Name&amp;" "&amp;$C$495</f>
        <v>SME Activity #6 (Not in Use) Financial (LCU)</v>
      </c>
      <c r="I502" s="145">
        <f t="shared" si="77"/>
        <v>0</v>
      </c>
      <c r="J502" s="42">
        <f>COST_SUMMARY!J519</f>
        <v>0</v>
      </c>
      <c r="K502" s="42">
        <f>COST_SUMMARY!K519</f>
        <v>0</v>
      </c>
      <c r="L502" s="42">
        <f>COST_SUMMARY!L519</f>
        <v>0</v>
      </c>
      <c r="M502" s="42">
        <f>COST_SUMMARY!M519</f>
        <v>0</v>
      </c>
      <c r="N502" s="42">
        <f>COST_SUMMARY!N519</f>
        <v>0</v>
      </c>
    </row>
    <row r="503" spans="3:14" s="10" customFormat="1" x14ac:dyDescent="0.2">
      <c r="D503" s="53" t="str">
        <f>HL_LVL2_ACTV_15_Name&amp;" "&amp;$C$495</f>
        <v>SME Activity #7 (Not in Use) Financial (LCU)</v>
      </c>
      <c r="I503" s="321">
        <f t="shared" si="77"/>
        <v>0</v>
      </c>
      <c r="J503" s="42">
        <f>COST_SUMMARY!J533</f>
        <v>0</v>
      </c>
      <c r="K503" s="42">
        <f>COST_SUMMARY!K533</f>
        <v>0</v>
      </c>
      <c r="L503" s="42">
        <f>COST_SUMMARY!L533</f>
        <v>0</v>
      </c>
      <c r="M503" s="42">
        <f>COST_SUMMARY!M533</f>
        <v>0</v>
      </c>
      <c r="N503" s="42">
        <f>COST_SUMMARY!N533</f>
        <v>0</v>
      </c>
    </row>
    <row r="504" spans="3:14" s="10" customFormat="1" x14ac:dyDescent="0.2">
      <c r="D504" s="101" t="str">
        <f>Lang_Total_SmallLetter&amp;" "&amp;B477&amp;" "&amp;Lang_Costs&amp;" "&amp;C495</f>
        <v>Total Supervision Costs Financial (LCU)</v>
      </c>
      <c r="I504" s="142">
        <f t="shared" si="77"/>
        <v>0</v>
      </c>
      <c r="J504" s="363">
        <f t="shared" ref="J504:N504" si="78">SUM(J497:J503)</f>
        <v>0</v>
      </c>
      <c r="K504" s="363">
        <f t="shared" si="78"/>
        <v>0</v>
      </c>
      <c r="L504" s="363">
        <f t="shared" si="78"/>
        <v>0</v>
      </c>
      <c r="M504" s="363">
        <f t="shared" si="78"/>
        <v>0</v>
      </c>
      <c r="N504" s="363">
        <f t="shared" si="78"/>
        <v>0</v>
      </c>
    </row>
    <row r="505" spans="3:14" s="10" customFormat="1" x14ac:dyDescent="0.2"/>
    <row r="506" spans="3:14" s="10" customFormat="1" x14ac:dyDescent="0.2">
      <c r="D506" s="101" t="str">
        <f>B477&amp;" "&amp;Lang_Cost&amp;" "&amp;Lang_Per_Fully_Immunized_Person_FIP</f>
        <v>Supervision Cost per Fully Immunized Person (FIP)</v>
      </c>
      <c r="H506" s="49" t="str">
        <f>$C$495</f>
        <v>Financial (LCU)</v>
      </c>
      <c r="I506" s="349">
        <f>I504/I$37</f>
        <v>0</v>
      </c>
      <c r="J506" s="41">
        <f t="shared" ref="J506:N506" si="79">J504/J$37</f>
        <v>0</v>
      </c>
      <c r="K506" s="41">
        <f t="shared" si="79"/>
        <v>0</v>
      </c>
      <c r="L506" s="41">
        <f t="shared" si="79"/>
        <v>0</v>
      </c>
      <c r="M506" s="41">
        <f t="shared" si="79"/>
        <v>0</v>
      </c>
      <c r="N506" s="41">
        <f t="shared" si="79"/>
        <v>0</v>
      </c>
    </row>
    <row r="507" spans="3:14" s="10" customFormat="1" x14ac:dyDescent="0.2"/>
    <row r="508" spans="3:14" s="10" customFormat="1" x14ac:dyDescent="0.2"/>
    <row r="509" spans="3:14" s="10" customFormat="1" x14ac:dyDescent="0.2">
      <c r="C509" s="71" t="str">
        <f>Lang_Econ&amp;" ("&amp;Analy_Lu!$D$13&amp;")"</f>
        <v>Economic (LCU)</v>
      </c>
    </row>
    <row r="510" spans="3:14" s="10" customFormat="1" x14ac:dyDescent="0.2">
      <c r="I510" s="343" t="str">
        <f>Lang_All_Years</f>
        <v>ALL YEARS</v>
      </c>
    </row>
    <row r="511" spans="3:14" s="10" customFormat="1" x14ac:dyDescent="0.2">
      <c r="D511" s="53" t="str">
        <f>HL_TOP_ACTV_5_Name&amp;" "&amp;$C$509</f>
        <v>SME Activity #1 (Not in Use) Economic (LCU)</v>
      </c>
      <c r="H511" s="49" t="str">
        <f>COST_SUMMARY!C450</f>
        <v>Economic (LCU)</v>
      </c>
      <c r="I511" s="145">
        <f t="shared" ref="I511:I518" si="80">SUM(J511:N511)</f>
        <v>0</v>
      </c>
      <c r="J511" s="42">
        <f>COST_SUMMARY!J450</f>
        <v>0</v>
      </c>
      <c r="K511" s="42">
        <f>COST_SUMMARY!K450</f>
        <v>0</v>
      </c>
      <c r="L511" s="42">
        <f>COST_SUMMARY!L450</f>
        <v>0</v>
      </c>
      <c r="M511" s="42">
        <f>COST_SUMMARY!M450</f>
        <v>0</v>
      </c>
      <c r="N511" s="42">
        <f>COST_SUMMARY!N450</f>
        <v>0</v>
      </c>
    </row>
    <row r="512" spans="3:14" s="10" customFormat="1" x14ac:dyDescent="0.2">
      <c r="D512" s="53" t="str">
        <f>HL_TOP_ACTV_17_Name&amp;" "&amp;$C$509</f>
        <v>SME Activity #2 (Not in Use) Economic (LCU)</v>
      </c>
      <c r="H512" s="49" t="str">
        <f>COST_SUMMARY!C464</f>
        <v>Economic (LCU)</v>
      </c>
      <c r="I512" s="145">
        <f t="shared" si="80"/>
        <v>0</v>
      </c>
      <c r="J512" s="42">
        <f>COST_SUMMARY!J464</f>
        <v>0</v>
      </c>
      <c r="K512" s="42">
        <f>COST_SUMMARY!K464</f>
        <v>0</v>
      </c>
      <c r="L512" s="42">
        <f>COST_SUMMARY!L464</f>
        <v>0</v>
      </c>
      <c r="M512" s="42">
        <f>COST_SUMMARY!M464</f>
        <v>0</v>
      </c>
      <c r="N512" s="42">
        <f>COST_SUMMARY!N464</f>
        <v>0</v>
      </c>
    </row>
    <row r="513" spans="2:14" s="10" customFormat="1" x14ac:dyDescent="0.2">
      <c r="D513" s="53" t="str">
        <f>HL_TOP_ACTV_18_Name&amp;" "&amp;$C$509</f>
        <v>SME Activity #3 (Not in Use) Economic (LCU)</v>
      </c>
      <c r="H513" s="49" t="str">
        <f>COST_SUMMARY!C478</f>
        <v>Economic (LCU)</v>
      </c>
      <c r="I513" s="145">
        <f t="shared" si="80"/>
        <v>0</v>
      </c>
      <c r="J513" s="42">
        <f>COST_SUMMARY!J478</f>
        <v>0</v>
      </c>
      <c r="K513" s="42">
        <f>COST_SUMMARY!K478</f>
        <v>0</v>
      </c>
      <c r="L513" s="42">
        <f>COST_SUMMARY!L478</f>
        <v>0</v>
      </c>
      <c r="M513" s="42">
        <f>COST_SUMMARY!M478</f>
        <v>0</v>
      </c>
      <c r="N513" s="42">
        <f>COST_SUMMARY!N478</f>
        <v>0</v>
      </c>
    </row>
    <row r="514" spans="2:14" s="10" customFormat="1" x14ac:dyDescent="0.2">
      <c r="D514" s="53" t="str">
        <f>HL_TOP_ACTV_8_Name&amp;" "&amp;$C$509</f>
        <v>SME Activity #4 (Not in Use) Economic (LCU)</v>
      </c>
      <c r="H514" s="49" t="str">
        <f>COST_SUMMARY!C492</f>
        <v>Economic (LCU)</v>
      </c>
      <c r="I514" s="145">
        <f t="shared" si="80"/>
        <v>0</v>
      </c>
      <c r="J514" s="42">
        <f>COST_SUMMARY!J492</f>
        <v>0</v>
      </c>
      <c r="K514" s="42">
        <f>COST_SUMMARY!K492</f>
        <v>0</v>
      </c>
      <c r="L514" s="42">
        <f>COST_SUMMARY!L492</f>
        <v>0</v>
      </c>
      <c r="M514" s="42">
        <f>COST_SUMMARY!M492</f>
        <v>0</v>
      </c>
      <c r="N514" s="42">
        <f>COST_SUMMARY!N492</f>
        <v>0</v>
      </c>
    </row>
    <row r="515" spans="2:14" s="10" customFormat="1" x14ac:dyDescent="0.2">
      <c r="D515" s="53" t="str">
        <f>HL_LVL2_ACTV_5_Name&amp;" "&amp;$C$509</f>
        <v>SME Activity #5 (Not in Use) Economic (LCU)</v>
      </c>
      <c r="H515" s="49" t="str">
        <f>COST_SUMMARY!C506</f>
        <v>Economic (LCU)</v>
      </c>
      <c r="I515" s="145">
        <f t="shared" si="80"/>
        <v>0</v>
      </c>
      <c r="J515" s="42">
        <f>COST_SUMMARY!J506</f>
        <v>0</v>
      </c>
      <c r="K515" s="42">
        <f>COST_SUMMARY!K506</f>
        <v>0</v>
      </c>
      <c r="L515" s="42">
        <f>COST_SUMMARY!L506</f>
        <v>0</v>
      </c>
      <c r="M515" s="42">
        <f>COST_SUMMARY!M506</f>
        <v>0</v>
      </c>
      <c r="N515" s="42">
        <f>COST_SUMMARY!N506</f>
        <v>0</v>
      </c>
    </row>
    <row r="516" spans="2:14" s="10" customFormat="1" x14ac:dyDescent="0.2">
      <c r="D516" s="53" t="str">
        <f>HL_LVL2_ACTV_14_Name&amp;" "&amp;$C$509</f>
        <v>SME Activity #6 (Not in Use) Economic (LCU)</v>
      </c>
      <c r="H516" s="49" t="str">
        <f>COST_SUMMARY!C520</f>
        <v>Economic (LCU)</v>
      </c>
      <c r="I516" s="145">
        <f t="shared" si="80"/>
        <v>0</v>
      </c>
      <c r="J516" s="42">
        <f>COST_SUMMARY!J520</f>
        <v>0</v>
      </c>
      <c r="K516" s="42">
        <f>COST_SUMMARY!K520</f>
        <v>0</v>
      </c>
      <c r="L516" s="42">
        <f>COST_SUMMARY!L520</f>
        <v>0</v>
      </c>
      <c r="M516" s="42">
        <f>COST_SUMMARY!M520</f>
        <v>0</v>
      </c>
      <c r="N516" s="42">
        <f>COST_SUMMARY!N520</f>
        <v>0</v>
      </c>
    </row>
    <row r="517" spans="2:14" s="10" customFormat="1" x14ac:dyDescent="0.2">
      <c r="D517" s="53" t="str">
        <f>HL_LVL2_ACTV_15_Name&amp;" "&amp;$C$509</f>
        <v>SME Activity #7 (Not in Use) Economic (LCU)</v>
      </c>
      <c r="H517" s="49" t="str">
        <f>COST_SUMMARY!C534</f>
        <v>Economic (LCU)</v>
      </c>
      <c r="I517" s="321">
        <f t="shared" si="80"/>
        <v>0</v>
      </c>
      <c r="J517" s="42">
        <f>COST_SUMMARY!J534</f>
        <v>0</v>
      </c>
      <c r="K517" s="42">
        <f>COST_SUMMARY!K534</f>
        <v>0</v>
      </c>
      <c r="L517" s="42">
        <f>COST_SUMMARY!L534</f>
        <v>0</v>
      </c>
      <c r="M517" s="42">
        <f>COST_SUMMARY!M534</f>
        <v>0</v>
      </c>
      <c r="N517" s="42">
        <f>COST_SUMMARY!N534</f>
        <v>0</v>
      </c>
    </row>
    <row r="518" spans="2:14" s="10" customFormat="1" x14ac:dyDescent="0.2">
      <c r="D518" s="101" t="str">
        <f>Lang_Total_SmallLetter&amp;" "&amp;B477&amp;" "&amp;Lang_Costs&amp;" "&amp;C509</f>
        <v>Total Supervision Costs Economic (LCU)</v>
      </c>
      <c r="H518" s="49" t="str">
        <f>$C$509</f>
        <v>Economic (LCU)</v>
      </c>
      <c r="I518" s="142">
        <f t="shared" si="80"/>
        <v>0</v>
      </c>
      <c r="J518" s="113">
        <f t="shared" ref="J518:N518" si="81">SUM(J511:J517)</f>
        <v>0</v>
      </c>
      <c r="K518" s="113">
        <f t="shared" si="81"/>
        <v>0</v>
      </c>
      <c r="L518" s="113">
        <f t="shared" si="81"/>
        <v>0</v>
      </c>
      <c r="M518" s="113">
        <f t="shared" si="81"/>
        <v>0</v>
      </c>
      <c r="N518" s="113">
        <f t="shared" si="81"/>
        <v>0</v>
      </c>
    </row>
    <row r="519" spans="2:14" s="10" customFormat="1" x14ac:dyDescent="0.2"/>
    <row r="520" spans="2:14" s="10" customFormat="1" x14ac:dyDescent="0.2">
      <c r="D520" s="101" t="str">
        <f>B477&amp;" "&amp;Lang_Cost&amp;" "&amp;Lang_Per_Fully_Immunized_Person_FIP</f>
        <v>Supervision Cost per Fully Immunized Person (FIP)</v>
      </c>
      <c r="H520" s="49" t="str">
        <f>$C$509</f>
        <v>Economic (LCU)</v>
      </c>
      <c r="I520" s="349">
        <f>I518/I$37</f>
        <v>0</v>
      </c>
      <c r="J520" s="41">
        <f t="shared" ref="J520:N520" si="82">J518/J$37</f>
        <v>0</v>
      </c>
      <c r="K520" s="41">
        <f t="shared" si="82"/>
        <v>0</v>
      </c>
      <c r="L520" s="41">
        <f t="shared" si="82"/>
        <v>0</v>
      </c>
      <c r="M520" s="41">
        <f t="shared" si="82"/>
        <v>0</v>
      </c>
      <c r="N520" s="41">
        <f t="shared" si="82"/>
        <v>0</v>
      </c>
    </row>
    <row r="521" spans="2:14" s="10" customFormat="1" x14ac:dyDescent="0.2"/>
    <row r="522" spans="2:14" s="10" customFormat="1" x14ac:dyDescent="0.2"/>
    <row r="523" spans="2:14" s="10" customFormat="1" x14ac:dyDescent="0.2">
      <c r="B523" s="114" t="str">
        <f>Analy_Lu!$D$12</f>
        <v>USD</v>
      </c>
    </row>
    <row r="524" spans="2:14" s="10" customFormat="1" x14ac:dyDescent="0.2"/>
    <row r="525" spans="2:14" s="10" customFormat="1" x14ac:dyDescent="0.2">
      <c r="C525" s="71" t="str">
        <f>Lang_Fin&amp;" ("&amp;Analy_Lu!$D$12&amp;")"</f>
        <v>Financial (USD)</v>
      </c>
    </row>
    <row r="526" spans="2:14" s="10" customFormat="1" x14ac:dyDescent="0.2">
      <c r="I526" s="343" t="str">
        <f>Lang_All_Years</f>
        <v>ALL YEARS</v>
      </c>
    </row>
    <row r="527" spans="2:14" s="10" customFormat="1" x14ac:dyDescent="0.2">
      <c r="D527" s="53" t="str">
        <f>HL_TOP_ACTV_5_Name&amp;" "&amp;$C$525</f>
        <v>SME Activity #1 (Not in Use) Financial (USD)</v>
      </c>
      <c r="I527" s="255">
        <f t="shared" ref="I527:I534" si="83">SUM(J527:N527)</f>
        <v>0</v>
      </c>
      <c r="J527" s="119">
        <f t="shared" ref="J527:N533" si="84">J497/Analy_Exchange_Rate</f>
        <v>0</v>
      </c>
      <c r="K527" s="119">
        <f t="shared" si="84"/>
        <v>0</v>
      </c>
      <c r="L527" s="119">
        <f t="shared" si="84"/>
        <v>0</v>
      </c>
      <c r="M527" s="119">
        <f t="shared" si="84"/>
        <v>0</v>
      </c>
      <c r="N527" s="119">
        <f t="shared" si="84"/>
        <v>0</v>
      </c>
    </row>
    <row r="528" spans="2:14" s="10" customFormat="1" x14ac:dyDescent="0.2">
      <c r="D528" s="53" t="str">
        <f>HL_TOP_ACTV_17_Name&amp;" "&amp;$C$525</f>
        <v>SME Activity #2 (Not in Use) Financial (USD)</v>
      </c>
      <c r="I528" s="255">
        <f t="shared" si="83"/>
        <v>0</v>
      </c>
      <c r="J528" s="119">
        <f t="shared" si="84"/>
        <v>0</v>
      </c>
      <c r="K528" s="119">
        <f t="shared" si="84"/>
        <v>0</v>
      </c>
      <c r="L528" s="119">
        <f t="shared" si="84"/>
        <v>0</v>
      </c>
      <c r="M528" s="119">
        <f t="shared" si="84"/>
        <v>0</v>
      </c>
      <c r="N528" s="119">
        <f t="shared" si="84"/>
        <v>0</v>
      </c>
    </row>
    <row r="529" spans="3:14" s="10" customFormat="1" x14ac:dyDescent="0.2">
      <c r="D529" s="53" t="str">
        <f>HL_TOP_ACTV_18_Name&amp;" "&amp;$C$525</f>
        <v>SME Activity #3 (Not in Use) Financial (USD)</v>
      </c>
      <c r="I529" s="255">
        <f t="shared" si="83"/>
        <v>0</v>
      </c>
      <c r="J529" s="119">
        <f t="shared" si="84"/>
        <v>0</v>
      </c>
      <c r="K529" s="119">
        <f t="shared" si="84"/>
        <v>0</v>
      </c>
      <c r="L529" s="119">
        <f t="shared" si="84"/>
        <v>0</v>
      </c>
      <c r="M529" s="119">
        <f t="shared" si="84"/>
        <v>0</v>
      </c>
      <c r="N529" s="119">
        <f t="shared" si="84"/>
        <v>0</v>
      </c>
    </row>
    <row r="530" spans="3:14" s="10" customFormat="1" x14ac:dyDescent="0.2">
      <c r="D530" s="53" t="str">
        <f>HL_TOP_ACTV_8_Name&amp;" "&amp;$C$525</f>
        <v>SME Activity #4 (Not in Use) Financial (USD)</v>
      </c>
      <c r="I530" s="255">
        <f t="shared" si="83"/>
        <v>0</v>
      </c>
      <c r="J530" s="119">
        <f t="shared" si="84"/>
        <v>0</v>
      </c>
      <c r="K530" s="119">
        <f t="shared" si="84"/>
        <v>0</v>
      </c>
      <c r="L530" s="119">
        <f t="shared" si="84"/>
        <v>0</v>
      </c>
      <c r="M530" s="119">
        <f t="shared" si="84"/>
        <v>0</v>
      </c>
      <c r="N530" s="119">
        <f t="shared" si="84"/>
        <v>0</v>
      </c>
    </row>
    <row r="531" spans="3:14" s="10" customFormat="1" x14ac:dyDescent="0.2">
      <c r="D531" s="53" t="str">
        <f>HL_LVL2_ACTV_5_Name&amp;" "&amp;$C$525</f>
        <v>SME Activity #5 (Not in Use) Financial (USD)</v>
      </c>
      <c r="I531" s="255">
        <f t="shared" si="83"/>
        <v>0</v>
      </c>
      <c r="J531" s="119">
        <f t="shared" si="84"/>
        <v>0</v>
      </c>
      <c r="K531" s="119">
        <f t="shared" si="84"/>
        <v>0</v>
      </c>
      <c r="L531" s="119">
        <f t="shared" si="84"/>
        <v>0</v>
      </c>
      <c r="M531" s="119">
        <f t="shared" si="84"/>
        <v>0</v>
      </c>
      <c r="N531" s="119">
        <f t="shared" si="84"/>
        <v>0</v>
      </c>
    </row>
    <row r="532" spans="3:14" s="10" customFormat="1" x14ac:dyDescent="0.2">
      <c r="D532" s="53" t="str">
        <f>HL_LVL2_ACTV_14_Name&amp;" "&amp;$C$525</f>
        <v>SME Activity #6 (Not in Use) Financial (USD)</v>
      </c>
      <c r="I532" s="255">
        <f t="shared" si="83"/>
        <v>0</v>
      </c>
      <c r="J532" s="119">
        <f t="shared" si="84"/>
        <v>0</v>
      </c>
      <c r="K532" s="119">
        <f t="shared" si="84"/>
        <v>0</v>
      </c>
      <c r="L532" s="119">
        <f t="shared" si="84"/>
        <v>0</v>
      </c>
      <c r="M532" s="119">
        <f t="shared" si="84"/>
        <v>0</v>
      </c>
      <c r="N532" s="119">
        <f t="shared" si="84"/>
        <v>0</v>
      </c>
    </row>
    <row r="533" spans="3:14" s="10" customFormat="1" x14ac:dyDescent="0.2">
      <c r="D533" s="53" t="str">
        <f>HL_LVL2_ACTV_15_Name&amp;" "&amp;$C$525</f>
        <v>SME Activity #7 (Not in Use) Financial (USD)</v>
      </c>
      <c r="I533" s="322">
        <f t="shared" si="83"/>
        <v>0</v>
      </c>
      <c r="J533" s="119">
        <f t="shared" si="84"/>
        <v>0</v>
      </c>
      <c r="K533" s="119">
        <f t="shared" si="84"/>
        <v>0</v>
      </c>
      <c r="L533" s="119">
        <f t="shared" si="84"/>
        <v>0</v>
      </c>
      <c r="M533" s="119">
        <f t="shared" si="84"/>
        <v>0</v>
      </c>
      <c r="N533" s="119">
        <f t="shared" si="84"/>
        <v>0</v>
      </c>
    </row>
    <row r="534" spans="3:14" s="10" customFormat="1" x14ac:dyDescent="0.2">
      <c r="D534" s="101" t="str">
        <f>Lang_Total_SmallLetter&amp;" "&amp;B477&amp;" "&amp;Lang_Costs&amp;" "&amp;C525</f>
        <v>Total Supervision Costs Financial (USD)</v>
      </c>
      <c r="I534" s="143">
        <f t="shared" si="83"/>
        <v>0</v>
      </c>
      <c r="J534" s="125">
        <f t="shared" ref="J534:N534" si="85">SUM(J527:J533)</f>
        <v>0</v>
      </c>
      <c r="K534" s="125">
        <f t="shared" si="85"/>
        <v>0</v>
      </c>
      <c r="L534" s="125">
        <f t="shared" si="85"/>
        <v>0</v>
      </c>
      <c r="M534" s="125">
        <f t="shared" si="85"/>
        <v>0</v>
      </c>
      <c r="N534" s="125">
        <f t="shared" si="85"/>
        <v>0</v>
      </c>
    </row>
    <row r="535" spans="3:14" s="10" customFormat="1" x14ac:dyDescent="0.2"/>
    <row r="536" spans="3:14" s="10" customFormat="1" x14ac:dyDescent="0.2">
      <c r="D536" s="101" t="str">
        <f>B477&amp;" "&amp;Lang_Cost&amp;" "&amp;Lang_Per_Fully_Immunized_Person_FIP</f>
        <v>Supervision Cost per Fully Immunized Person (FIP)</v>
      </c>
      <c r="H536" s="49" t="str">
        <f>C525</f>
        <v>Financial (USD)</v>
      </c>
      <c r="I536" s="388">
        <f>I534/I$37</f>
        <v>0</v>
      </c>
      <c r="J536" s="116">
        <f t="shared" ref="J536:N536" si="86">J534/J$37</f>
        <v>0</v>
      </c>
      <c r="K536" s="116">
        <f t="shared" si="86"/>
        <v>0</v>
      </c>
      <c r="L536" s="116">
        <f t="shared" si="86"/>
        <v>0</v>
      </c>
      <c r="M536" s="116">
        <f t="shared" si="86"/>
        <v>0</v>
      </c>
      <c r="N536" s="116">
        <f t="shared" si="86"/>
        <v>0</v>
      </c>
    </row>
    <row r="537" spans="3:14" s="10" customFormat="1" x14ac:dyDescent="0.2"/>
    <row r="538" spans="3:14" s="10" customFormat="1" x14ac:dyDescent="0.2">
      <c r="C538" s="71" t="str">
        <f>Lang_Econ&amp;" ("&amp;Analy_Lu!$D$12&amp;")"</f>
        <v>Economic (USD)</v>
      </c>
    </row>
    <row r="539" spans="3:14" s="10" customFormat="1" x14ac:dyDescent="0.2">
      <c r="I539" s="343" t="str">
        <f>Lang_All_Years</f>
        <v>ALL YEARS</v>
      </c>
    </row>
    <row r="540" spans="3:14" s="10" customFormat="1" x14ac:dyDescent="0.2">
      <c r="D540" s="53" t="str">
        <f>HL_TOP_ACTV_5_Name&amp;" "&amp;$C$538</f>
        <v>SME Activity #1 (Not in Use) Economic (USD)</v>
      </c>
      <c r="I540" s="255">
        <f t="shared" ref="I540:I547" si="87">SUM(J540:N540)</f>
        <v>0</v>
      </c>
      <c r="J540" s="119">
        <f t="shared" ref="J540:N546" si="88">J511/Analy_Exchange_Rate</f>
        <v>0</v>
      </c>
      <c r="K540" s="119">
        <f t="shared" si="88"/>
        <v>0</v>
      </c>
      <c r="L540" s="119">
        <f t="shared" si="88"/>
        <v>0</v>
      </c>
      <c r="M540" s="119">
        <f t="shared" si="88"/>
        <v>0</v>
      </c>
      <c r="N540" s="119">
        <f t="shared" si="88"/>
        <v>0</v>
      </c>
    </row>
    <row r="541" spans="3:14" s="10" customFormat="1" x14ac:dyDescent="0.2">
      <c r="D541" s="53" t="str">
        <f>HL_TOP_ACTV_17_Name&amp;" "&amp;$C$538</f>
        <v>SME Activity #2 (Not in Use) Economic (USD)</v>
      </c>
      <c r="I541" s="255">
        <f t="shared" si="87"/>
        <v>0</v>
      </c>
      <c r="J541" s="119">
        <f t="shared" si="88"/>
        <v>0</v>
      </c>
      <c r="K541" s="119">
        <f t="shared" si="88"/>
        <v>0</v>
      </c>
      <c r="L541" s="119">
        <f t="shared" si="88"/>
        <v>0</v>
      </c>
      <c r="M541" s="119">
        <f t="shared" si="88"/>
        <v>0</v>
      </c>
      <c r="N541" s="119">
        <f t="shared" si="88"/>
        <v>0</v>
      </c>
    </row>
    <row r="542" spans="3:14" s="10" customFormat="1" x14ac:dyDescent="0.2">
      <c r="D542" s="53" t="str">
        <f>HL_TOP_ACTV_18_Name&amp;" "&amp;$C$538</f>
        <v>SME Activity #3 (Not in Use) Economic (USD)</v>
      </c>
      <c r="I542" s="255">
        <f t="shared" si="87"/>
        <v>0</v>
      </c>
      <c r="J542" s="119">
        <f t="shared" si="88"/>
        <v>0</v>
      </c>
      <c r="K542" s="119">
        <f t="shared" si="88"/>
        <v>0</v>
      </c>
      <c r="L542" s="119">
        <f t="shared" si="88"/>
        <v>0</v>
      </c>
      <c r="M542" s="119">
        <f t="shared" si="88"/>
        <v>0</v>
      </c>
      <c r="N542" s="119">
        <f t="shared" si="88"/>
        <v>0</v>
      </c>
    </row>
    <row r="543" spans="3:14" s="10" customFormat="1" x14ac:dyDescent="0.2">
      <c r="D543" s="53" t="str">
        <f>HL_TOP_ACTV_8_Name&amp;" "&amp;$C$538</f>
        <v>SME Activity #4 (Not in Use) Economic (USD)</v>
      </c>
      <c r="I543" s="255">
        <f t="shared" si="87"/>
        <v>0</v>
      </c>
      <c r="J543" s="119">
        <f t="shared" si="88"/>
        <v>0</v>
      </c>
      <c r="K543" s="119">
        <f t="shared" si="88"/>
        <v>0</v>
      </c>
      <c r="L543" s="119">
        <f t="shared" si="88"/>
        <v>0</v>
      </c>
      <c r="M543" s="119">
        <f t="shared" si="88"/>
        <v>0</v>
      </c>
      <c r="N543" s="119">
        <f t="shared" si="88"/>
        <v>0</v>
      </c>
    </row>
    <row r="544" spans="3:14" s="10" customFormat="1" x14ac:dyDescent="0.2">
      <c r="D544" s="53" t="str">
        <f>HL_LVL2_ACTV_5_Name&amp;" "&amp;$C$538</f>
        <v>SME Activity #5 (Not in Use) Economic (USD)</v>
      </c>
      <c r="I544" s="255">
        <f t="shared" si="87"/>
        <v>0</v>
      </c>
      <c r="J544" s="119">
        <f t="shared" si="88"/>
        <v>0</v>
      </c>
      <c r="K544" s="119">
        <f t="shared" si="88"/>
        <v>0</v>
      </c>
      <c r="L544" s="119">
        <f t="shared" si="88"/>
        <v>0</v>
      </c>
      <c r="M544" s="119">
        <f t="shared" si="88"/>
        <v>0</v>
      </c>
      <c r="N544" s="119">
        <f t="shared" si="88"/>
        <v>0</v>
      </c>
    </row>
    <row r="545" spans="1:14" s="10" customFormat="1" x14ac:dyDescent="0.2">
      <c r="D545" s="53" t="str">
        <f>HL_LVL2_ACTV_14_Name&amp;" "&amp;$C$538</f>
        <v>SME Activity #6 (Not in Use) Economic (USD)</v>
      </c>
      <c r="I545" s="255">
        <f t="shared" si="87"/>
        <v>0</v>
      </c>
      <c r="J545" s="119">
        <f t="shared" si="88"/>
        <v>0</v>
      </c>
      <c r="K545" s="119">
        <f t="shared" si="88"/>
        <v>0</v>
      </c>
      <c r="L545" s="119">
        <f t="shared" si="88"/>
        <v>0</v>
      </c>
      <c r="M545" s="119">
        <f t="shared" si="88"/>
        <v>0</v>
      </c>
      <c r="N545" s="119">
        <f t="shared" si="88"/>
        <v>0</v>
      </c>
    </row>
    <row r="546" spans="1:14" s="10" customFormat="1" x14ac:dyDescent="0.2">
      <c r="D546" s="53" t="str">
        <f>HL_LVL2_ACTV_15_Name&amp;" "&amp;$C$538</f>
        <v>SME Activity #7 (Not in Use) Economic (USD)</v>
      </c>
      <c r="I546" s="322">
        <f t="shared" si="87"/>
        <v>0</v>
      </c>
      <c r="J546" s="119">
        <f t="shared" si="88"/>
        <v>0</v>
      </c>
      <c r="K546" s="119">
        <f t="shared" si="88"/>
        <v>0</v>
      </c>
      <c r="L546" s="119">
        <f t="shared" si="88"/>
        <v>0</v>
      </c>
      <c r="M546" s="119">
        <f t="shared" si="88"/>
        <v>0</v>
      </c>
      <c r="N546" s="119">
        <f t="shared" si="88"/>
        <v>0</v>
      </c>
    </row>
    <row r="547" spans="1:14" s="10" customFormat="1" x14ac:dyDescent="0.2">
      <c r="D547" s="101" t="str">
        <f>Lang_Total_SmallLetter&amp;" "&amp;B477&amp;" "&amp;Lang_Costs&amp;" "&amp;C538</f>
        <v>Total Supervision Costs Economic (USD)</v>
      </c>
      <c r="I547" s="143">
        <f t="shared" si="87"/>
        <v>0</v>
      </c>
      <c r="J547" s="125">
        <f t="shared" ref="J547:N547" si="89">SUM(J540:J546)</f>
        <v>0</v>
      </c>
      <c r="K547" s="125">
        <f t="shared" si="89"/>
        <v>0</v>
      </c>
      <c r="L547" s="125">
        <f t="shared" si="89"/>
        <v>0</v>
      </c>
      <c r="M547" s="125">
        <f t="shared" si="89"/>
        <v>0</v>
      </c>
      <c r="N547" s="125">
        <f t="shared" si="89"/>
        <v>0</v>
      </c>
    </row>
    <row r="548" spans="1:14" s="10" customFormat="1" x14ac:dyDescent="0.2"/>
    <row r="549" spans="1:14" s="10" customFormat="1" x14ac:dyDescent="0.2">
      <c r="D549" s="101" t="str">
        <f>B477&amp;" "&amp;Lang_Cost&amp;" "&amp;Lang_Per_Fully_Immunized_Person_FIP</f>
        <v>Supervision Cost per Fully Immunized Person (FIP)</v>
      </c>
      <c r="H549" s="49" t="str">
        <f>$C$538</f>
        <v>Economic (USD)</v>
      </c>
      <c r="I549" s="388">
        <f>I547/I$37</f>
        <v>0</v>
      </c>
      <c r="J549" s="116">
        <f t="shared" ref="J549:N549" si="90">J547/J$37</f>
        <v>0</v>
      </c>
      <c r="K549" s="116">
        <f t="shared" si="90"/>
        <v>0</v>
      </c>
      <c r="L549" s="116">
        <f t="shared" si="90"/>
        <v>0</v>
      </c>
      <c r="M549" s="116">
        <f t="shared" si="90"/>
        <v>0</v>
      </c>
      <c r="N549" s="116">
        <f t="shared" si="90"/>
        <v>0</v>
      </c>
    </row>
    <row r="550" spans="1:14" s="10" customFormat="1" x14ac:dyDescent="0.2"/>
    <row r="551" spans="1:14" s="10" customFormat="1" x14ac:dyDescent="0.2"/>
    <row r="552" spans="1:14" s="10" customFormat="1" x14ac:dyDescent="0.2"/>
    <row r="553" spans="1:14" s="10" customFormat="1" x14ac:dyDescent="0.2">
      <c r="A553" s="12" t="s">
        <v>125</v>
      </c>
      <c r="B553" s="13" t="str">
        <f>Lang_Analysis&amp;" - "&amp;B555</f>
        <v>Analysis - Other</v>
      </c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</row>
    <row r="554" spans="1:14" s="10" customFormat="1" x14ac:dyDescent="0.2"/>
    <row r="555" spans="1:14" s="10" customFormat="1" x14ac:dyDescent="0.2">
      <c r="B555" s="65" t="str">
        <f>Lang_Other</f>
        <v>Other</v>
      </c>
    </row>
    <row r="556" spans="1:14" s="10" customFormat="1" x14ac:dyDescent="0.2"/>
    <row r="557" spans="1:14" s="10" customFormat="1" x14ac:dyDescent="0.2">
      <c r="B557" s="74" t="str">
        <f>Lang_Activity_Names_And_Quantities_Performed</f>
        <v>Activity Names and Quantities Performed</v>
      </c>
    </row>
    <row r="558" spans="1:14" s="10" customFormat="1" x14ac:dyDescent="0.2">
      <c r="I558" s="343" t="str">
        <f>Lang_All_Years</f>
        <v>ALL YEARS</v>
      </c>
    </row>
    <row r="559" spans="1:14" s="10" customFormat="1" x14ac:dyDescent="0.2">
      <c r="D559" s="49" t="str">
        <f>OTHER!D12</f>
        <v>Other Activity #1 - (Recurrent Costs Only) (Not in Use)</v>
      </c>
    </row>
    <row r="560" spans="1:14" s="10" customFormat="1" x14ac:dyDescent="0.2">
      <c r="E560" s="352" t="str">
        <f>OTHER!D38</f>
        <v>Other Activity #1 - (Recurrent Costs Only) (Not in Use) - Number of Activities per Year (Projected or Retrospective)</v>
      </c>
      <c r="I560" s="255">
        <f>SUM(J560:N560)</f>
        <v>0</v>
      </c>
      <c r="J560" s="41">
        <f>OTHER!J38</f>
        <v>0</v>
      </c>
      <c r="K560" s="41">
        <f>OTHER!K38</f>
        <v>0</v>
      </c>
      <c r="L560" s="41">
        <f>OTHER!L38</f>
        <v>0</v>
      </c>
      <c r="M560" s="41">
        <f>OTHER!M38</f>
        <v>0</v>
      </c>
      <c r="N560" s="41">
        <f>OTHER!N38</f>
        <v>0</v>
      </c>
    </row>
    <row r="561" spans="2:14" s="10" customFormat="1" x14ac:dyDescent="0.2">
      <c r="D561" s="49" t="str">
        <f>OTHER!D46</f>
        <v>Other Activity #2 - (Recurrent Costs Only) (Not in Use)</v>
      </c>
    </row>
    <row r="562" spans="2:14" s="10" customFormat="1" x14ac:dyDescent="0.2">
      <c r="E562" s="352" t="str">
        <f>OTHER!D73</f>
        <v>Other Activity #2 - (Recurrent Costs Only) (Not in Use) - Number of Activities per Year (Projected or Retrospective)</v>
      </c>
      <c r="I562" s="255">
        <f t="shared" ref="I562" si="91">SUM(J562:N562)</f>
        <v>0</v>
      </c>
      <c r="J562" s="41">
        <f>OTHER!J73</f>
        <v>0</v>
      </c>
      <c r="K562" s="41">
        <f>OTHER!K73</f>
        <v>0</v>
      </c>
      <c r="L562" s="41">
        <f>OTHER!L73</f>
        <v>0</v>
      </c>
      <c r="M562" s="41">
        <f>OTHER!M73</f>
        <v>0</v>
      </c>
      <c r="N562" s="41">
        <f>OTHER!N73</f>
        <v>0</v>
      </c>
    </row>
    <row r="563" spans="2:14" s="10" customFormat="1" x14ac:dyDescent="0.2">
      <c r="D563" s="49" t="str">
        <f>OTHER!D81</f>
        <v>Other Activity #3 - (Recurrent Costs Only) (Not in Use)</v>
      </c>
    </row>
    <row r="564" spans="2:14" s="10" customFormat="1" x14ac:dyDescent="0.2">
      <c r="E564" s="352" t="str">
        <f>OTHER!D108</f>
        <v>Other Activity #3 - (Recurrent Costs Only) (Not in Use) - Number of Activities per Year (Projected or Retrospective)</v>
      </c>
      <c r="I564" s="255">
        <f t="shared" ref="I564" si="92">SUM(J564:N564)</f>
        <v>0</v>
      </c>
      <c r="J564" s="41">
        <f>OTHER!J108</f>
        <v>0</v>
      </c>
      <c r="K564" s="41">
        <f>OTHER!K108</f>
        <v>0</v>
      </c>
      <c r="L564" s="41">
        <f>OTHER!L108</f>
        <v>0</v>
      </c>
      <c r="M564" s="41">
        <f>OTHER!M108</f>
        <v>0</v>
      </c>
      <c r="N564" s="41">
        <f>OTHER!N108</f>
        <v>0</v>
      </c>
    </row>
    <row r="565" spans="2:14" s="10" customFormat="1" x14ac:dyDescent="0.2">
      <c r="D565" s="49" t="str">
        <f>OTHER!D116</f>
        <v>Other Activity #4 - (Recurrent Costs Only) (Not in Use)</v>
      </c>
    </row>
    <row r="566" spans="2:14" s="10" customFormat="1" x14ac:dyDescent="0.2">
      <c r="E566" s="352" t="str">
        <f>OTHER!D148</f>
        <v>Other Activity #4 - (Recurrent Costs Only) (Not in Use) - Number of Activities per Year (Projected or Retrospective)</v>
      </c>
      <c r="I566" s="255">
        <f t="shared" ref="I566" si="93">SUM(J566:N566)</f>
        <v>0</v>
      </c>
      <c r="J566" s="41">
        <f>OTHER!J148</f>
        <v>0</v>
      </c>
      <c r="K566" s="41">
        <f>OTHER!K148</f>
        <v>0</v>
      </c>
      <c r="L566" s="41">
        <f>OTHER!L148</f>
        <v>0</v>
      </c>
      <c r="M566" s="41">
        <f>OTHER!M148</f>
        <v>0</v>
      </c>
      <c r="N566" s="41">
        <f>OTHER!N148</f>
        <v>0</v>
      </c>
    </row>
    <row r="567" spans="2:14" s="10" customFormat="1" x14ac:dyDescent="0.2">
      <c r="D567" s="49" t="str">
        <f>OTHER!D157</f>
        <v>Other Activity #5 - (Recurrent Costs Only) (Not in Use)</v>
      </c>
    </row>
    <row r="568" spans="2:14" s="10" customFormat="1" x14ac:dyDescent="0.2">
      <c r="E568" s="352" t="str">
        <f>OTHER!D188</f>
        <v>Other Activity #5 - (Recurrent Costs Only) (Not in Use) - Number of Activities per Year (Projected or Retrospective)</v>
      </c>
      <c r="I568" s="255">
        <f t="shared" ref="I568" si="94">SUM(J568:N568)</f>
        <v>0</v>
      </c>
      <c r="J568" s="41">
        <f>OTHER!J188</f>
        <v>0</v>
      </c>
      <c r="K568" s="41">
        <f>OTHER!K188</f>
        <v>0</v>
      </c>
      <c r="L568" s="41">
        <f>OTHER!L188</f>
        <v>0</v>
      </c>
      <c r="M568" s="41">
        <f>OTHER!M188</f>
        <v>0</v>
      </c>
      <c r="N568" s="41">
        <f>OTHER!N188</f>
        <v>0</v>
      </c>
    </row>
    <row r="569" spans="2:14" s="10" customFormat="1" x14ac:dyDescent="0.2"/>
    <row r="570" spans="2:14" s="10" customFormat="1" x14ac:dyDescent="0.2">
      <c r="B570" s="55" t="str">
        <f>Lang_Costs</f>
        <v>Costs</v>
      </c>
    </row>
    <row r="571" spans="2:14" s="10" customFormat="1" x14ac:dyDescent="0.2"/>
    <row r="572" spans="2:14" s="10" customFormat="1" x14ac:dyDescent="0.2"/>
    <row r="573" spans="2:14" s="10" customFormat="1" x14ac:dyDescent="0.2">
      <c r="B573" s="114" t="str">
        <f>Analy_Lu!$D$13</f>
        <v>LCU</v>
      </c>
    </row>
    <row r="574" spans="2:14" s="10" customFormat="1" x14ac:dyDescent="0.2"/>
    <row r="575" spans="2:14" s="10" customFormat="1" x14ac:dyDescent="0.2">
      <c r="C575" s="71" t="str">
        <f>Lang_Fin&amp;" ("&amp;Analy_Lu!$D$13&amp;")"</f>
        <v>Financial (LCU)</v>
      </c>
    </row>
    <row r="576" spans="2:14" s="10" customFormat="1" x14ac:dyDescent="0.2">
      <c r="I576" s="343" t="str">
        <f>Lang_All_Years</f>
        <v>ALL YEARS</v>
      </c>
    </row>
    <row r="577" spans="3:14" s="10" customFormat="1" x14ac:dyDescent="0.2">
      <c r="D577" s="49" t="str">
        <f>$D$559</f>
        <v>Other Activity #1 - (Recurrent Costs Only) (Not in Use)</v>
      </c>
      <c r="H577" s="49" t="str">
        <f>COST_SUMMARY!C547</f>
        <v>Financial (LCU)</v>
      </c>
      <c r="I577" s="349">
        <f t="shared" ref="I577:I582" si="95">SUM(J577:N577)</f>
        <v>0</v>
      </c>
      <c r="J577" s="42">
        <f>COST_SUMMARY!J547</f>
        <v>0</v>
      </c>
      <c r="K577" s="42">
        <f>COST_SUMMARY!K547</f>
        <v>0</v>
      </c>
      <c r="L577" s="42">
        <f>COST_SUMMARY!L547</f>
        <v>0</v>
      </c>
      <c r="M577" s="42">
        <f>COST_SUMMARY!M547</f>
        <v>0</v>
      </c>
      <c r="N577" s="42">
        <f>COST_SUMMARY!N547</f>
        <v>0</v>
      </c>
    </row>
    <row r="578" spans="3:14" s="10" customFormat="1" x14ac:dyDescent="0.2">
      <c r="D578" s="49" t="str">
        <f>$D$561</f>
        <v>Other Activity #2 - (Recurrent Costs Only) (Not in Use)</v>
      </c>
      <c r="H578" s="49" t="str">
        <f>COST_SUMMARY!C561</f>
        <v>Financial (LCU)</v>
      </c>
      <c r="I578" s="349">
        <f t="shared" si="95"/>
        <v>0</v>
      </c>
      <c r="J578" s="42">
        <f>COST_SUMMARY!J561</f>
        <v>0</v>
      </c>
      <c r="K578" s="42">
        <f>COST_SUMMARY!K561</f>
        <v>0</v>
      </c>
      <c r="L578" s="42">
        <f>COST_SUMMARY!L561</f>
        <v>0</v>
      </c>
      <c r="M578" s="42">
        <f>COST_SUMMARY!M561</f>
        <v>0</v>
      </c>
      <c r="N578" s="42">
        <f>COST_SUMMARY!N561</f>
        <v>0</v>
      </c>
    </row>
    <row r="579" spans="3:14" s="10" customFormat="1" x14ac:dyDescent="0.2">
      <c r="D579" s="49" t="str">
        <f>$D$563</f>
        <v>Other Activity #3 - (Recurrent Costs Only) (Not in Use)</v>
      </c>
      <c r="H579" s="49" t="str">
        <f>COST_SUMMARY!C575</f>
        <v>Financial (LCU)</v>
      </c>
      <c r="I579" s="349">
        <f t="shared" si="95"/>
        <v>0</v>
      </c>
      <c r="J579" s="42">
        <f>COST_SUMMARY!J575</f>
        <v>0</v>
      </c>
      <c r="K579" s="42">
        <f>COST_SUMMARY!K575</f>
        <v>0</v>
      </c>
      <c r="L579" s="42">
        <f>COST_SUMMARY!L575</f>
        <v>0</v>
      </c>
      <c r="M579" s="42">
        <f>COST_SUMMARY!M575</f>
        <v>0</v>
      </c>
      <c r="N579" s="42">
        <f>COST_SUMMARY!N575</f>
        <v>0</v>
      </c>
    </row>
    <row r="580" spans="3:14" s="10" customFormat="1" x14ac:dyDescent="0.2">
      <c r="D580" s="49" t="str">
        <f>$D$565</f>
        <v>Other Activity #4 - (Recurrent Costs Only) (Not in Use)</v>
      </c>
      <c r="H580" s="49" t="str">
        <f>COST_SUMMARY!C589</f>
        <v>Financial (LCU)</v>
      </c>
      <c r="I580" s="349">
        <f t="shared" si="95"/>
        <v>0</v>
      </c>
      <c r="J580" s="42">
        <f>COST_SUMMARY!J589</f>
        <v>0</v>
      </c>
      <c r="K580" s="42">
        <f>COST_SUMMARY!K589</f>
        <v>0</v>
      </c>
      <c r="L580" s="42">
        <f>COST_SUMMARY!L589</f>
        <v>0</v>
      </c>
      <c r="M580" s="42">
        <f>COST_SUMMARY!M589</f>
        <v>0</v>
      </c>
      <c r="N580" s="42">
        <f>COST_SUMMARY!N589</f>
        <v>0</v>
      </c>
    </row>
    <row r="581" spans="3:14" s="10" customFormat="1" x14ac:dyDescent="0.2">
      <c r="D581" s="49" t="str">
        <f>$D$567</f>
        <v>Other Activity #5 - (Recurrent Costs Only) (Not in Use)</v>
      </c>
      <c r="H581" s="49" t="str">
        <f>COST_SUMMARY!C603</f>
        <v>Financial (LCU)</v>
      </c>
      <c r="I581" s="349">
        <f t="shared" si="95"/>
        <v>0</v>
      </c>
      <c r="J581" s="42">
        <f>COST_SUMMARY!J603</f>
        <v>0</v>
      </c>
      <c r="K581" s="42">
        <f>COST_SUMMARY!K603</f>
        <v>0</v>
      </c>
      <c r="L581" s="42">
        <f>COST_SUMMARY!L603</f>
        <v>0</v>
      </c>
      <c r="M581" s="42">
        <f>COST_SUMMARY!M603</f>
        <v>0</v>
      </c>
      <c r="N581" s="42">
        <f>COST_SUMMARY!N603</f>
        <v>0</v>
      </c>
    </row>
    <row r="582" spans="3:14" s="10" customFormat="1" x14ac:dyDescent="0.2">
      <c r="D582" s="101" t="str">
        <f>Lang_Total_SmallLetter&amp;" "&amp;B555&amp;" "&amp;Lang_Costs&amp;" "&amp;C575</f>
        <v>Total Other Costs Financial (LCU)</v>
      </c>
      <c r="H582" s="49" t="str">
        <f>C575</f>
        <v>Financial (LCU)</v>
      </c>
      <c r="I582" s="350">
        <f t="shared" si="95"/>
        <v>0</v>
      </c>
      <c r="J582" s="113">
        <f t="shared" ref="J582:N582" si="96">SUM(J577:J581)</f>
        <v>0</v>
      </c>
      <c r="K582" s="113">
        <f t="shared" si="96"/>
        <v>0</v>
      </c>
      <c r="L582" s="113">
        <f t="shared" si="96"/>
        <v>0</v>
      </c>
      <c r="M582" s="113">
        <f t="shared" si="96"/>
        <v>0</v>
      </c>
      <c r="N582" s="113">
        <f t="shared" si="96"/>
        <v>0</v>
      </c>
    </row>
    <row r="583" spans="3:14" s="10" customFormat="1" x14ac:dyDescent="0.2"/>
    <row r="584" spans="3:14" s="10" customFormat="1" x14ac:dyDescent="0.2">
      <c r="D584" s="101" t="str">
        <f>B555&amp;" "&amp;Lang_Cost&amp;" "&amp;Lang_Per_Fully_Immunized_Person_FIP</f>
        <v>Other Cost per Fully Immunized Person (FIP)</v>
      </c>
      <c r="H584" s="49" t="str">
        <f>C575</f>
        <v>Financial (LCU)</v>
      </c>
      <c r="I584" s="349">
        <f>I582/I$37</f>
        <v>0</v>
      </c>
      <c r="J584" s="41">
        <f t="shared" ref="J584:N584" si="97">J582/J$37</f>
        <v>0</v>
      </c>
      <c r="K584" s="41">
        <f t="shared" si="97"/>
        <v>0</v>
      </c>
      <c r="L584" s="41">
        <f t="shared" si="97"/>
        <v>0</v>
      </c>
      <c r="M584" s="41">
        <f t="shared" si="97"/>
        <v>0</v>
      </c>
      <c r="N584" s="41">
        <f t="shared" si="97"/>
        <v>0</v>
      </c>
    </row>
    <row r="585" spans="3:14" s="10" customFormat="1" x14ac:dyDescent="0.2"/>
    <row r="586" spans="3:14" s="10" customFormat="1" x14ac:dyDescent="0.2"/>
    <row r="587" spans="3:14" s="10" customFormat="1" x14ac:dyDescent="0.2">
      <c r="C587" s="71" t="str">
        <f>Lang_Econ&amp;" ("&amp;Analy_Lu!$D$13&amp;")"</f>
        <v>Economic (LCU)</v>
      </c>
    </row>
    <row r="588" spans="3:14" s="10" customFormat="1" x14ac:dyDescent="0.2">
      <c r="I588" s="343" t="str">
        <f>Lang_All_Years</f>
        <v>ALL YEARS</v>
      </c>
    </row>
    <row r="589" spans="3:14" s="10" customFormat="1" x14ac:dyDescent="0.2">
      <c r="D589" s="49" t="str">
        <f>$D$559</f>
        <v>Other Activity #1 - (Recurrent Costs Only) (Not in Use)</v>
      </c>
      <c r="H589" s="49" t="str">
        <f>COST_SUMMARY!C548</f>
        <v>Economic (LCU)</v>
      </c>
      <c r="I589" s="349">
        <f t="shared" ref="I589:I594" si="98">SUM(J589:N589)</f>
        <v>0</v>
      </c>
      <c r="J589" s="42">
        <f>COST_SUMMARY!J548</f>
        <v>0</v>
      </c>
      <c r="K589" s="42">
        <f>COST_SUMMARY!K548</f>
        <v>0</v>
      </c>
      <c r="L589" s="42">
        <f>COST_SUMMARY!L548</f>
        <v>0</v>
      </c>
      <c r="M589" s="42">
        <f>COST_SUMMARY!M548</f>
        <v>0</v>
      </c>
      <c r="N589" s="42">
        <f>COST_SUMMARY!N548</f>
        <v>0</v>
      </c>
    </row>
    <row r="590" spans="3:14" s="10" customFormat="1" x14ac:dyDescent="0.2">
      <c r="D590" s="49" t="str">
        <f>$D$561</f>
        <v>Other Activity #2 - (Recurrent Costs Only) (Not in Use)</v>
      </c>
      <c r="H590" s="49" t="str">
        <f>COST_SUMMARY!C562</f>
        <v>Economic (LCU)</v>
      </c>
      <c r="I590" s="349">
        <f t="shared" si="98"/>
        <v>0</v>
      </c>
      <c r="J590" s="42">
        <f>COST_SUMMARY!J562</f>
        <v>0</v>
      </c>
      <c r="K590" s="42">
        <f>COST_SUMMARY!K562</f>
        <v>0</v>
      </c>
      <c r="L590" s="42">
        <f>COST_SUMMARY!L562</f>
        <v>0</v>
      </c>
      <c r="M590" s="42">
        <f>COST_SUMMARY!M562</f>
        <v>0</v>
      </c>
      <c r="N590" s="42">
        <f>COST_SUMMARY!N562</f>
        <v>0</v>
      </c>
    </row>
    <row r="591" spans="3:14" s="10" customFormat="1" x14ac:dyDescent="0.2">
      <c r="D591" s="49" t="str">
        <f>$D$563</f>
        <v>Other Activity #3 - (Recurrent Costs Only) (Not in Use)</v>
      </c>
      <c r="H591" s="49" t="str">
        <f>COST_SUMMARY!C576</f>
        <v>Economic (LCU)</v>
      </c>
      <c r="I591" s="349">
        <f t="shared" si="98"/>
        <v>0</v>
      </c>
      <c r="J591" s="42">
        <f>COST_SUMMARY!J576</f>
        <v>0</v>
      </c>
      <c r="K591" s="42">
        <f>COST_SUMMARY!K576</f>
        <v>0</v>
      </c>
      <c r="L591" s="42">
        <f>COST_SUMMARY!L576</f>
        <v>0</v>
      </c>
      <c r="M591" s="42">
        <f>COST_SUMMARY!M576</f>
        <v>0</v>
      </c>
      <c r="N591" s="42">
        <f>COST_SUMMARY!N576</f>
        <v>0</v>
      </c>
    </row>
    <row r="592" spans="3:14" s="10" customFormat="1" x14ac:dyDescent="0.2">
      <c r="D592" s="49" t="str">
        <f>$D$565</f>
        <v>Other Activity #4 - (Recurrent Costs Only) (Not in Use)</v>
      </c>
      <c r="H592" s="49" t="str">
        <f>COST_SUMMARY!C590</f>
        <v>Economic (LCU)</v>
      </c>
      <c r="I592" s="349">
        <f t="shared" si="98"/>
        <v>0</v>
      </c>
      <c r="J592" s="42">
        <f>COST_SUMMARY!J590</f>
        <v>0</v>
      </c>
      <c r="K592" s="42">
        <f>COST_SUMMARY!K590</f>
        <v>0</v>
      </c>
      <c r="L592" s="42">
        <f>COST_SUMMARY!L590</f>
        <v>0</v>
      </c>
      <c r="M592" s="42">
        <f>COST_SUMMARY!M590</f>
        <v>0</v>
      </c>
      <c r="N592" s="42">
        <f>COST_SUMMARY!N590</f>
        <v>0</v>
      </c>
    </row>
    <row r="593" spans="2:14" s="10" customFormat="1" x14ac:dyDescent="0.2">
      <c r="D593" s="49" t="str">
        <f>$D$567</f>
        <v>Other Activity #5 - (Recurrent Costs Only) (Not in Use)</v>
      </c>
      <c r="H593" s="49" t="str">
        <f>COST_SUMMARY!C604</f>
        <v>Economic (LCU)</v>
      </c>
      <c r="I593" s="349">
        <f t="shared" si="98"/>
        <v>0</v>
      </c>
      <c r="J593" s="42">
        <f>COST_SUMMARY!J604</f>
        <v>0</v>
      </c>
      <c r="K593" s="42">
        <f>COST_SUMMARY!K604</f>
        <v>0</v>
      </c>
      <c r="L593" s="42">
        <f>COST_SUMMARY!L604</f>
        <v>0</v>
      </c>
      <c r="M593" s="42">
        <f>COST_SUMMARY!M604</f>
        <v>0</v>
      </c>
      <c r="N593" s="42">
        <f>COST_SUMMARY!N604</f>
        <v>0</v>
      </c>
    </row>
    <row r="594" spans="2:14" s="10" customFormat="1" x14ac:dyDescent="0.2">
      <c r="D594" s="101" t="str">
        <f>Lang_Total_SmallLetter&amp;" "&amp;B555&amp;" "&amp;Lang_Costs&amp;" "&amp;C587</f>
        <v>Total Other Costs Economic (LCU)</v>
      </c>
      <c r="H594" s="49" t="str">
        <f>C587</f>
        <v>Economic (LCU)</v>
      </c>
      <c r="I594" s="350">
        <f t="shared" si="98"/>
        <v>0</v>
      </c>
      <c r="J594" s="113">
        <f t="shared" ref="J594:N594" si="99">SUM(J589:J593)</f>
        <v>0</v>
      </c>
      <c r="K594" s="113">
        <f t="shared" si="99"/>
        <v>0</v>
      </c>
      <c r="L594" s="113">
        <f t="shared" si="99"/>
        <v>0</v>
      </c>
      <c r="M594" s="113">
        <f t="shared" si="99"/>
        <v>0</v>
      </c>
      <c r="N594" s="113">
        <f t="shared" si="99"/>
        <v>0</v>
      </c>
    </row>
    <row r="595" spans="2:14" s="10" customFormat="1" x14ac:dyDescent="0.2"/>
    <row r="596" spans="2:14" s="10" customFormat="1" x14ac:dyDescent="0.2">
      <c r="D596" s="101" t="str">
        <f>B555&amp;" "&amp;Lang_Cost&amp;" "&amp;Lang_Per_Fully_Immunized_Person_FIP</f>
        <v>Other Cost per Fully Immunized Person (FIP)</v>
      </c>
      <c r="H596" s="49" t="str">
        <f>C587</f>
        <v>Economic (LCU)</v>
      </c>
      <c r="I596" s="349">
        <f>I594/I$37</f>
        <v>0</v>
      </c>
      <c r="J596" s="41">
        <f t="shared" ref="J596:N596" si="100">J594/J$37</f>
        <v>0</v>
      </c>
      <c r="K596" s="41">
        <f t="shared" si="100"/>
        <v>0</v>
      </c>
      <c r="L596" s="41">
        <f t="shared" si="100"/>
        <v>0</v>
      </c>
      <c r="M596" s="41">
        <f t="shared" si="100"/>
        <v>0</v>
      </c>
      <c r="N596" s="41">
        <f t="shared" si="100"/>
        <v>0</v>
      </c>
    </row>
    <row r="597" spans="2:14" s="10" customFormat="1" x14ac:dyDescent="0.2"/>
    <row r="598" spans="2:14" s="10" customFormat="1" x14ac:dyDescent="0.2"/>
    <row r="599" spans="2:14" s="10" customFormat="1" x14ac:dyDescent="0.2">
      <c r="B599" s="114" t="str">
        <f>Analy_Lu!$D$12</f>
        <v>USD</v>
      </c>
    </row>
    <row r="600" spans="2:14" s="10" customFormat="1" x14ac:dyDescent="0.2"/>
    <row r="601" spans="2:14" s="10" customFormat="1" x14ac:dyDescent="0.2">
      <c r="C601" s="71" t="str">
        <f>Lang_Fin&amp;" ("&amp;Analy_Lu!$D$12&amp;")"</f>
        <v>Financial (USD)</v>
      </c>
    </row>
    <row r="602" spans="2:14" s="10" customFormat="1" x14ac:dyDescent="0.2">
      <c r="I602" s="343" t="str">
        <f>Lang_All_Years</f>
        <v>ALL YEARS</v>
      </c>
    </row>
    <row r="603" spans="2:14" s="10" customFormat="1" x14ac:dyDescent="0.2">
      <c r="D603" s="49" t="str">
        <f>$D$559</f>
        <v>Other Activity #1 - (Recurrent Costs Only) (Not in Use)</v>
      </c>
      <c r="H603" s="49" t="str">
        <f t="shared" ref="H603:H608" si="101">$C$601</f>
        <v>Financial (USD)</v>
      </c>
      <c r="I603" s="255">
        <f t="shared" ref="I603:I608" si="102">SUM(J603:N603)</f>
        <v>0</v>
      </c>
      <c r="J603" s="119">
        <f t="shared" ref="J603:N607" si="103">J577/Analy_Exchange_Rate</f>
        <v>0</v>
      </c>
      <c r="K603" s="119">
        <f t="shared" si="103"/>
        <v>0</v>
      </c>
      <c r="L603" s="119">
        <f t="shared" si="103"/>
        <v>0</v>
      </c>
      <c r="M603" s="119">
        <f t="shared" si="103"/>
        <v>0</v>
      </c>
      <c r="N603" s="119">
        <f t="shared" si="103"/>
        <v>0</v>
      </c>
    </row>
    <row r="604" spans="2:14" s="10" customFormat="1" x14ac:dyDescent="0.2">
      <c r="D604" s="49" t="str">
        <f>$D$561</f>
        <v>Other Activity #2 - (Recurrent Costs Only) (Not in Use)</v>
      </c>
      <c r="H604" s="49" t="str">
        <f t="shared" si="101"/>
        <v>Financial (USD)</v>
      </c>
      <c r="I604" s="255">
        <f t="shared" si="102"/>
        <v>0</v>
      </c>
      <c r="J604" s="119">
        <f t="shared" si="103"/>
        <v>0</v>
      </c>
      <c r="K604" s="119">
        <f t="shared" si="103"/>
        <v>0</v>
      </c>
      <c r="L604" s="119">
        <f t="shared" si="103"/>
        <v>0</v>
      </c>
      <c r="M604" s="119">
        <f t="shared" si="103"/>
        <v>0</v>
      </c>
      <c r="N604" s="119">
        <f t="shared" si="103"/>
        <v>0</v>
      </c>
    </row>
    <row r="605" spans="2:14" s="10" customFormat="1" x14ac:dyDescent="0.2">
      <c r="D605" s="49" t="str">
        <f>$D$563</f>
        <v>Other Activity #3 - (Recurrent Costs Only) (Not in Use)</v>
      </c>
      <c r="H605" s="49" t="str">
        <f t="shared" si="101"/>
        <v>Financial (USD)</v>
      </c>
      <c r="I605" s="255">
        <f t="shared" si="102"/>
        <v>0</v>
      </c>
      <c r="J605" s="119">
        <f t="shared" si="103"/>
        <v>0</v>
      </c>
      <c r="K605" s="119">
        <f t="shared" si="103"/>
        <v>0</v>
      </c>
      <c r="L605" s="119">
        <f t="shared" si="103"/>
        <v>0</v>
      </c>
      <c r="M605" s="119">
        <f t="shared" si="103"/>
        <v>0</v>
      </c>
      <c r="N605" s="119">
        <f t="shared" si="103"/>
        <v>0</v>
      </c>
    </row>
    <row r="606" spans="2:14" s="10" customFormat="1" x14ac:dyDescent="0.2">
      <c r="D606" s="49" t="str">
        <f>$D$565</f>
        <v>Other Activity #4 - (Recurrent Costs Only) (Not in Use)</v>
      </c>
      <c r="H606" s="49" t="str">
        <f t="shared" si="101"/>
        <v>Financial (USD)</v>
      </c>
      <c r="I606" s="255">
        <f t="shared" si="102"/>
        <v>0</v>
      </c>
      <c r="J606" s="119">
        <f t="shared" si="103"/>
        <v>0</v>
      </c>
      <c r="K606" s="119">
        <f t="shared" si="103"/>
        <v>0</v>
      </c>
      <c r="L606" s="119">
        <f t="shared" si="103"/>
        <v>0</v>
      </c>
      <c r="M606" s="119">
        <f t="shared" si="103"/>
        <v>0</v>
      </c>
      <c r="N606" s="119">
        <f t="shared" si="103"/>
        <v>0</v>
      </c>
    </row>
    <row r="607" spans="2:14" s="10" customFormat="1" x14ac:dyDescent="0.2">
      <c r="D607" s="49" t="str">
        <f>$D$567</f>
        <v>Other Activity #5 - (Recurrent Costs Only) (Not in Use)</v>
      </c>
      <c r="H607" s="49" t="str">
        <f t="shared" si="101"/>
        <v>Financial (USD)</v>
      </c>
      <c r="I607" s="255">
        <f t="shared" si="102"/>
        <v>0</v>
      </c>
      <c r="J607" s="119">
        <f t="shared" si="103"/>
        <v>0</v>
      </c>
      <c r="K607" s="119">
        <f t="shared" si="103"/>
        <v>0</v>
      </c>
      <c r="L607" s="119">
        <f t="shared" si="103"/>
        <v>0</v>
      </c>
      <c r="M607" s="119">
        <f t="shared" si="103"/>
        <v>0</v>
      </c>
      <c r="N607" s="119">
        <f t="shared" si="103"/>
        <v>0</v>
      </c>
    </row>
    <row r="608" spans="2:14" s="10" customFormat="1" x14ac:dyDescent="0.2">
      <c r="D608" s="101" t="str">
        <f>Lang_Total_SmallLetter&amp;" "&amp;B555&amp;" "&amp;Lang_Costs&amp;" "&amp;C601</f>
        <v>Total Other Costs Financial (USD)</v>
      </c>
      <c r="H608" s="49" t="str">
        <f t="shared" si="101"/>
        <v>Financial (USD)</v>
      </c>
      <c r="I608" s="348">
        <f t="shared" si="102"/>
        <v>0</v>
      </c>
      <c r="J608" s="121">
        <f t="shared" ref="J608:N608" si="104">SUM(J603:J607)</f>
        <v>0</v>
      </c>
      <c r="K608" s="121">
        <f t="shared" si="104"/>
        <v>0</v>
      </c>
      <c r="L608" s="121">
        <f t="shared" si="104"/>
        <v>0</v>
      </c>
      <c r="M608" s="121">
        <f t="shared" si="104"/>
        <v>0</v>
      </c>
      <c r="N608" s="121">
        <f t="shared" si="104"/>
        <v>0</v>
      </c>
    </row>
    <row r="609" spans="1:14" s="10" customFormat="1" x14ac:dyDescent="0.2"/>
    <row r="610" spans="1:14" s="10" customFormat="1" x14ac:dyDescent="0.2">
      <c r="D610" s="101" t="str">
        <f>B555&amp;" "&amp;Lang_Cost&amp;" "&amp;Lang_Per_Fully_Immunized_Person_FIP</f>
        <v>Other Cost per Fully Immunized Person (FIP)</v>
      </c>
      <c r="H610" s="49" t="str">
        <f>$C$601</f>
        <v>Financial (USD)</v>
      </c>
      <c r="I610" s="388">
        <f>I608/I$37</f>
        <v>0</v>
      </c>
      <c r="J610" s="116">
        <f t="shared" ref="J610:N610" si="105">J608/J$37</f>
        <v>0</v>
      </c>
      <c r="K610" s="116">
        <f t="shared" si="105"/>
        <v>0</v>
      </c>
      <c r="L610" s="116">
        <f t="shared" si="105"/>
        <v>0</v>
      </c>
      <c r="M610" s="116">
        <f t="shared" si="105"/>
        <v>0</v>
      </c>
      <c r="N610" s="116">
        <f t="shared" si="105"/>
        <v>0</v>
      </c>
    </row>
    <row r="611" spans="1:14" s="10" customFormat="1" x14ac:dyDescent="0.2"/>
    <row r="612" spans="1:14" s="10" customFormat="1" x14ac:dyDescent="0.2">
      <c r="C612" s="71" t="str">
        <f>Lang_Econ&amp;" ("&amp;Analy_Lu!$D$12&amp;")"</f>
        <v>Economic (USD)</v>
      </c>
    </row>
    <row r="613" spans="1:14" s="10" customFormat="1" x14ac:dyDescent="0.2">
      <c r="I613" s="343" t="str">
        <f>Lang_All_Years</f>
        <v>ALL YEARS</v>
      </c>
    </row>
    <row r="614" spans="1:14" s="10" customFormat="1" x14ac:dyDescent="0.2">
      <c r="D614" s="49" t="str">
        <f>$D$559</f>
        <v>Other Activity #1 - (Recurrent Costs Only) (Not in Use)</v>
      </c>
      <c r="H614" s="49" t="str">
        <f t="shared" ref="H614:H619" si="106">$C$612</f>
        <v>Economic (USD)</v>
      </c>
      <c r="I614" s="255">
        <f t="shared" ref="I614:I619" si="107">SUM(J614:N614)</f>
        <v>0</v>
      </c>
      <c r="J614" s="119">
        <f t="shared" ref="J614:N618" si="108">J589/Analy_Exchange_Rate</f>
        <v>0</v>
      </c>
      <c r="K614" s="119">
        <f t="shared" si="108"/>
        <v>0</v>
      </c>
      <c r="L614" s="119">
        <f t="shared" si="108"/>
        <v>0</v>
      </c>
      <c r="M614" s="119">
        <f t="shared" si="108"/>
        <v>0</v>
      </c>
      <c r="N614" s="119">
        <f t="shared" si="108"/>
        <v>0</v>
      </c>
    </row>
    <row r="615" spans="1:14" s="10" customFormat="1" x14ac:dyDescent="0.2">
      <c r="D615" s="49" t="str">
        <f>$D$561</f>
        <v>Other Activity #2 - (Recurrent Costs Only) (Not in Use)</v>
      </c>
      <c r="H615" s="49" t="str">
        <f t="shared" si="106"/>
        <v>Economic (USD)</v>
      </c>
      <c r="I615" s="255">
        <f t="shared" si="107"/>
        <v>0</v>
      </c>
      <c r="J615" s="119">
        <f t="shared" si="108"/>
        <v>0</v>
      </c>
      <c r="K615" s="119">
        <f t="shared" si="108"/>
        <v>0</v>
      </c>
      <c r="L615" s="119">
        <f t="shared" si="108"/>
        <v>0</v>
      </c>
      <c r="M615" s="119">
        <f t="shared" si="108"/>
        <v>0</v>
      </c>
      <c r="N615" s="119">
        <f t="shared" si="108"/>
        <v>0</v>
      </c>
    </row>
    <row r="616" spans="1:14" s="10" customFormat="1" x14ac:dyDescent="0.2">
      <c r="D616" s="49" t="str">
        <f>$D$563</f>
        <v>Other Activity #3 - (Recurrent Costs Only) (Not in Use)</v>
      </c>
      <c r="H616" s="49" t="str">
        <f t="shared" si="106"/>
        <v>Economic (USD)</v>
      </c>
      <c r="I616" s="255">
        <f t="shared" si="107"/>
        <v>0</v>
      </c>
      <c r="J616" s="119">
        <f t="shared" si="108"/>
        <v>0</v>
      </c>
      <c r="K616" s="119">
        <f t="shared" si="108"/>
        <v>0</v>
      </c>
      <c r="L616" s="119">
        <f t="shared" si="108"/>
        <v>0</v>
      </c>
      <c r="M616" s="119">
        <f t="shared" si="108"/>
        <v>0</v>
      </c>
      <c r="N616" s="119">
        <f t="shared" si="108"/>
        <v>0</v>
      </c>
    </row>
    <row r="617" spans="1:14" s="10" customFormat="1" x14ac:dyDescent="0.2">
      <c r="D617" s="49" t="str">
        <f>$D$565</f>
        <v>Other Activity #4 - (Recurrent Costs Only) (Not in Use)</v>
      </c>
      <c r="H617" s="49" t="str">
        <f t="shared" si="106"/>
        <v>Economic (USD)</v>
      </c>
      <c r="I617" s="255">
        <f t="shared" si="107"/>
        <v>0</v>
      </c>
      <c r="J617" s="119">
        <f t="shared" si="108"/>
        <v>0</v>
      </c>
      <c r="K617" s="119">
        <f t="shared" si="108"/>
        <v>0</v>
      </c>
      <c r="L617" s="119">
        <f t="shared" si="108"/>
        <v>0</v>
      </c>
      <c r="M617" s="119">
        <f t="shared" si="108"/>
        <v>0</v>
      </c>
      <c r="N617" s="119">
        <f t="shared" si="108"/>
        <v>0</v>
      </c>
    </row>
    <row r="618" spans="1:14" s="10" customFormat="1" x14ac:dyDescent="0.2">
      <c r="D618" s="49" t="str">
        <f>$D$567</f>
        <v>Other Activity #5 - (Recurrent Costs Only) (Not in Use)</v>
      </c>
      <c r="H618" s="49" t="str">
        <f t="shared" si="106"/>
        <v>Economic (USD)</v>
      </c>
      <c r="I618" s="255">
        <f t="shared" si="107"/>
        <v>0</v>
      </c>
      <c r="J618" s="119">
        <f t="shared" si="108"/>
        <v>0</v>
      </c>
      <c r="K618" s="119">
        <f t="shared" si="108"/>
        <v>0</v>
      </c>
      <c r="L618" s="119">
        <f t="shared" si="108"/>
        <v>0</v>
      </c>
      <c r="M618" s="119">
        <f t="shared" si="108"/>
        <v>0</v>
      </c>
      <c r="N618" s="119">
        <f t="shared" si="108"/>
        <v>0</v>
      </c>
    </row>
    <row r="619" spans="1:14" s="10" customFormat="1" x14ac:dyDescent="0.2">
      <c r="D619" s="101" t="str">
        <f>Lang_Total_SmallLetter&amp;" "&amp;B555&amp;" "&amp;Lang_Costs&amp;" "&amp;C612</f>
        <v>Total Other Costs Economic (USD)</v>
      </c>
      <c r="H619" s="49" t="str">
        <f t="shared" si="106"/>
        <v>Economic (USD)</v>
      </c>
      <c r="I619" s="348">
        <f t="shared" si="107"/>
        <v>0</v>
      </c>
      <c r="J619" s="121">
        <f t="shared" ref="J619:N619" si="109">SUM(J614:J618)</f>
        <v>0</v>
      </c>
      <c r="K619" s="121">
        <f t="shared" si="109"/>
        <v>0</v>
      </c>
      <c r="L619" s="121">
        <f t="shared" si="109"/>
        <v>0</v>
      </c>
      <c r="M619" s="121">
        <f t="shared" si="109"/>
        <v>0</v>
      </c>
      <c r="N619" s="121">
        <f t="shared" si="109"/>
        <v>0</v>
      </c>
    </row>
    <row r="620" spans="1:14" s="10" customFormat="1" x14ac:dyDescent="0.2"/>
    <row r="621" spans="1:14" s="10" customFormat="1" x14ac:dyDescent="0.2">
      <c r="D621" s="101" t="str">
        <f>B555&amp;" "&amp;Lang_Cost&amp;" "&amp;Lang_Per_Fully_Immunized_Person_FIP</f>
        <v>Other Cost per Fully Immunized Person (FIP)</v>
      </c>
      <c r="H621" s="49" t="str">
        <f>$C$612</f>
        <v>Economic (USD)</v>
      </c>
      <c r="I621" s="388">
        <f>I619/I$37</f>
        <v>0</v>
      </c>
      <c r="J621" s="116">
        <f t="shared" ref="J621:N621" si="110">J619/J$37</f>
        <v>0</v>
      </c>
      <c r="K621" s="116">
        <f t="shared" si="110"/>
        <v>0</v>
      </c>
      <c r="L621" s="116">
        <f t="shared" si="110"/>
        <v>0</v>
      </c>
      <c r="M621" s="116">
        <f t="shared" si="110"/>
        <v>0</v>
      </c>
      <c r="N621" s="116">
        <f t="shared" si="110"/>
        <v>0</v>
      </c>
    </row>
    <row r="622" spans="1:14" s="10" customFormat="1" x14ac:dyDescent="0.2"/>
    <row r="623" spans="1:14" s="10" customFormat="1" x14ac:dyDescent="0.2"/>
    <row r="624" spans="1:14" s="10" customFormat="1" x14ac:dyDescent="0.2">
      <c r="A624" s="12" t="s">
        <v>125</v>
      </c>
      <c r="B624" s="13" t="str">
        <f>Lang_Analysis&amp;" - "&amp;B626</f>
        <v>Analysis - Cold Chain Expansion</v>
      </c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</row>
    <row r="625" spans="2:14" s="10" customFormat="1" x14ac:dyDescent="0.2"/>
    <row r="626" spans="2:14" s="10" customFormat="1" x14ac:dyDescent="0.2">
      <c r="B626" s="65" t="str">
        <f>Lang_Cold_Chain_Expansion</f>
        <v>Cold Chain Expansion</v>
      </c>
    </row>
    <row r="627" spans="2:14" s="10" customFormat="1" x14ac:dyDescent="0.2"/>
    <row r="628" spans="2:14" s="10" customFormat="1" x14ac:dyDescent="0.2"/>
    <row r="629" spans="2:14" s="10" customFormat="1" x14ac:dyDescent="0.2">
      <c r="C629" s="55" t="str">
        <f>Lang_Cold_Chain_Equipment_Procured</f>
        <v>Cold Chain Equipment Procured</v>
      </c>
    </row>
    <row r="630" spans="2:14" s="10" customFormat="1" ht="36" x14ac:dyDescent="0.2">
      <c r="E630" s="228" t="str">
        <f>Lang_Capacity_Per_Unit</f>
        <v>Capacity per Unit (cm3)</v>
      </c>
      <c r="H630" s="85" t="str">
        <f>Lang_Total_Expansion</f>
        <v>Total Expansion (cm3)</v>
      </c>
      <c r="I630" s="55" t="str">
        <f>Lang_Total_Units_Procured</f>
        <v>Total Units Procured</v>
      </c>
    </row>
    <row r="631" spans="2:14" s="10" customFormat="1" x14ac:dyDescent="0.2">
      <c r="D631" s="49" t="str">
        <f>COLD_CHAIN_EXPANS!B20</f>
        <v>Cold Storage Equipment Type 1</v>
      </c>
      <c r="E631" s="42">
        <f>COLD_CHAIN_EXPANS!C20</f>
        <v>0</v>
      </c>
      <c r="H631" s="152">
        <f>COLD_CHAIN_EXPANS!H20</f>
        <v>0</v>
      </c>
      <c r="I631" s="254">
        <f>COLD_CHAIN_EXPANS!I20</f>
        <v>0</v>
      </c>
      <c r="J631" s="42">
        <f>COLD_CHAIN_EXPANS!J20</f>
        <v>0</v>
      </c>
      <c r="K631" s="42">
        <f>COLD_CHAIN_EXPANS!K20</f>
        <v>0</v>
      </c>
      <c r="L631" s="42">
        <f>COLD_CHAIN_EXPANS!L20</f>
        <v>0</v>
      </c>
      <c r="M631" s="42">
        <f>COLD_CHAIN_EXPANS!M20</f>
        <v>0</v>
      </c>
      <c r="N631" s="42">
        <f>COLD_CHAIN_EXPANS!N20</f>
        <v>0</v>
      </c>
    </row>
    <row r="632" spans="2:14" x14ac:dyDescent="0.2">
      <c r="D632" s="49" t="str">
        <f>COLD_CHAIN_EXPANS!B21</f>
        <v>Cold Storage Equipment Type 2</v>
      </c>
      <c r="E632" s="42">
        <f>COLD_CHAIN_EXPANS!C21</f>
        <v>0</v>
      </c>
      <c r="H632" s="152">
        <f>COLD_CHAIN_EXPANS!H21</f>
        <v>0</v>
      </c>
      <c r="I632" s="254">
        <f>COLD_CHAIN_EXPANS!I21</f>
        <v>0</v>
      </c>
      <c r="J632" s="42">
        <f>COLD_CHAIN_EXPANS!J21</f>
        <v>0</v>
      </c>
      <c r="K632" s="42">
        <f>COLD_CHAIN_EXPANS!K21</f>
        <v>0</v>
      </c>
      <c r="L632" s="42">
        <f>COLD_CHAIN_EXPANS!L21</f>
        <v>0</v>
      </c>
      <c r="M632" s="42">
        <f>COLD_CHAIN_EXPANS!M21</f>
        <v>0</v>
      </c>
      <c r="N632" s="42">
        <f>COLD_CHAIN_EXPANS!N21</f>
        <v>0</v>
      </c>
    </row>
    <row r="633" spans="2:14" x14ac:dyDescent="0.2">
      <c r="D633" s="49" t="str">
        <f>COLD_CHAIN_EXPANS!B22</f>
        <v>Cold Storage Equipment Type 3</v>
      </c>
      <c r="E633" s="42">
        <f>COLD_CHAIN_EXPANS!C22</f>
        <v>0</v>
      </c>
      <c r="H633" s="152">
        <f>COLD_CHAIN_EXPANS!H22</f>
        <v>0</v>
      </c>
      <c r="I633" s="254">
        <f>COLD_CHAIN_EXPANS!I22</f>
        <v>0</v>
      </c>
      <c r="J633" s="42">
        <f>COLD_CHAIN_EXPANS!J22</f>
        <v>0</v>
      </c>
      <c r="K633" s="42">
        <f>COLD_CHAIN_EXPANS!K22</f>
        <v>0</v>
      </c>
      <c r="L633" s="42">
        <f>COLD_CHAIN_EXPANS!L22</f>
        <v>0</v>
      </c>
      <c r="M633" s="42">
        <f>COLD_CHAIN_EXPANS!M22</f>
        <v>0</v>
      </c>
      <c r="N633" s="42">
        <f>COLD_CHAIN_EXPANS!N22</f>
        <v>0</v>
      </c>
    </row>
    <row r="634" spans="2:14" x14ac:dyDescent="0.2">
      <c r="D634" s="49" t="str">
        <f>COLD_CHAIN_EXPANS!B23</f>
        <v>Cold Storage Equipment Type 4</v>
      </c>
      <c r="E634" s="42">
        <f>COLD_CHAIN_EXPANS!C23</f>
        <v>0</v>
      </c>
      <c r="H634" s="152">
        <f>COLD_CHAIN_EXPANS!H23</f>
        <v>0</v>
      </c>
      <c r="I634" s="254">
        <f>COLD_CHAIN_EXPANS!I23</f>
        <v>0</v>
      </c>
      <c r="J634" s="42">
        <f>COLD_CHAIN_EXPANS!J23</f>
        <v>0</v>
      </c>
      <c r="K634" s="42">
        <f>COLD_CHAIN_EXPANS!K23</f>
        <v>0</v>
      </c>
      <c r="L634" s="42">
        <f>COLD_CHAIN_EXPANS!L23</f>
        <v>0</v>
      </c>
      <c r="M634" s="42">
        <f>COLD_CHAIN_EXPANS!M23</f>
        <v>0</v>
      </c>
      <c r="N634" s="42">
        <f>COLD_CHAIN_EXPANS!N23</f>
        <v>0</v>
      </c>
    </row>
    <row r="635" spans="2:14" x14ac:dyDescent="0.2">
      <c r="D635" s="49" t="str">
        <f>COLD_CHAIN_EXPANS!B24</f>
        <v>Cold Storage Equipment Type 5</v>
      </c>
      <c r="E635" s="42">
        <f>COLD_CHAIN_EXPANS!C24</f>
        <v>0</v>
      </c>
      <c r="H635" s="152">
        <f>COLD_CHAIN_EXPANS!H24</f>
        <v>0</v>
      </c>
      <c r="I635" s="254">
        <f>COLD_CHAIN_EXPANS!I24</f>
        <v>0</v>
      </c>
      <c r="J635" s="42">
        <f>COLD_CHAIN_EXPANS!J24</f>
        <v>0</v>
      </c>
      <c r="K635" s="42">
        <f>COLD_CHAIN_EXPANS!K24</f>
        <v>0</v>
      </c>
      <c r="L635" s="42">
        <f>COLD_CHAIN_EXPANS!L24</f>
        <v>0</v>
      </c>
      <c r="M635" s="42">
        <f>COLD_CHAIN_EXPANS!M24</f>
        <v>0</v>
      </c>
      <c r="N635" s="42">
        <f>COLD_CHAIN_EXPANS!N24</f>
        <v>0</v>
      </c>
    </row>
    <row r="636" spans="2:14" x14ac:dyDescent="0.2">
      <c r="D636" s="49" t="str">
        <f>COLD_CHAIN_EXPANS!B25</f>
        <v>Cold Storage Equipment Type 6</v>
      </c>
      <c r="E636" s="42">
        <f>COLD_CHAIN_EXPANS!C25</f>
        <v>0</v>
      </c>
      <c r="H636" s="152">
        <f>COLD_CHAIN_EXPANS!H25</f>
        <v>0</v>
      </c>
      <c r="I636" s="254">
        <f>COLD_CHAIN_EXPANS!I25</f>
        <v>0</v>
      </c>
      <c r="J636" s="42">
        <f>COLD_CHAIN_EXPANS!J25</f>
        <v>0</v>
      </c>
      <c r="K636" s="42">
        <f>COLD_CHAIN_EXPANS!K25</f>
        <v>0</v>
      </c>
      <c r="L636" s="42">
        <f>COLD_CHAIN_EXPANS!L25</f>
        <v>0</v>
      </c>
      <c r="M636" s="42">
        <f>COLD_CHAIN_EXPANS!M25</f>
        <v>0</v>
      </c>
      <c r="N636" s="42">
        <f>COLD_CHAIN_EXPANS!N25</f>
        <v>0</v>
      </c>
    </row>
    <row r="637" spans="2:14" x14ac:dyDescent="0.2">
      <c r="D637" s="49" t="str">
        <f>COLD_CHAIN_EXPANS!B26</f>
        <v>Cold Storage Equipment Type 7</v>
      </c>
      <c r="E637" s="42">
        <f>COLD_CHAIN_EXPANS!C26</f>
        <v>0</v>
      </c>
      <c r="H637" s="152">
        <f>COLD_CHAIN_EXPANS!H26</f>
        <v>0</v>
      </c>
      <c r="I637" s="254">
        <f>COLD_CHAIN_EXPANS!I26</f>
        <v>0</v>
      </c>
      <c r="J637" s="42">
        <f>COLD_CHAIN_EXPANS!J26</f>
        <v>0</v>
      </c>
      <c r="K637" s="42">
        <f>COLD_CHAIN_EXPANS!K26</f>
        <v>0</v>
      </c>
      <c r="L637" s="42">
        <f>COLD_CHAIN_EXPANS!L26</f>
        <v>0</v>
      </c>
      <c r="M637" s="42">
        <f>COLD_CHAIN_EXPANS!M26</f>
        <v>0</v>
      </c>
      <c r="N637" s="42">
        <f>COLD_CHAIN_EXPANS!N26</f>
        <v>0</v>
      </c>
    </row>
    <row r="638" spans="2:14" x14ac:dyDescent="0.2">
      <c r="D638" s="49" t="str">
        <f>COLD_CHAIN_EXPANS!B27</f>
        <v>Cold Storage Equipment Type 8</v>
      </c>
      <c r="E638" s="42">
        <f>COLD_CHAIN_EXPANS!C27</f>
        <v>0</v>
      </c>
      <c r="H638" s="152">
        <f>COLD_CHAIN_EXPANS!H27</f>
        <v>0</v>
      </c>
      <c r="I638" s="254">
        <f>COLD_CHAIN_EXPANS!I27</f>
        <v>0</v>
      </c>
      <c r="J638" s="42">
        <f>COLD_CHAIN_EXPANS!J27</f>
        <v>0</v>
      </c>
      <c r="K638" s="42">
        <f>COLD_CHAIN_EXPANS!K27</f>
        <v>0</v>
      </c>
      <c r="L638" s="42">
        <f>COLD_CHAIN_EXPANS!L27</f>
        <v>0</v>
      </c>
      <c r="M638" s="42">
        <f>COLD_CHAIN_EXPANS!M27</f>
        <v>0</v>
      </c>
      <c r="N638" s="42">
        <f>COLD_CHAIN_EXPANS!N27</f>
        <v>0</v>
      </c>
    </row>
    <row r="639" spans="2:14" x14ac:dyDescent="0.2">
      <c r="D639" s="49" t="str">
        <f>COLD_CHAIN_EXPANS!B28</f>
        <v>Cold Storage Equipment Type 9</v>
      </c>
      <c r="E639" s="42">
        <f>COLD_CHAIN_EXPANS!C28</f>
        <v>0</v>
      </c>
      <c r="H639" s="152">
        <f>COLD_CHAIN_EXPANS!H28</f>
        <v>0</v>
      </c>
      <c r="I639" s="254">
        <f>COLD_CHAIN_EXPANS!I28</f>
        <v>0</v>
      </c>
      <c r="J639" s="42">
        <f>COLD_CHAIN_EXPANS!J28</f>
        <v>0</v>
      </c>
      <c r="K639" s="42">
        <f>COLD_CHAIN_EXPANS!K28</f>
        <v>0</v>
      </c>
      <c r="L639" s="42">
        <f>COLD_CHAIN_EXPANS!L28</f>
        <v>0</v>
      </c>
      <c r="M639" s="42">
        <f>COLD_CHAIN_EXPANS!M28</f>
        <v>0</v>
      </c>
      <c r="N639" s="42">
        <f>COLD_CHAIN_EXPANS!N28</f>
        <v>0</v>
      </c>
    </row>
    <row r="640" spans="2:14" s="10" customFormat="1" x14ac:dyDescent="0.2">
      <c r="D640" s="49" t="str">
        <f>COLD_CHAIN_EXPANS!B29</f>
        <v>Cold Storage Equipment Type 10</v>
      </c>
      <c r="E640" s="42">
        <f>COLD_CHAIN_EXPANS!C29</f>
        <v>0</v>
      </c>
      <c r="H640" s="152">
        <f>COLD_CHAIN_EXPANS!H29</f>
        <v>0</v>
      </c>
      <c r="I640" s="254">
        <f>COLD_CHAIN_EXPANS!I29</f>
        <v>0</v>
      </c>
      <c r="J640" s="42">
        <f>COLD_CHAIN_EXPANS!J29</f>
        <v>0</v>
      </c>
      <c r="K640" s="42">
        <f>COLD_CHAIN_EXPANS!K29</f>
        <v>0</v>
      </c>
      <c r="L640" s="42">
        <f>COLD_CHAIN_EXPANS!L29</f>
        <v>0</v>
      </c>
      <c r="M640" s="42">
        <f>COLD_CHAIN_EXPANS!M29</f>
        <v>0</v>
      </c>
      <c r="N640" s="42">
        <f>COLD_CHAIN_EXPANS!N29</f>
        <v>0</v>
      </c>
    </row>
    <row r="641" spans="2:14" s="10" customFormat="1" x14ac:dyDescent="0.2">
      <c r="D641" s="249" t="str">
        <f>Lang_Total_SmallLetter&amp;" "&amp;C629</f>
        <v>Total Cold Chain Equipment Procured</v>
      </c>
      <c r="E641" s="43">
        <f>SUM(E631:E640)</f>
        <v>0</v>
      </c>
      <c r="H641" s="43">
        <f>SUM(H631:H640)</f>
        <v>0</v>
      </c>
      <c r="I641" s="387">
        <f>SUM(I631:I640)</f>
        <v>0</v>
      </c>
      <c r="J641" s="387">
        <f t="shared" ref="J641:N641" si="111">SUM(J631:J640)</f>
        <v>0</v>
      </c>
      <c r="K641" s="43">
        <f t="shared" si="111"/>
        <v>0</v>
      </c>
      <c r="L641" s="43">
        <f t="shared" si="111"/>
        <v>0</v>
      </c>
      <c r="M641" s="43">
        <f t="shared" si="111"/>
        <v>0</v>
      </c>
      <c r="N641" s="43">
        <f t="shared" si="111"/>
        <v>0</v>
      </c>
    </row>
    <row r="642" spans="2:14" s="10" customFormat="1" x14ac:dyDescent="0.2"/>
    <row r="643" spans="2:14" s="10" customFormat="1" x14ac:dyDescent="0.2"/>
    <row r="644" spans="2:14" s="10" customFormat="1" x14ac:dyDescent="0.2">
      <c r="B644" s="55" t="str">
        <f>Lang_Cold_Chain_Expansion_Costs_Initial_Investment</f>
        <v>Cold Chain Expansion Costs (Initial Investment)</v>
      </c>
    </row>
    <row r="645" spans="2:14" s="10" customFormat="1" x14ac:dyDescent="0.2"/>
    <row r="646" spans="2:14" s="10" customFormat="1" x14ac:dyDescent="0.2">
      <c r="B646" s="358" t="str">
        <f>Analy_Lu!$D$13</f>
        <v>LCU</v>
      </c>
    </row>
    <row r="647" spans="2:14" s="10" customFormat="1" x14ac:dyDescent="0.2"/>
    <row r="648" spans="2:14" s="10" customFormat="1" x14ac:dyDescent="0.2">
      <c r="D648" s="105" t="str">
        <f>Lang_Fin&amp;" ("&amp;Analy_Lu!$D$13&amp;")"</f>
        <v>Financial (LCU)</v>
      </c>
    </row>
    <row r="649" spans="2:14" s="10" customFormat="1" x14ac:dyDescent="0.2">
      <c r="E649" s="55" t="str">
        <f>Lang_Cost_Per_Unit</f>
        <v>Cost per Unit</v>
      </c>
      <c r="I649" s="228" t="str">
        <f>Lang_All_Years</f>
        <v>ALL YEARS</v>
      </c>
    </row>
    <row r="650" spans="2:14" s="10" customFormat="1" x14ac:dyDescent="0.2">
      <c r="D650" s="49" t="str">
        <f t="shared" ref="D650:D659" si="112">D631</f>
        <v>Cold Storage Equipment Type 1</v>
      </c>
      <c r="E650" s="42">
        <f>COLD_CHAIN!E78</f>
        <v>0</v>
      </c>
      <c r="I650" s="145">
        <f>COLD_CHAIN!I78</f>
        <v>0</v>
      </c>
      <c r="J650" s="42">
        <f>COLD_CHAIN!J78</f>
        <v>0</v>
      </c>
      <c r="K650" s="42">
        <f>COLD_CHAIN!K78</f>
        <v>0</v>
      </c>
      <c r="L650" s="42">
        <f>COLD_CHAIN!L78</f>
        <v>0</v>
      </c>
      <c r="M650" s="42">
        <f>COLD_CHAIN!M78</f>
        <v>0</v>
      </c>
      <c r="N650" s="42">
        <f>COLD_CHAIN!N78</f>
        <v>0</v>
      </c>
    </row>
    <row r="651" spans="2:14" x14ac:dyDescent="0.2">
      <c r="D651" s="49" t="str">
        <f t="shared" si="112"/>
        <v>Cold Storage Equipment Type 2</v>
      </c>
      <c r="E651" s="42">
        <f>COLD_CHAIN!E79</f>
        <v>0</v>
      </c>
      <c r="I651" s="145">
        <f>COLD_CHAIN!I79</f>
        <v>0</v>
      </c>
      <c r="J651" s="42">
        <f>COLD_CHAIN!J79</f>
        <v>0</v>
      </c>
      <c r="K651" s="42">
        <f>COLD_CHAIN!K79</f>
        <v>0</v>
      </c>
      <c r="L651" s="42">
        <f>COLD_CHAIN!L79</f>
        <v>0</v>
      </c>
      <c r="M651" s="42">
        <f>COLD_CHAIN!M79</f>
        <v>0</v>
      </c>
      <c r="N651" s="42">
        <f>COLD_CHAIN!N79</f>
        <v>0</v>
      </c>
    </row>
    <row r="652" spans="2:14" x14ac:dyDescent="0.2">
      <c r="D652" s="49" t="str">
        <f t="shared" si="112"/>
        <v>Cold Storage Equipment Type 3</v>
      </c>
      <c r="E652" s="42">
        <f>COLD_CHAIN!E80</f>
        <v>0</v>
      </c>
      <c r="I652" s="145">
        <f>COLD_CHAIN!I80</f>
        <v>0</v>
      </c>
      <c r="J652" s="42">
        <f>COLD_CHAIN!J80</f>
        <v>0</v>
      </c>
      <c r="K652" s="42">
        <f>COLD_CHAIN!K80</f>
        <v>0</v>
      </c>
      <c r="L652" s="42">
        <f>COLD_CHAIN!L80</f>
        <v>0</v>
      </c>
      <c r="M652" s="42">
        <f>COLD_CHAIN!M80</f>
        <v>0</v>
      </c>
      <c r="N652" s="42">
        <f>COLD_CHAIN!N80</f>
        <v>0</v>
      </c>
    </row>
    <row r="653" spans="2:14" x14ac:dyDescent="0.2">
      <c r="D653" s="49" t="str">
        <f t="shared" si="112"/>
        <v>Cold Storage Equipment Type 4</v>
      </c>
      <c r="E653" s="42">
        <f>COLD_CHAIN!E81</f>
        <v>0</v>
      </c>
      <c r="I653" s="145">
        <f>COLD_CHAIN!I81</f>
        <v>0</v>
      </c>
      <c r="J653" s="42">
        <f>COLD_CHAIN!J81</f>
        <v>0</v>
      </c>
      <c r="K653" s="42">
        <f>COLD_CHAIN!K81</f>
        <v>0</v>
      </c>
      <c r="L653" s="42">
        <f>COLD_CHAIN!L81</f>
        <v>0</v>
      </c>
      <c r="M653" s="42">
        <f>COLD_CHAIN!M81</f>
        <v>0</v>
      </c>
      <c r="N653" s="42">
        <f>COLD_CHAIN!N81</f>
        <v>0</v>
      </c>
    </row>
    <row r="654" spans="2:14" x14ac:dyDescent="0.2">
      <c r="D654" s="49" t="str">
        <f t="shared" si="112"/>
        <v>Cold Storage Equipment Type 5</v>
      </c>
      <c r="E654" s="42">
        <f>COLD_CHAIN!E82</f>
        <v>0</v>
      </c>
      <c r="I654" s="145">
        <f>COLD_CHAIN!I82</f>
        <v>0</v>
      </c>
      <c r="J654" s="42">
        <f>COLD_CHAIN!J82</f>
        <v>0</v>
      </c>
      <c r="K654" s="42">
        <f>COLD_CHAIN!K82</f>
        <v>0</v>
      </c>
      <c r="L654" s="42">
        <f>COLD_CHAIN!L82</f>
        <v>0</v>
      </c>
      <c r="M654" s="42">
        <f>COLD_CHAIN!M82</f>
        <v>0</v>
      </c>
      <c r="N654" s="42">
        <f>COLD_CHAIN!N82</f>
        <v>0</v>
      </c>
    </row>
    <row r="655" spans="2:14" x14ac:dyDescent="0.2">
      <c r="D655" s="49" t="str">
        <f t="shared" si="112"/>
        <v>Cold Storage Equipment Type 6</v>
      </c>
      <c r="E655" s="42">
        <f>COLD_CHAIN!E83</f>
        <v>0</v>
      </c>
      <c r="I655" s="145">
        <f>COLD_CHAIN!I83</f>
        <v>0</v>
      </c>
      <c r="J655" s="42">
        <f>COLD_CHAIN!J83</f>
        <v>0</v>
      </c>
      <c r="K655" s="42">
        <f>COLD_CHAIN!K83</f>
        <v>0</v>
      </c>
      <c r="L655" s="42">
        <f>COLD_CHAIN!L83</f>
        <v>0</v>
      </c>
      <c r="M655" s="42">
        <f>COLD_CHAIN!M83</f>
        <v>0</v>
      </c>
      <c r="N655" s="42">
        <f>COLD_CHAIN!N83</f>
        <v>0</v>
      </c>
    </row>
    <row r="656" spans="2:14" x14ac:dyDescent="0.2">
      <c r="D656" s="49" t="str">
        <f t="shared" si="112"/>
        <v>Cold Storage Equipment Type 7</v>
      </c>
      <c r="E656" s="42">
        <f>COLD_CHAIN!E84</f>
        <v>0</v>
      </c>
      <c r="I656" s="145">
        <f>COLD_CHAIN!I84</f>
        <v>0</v>
      </c>
      <c r="J656" s="42">
        <f>COLD_CHAIN!J84</f>
        <v>0</v>
      </c>
      <c r="K656" s="42">
        <f>COLD_CHAIN!K84</f>
        <v>0</v>
      </c>
      <c r="L656" s="42">
        <f>COLD_CHAIN!L84</f>
        <v>0</v>
      </c>
      <c r="M656" s="42">
        <f>COLD_CHAIN!M84</f>
        <v>0</v>
      </c>
      <c r="N656" s="42">
        <f>COLD_CHAIN!N84</f>
        <v>0</v>
      </c>
    </row>
    <row r="657" spans="4:14" x14ac:dyDescent="0.2">
      <c r="D657" s="49" t="str">
        <f t="shared" si="112"/>
        <v>Cold Storage Equipment Type 8</v>
      </c>
      <c r="E657" s="42">
        <f>COLD_CHAIN!E85</f>
        <v>0</v>
      </c>
      <c r="I657" s="145">
        <f>COLD_CHAIN!I85</f>
        <v>0</v>
      </c>
      <c r="J657" s="42">
        <f>COLD_CHAIN!J85</f>
        <v>0</v>
      </c>
      <c r="K657" s="42">
        <f>COLD_CHAIN!K85</f>
        <v>0</v>
      </c>
      <c r="L657" s="42">
        <f>COLD_CHAIN!L85</f>
        <v>0</v>
      </c>
      <c r="M657" s="42">
        <f>COLD_CHAIN!M85</f>
        <v>0</v>
      </c>
      <c r="N657" s="42">
        <f>COLD_CHAIN!N85</f>
        <v>0</v>
      </c>
    </row>
    <row r="658" spans="4:14" x14ac:dyDescent="0.2">
      <c r="D658" s="49" t="str">
        <f t="shared" si="112"/>
        <v>Cold Storage Equipment Type 9</v>
      </c>
      <c r="E658" s="42">
        <f>COLD_CHAIN!E86</f>
        <v>0</v>
      </c>
      <c r="I658" s="145">
        <f>COLD_CHAIN!I86</f>
        <v>0</v>
      </c>
      <c r="J658" s="42">
        <f>COLD_CHAIN!J86</f>
        <v>0</v>
      </c>
      <c r="K658" s="42">
        <f>COLD_CHAIN!K86</f>
        <v>0</v>
      </c>
      <c r="L658" s="42">
        <f>COLD_CHAIN!L86</f>
        <v>0</v>
      </c>
      <c r="M658" s="42">
        <f>COLD_CHAIN!M86</f>
        <v>0</v>
      </c>
      <c r="N658" s="42">
        <f>COLD_CHAIN!N86</f>
        <v>0</v>
      </c>
    </row>
    <row r="659" spans="4:14" s="10" customFormat="1" x14ac:dyDescent="0.2">
      <c r="D659" s="49" t="str">
        <f t="shared" si="112"/>
        <v>Cold Storage Equipment Type 10</v>
      </c>
      <c r="E659" s="42">
        <f>COLD_CHAIN!E87</f>
        <v>0</v>
      </c>
      <c r="I659" s="145">
        <f>COLD_CHAIN!I87</f>
        <v>0</v>
      </c>
      <c r="J659" s="42">
        <f>COLD_CHAIN!J87</f>
        <v>0</v>
      </c>
      <c r="K659" s="42">
        <f>COLD_CHAIN!K87</f>
        <v>0</v>
      </c>
      <c r="L659" s="42">
        <f>COLD_CHAIN!L87</f>
        <v>0</v>
      </c>
      <c r="M659" s="42">
        <f>COLD_CHAIN!M87</f>
        <v>0</v>
      </c>
      <c r="N659" s="42">
        <f>COLD_CHAIN!N87</f>
        <v>0</v>
      </c>
    </row>
    <row r="660" spans="4:14" s="10" customFormat="1" x14ac:dyDescent="0.2">
      <c r="D660" s="249" t="str">
        <f>Lang_Total_SmallLetter&amp;" "&amp;$B$644&amp;" "&amp;D648</f>
        <v>Total Cold Chain Expansion Costs (Initial Investment) Financial (LCU)</v>
      </c>
      <c r="E660" s="250"/>
      <c r="I660" s="342">
        <f>SUM(I650:I659)</f>
        <v>0</v>
      </c>
      <c r="J660" s="43">
        <f t="shared" ref="J660:N660" si="113">SUM(J650:J659)</f>
        <v>0</v>
      </c>
      <c r="K660" s="43">
        <f t="shared" si="113"/>
        <v>0</v>
      </c>
      <c r="L660" s="43">
        <f t="shared" si="113"/>
        <v>0</v>
      </c>
      <c r="M660" s="43">
        <f t="shared" si="113"/>
        <v>0</v>
      </c>
      <c r="N660" s="43">
        <f t="shared" si="113"/>
        <v>0</v>
      </c>
    </row>
    <row r="661" spans="4:14" s="10" customFormat="1" x14ac:dyDescent="0.2"/>
    <row r="662" spans="4:14" s="10" customFormat="1" x14ac:dyDescent="0.2"/>
    <row r="663" spans="4:14" s="10" customFormat="1" x14ac:dyDescent="0.2">
      <c r="D663" s="105" t="str">
        <f>Lang_Econ&amp;" ("&amp;Analy_Lu!$D$13&amp;")"</f>
        <v>Economic (LCU)</v>
      </c>
    </row>
    <row r="664" spans="4:14" s="10" customFormat="1" x14ac:dyDescent="0.2">
      <c r="E664" s="55" t="str">
        <f>Lang_Cost_Per_Unit</f>
        <v>Cost per Unit</v>
      </c>
      <c r="I664" s="228" t="str">
        <f>Lang_All_Years</f>
        <v>ALL YEARS</v>
      </c>
    </row>
    <row r="665" spans="4:14" s="10" customFormat="1" x14ac:dyDescent="0.2"/>
    <row r="666" spans="4:14" s="10" customFormat="1" x14ac:dyDescent="0.2">
      <c r="D666" s="248" t="str">
        <f t="shared" ref="D666:D675" si="114">D631</f>
        <v>Cold Storage Equipment Type 1</v>
      </c>
      <c r="E666" s="42">
        <f>COLD_CHAIN!E91</f>
        <v>0</v>
      </c>
      <c r="I666" s="145">
        <f>COLD_CHAIN!I91</f>
        <v>0</v>
      </c>
      <c r="J666" s="42">
        <f>COLD_CHAIN!J91</f>
        <v>0</v>
      </c>
      <c r="K666" s="42">
        <f>COLD_CHAIN!K91</f>
        <v>0</v>
      </c>
      <c r="L666" s="42">
        <f>COLD_CHAIN!L91</f>
        <v>0</v>
      </c>
      <c r="M666" s="42">
        <f>COLD_CHAIN!M91</f>
        <v>0</v>
      </c>
      <c r="N666" s="42">
        <f>COLD_CHAIN!N91</f>
        <v>0</v>
      </c>
    </row>
    <row r="667" spans="4:14" x14ac:dyDescent="0.2">
      <c r="D667" s="248" t="str">
        <f t="shared" si="114"/>
        <v>Cold Storage Equipment Type 2</v>
      </c>
      <c r="E667" s="42">
        <f>COLD_CHAIN!E92</f>
        <v>0</v>
      </c>
      <c r="I667" s="145">
        <f>COLD_CHAIN!I92</f>
        <v>0</v>
      </c>
      <c r="J667" s="42">
        <f>COLD_CHAIN!J92</f>
        <v>0</v>
      </c>
      <c r="K667" s="42">
        <f>COLD_CHAIN!K92</f>
        <v>0</v>
      </c>
      <c r="L667" s="42">
        <f>COLD_CHAIN!L92</f>
        <v>0</v>
      </c>
      <c r="M667" s="42">
        <f>COLD_CHAIN!M92</f>
        <v>0</v>
      </c>
      <c r="N667" s="42">
        <f>COLD_CHAIN!N92</f>
        <v>0</v>
      </c>
    </row>
    <row r="668" spans="4:14" x14ac:dyDescent="0.2">
      <c r="D668" s="248" t="str">
        <f t="shared" si="114"/>
        <v>Cold Storage Equipment Type 3</v>
      </c>
      <c r="E668" s="42">
        <f>COLD_CHAIN!E93</f>
        <v>0</v>
      </c>
      <c r="I668" s="145">
        <f>COLD_CHAIN!I93</f>
        <v>0</v>
      </c>
      <c r="J668" s="42">
        <f>COLD_CHAIN!J93</f>
        <v>0</v>
      </c>
      <c r="K668" s="42">
        <f>COLD_CHAIN!K93</f>
        <v>0</v>
      </c>
      <c r="L668" s="42">
        <f>COLD_CHAIN!L93</f>
        <v>0</v>
      </c>
      <c r="M668" s="42">
        <f>COLD_CHAIN!M93</f>
        <v>0</v>
      </c>
      <c r="N668" s="42">
        <f>COLD_CHAIN!N93</f>
        <v>0</v>
      </c>
    </row>
    <row r="669" spans="4:14" x14ac:dyDescent="0.2">
      <c r="D669" s="248" t="str">
        <f t="shared" si="114"/>
        <v>Cold Storage Equipment Type 4</v>
      </c>
      <c r="E669" s="42">
        <f>COLD_CHAIN!E94</f>
        <v>0</v>
      </c>
      <c r="I669" s="145">
        <f>COLD_CHAIN!I94</f>
        <v>0</v>
      </c>
      <c r="J669" s="42">
        <f>COLD_CHAIN!J94</f>
        <v>0</v>
      </c>
      <c r="K669" s="42">
        <f>COLD_CHAIN!K94</f>
        <v>0</v>
      </c>
      <c r="L669" s="42">
        <f>COLD_CHAIN!L94</f>
        <v>0</v>
      </c>
      <c r="M669" s="42">
        <f>COLD_CHAIN!M94</f>
        <v>0</v>
      </c>
      <c r="N669" s="42">
        <f>COLD_CHAIN!N94</f>
        <v>0</v>
      </c>
    </row>
    <row r="670" spans="4:14" x14ac:dyDescent="0.2">
      <c r="D670" s="248" t="str">
        <f t="shared" si="114"/>
        <v>Cold Storage Equipment Type 5</v>
      </c>
      <c r="E670" s="42">
        <f>COLD_CHAIN!E95</f>
        <v>0</v>
      </c>
      <c r="I670" s="145">
        <f>COLD_CHAIN!I95</f>
        <v>0</v>
      </c>
      <c r="J670" s="42">
        <f>COLD_CHAIN!J95</f>
        <v>0</v>
      </c>
      <c r="K670" s="42">
        <f>COLD_CHAIN!K95</f>
        <v>0</v>
      </c>
      <c r="L670" s="42">
        <f>COLD_CHAIN!L95</f>
        <v>0</v>
      </c>
      <c r="M670" s="42">
        <f>COLD_CHAIN!M95</f>
        <v>0</v>
      </c>
      <c r="N670" s="42">
        <f>COLD_CHAIN!N95</f>
        <v>0</v>
      </c>
    </row>
    <row r="671" spans="4:14" x14ac:dyDescent="0.2">
      <c r="D671" s="248" t="str">
        <f t="shared" si="114"/>
        <v>Cold Storage Equipment Type 6</v>
      </c>
      <c r="E671" s="42">
        <f>COLD_CHAIN!E96</f>
        <v>0</v>
      </c>
      <c r="I671" s="145">
        <f>COLD_CHAIN!I96</f>
        <v>0</v>
      </c>
      <c r="J671" s="42">
        <f>COLD_CHAIN!J96</f>
        <v>0</v>
      </c>
      <c r="K671" s="42">
        <f>COLD_CHAIN!K96</f>
        <v>0</v>
      </c>
      <c r="L671" s="42">
        <f>COLD_CHAIN!L96</f>
        <v>0</v>
      </c>
      <c r="M671" s="42">
        <f>COLD_CHAIN!M96</f>
        <v>0</v>
      </c>
      <c r="N671" s="42">
        <f>COLD_CHAIN!N96</f>
        <v>0</v>
      </c>
    </row>
    <row r="672" spans="4:14" x14ac:dyDescent="0.2">
      <c r="D672" s="248" t="str">
        <f t="shared" si="114"/>
        <v>Cold Storage Equipment Type 7</v>
      </c>
      <c r="E672" s="42">
        <f>COLD_CHAIN!E97</f>
        <v>0</v>
      </c>
      <c r="I672" s="145">
        <f>COLD_CHAIN!I97</f>
        <v>0</v>
      </c>
      <c r="J672" s="42">
        <f>COLD_CHAIN!J97</f>
        <v>0</v>
      </c>
      <c r="K672" s="42">
        <f>COLD_CHAIN!K97</f>
        <v>0</v>
      </c>
      <c r="L672" s="42">
        <f>COLD_CHAIN!L97</f>
        <v>0</v>
      </c>
      <c r="M672" s="42">
        <f>COLD_CHAIN!M97</f>
        <v>0</v>
      </c>
      <c r="N672" s="42">
        <f>COLD_CHAIN!N97</f>
        <v>0</v>
      </c>
    </row>
    <row r="673" spans="2:14" x14ac:dyDescent="0.2">
      <c r="D673" s="248" t="str">
        <f t="shared" si="114"/>
        <v>Cold Storage Equipment Type 8</v>
      </c>
      <c r="E673" s="42">
        <f>COLD_CHAIN!E98</f>
        <v>0</v>
      </c>
      <c r="I673" s="145">
        <f>COLD_CHAIN!I98</f>
        <v>0</v>
      </c>
      <c r="J673" s="42">
        <f>COLD_CHAIN!J98</f>
        <v>0</v>
      </c>
      <c r="K673" s="42">
        <f>COLD_CHAIN!K98</f>
        <v>0</v>
      </c>
      <c r="L673" s="42">
        <f>COLD_CHAIN!L98</f>
        <v>0</v>
      </c>
      <c r="M673" s="42">
        <f>COLD_CHAIN!M98</f>
        <v>0</v>
      </c>
      <c r="N673" s="42">
        <f>COLD_CHAIN!N98</f>
        <v>0</v>
      </c>
    </row>
    <row r="674" spans="2:14" x14ac:dyDescent="0.2">
      <c r="D674" s="248" t="str">
        <f t="shared" si="114"/>
        <v>Cold Storage Equipment Type 9</v>
      </c>
      <c r="E674" s="42">
        <f>COLD_CHAIN!E99</f>
        <v>0</v>
      </c>
      <c r="I674" s="145">
        <f>COLD_CHAIN!I99</f>
        <v>0</v>
      </c>
      <c r="J674" s="42">
        <f>COLD_CHAIN!J99</f>
        <v>0</v>
      </c>
      <c r="K674" s="42">
        <f>COLD_CHAIN!K99</f>
        <v>0</v>
      </c>
      <c r="L674" s="42">
        <f>COLD_CHAIN!L99</f>
        <v>0</v>
      </c>
      <c r="M674" s="42">
        <f>COLD_CHAIN!M99</f>
        <v>0</v>
      </c>
      <c r="N674" s="42">
        <f>COLD_CHAIN!N99</f>
        <v>0</v>
      </c>
    </row>
    <row r="675" spans="2:14" s="10" customFormat="1" x14ac:dyDescent="0.2">
      <c r="D675" s="248" t="str">
        <f t="shared" si="114"/>
        <v>Cold Storage Equipment Type 10</v>
      </c>
      <c r="E675" s="42">
        <f>COLD_CHAIN!E100</f>
        <v>0</v>
      </c>
      <c r="I675" s="145">
        <f>COLD_CHAIN!I100</f>
        <v>0</v>
      </c>
      <c r="J675" s="42">
        <f>COLD_CHAIN!J100</f>
        <v>0</v>
      </c>
      <c r="K675" s="42">
        <f>COLD_CHAIN!K100</f>
        <v>0</v>
      </c>
      <c r="L675" s="42">
        <f>COLD_CHAIN!L100</f>
        <v>0</v>
      </c>
      <c r="M675" s="42">
        <f>COLD_CHAIN!M100</f>
        <v>0</v>
      </c>
      <c r="N675" s="42">
        <f>COLD_CHAIN!N100</f>
        <v>0</v>
      </c>
    </row>
    <row r="676" spans="2:14" s="10" customFormat="1" x14ac:dyDescent="0.2">
      <c r="D676" s="249" t="str">
        <f>Lang_Total_SmallLetter&amp;" "&amp;$B$644&amp;" "&amp;D663</f>
        <v>Total Cold Chain Expansion Costs (Initial Investment) Economic (LCU)</v>
      </c>
      <c r="E676" s="250"/>
      <c r="I676" s="342">
        <f>SUM(I666:I675)</f>
        <v>0</v>
      </c>
      <c r="J676" s="43">
        <f t="shared" ref="J676:N676" si="115">SUM(J666:J675)</f>
        <v>0</v>
      </c>
      <c r="K676" s="43">
        <f t="shared" si="115"/>
        <v>0</v>
      </c>
      <c r="L676" s="43">
        <f t="shared" si="115"/>
        <v>0</v>
      </c>
      <c r="M676" s="43">
        <f t="shared" si="115"/>
        <v>0</v>
      </c>
      <c r="N676" s="43">
        <f t="shared" si="115"/>
        <v>0</v>
      </c>
    </row>
    <row r="677" spans="2:14" s="10" customFormat="1" x14ac:dyDescent="0.2"/>
    <row r="678" spans="2:14" s="10" customFormat="1" x14ac:dyDescent="0.2"/>
    <row r="679" spans="2:14" s="10" customFormat="1" x14ac:dyDescent="0.2">
      <c r="B679" s="358" t="str">
        <f>Analy_Lu!$D$12</f>
        <v>USD</v>
      </c>
    </row>
    <row r="680" spans="2:14" s="10" customFormat="1" x14ac:dyDescent="0.2"/>
    <row r="681" spans="2:14" s="10" customFormat="1" x14ac:dyDescent="0.2">
      <c r="D681" s="105" t="str">
        <f>Lang_Fin&amp;" ("&amp;Analy_Lu!$D$12&amp;")"</f>
        <v>Financial (USD)</v>
      </c>
    </row>
    <row r="682" spans="2:14" s="10" customFormat="1" x14ac:dyDescent="0.2">
      <c r="E682" s="55" t="str">
        <f>Lang_Cost_Per_Unit</f>
        <v>Cost per Unit</v>
      </c>
      <c r="I682" s="228" t="str">
        <f>Lang_All_Years</f>
        <v>ALL YEARS</v>
      </c>
    </row>
    <row r="683" spans="2:14" s="10" customFormat="1" x14ac:dyDescent="0.2">
      <c r="D683" s="49" t="str">
        <f t="shared" ref="D683:D692" si="116">D631</f>
        <v>Cold Storage Equipment Type 1</v>
      </c>
      <c r="E683" s="119">
        <f>COLD_CHAIN!E20</f>
        <v>0</v>
      </c>
      <c r="I683" s="255">
        <f>COLD_CHAIN!I20</f>
        <v>0</v>
      </c>
      <c r="J683" s="119">
        <f>COLD_CHAIN!J20</f>
        <v>0</v>
      </c>
      <c r="K683" s="119">
        <f>COLD_CHAIN!K20</f>
        <v>0</v>
      </c>
      <c r="L683" s="119">
        <f>COLD_CHAIN!L20</f>
        <v>0</v>
      </c>
      <c r="M683" s="119">
        <f>COLD_CHAIN!M20</f>
        <v>0</v>
      </c>
      <c r="N683" s="119">
        <f>COLD_CHAIN!N20</f>
        <v>0</v>
      </c>
    </row>
    <row r="684" spans="2:14" x14ac:dyDescent="0.2">
      <c r="D684" s="49" t="str">
        <f t="shared" si="116"/>
        <v>Cold Storage Equipment Type 2</v>
      </c>
      <c r="E684" s="119">
        <f>COLD_CHAIN!E21</f>
        <v>0</v>
      </c>
      <c r="I684" s="255">
        <f>COLD_CHAIN!I21</f>
        <v>0</v>
      </c>
      <c r="J684" s="119">
        <f>COLD_CHAIN!J21</f>
        <v>0</v>
      </c>
      <c r="K684" s="119">
        <f>COLD_CHAIN!K21</f>
        <v>0</v>
      </c>
      <c r="L684" s="119">
        <f>COLD_CHAIN!L21</f>
        <v>0</v>
      </c>
      <c r="M684" s="119">
        <f>COLD_CHAIN!M21</f>
        <v>0</v>
      </c>
      <c r="N684" s="119">
        <f>COLD_CHAIN!N21</f>
        <v>0</v>
      </c>
    </row>
    <row r="685" spans="2:14" x14ac:dyDescent="0.2">
      <c r="D685" s="49" t="str">
        <f t="shared" si="116"/>
        <v>Cold Storage Equipment Type 3</v>
      </c>
      <c r="E685" s="119">
        <f>COLD_CHAIN!E22</f>
        <v>0</v>
      </c>
      <c r="I685" s="255">
        <f>COLD_CHAIN!I22</f>
        <v>0</v>
      </c>
      <c r="J685" s="119">
        <f>COLD_CHAIN!J22</f>
        <v>0</v>
      </c>
      <c r="K685" s="119">
        <f>COLD_CHAIN!K22</f>
        <v>0</v>
      </c>
      <c r="L685" s="119">
        <f>COLD_CHAIN!L22</f>
        <v>0</v>
      </c>
      <c r="M685" s="119">
        <f>COLD_CHAIN!M22</f>
        <v>0</v>
      </c>
      <c r="N685" s="119">
        <f>COLD_CHAIN!N22</f>
        <v>0</v>
      </c>
    </row>
    <row r="686" spans="2:14" x14ac:dyDescent="0.2">
      <c r="D686" s="49" t="str">
        <f t="shared" si="116"/>
        <v>Cold Storage Equipment Type 4</v>
      </c>
      <c r="E686" s="119">
        <f>COLD_CHAIN!E23</f>
        <v>0</v>
      </c>
      <c r="I686" s="255">
        <f>COLD_CHAIN!I23</f>
        <v>0</v>
      </c>
      <c r="J686" s="119">
        <f>COLD_CHAIN!J23</f>
        <v>0</v>
      </c>
      <c r="K686" s="119">
        <f>COLD_CHAIN!K23</f>
        <v>0</v>
      </c>
      <c r="L686" s="119">
        <f>COLD_CHAIN!L23</f>
        <v>0</v>
      </c>
      <c r="M686" s="119">
        <f>COLD_CHAIN!M23</f>
        <v>0</v>
      </c>
      <c r="N686" s="119">
        <f>COLD_CHAIN!N23</f>
        <v>0</v>
      </c>
    </row>
    <row r="687" spans="2:14" x14ac:dyDescent="0.2">
      <c r="D687" s="49" t="str">
        <f t="shared" si="116"/>
        <v>Cold Storage Equipment Type 5</v>
      </c>
      <c r="E687" s="119">
        <f>COLD_CHAIN!E24</f>
        <v>0</v>
      </c>
      <c r="I687" s="255">
        <f>COLD_CHAIN!I24</f>
        <v>0</v>
      </c>
      <c r="J687" s="119">
        <f>COLD_CHAIN!J24</f>
        <v>0</v>
      </c>
      <c r="K687" s="119">
        <f>COLD_CHAIN!K24</f>
        <v>0</v>
      </c>
      <c r="L687" s="119">
        <f>COLD_CHAIN!L24</f>
        <v>0</v>
      </c>
      <c r="M687" s="119">
        <f>COLD_CHAIN!M24</f>
        <v>0</v>
      </c>
      <c r="N687" s="119">
        <f>COLD_CHAIN!N24</f>
        <v>0</v>
      </c>
    </row>
    <row r="688" spans="2:14" x14ac:dyDescent="0.2">
      <c r="D688" s="49" t="str">
        <f t="shared" si="116"/>
        <v>Cold Storage Equipment Type 6</v>
      </c>
      <c r="E688" s="119">
        <f>COLD_CHAIN!E25</f>
        <v>0</v>
      </c>
      <c r="I688" s="255">
        <f>COLD_CHAIN!I25</f>
        <v>0</v>
      </c>
      <c r="J688" s="119">
        <f>COLD_CHAIN!J25</f>
        <v>0</v>
      </c>
      <c r="K688" s="119">
        <f>COLD_CHAIN!K25</f>
        <v>0</v>
      </c>
      <c r="L688" s="119">
        <f>COLD_CHAIN!L25</f>
        <v>0</v>
      </c>
      <c r="M688" s="119">
        <f>COLD_CHAIN!M25</f>
        <v>0</v>
      </c>
      <c r="N688" s="119">
        <f>COLD_CHAIN!N25</f>
        <v>0</v>
      </c>
    </row>
    <row r="689" spans="4:14" x14ac:dyDescent="0.2">
      <c r="D689" s="49" t="str">
        <f t="shared" si="116"/>
        <v>Cold Storage Equipment Type 7</v>
      </c>
      <c r="E689" s="119">
        <f>COLD_CHAIN!E26</f>
        <v>0</v>
      </c>
      <c r="I689" s="255">
        <f>COLD_CHAIN!I26</f>
        <v>0</v>
      </c>
      <c r="J689" s="119">
        <f>COLD_CHAIN!J26</f>
        <v>0</v>
      </c>
      <c r="K689" s="119">
        <f>COLD_CHAIN!K26</f>
        <v>0</v>
      </c>
      <c r="L689" s="119">
        <f>COLD_CHAIN!L26</f>
        <v>0</v>
      </c>
      <c r="M689" s="119">
        <f>COLD_CHAIN!M26</f>
        <v>0</v>
      </c>
      <c r="N689" s="119">
        <f>COLD_CHAIN!N26</f>
        <v>0</v>
      </c>
    </row>
    <row r="690" spans="4:14" x14ac:dyDescent="0.2">
      <c r="D690" s="49" t="str">
        <f t="shared" si="116"/>
        <v>Cold Storage Equipment Type 8</v>
      </c>
      <c r="E690" s="119">
        <f>COLD_CHAIN!E27</f>
        <v>0</v>
      </c>
      <c r="I690" s="255">
        <f>COLD_CHAIN!I27</f>
        <v>0</v>
      </c>
      <c r="J690" s="119">
        <f>COLD_CHAIN!J27</f>
        <v>0</v>
      </c>
      <c r="K690" s="119">
        <f>COLD_CHAIN!K27</f>
        <v>0</v>
      </c>
      <c r="L690" s="119">
        <f>COLD_CHAIN!L27</f>
        <v>0</v>
      </c>
      <c r="M690" s="119">
        <f>COLD_CHAIN!M27</f>
        <v>0</v>
      </c>
      <c r="N690" s="119">
        <f>COLD_CHAIN!N27</f>
        <v>0</v>
      </c>
    </row>
    <row r="691" spans="4:14" x14ac:dyDescent="0.2">
      <c r="D691" s="49" t="str">
        <f t="shared" si="116"/>
        <v>Cold Storage Equipment Type 9</v>
      </c>
      <c r="E691" s="119">
        <f>COLD_CHAIN!E28</f>
        <v>0</v>
      </c>
      <c r="I691" s="255">
        <f>COLD_CHAIN!I28</f>
        <v>0</v>
      </c>
      <c r="J691" s="119">
        <f>COLD_CHAIN!J28</f>
        <v>0</v>
      </c>
      <c r="K691" s="119">
        <f>COLD_CHAIN!K28</f>
        <v>0</v>
      </c>
      <c r="L691" s="119">
        <f>COLD_CHAIN!L28</f>
        <v>0</v>
      </c>
      <c r="M691" s="119">
        <f>COLD_CHAIN!M28</f>
        <v>0</v>
      </c>
      <c r="N691" s="119">
        <f>COLD_CHAIN!N28</f>
        <v>0</v>
      </c>
    </row>
    <row r="692" spans="4:14" s="10" customFormat="1" x14ac:dyDescent="0.2">
      <c r="D692" s="49" t="str">
        <f t="shared" si="116"/>
        <v>Cold Storage Equipment Type 10</v>
      </c>
      <c r="E692" s="119">
        <f>COLD_CHAIN!E29</f>
        <v>0</v>
      </c>
      <c r="I692" s="255">
        <f>COLD_CHAIN!I29</f>
        <v>0</v>
      </c>
      <c r="J692" s="119">
        <f>COLD_CHAIN!J29</f>
        <v>0</v>
      </c>
      <c r="K692" s="119">
        <f>COLD_CHAIN!K29</f>
        <v>0</v>
      </c>
      <c r="L692" s="119">
        <f>COLD_CHAIN!L29</f>
        <v>0</v>
      </c>
      <c r="M692" s="119">
        <f>COLD_CHAIN!M29</f>
        <v>0</v>
      </c>
      <c r="N692" s="119">
        <f>COLD_CHAIN!N29</f>
        <v>0</v>
      </c>
    </row>
    <row r="693" spans="4:14" s="10" customFormat="1" x14ac:dyDescent="0.2">
      <c r="D693" s="251" t="str">
        <f>Lang_Total_SmallLetter&amp;" "&amp;$B$644&amp;" "&amp;D681</f>
        <v>Total Cold Chain Expansion Costs (Initial Investment) Financial (USD)</v>
      </c>
      <c r="E693" s="252"/>
      <c r="I693" s="348">
        <f>SUM(I683:I692)</f>
        <v>0</v>
      </c>
      <c r="J693" s="245">
        <f t="shared" ref="J693:N693" si="117">SUM(J683:J692)</f>
        <v>0</v>
      </c>
      <c r="K693" s="245">
        <f t="shared" si="117"/>
        <v>0</v>
      </c>
      <c r="L693" s="245">
        <f t="shared" si="117"/>
        <v>0</v>
      </c>
      <c r="M693" s="245">
        <f t="shared" si="117"/>
        <v>0</v>
      </c>
      <c r="N693" s="245">
        <f t="shared" si="117"/>
        <v>0</v>
      </c>
    </row>
    <row r="694" spans="4:14" s="10" customFormat="1" x14ac:dyDescent="0.2"/>
    <row r="695" spans="4:14" s="10" customFormat="1" x14ac:dyDescent="0.2"/>
    <row r="696" spans="4:14" s="10" customFormat="1" x14ac:dyDescent="0.2">
      <c r="D696" s="105" t="str">
        <f>Lang_Econ&amp;" ("&amp;Analy_Lu!$D$12&amp;")"</f>
        <v>Economic (USD)</v>
      </c>
    </row>
    <row r="697" spans="4:14" s="10" customFormat="1" x14ac:dyDescent="0.2">
      <c r="E697" s="55" t="str">
        <f>Lang_Cost_Per_Unit</f>
        <v>Cost per Unit</v>
      </c>
      <c r="I697" s="228" t="str">
        <f>Lang_All_Years</f>
        <v>ALL YEARS</v>
      </c>
    </row>
    <row r="698" spans="4:14" s="10" customFormat="1" x14ac:dyDescent="0.2">
      <c r="D698" s="49" t="str">
        <f t="shared" ref="D698:D707" si="118">D631</f>
        <v>Cold Storage Equipment Type 1</v>
      </c>
      <c r="E698" s="119">
        <f>COLD_CHAIN!E33</f>
        <v>0</v>
      </c>
      <c r="I698" s="255">
        <f>COLD_CHAIN!I33</f>
        <v>0</v>
      </c>
      <c r="J698" s="119">
        <f>COLD_CHAIN!J33</f>
        <v>0</v>
      </c>
      <c r="K698" s="119">
        <f>COLD_CHAIN!K33</f>
        <v>0</v>
      </c>
      <c r="L698" s="119">
        <f>COLD_CHAIN!L33</f>
        <v>0</v>
      </c>
      <c r="M698" s="119">
        <f>COLD_CHAIN!M33</f>
        <v>0</v>
      </c>
      <c r="N698" s="119">
        <f>COLD_CHAIN!N33</f>
        <v>0</v>
      </c>
    </row>
    <row r="699" spans="4:14" x14ac:dyDescent="0.2">
      <c r="D699" s="49" t="str">
        <f t="shared" si="118"/>
        <v>Cold Storage Equipment Type 2</v>
      </c>
      <c r="E699" s="119">
        <f>COLD_CHAIN!E34</f>
        <v>0</v>
      </c>
      <c r="I699" s="255">
        <f>COLD_CHAIN!I34</f>
        <v>0</v>
      </c>
      <c r="J699" s="119">
        <f>COLD_CHAIN!J34</f>
        <v>0</v>
      </c>
      <c r="K699" s="119">
        <f>COLD_CHAIN!K34</f>
        <v>0</v>
      </c>
      <c r="L699" s="119">
        <f>COLD_CHAIN!L34</f>
        <v>0</v>
      </c>
      <c r="M699" s="119">
        <f>COLD_CHAIN!M34</f>
        <v>0</v>
      </c>
      <c r="N699" s="119">
        <f>COLD_CHAIN!N34</f>
        <v>0</v>
      </c>
    </row>
    <row r="700" spans="4:14" x14ac:dyDescent="0.2">
      <c r="D700" s="49" t="str">
        <f t="shared" si="118"/>
        <v>Cold Storage Equipment Type 3</v>
      </c>
      <c r="E700" s="119">
        <f>COLD_CHAIN!E35</f>
        <v>0</v>
      </c>
      <c r="I700" s="255">
        <f>COLD_CHAIN!I35</f>
        <v>0</v>
      </c>
      <c r="J700" s="119">
        <f>COLD_CHAIN!J35</f>
        <v>0</v>
      </c>
      <c r="K700" s="119">
        <f>COLD_CHAIN!K35</f>
        <v>0</v>
      </c>
      <c r="L700" s="119">
        <f>COLD_CHAIN!L35</f>
        <v>0</v>
      </c>
      <c r="M700" s="119">
        <f>COLD_CHAIN!M35</f>
        <v>0</v>
      </c>
      <c r="N700" s="119">
        <f>COLD_CHAIN!N35</f>
        <v>0</v>
      </c>
    </row>
    <row r="701" spans="4:14" x14ac:dyDescent="0.2">
      <c r="D701" s="49" t="str">
        <f t="shared" si="118"/>
        <v>Cold Storage Equipment Type 4</v>
      </c>
      <c r="E701" s="119">
        <f>COLD_CHAIN!E36</f>
        <v>0</v>
      </c>
      <c r="I701" s="255">
        <f>COLD_CHAIN!I36</f>
        <v>0</v>
      </c>
      <c r="J701" s="119">
        <f>COLD_CHAIN!J36</f>
        <v>0</v>
      </c>
      <c r="K701" s="119">
        <f>COLD_CHAIN!K36</f>
        <v>0</v>
      </c>
      <c r="L701" s="119">
        <f>COLD_CHAIN!L36</f>
        <v>0</v>
      </c>
      <c r="M701" s="119">
        <f>COLD_CHAIN!M36</f>
        <v>0</v>
      </c>
      <c r="N701" s="119">
        <f>COLD_CHAIN!N36</f>
        <v>0</v>
      </c>
    </row>
    <row r="702" spans="4:14" x14ac:dyDescent="0.2">
      <c r="D702" s="49" t="str">
        <f t="shared" si="118"/>
        <v>Cold Storage Equipment Type 5</v>
      </c>
      <c r="E702" s="119">
        <f>COLD_CHAIN!E37</f>
        <v>0</v>
      </c>
      <c r="I702" s="255">
        <f>COLD_CHAIN!I37</f>
        <v>0</v>
      </c>
      <c r="J702" s="119">
        <f>COLD_CHAIN!J37</f>
        <v>0</v>
      </c>
      <c r="K702" s="119">
        <f>COLD_CHAIN!K37</f>
        <v>0</v>
      </c>
      <c r="L702" s="119">
        <f>COLD_CHAIN!L37</f>
        <v>0</v>
      </c>
      <c r="M702" s="119">
        <f>COLD_CHAIN!M37</f>
        <v>0</v>
      </c>
      <c r="N702" s="119">
        <f>COLD_CHAIN!N37</f>
        <v>0</v>
      </c>
    </row>
    <row r="703" spans="4:14" x14ac:dyDescent="0.2">
      <c r="D703" s="49" t="str">
        <f t="shared" si="118"/>
        <v>Cold Storage Equipment Type 6</v>
      </c>
      <c r="E703" s="119">
        <f>COLD_CHAIN!E38</f>
        <v>0</v>
      </c>
      <c r="I703" s="255">
        <f>COLD_CHAIN!I38</f>
        <v>0</v>
      </c>
      <c r="J703" s="119">
        <f>COLD_CHAIN!J38</f>
        <v>0</v>
      </c>
      <c r="K703" s="119">
        <f>COLD_CHAIN!K38</f>
        <v>0</v>
      </c>
      <c r="L703" s="119">
        <f>COLD_CHAIN!L38</f>
        <v>0</v>
      </c>
      <c r="M703" s="119">
        <f>COLD_CHAIN!M38</f>
        <v>0</v>
      </c>
      <c r="N703" s="119">
        <f>COLD_CHAIN!N38</f>
        <v>0</v>
      </c>
    </row>
    <row r="704" spans="4:14" x14ac:dyDescent="0.2">
      <c r="D704" s="49" t="str">
        <f t="shared" si="118"/>
        <v>Cold Storage Equipment Type 7</v>
      </c>
      <c r="E704" s="119">
        <f>COLD_CHAIN!E39</f>
        <v>0</v>
      </c>
      <c r="I704" s="255">
        <f>COLD_CHAIN!I39</f>
        <v>0</v>
      </c>
      <c r="J704" s="119">
        <f>COLD_CHAIN!J39</f>
        <v>0</v>
      </c>
      <c r="K704" s="119">
        <f>COLD_CHAIN!K39</f>
        <v>0</v>
      </c>
      <c r="L704" s="119">
        <f>COLD_CHAIN!L39</f>
        <v>0</v>
      </c>
      <c r="M704" s="119">
        <f>COLD_CHAIN!M39</f>
        <v>0</v>
      </c>
      <c r="N704" s="119">
        <f>COLD_CHAIN!N39</f>
        <v>0</v>
      </c>
    </row>
    <row r="705" spans="2:14" x14ac:dyDescent="0.2">
      <c r="D705" s="49" t="str">
        <f t="shared" si="118"/>
        <v>Cold Storage Equipment Type 8</v>
      </c>
      <c r="E705" s="119">
        <f>COLD_CHAIN!E40</f>
        <v>0</v>
      </c>
      <c r="I705" s="255">
        <f>COLD_CHAIN!I40</f>
        <v>0</v>
      </c>
      <c r="J705" s="119">
        <f>COLD_CHAIN!J40</f>
        <v>0</v>
      </c>
      <c r="K705" s="119">
        <f>COLD_CHAIN!K40</f>
        <v>0</v>
      </c>
      <c r="L705" s="119">
        <f>COLD_CHAIN!L40</f>
        <v>0</v>
      </c>
      <c r="M705" s="119">
        <f>COLD_CHAIN!M40</f>
        <v>0</v>
      </c>
      <c r="N705" s="119">
        <f>COLD_CHAIN!N40</f>
        <v>0</v>
      </c>
    </row>
    <row r="706" spans="2:14" x14ac:dyDescent="0.2">
      <c r="D706" s="49" t="str">
        <f t="shared" si="118"/>
        <v>Cold Storage Equipment Type 9</v>
      </c>
      <c r="E706" s="119">
        <f>COLD_CHAIN!E41</f>
        <v>0</v>
      </c>
      <c r="I706" s="255">
        <f>COLD_CHAIN!I41</f>
        <v>0</v>
      </c>
      <c r="J706" s="119">
        <f>COLD_CHAIN!J41</f>
        <v>0</v>
      </c>
      <c r="K706" s="119">
        <f>COLD_CHAIN!K41</f>
        <v>0</v>
      </c>
      <c r="L706" s="119">
        <f>COLD_CHAIN!L41</f>
        <v>0</v>
      </c>
      <c r="M706" s="119">
        <f>COLD_CHAIN!M41</f>
        <v>0</v>
      </c>
      <c r="N706" s="119">
        <f>COLD_CHAIN!N41</f>
        <v>0</v>
      </c>
    </row>
    <row r="707" spans="2:14" s="10" customFormat="1" x14ac:dyDescent="0.2">
      <c r="D707" s="49" t="str">
        <f t="shared" si="118"/>
        <v>Cold Storage Equipment Type 10</v>
      </c>
      <c r="E707" s="119">
        <f>COLD_CHAIN!E42</f>
        <v>0</v>
      </c>
      <c r="I707" s="255">
        <f>COLD_CHAIN!I42</f>
        <v>0</v>
      </c>
      <c r="J707" s="119">
        <f>COLD_CHAIN!J42</f>
        <v>0</v>
      </c>
      <c r="K707" s="119">
        <f>COLD_CHAIN!K42</f>
        <v>0</v>
      </c>
      <c r="L707" s="119">
        <f>COLD_CHAIN!L42</f>
        <v>0</v>
      </c>
      <c r="M707" s="119">
        <f>COLD_CHAIN!M42</f>
        <v>0</v>
      </c>
      <c r="N707" s="119">
        <f>COLD_CHAIN!N42</f>
        <v>0</v>
      </c>
    </row>
    <row r="708" spans="2:14" s="10" customFormat="1" x14ac:dyDescent="0.2">
      <c r="D708" s="249" t="str">
        <f>Lang_Total_SmallLetter&amp;" "&amp;$B$644&amp;" "&amp;D696</f>
        <v>Total Cold Chain Expansion Costs (Initial Investment) Economic (USD)</v>
      </c>
      <c r="E708" s="252"/>
      <c r="I708" s="348">
        <f>SUM(I698:I707)</f>
        <v>0</v>
      </c>
      <c r="J708" s="245">
        <f t="shared" ref="J708:N708" si="119">SUM(J698:J707)</f>
        <v>0</v>
      </c>
      <c r="K708" s="245">
        <f t="shared" si="119"/>
        <v>0</v>
      </c>
      <c r="L708" s="245">
        <f t="shared" si="119"/>
        <v>0</v>
      </c>
      <c r="M708" s="245">
        <f t="shared" si="119"/>
        <v>0</v>
      </c>
      <c r="N708" s="245">
        <f t="shared" si="119"/>
        <v>0</v>
      </c>
    </row>
    <row r="709" spans="2:14" s="10" customFormat="1" x14ac:dyDescent="0.2"/>
    <row r="710" spans="2:14" s="10" customFormat="1" x14ac:dyDescent="0.2"/>
    <row r="711" spans="2:14" s="10" customFormat="1" x14ac:dyDescent="0.2">
      <c r="B711" s="55" t="str">
        <f>Lang_Cold_Chain_Introduction_Costs</f>
        <v>Cold Chain Introduction Costs</v>
      </c>
    </row>
    <row r="712" spans="2:14" s="10" customFormat="1" x14ac:dyDescent="0.2"/>
    <row r="713" spans="2:14" s="10" customFormat="1" x14ac:dyDescent="0.2">
      <c r="B713" s="358" t="str">
        <f>Analy_Lu!$D$13</f>
        <v>LCU</v>
      </c>
    </row>
    <row r="714" spans="2:14" s="10" customFormat="1" x14ac:dyDescent="0.2">
      <c r="D714" s="105" t="str">
        <f>Lang_Fin&amp;" ("&amp;Analy_Lu!$D$13&amp;") - Annualized"</f>
        <v>Financial (LCU) - Annualized</v>
      </c>
    </row>
    <row r="715" spans="2:14" s="10" customFormat="1" x14ac:dyDescent="0.2">
      <c r="E715" s="228" t="str">
        <f>Lang_Unit_Cost_Annualized</f>
        <v>Unit Cost (Annualized)</v>
      </c>
      <c r="I715" s="228" t="str">
        <f>Lang_All_Years</f>
        <v>ALL YEARS</v>
      </c>
    </row>
    <row r="716" spans="2:14" s="10" customFormat="1" x14ac:dyDescent="0.2">
      <c r="D716" s="49" t="str">
        <f t="shared" ref="D716:D725" si="120">D631</f>
        <v>Cold Storage Equipment Type 1</v>
      </c>
      <c r="E716" s="42">
        <f>COLD_CHAIN!E105</f>
        <v>0</v>
      </c>
      <c r="I716" s="145">
        <f>COLD_CHAIN!I105</f>
        <v>0</v>
      </c>
      <c r="J716" s="42">
        <f>COLD_CHAIN!J105</f>
        <v>0</v>
      </c>
      <c r="K716" s="42">
        <f>COLD_CHAIN!K105</f>
        <v>0</v>
      </c>
      <c r="L716" s="42">
        <f>COLD_CHAIN!L105</f>
        <v>0</v>
      </c>
      <c r="M716" s="42">
        <f>COLD_CHAIN!M105</f>
        <v>0</v>
      </c>
      <c r="N716" s="42">
        <f>COLD_CHAIN!N105</f>
        <v>0</v>
      </c>
    </row>
    <row r="717" spans="2:14" x14ac:dyDescent="0.2">
      <c r="D717" s="49" t="str">
        <f t="shared" si="120"/>
        <v>Cold Storage Equipment Type 2</v>
      </c>
      <c r="E717" s="42">
        <f>COLD_CHAIN!E106</f>
        <v>0</v>
      </c>
      <c r="I717" s="145">
        <f>COLD_CHAIN!I106</f>
        <v>0</v>
      </c>
      <c r="J717" s="42">
        <f>COLD_CHAIN!J106</f>
        <v>0</v>
      </c>
      <c r="K717" s="42">
        <f>COLD_CHAIN!K106</f>
        <v>0</v>
      </c>
      <c r="L717" s="42">
        <f>COLD_CHAIN!L106</f>
        <v>0</v>
      </c>
      <c r="M717" s="42">
        <f>COLD_CHAIN!M106</f>
        <v>0</v>
      </c>
      <c r="N717" s="42">
        <f>COLD_CHAIN!N106</f>
        <v>0</v>
      </c>
    </row>
    <row r="718" spans="2:14" x14ac:dyDescent="0.2">
      <c r="D718" s="49" t="str">
        <f t="shared" si="120"/>
        <v>Cold Storage Equipment Type 3</v>
      </c>
      <c r="E718" s="42">
        <f>COLD_CHAIN!E107</f>
        <v>0</v>
      </c>
      <c r="I718" s="145">
        <f>COLD_CHAIN!I107</f>
        <v>0</v>
      </c>
      <c r="J718" s="42">
        <f>COLD_CHAIN!J107</f>
        <v>0</v>
      </c>
      <c r="K718" s="42">
        <f>COLD_CHAIN!K107</f>
        <v>0</v>
      </c>
      <c r="L718" s="42">
        <f>COLD_CHAIN!L107</f>
        <v>0</v>
      </c>
      <c r="M718" s="42">
        <f>COLD_CHAIN!M107</f>
        <v>0</v>
      </c>
      <c r="N718" s="42">
        <f>COLD_CHAIN!N107</f>
        <v>0</v>
      </c>
    </row>
    <row r="719" spans="2:14" x14ac:dyDescent="0.2">
      <c r="D719" s="49" t="str">
        <f t="shared" si="120"/>
        <v>Cold Storage Equipment Type 4</v>
      </c>
      <c r="E719" s="42">
        <f>COLD_CHAIN!E108</f>
        <v>0</v>
      </c>
      <c r="I719" s="145">
        <f>COLD_CHAIN!I108</f>
        <v>0</v>
      </c>
      <c r="J719" s="42">
        <f>COLD_CHAIN!J108</f>
        <v>0</v>
      </c>
      <c r="K719" s="42">
        <f>COLD_CHAIN!K108</f>
        <v>0</v>
      </c>
      <c r="L719" s="42">
        <f>COLD_CHAIN!L108</f>
        <v>0</v>
      </c>
      <c r="M719" s="42">
        <f>COLD_CHAIN!M108</f>
        <v>0</v>
      </c>
      <c r="N719" s="42">
        <f>COLD_CHAIN!N108</f>
        <v>0</v>
      </c>
    </row>
    <row r="720" spans="2:14" x14ac:dyDescent="0.2">
      <c r="D720" s="49" t="str">
        <f t="shared" si="120"/>
        <v>Cold Storage Equipment Type 5</v>
      </c>
      <c r="E720" s="42">
        <f>COLD_CHAIN!E109</f>
        <v>0</v>
      </c>
      <c r="I720" s="145">
        <f>COLD_CHAIN!I109</f>
        <v>0</v>
      </c>
      <c r="J720" s="42">
        <f>COLD_CHAIN!J109</f>
        <v>0</v>
      </c>
      <c r="K720" s="42">
        <f>COLD_CHAIN!K109</f>
        <v>0</v>
      </c>
      <c r="L720" s="42">
        <f>COLD_CHAIN!L109</f>
        <v>0</v>
      </c>
      <c r="M720" s="42">
        <f>COLD_CHAIN!M109</f>
        <v>0</v>
      </c>
      <c r="N720" s="42">
        <f>COLD_CHAIN!N109</f>
        <v>0</v>
      </c>
    </row>
    <row r="721" spans="4:14" x14ac:dyDescent="0.2">
      <c r="D721" s="49" t="str">
        <f t="shared" si="120"/>
        <v>Cold Storage Equipment Type 6</v>
      </c>
      <c r="E721" s="42">
        <f>COLD_CHAIN!E110</f>
        <v>0</v>
      </c>
      <c r="I721" s="145">
        <f>COLD_CHAIN!I110</f>
        <v>0</v>
      </c>
      <c r="J721" s="42">
        <f>COLD_CHAIN!J110</f>
        <v>0</v>
      </c>
      <c r="K721" s="42">
        <f>COLD_CHAIN!K110</f>
        <v>0</v>
      </c>
      <c r="L721" s="42">
        <f>COLD_CHAIN!L110</f>
        <v>0</v>
      </c>
      <c r="M721" s="42">
        <f>COLD_CHAIN!M110</f>
        <v>0</v>
      </c>
      <c r="N721" s="42">
        <f>COLD_CHAIN!N110</f>
        <v>0</v>
      </c>
    </row>
    <row r="722" spans="4:14" x14ac:dyDescent="0.2">
      <c r="D722" s="49" t="str">
        <f t="shared" si="120"/>
        <v>Cold Storage Equipment Type 7</v>
      </c>
      <c r="E722" s="42">
        <f>COLD_CHAIN!E111</f>
        <v>0</v>
      </c>
      <c r="I722" s="145">
        <f>COLD_CHAIN!I111</f>
        <v>0</v>
      </c>
      <c r="J722" s="42">
        <f>COLD_CHAIN!J111</f>
        <v>0</v>
      </c>
      <c r="K722" s="42">
        <f>COLD_CHAIN!K111</f>
        <v>0</v>
      </c>
      <c r="L722" s="42">
        <f>COLD_CHAIN!L111</f>
        <v>0</v>
      </c>
      <c r="M722" s="42">
        <f>COLD_CHAIN!M111</f>
        <v>0</v>
      </c>
      <c r="N722" s="42">
        <f>COLD_CHAIN!N111</f>
        <v>0</v>
      </c>
    </row>
    <row r="723" spans="4:14" x14ac:dyDescent="0.2">
      <c r="D723" s="49" t="str">
        <f t="shared" si="120"/>
        <v>Cold Storage Equipment Type 8</v>
      </c>
      <c r="E723" s="42">
        <f>COLD_CHAIN!E112</f>
        <v>0</v>
      </c>
      <c r="I723" s="145">
        <f>COLD_CHAIN!I112</f>
        <v>0</v>
      </c>
      <c r="J723" s="42">
        <f>COLD_CHAIN!J112</f>
        <v>0</v>
      </c>
      <c r="K723" s="42">
        <f>COLD_CHAIN!K112</f>
        <v>0</v>
      </c>
      <c r="L723" s="42">
        <f>COLD_CHAIN!L112</f>
        <v>0</v>
      </c>
      <c r="M723" s="42">
        <f>COLD_CHAIN!M112</f>
        <v>0</v>
      </c>
      <c r="N723" s="42">
        <f>COLD_CHAIN!N112</f>
        <v>0</v>
      </c>
    </row>
    <row r="724" spans="4:14" x14ac:dyDescent="0.2">
      <c r="D724" s="49" t="str">
        <f t="shared" si="120"/>
        <v>Cold Storage Equipment Type 9</v>
      </c>
      <c r="E724" s="42">
        <f>COLD_CHAIN!E113</f>
        <v>0</v>
      </c>
      <c r="I724" s="145">
        <f>COLD_CHAIN!I113</f>
        <v>0</v>
      </c>
      <c r="J724" s="42">
        <f>COLD_CHAIN!J113</f>
        <v>0</v>
      </c>
      <c r="K724" s="42">
        <f>COLD_CHAIN!K113</f>
        <v>0</v>
      </c>
      <c r="L724" s="42">
        <f>COLD_CHAIN!L113</f>
        <v>0</v>
      </c>
      <c r="M724" s="42">
        <f>COLD_CHAIN!M113</f>
        <v>0</v>
      </c>
      <c r="N724" s="42">
        <f>COLD_CHAIN!N113</f>
        <v>0</v>
      </c>
    </row>
    <row r="725" spans="4:14" s="10" customFormat="1" x14ac:dyDescent="0.2">
      <c r="D725" s="49" t="str">
        <f t="shared" si="120"/>
        <v>Cold Storage Equipment Type 10</v>
      </c>
      <c r="E725" s="42">
        <f>COLD_CHAIN!E114</f>
        <v>0</v>
      </c>
      <c r="I725" s="145">
        <f>COLD_CHAIN!I114</f>
        <v>0</v>
      </c>
      <c r="J725" s="42">
        <f>COLD_CHAIN!J114</f>
        <v>0</v>
      </c>
      <c r="K725" s="42">
        <f>COLD_CHAIN!K114</f>
        <v>0</v>
      </c>
      <c r="L725" s="42">
        <f>COLD_CHAIN!L114</f>
        <v>0</v>
      </c>
      <c r="M725" s="42">
        <f>COLD_CHAIN!M114</f>
        <v>0</v>
      </c>
      <c r="N725" s="42">
        <f>COLD_CHAIN!N114</f>
        <v>0</v>
      </c>
    </row>
    <row r="726" spans="4:14" s="10" customFormat="1" x14ac:dyDescent="0.2">
      <c r="D726" s="249" t="str">
        <f>Lang_Total_SmallLetter&amp;" "&amp;$B$711&amp;" "&amp;D714</f>
        <v>Total Cold Chain Introduction Costs Financial (LCU) - Annualized</v>
      </c>
      <c r="E726" s="253"/>
      <c r="I726" s="342">
        <f>SUM(I716:I725)</f>
        <v>0</v>
      </c>
      <c r="J726" s="43">
        <f t="shared" ref="J726:N726" si="121">SUM(J716:J725)</f>
        <v>0</v>
      </c>
      <c r="K726" s="43">
        <f t="shared" si="121"/>
        <v>0</v>
      </c>
      <c r="L726" s="43">
        <f t="shared" si="121"/>
        <v>0</v>
      </c>
      <c r="M726" s="43">
        <f t="shared" si="121"/>
        <v>0</v>
      </c>
      <c r="N726" s="43">
        <f t="shared" si="121"/>
        <v>0</v>
      </c>
    </row>
    <row r="727" spans="4:14" s="10" customFormat="1" x14ac:dyDescent="0.2"/>
    <row r="728" spans="4:14" s="10" customFormat="1" x14ac:dyDescent="0.2">
      <c r="D728" s="101" t="str">
        <f>B711&amp;" "&amp;Lang_Cost&amp;" "&amp;Lang_Per_Fully_Immunized_Person_FIP</f>
        <v>Cold Chain Introduction Costs Cost per Fully Immunized Person (FIP)</v>
      </c>
      <c r="I728" s="145">
        <f>I726/I$37</f>
        <v>0</v>
      </c>
      <c r="J728" s="42">
        <f t="shared" ref="J728:N728" si="122">J726/J$37</f>
        <v>0</v>
      </c>
      <c r="K728" s="42">
        <f t="shared" si="122"/>
        <v>0</v>
      </c>
      <c r="L728" s="42">
        <f t="shared" si="122"/>
        <v>0</v>
      </c>
      <c r="M728" s="42">
        <f t="shared" si="122"/>
        <v>0</v>
      </c>
      <c r="N728" s="42">
        <f t="shared" si="122"/>
        <v>0</v>
      </c>
    </row>
    <row r="729" spans="4:14" s="10" customFormat="1" x14ac:dyDescent="0.2"/>
    <row r="730" spans="4:14" s="10" customFormat="1" x14ac:dyDescent="0.2"/>
    <row r="731" spans="4:14" s="10" customFormat="1" x14ac:dyDescent="0.2">
      <c r="D731" s="105" t="str">
        <f>Lang_Econ&amp;" ("&amp;Analy_Lu!$D$13&amp;") - Annualized"</f>
        <v>Economic (LCU) - Annualized</v>
      </c>
    </row>
    <row r="732" spans="4:14" s="10" customFormat="1" x14ac:dyDescent="0.2">
      <c r="E732" s="228" t="str">
        <f>Lang_Unit_Cost_Annualized</f>
        <v>Unit Cost (Annualized)</v>
      </c>
      <c r="I732" s="228" t="str">
        <f>Lang_All_Years</f>
        <v>ALL YEARS</v>
      </c>
    </row>
    <row r="733" spans="4:14" s="10" customFormat="1" x14ac:dyDescent="0.2">
      <c r="D733" s="49" t="str">
        <f t="shared" ref="D733:D742" si="123">D631</f>
        <v>Cold Storage Equipment Type 1</v>
      </c>
      <c r="E733" s="42">
        <f>COLD_CHAIN!E120</f>
        <v>0</v>
      </c>
      <c r="I733" s="145">
        <f>COLD_CHAIN!I120</f>
        <v>0</v>
      </c>
      <c r="J733" s="42">
        <f>COLD_CHAIN!J120</f>
        <v>0</v>
      </c>
      <c r="K733" s="42">
        <f>COLD_CHAIN!K120</f>
        <v>0</v>
      </c>
      <c r="L733" s="42">
        <f>COLD_CHAIN!L120</f>
        <v>0</v>
      </c>
      <c r="M733" s="42">
        <f>COLD_CHAIN!M120</f>
        <v>0</v>
      </c>
      <c r="N733" s="42">
        <f>COLD_CHAIN!N120</f>
        <v>0</v>
      </c>
    </row>
    <row r="734" spans="4:14" x14ac:dyDescent="0.2">
      <c r="D734" s="49" t="str">
        <f t="shared" si="123"/>
        <v>Cold Storage Equipment Type 2</v>
      </c>
      <c r="E734" s="42">
        <f>COLD_CHAIN!E121</f>
        <v>0</v>
      </c>
      <c r="I734" s="145">
        <f>COLD_CHAIN!I121</f>
        <v>0</v>
      </c>
      <c r="J734" s="42">
        <f>COLD_CHAIN!J121</f>
        <v>0</v>
      </c>
      <c r="K734" s="42">
        <f>COLD_CHAIN!K121</f>
        <v>0</v>
      </c>
      <c r="L734" s="42">
        <f>COLD_CHAIN!L121</f>
        <v>0</v>
      </c>
      <c r="M734" s="42">
        <f>COLD_CHAIN!M121</f>
        <v>0</v>
      </c>
      <c r="N734" s="42">
        <f>COLD_CHAIN!N121</f>
        <v>0</v>
      </c>
    </row>
    <row r="735" spans="4:14" x14ac:dyDescent="0.2">
      <c r="D735" s="49" t="str">
        <f t="shared" si="123"/>
        <v>Cold Storage Equipment Type 3</v>
      </c>
      <c r="E735" s="42">
        <f>COLD_CHAIN!E122</f>
        <v>0</v>
      </c>
      <c r="I735" s="145">
        <f>COLD_CHAIN!I122</f>
        <v>0</v>
      </c>
      <c r="J735" s="42">
        <f>COLD_CHAIN!J122</f>
        <v>0</v>
      </c>
      <c r="K735" s="42">
        <f>COLD_CHAIN!K122</f>
        <v>0</v>
      </c>
      <c r="L735" s="42">
        <f>COLD_CHAIN!L122</f>
        <v>0</v>
      </c>
      <c r="M735" s="42">
        <f>COLD_CHAIN!M122</f>
        <v>0</v>
      </c>
      <c r="N735" s="42">
        <f>COLD_CHAIN!N122</f>
        <v>0</v>
      </c>
    </row>
    <row r="736" spans="4:14" x14ac:dyDescent="0.2">
      <c r="D736" s="49" t="str">
        <f t="shared" si="123"/>
        <v>Cold Storage Equipment Type 4</v>
      </c>
      <c r="E736" s="42">
        <f>COLD_CHAIN!E123</f>
        <v>0</v>
      </c>
      <c r="I736" s="145">
        <f>COLD_CHAIN!I123</f>
        <v>0</v>
      </c>
      <c r="J736" s="42">
        <f>COLD_CHAIN!J123</f>
        <v>0</v>
      </c>
      <c r="K736" s="42">
        <f>COLD_CHAIN!K123</f>
        <v>0</v>
      </c>
      <c r="L736" s="42">
        <f>COLD_CHAIN!L123</f>
        <v>0</v>
      </c>
      <c r="M736" s="42">
        <f>COLD_CHAIN!M123</f>
        <v>0</v>
      </c>
      <c r="N736" s="42">
        <f>COLD_CHAIN!N123</f>
        <v>0</v>
      </c>
    </row>
    <row r="737" spans="2:14" x14ac:dyDescent="0.2">
      <c r="D737" s="49" t="str">
        <f t="shared" si="123"/>
        <v>Cold Storage Equipment Type 5</v>
      </c>
      <c r="E737" s="42">
        <f>COLD_CHAIN!E124</f>
        <v>0</v>
      </c>
      <c r="I737" s="145">
        <f>COLD_CHAIN!I124</f>
        <v>0</v>
      </c>
      <c r="J737" s="42">
        <f>COLD_CHAIN!J124</f>
        <v>0</v>
      </c>
      <c r="K737" s="42">
        <f>COLD_CHAIN!K124</f>
        <v>0</v>
      </c>
      <c r="L737" s="42">
        <f>COLD_CHAIN!L124</f>
        <v>0</v>
      </c>
      <c r="M737" s="42">
        <f>COLD_CHAIN!M124</f>
        <v>0</v>
      </c>
      <c r="N737" s="42">
        <f>COLD_CHAIN!N124</f>
        <v>0</v>
      </c>
    </row>
    <row r="738" spans="2:14" x14ac:dyDescent="0.2">
      <c r="D738" s="49" t="str">
        <f t="shared" si="123"/>
        <v>Cold Storage Equipment Type 6</v>
      </c>
      <c r="E738" s="42">
        <f>COLD_CHAIN!E125</f>
        <v>0</v>
      </c>
      <c r="I738" s="145">
        <f>COLD_CHAIN!I125</f>
        <v>0</v>
      </c>
      <c r="J738" s="42">
        <f>COLD_CHAIN!J125</f>
        <v>0</v>
      </c>
      <c r="K738" s="42">
        <f>COLD_CHAIN!K125</f>
        <v>0</v>
      </c>
      <c r="L738" s="42">
        <f>COLD_CHAIN!L125</f>
        <v>0</v>
      </c>
      <c r="M738" s="42">
        <f>COLD_CHAIN!M125</f>
        <v>0</v>
      </c>
      <c r="N738" s="42">
        <f>COLD_CHAIN!N125</f>
        <v>0</v>
      </c>
    </row>
    <row r="739" spans="2:14" x14ac:dyDescent="0.2">
      <c r="D739" s="49" t="str">
        <f t="shared" si="123"/>
        <v>Cold Storage Equipment Type 7</v>
      </c>
      <c r="E739" s="42">
        <f>COLD_CHAIN!E126</f>
        <v>0</v>
      </c>
      <c r="I739" s="145">
        <f>COLD_CHAIN!I126</f>
        <v>0</v>
      </c>
      <c r="J739" s="42">
        <f>COLD_CHAIN!J126</f>
        <v>0</v>
      </c>
      <c r="K739" s="42">
        <f>COLD_CHAIN!K126</f>
        <v>0</v>
      </c>
      <c r="L739" s="42">
        <f>COLD_CHAIN!L126</f>
        <v>0</v>
      </c>
      <c r="M739" s="42">
        <f>COLD_CHAIN!M126</f>
        <v>0</v>
      </c>
      <c r="N739" s="42">
        <f>COLD_CHAIN!N126</f>
        <v>0</v>
      </c>
    </row>
    <row r="740" spans="2:14" x14ac:dyDescent="0.2">
      <c r="D740" s="49" t="str">
        <f t="shared" si="123"/>
        <v>Cold Storage Equipment Type 8</v>
      </c>
      <c r="E740" s="42">
        <f>COLD_CHAIN!E127</f>
        <v>0</v>
      </c>
      <c r="I740" s="145">
        <f>COLD_CHAIN!I127</f>
        <v>0</v>
      </c>
      <c r="J740" s="42">
        <f>COLD_CHAIN!J127</f>
        <v>0</v>
      </c>
      <c r="K740" s="42">
        <f>COLD_CHAIN!K127</f>
        <v>0</v>
      </c>
      <c r="L740" s="42">
        <f>COLD_CHAIN!L127</f>
        <v>0</v>
      </c>
      <c r="M740" s="42">
        <f>COLD_CHAIN!M127</f>
        <v>0</v>
      </c>
      <c r="N740" s="42">
        <f>COLD_CHAIN!N127</f>
        <v>0</v>
      </c>
    </row>
    <row r="741" spans="2:14" x14ac:dyDescent="0.2">
      <c r="D741" s="49" t="str">
        <f t="shared" si="123"/>
        <v>Cold Storage Equipment Type 9</v>
      </c>
      <c r="E741" s="42">
        <f>COLD_CHAIN!E128</f>
        <v>0</v>
      </c>
      <c r="I741" s="145">
        <f>COLD_CHAIN!I128</f>
        <v>0</v>
      </c>
      <c r="J741" s="42">
        <f>COLD_CHAIN!J128</f>
        <v>0</v>
      </c>
      <c r="K741" s="42">
        <f>COLD_CHAIN!K128</f>
        <v>0</v>
      </c>
      <c r="L741" s="42">
        <f>COLD_CHAIN!L128</f>
        <v>0</v>
      </c>
      <c r="M741" s="42">
        <f>COLD_CHAIN!M128</f>
        <v>0</v>
      </c>
      <c r="N741" s="42">
        <f>COLD_CHAIN!N128</f>
        <v>0</v>
      </c>
    </row>
    <row r="742" spans="2:14" s="10" customFormat="1" x14ac:dyDescent="0.2">
      <c r="D742" s="49" t="str">
        <f t="shared" si="123"/>
        <v>Cold Storage Equipment Type 10</v>
      </c>
      <c r="E742" s="42">
        <f>COLD_CHAIN!E129</f>
        <v>0</v>
      </c>
      <c r="I742" s="145">
        <f>COLD_CHAIN!I129</f>
        <v>0</v>
      </c>
      <c r="J742" s="42">
        <f>COLD_CHAIN!J129</f>
        <v>0</v>
      </c>
      <c r="K742" s="42">
        <f>COLD_CHAIN!K129</f>
        <v>0</v>
      </c>
      <c r="L742" s="42">
        <f>COLD_CHAIN!L129</f>
        <v>0</v>
      </c>
      <c r="M742" s="42">
        <f>COLD_CHAIN!M129</f>
        <v>0</v>
      </c>
      <c r="N742" s="42">
        <f>COLD_CHAIN!N129</f>
        <v>0</v>
      </c>
    </row>
    <row r="743" spans="2:14" s="10" customFormat="1" x14ac:dyDescent="0.2">
      <c r="D743" s="249" t="str">
        <f>Lang_Total_SmallLetter&amp;" "&amp;$B$711&amp;" "&amp;D731</f>
        <v>Total Cold Chain Introduction Costs Economic (LCU) - Annualized</v>
      </c>
      <c r="E743" s="253"/>
      <c r="I743" s="342">
        <f>SUM(I733:I742)</f>
        <v>0</v>
      </c>
      <c r="J743" s="43">
        <f t="shared" ref="J743:N743" si="124">SUM(J733:J742)</f>
        <v>0</v>
      </c>
      <c r="K743" s="43">
        <f t="shared" si="124"/>
        <v>0</v>
      </c>
      <c r="L743" s="43">
        <f t="shared" si="124"/>
        <v>0</v>
      </c>
      <c r="M743" s="43">
        <f t="shared" si="124"/>
        <v>0</v>
      </c>
      <c r="N743" s="43">
        <f t="shared" si="124"/>
        <v>0</v>
      </c>
    </row>
    <row r="744" spans="2:14" s="10" customFormat="1" x14ac:dyDescent="0.2"/>
    <row r="745" spans="2:14" s="10" customFormat="1" x14ac:dyDescent="0.2">
      <c r="D745" s="101" t="str">
        <f>B711&amp;" "&amp;Lang_Cost&amp;" "&amp;Lang_Per_Fully_Immunized_Person_FIP</f>
        <v>Cold Chain Introduction Costs Cost per Fully Immunized Person (FIP)</v>
      </c>
      <c r="I745" s="145">
        <f>I743/I$37</f>
        <v>0</v>
      </c>
      <c r="J745" s="42">
        <f t="shared" ref="J745:N745" si="125">J743/J$37</f>
        <v>0</v>
      </c>
      <c r="K745" s="42">
        <f t="shared" si="125"/>
        <v>0</v>
      </c>
      <c r="L745" s="42">
        <f t="shared" si="125"/>
        <v>0</v>
      </c>
      <c r="M745" s="42">
        <f t="shared" si="125"/>
        <v>0</v>
      </c>
      <c r="N745" s="42">
        <f t="shared" si="125"/>
        <v>0</v>
      </c>
    </row>
    <row r="746" spans="2:14" s="10" customFormat="1" x14ac:dyDescent="0.2"/>
    <row r="747" spans="2:14" s="10" customFormat="1" x14ac:dyDescent="0.2"/>
    <row r="748" spans="2:14" s="10" customFormat="1" x14ac:dyDescent="0.2">
      <c r="B748" s="358" t="str">
        <f>Analy_Lu!$D$12</f>
        <v>USD</v>
      </c>
    </row>
    <row r="749" spans="2:14" s="10" customFormat="1" x14ac:dyDescent="0.2">
      <c r="D749" s="105" t="str">
        <f>Lang_Fin&amp;" ("&amp;Analy_Lu!$D$12&amp;") - Annualized"</f>
        <v>Financial (USD) - Annualized</v>
      </c>
    </row>
    <row r="750" spans="2:14" s="10" customFormat="1" x14ac:dyDescent="0.2">
      <c r="E750" s="228" t="str">
        <f>Lang_Unit_Cost_Annualized</f>
        <v>Unit Cost (Annualized)</v>
      </c>
      <c r="I750" s="228" t="str">
        <f>Lang_All_Years</f>
        <v>ALL YEARS</v>
      </c>
    </row>
    <row r="751" spans="2:14" s="10" customFormat="1" x14ac:dyDescent="0.2">
      <c r="D751" s="49" t="str">
        <f t="shared" ref="D751:D760" si="126">D631</f>
        <v>Cold Storage Equipment Type 1</v>
      </c>
      <c r="E751" s="119">
        <f>COLD_CHAIN!E47</f>
        <v>0</v>
      </c>
      <c r="I751" s="255">
        <f>COLD_CHAIN!I47</f>
        <v>0</v>
      </c>
      <c r="J751" s="119">
        <f>COLD_CHAIN!J47</f>
        <v>0</v>
      </c>
      <c r="K751" s="119">
        <f>COLD_CHAIN!K47</f>
        <v>0</v>
      </c>
      <c r="L751" s="119">
        <f>COLD_CHAIN!L47</f>
        <v>0</v>
      </c>
      <c r="M751" s="119">
        <f>COLD_CHAIN!M47</f>
        <v>0</v>
      </c>
      <c r="N751" s="119">
        <f>COLD_CHAIN!N47</f>
        <v>0</v>
      </c>
    </row>
    <row r="752" spans="2:14" x14ac:dyDescent="0.2">
      <c r="D752" s="49" t="str">
        <f t="shared" si="126"/>
        <v>Cold Storage Equipment Type 2</v>
      </c>
      <c r="E752" s="119">
        <f>COLD_CHAIN!E48</f>
        <v>0</v>
      </c>
      <c r="I752" s="255">
        <f>COLD_CHAIN!I48</f>
        <v>0</v>
      </c>
      <c r="J752" s="119">
        <f>COLD_CHAIN!J48</f>
        <v>0</v>
      </c>
      <c r="K752" s="119">
        <f>COLD_CHAIN!K48</f>
        <v>0</v>
      </c>
      <c r="L752" s="119">
        <f>COLD_CHAIN!L48</f>
        <v>0</v>
      </c>
      <c r="M752" s="119">
        <f>COLD_CHAIN!M48</f>
        <v>0</v>
      </c>
      <c r="N752" s="119">
        <f>COLD_CHAIN!N48</f>
        <v>0</v>
      </c>
    </row>
    <row r="753" spans="4:14" x14ac:dyDescent="0.2">
      <c r="D753" s="49" t="str">
        <f t="shared" si="126"/>
        <v>Cold Storage Equipment Type 3</v>
      </c>
      <c r="E753" s="119">
        <f>COLD_CHAIN!E49</f>
        <v>0</v>
      </c>
      <c r="I753" s="255">
        <f>COLD_CHAIN!I49</f>
        <v>0</v>
      </c>
      <c r="J753" s="119">
        <f>COLD_CHAIN!J49</f>
        <v>0</v>
      </c>
      <c r="K753" s="119">
        <f>COLD_CHAIN!K49</f>
        <v>0</v>
      </c>
      <c r="L753" s="119">
        <f>COLD_CHAIN!L49</f>
        <v>0</v>
      </c>
      <c r="M753" s="119">
        <f>COLD_CHAIN!M49</f>
        <v>0</v>
      </c>
      <c r="N753" s="119">
        <f>COLD_CHAIN!N49</f>
        <v>0</v>
      </c>
    </row>
    <row r="754" spans="4:14" x14ac:dyDescent="0.2">
      <c r="D754" s="49" t="str">
        <f t="shared" si="126"/>
        <v>Cold Storage Equipment Type 4</v>
      </c>
      <c r="E754" s="119">
        <f>COLD_CHAIN!E50</f>
        <v>0</v>
      </c>
      <c r="I754" s="255">
        <f>COLD_CHAIN!I50</f>
        <v>0</v>
      </c>
      <c r="J754" s="119">
        <f>COLD_CHAIN!J50</f>
        <v>0</v>
      </c>
      <c r="K754" s="119">
        <f>COLD_CHAIN!K50</f>
        <v>0</v>
      </c>
      <c r="L754" s="119">
        <f>COLD_CHAIN!L50</f>
        <v>0</v>
      </c>
      <c r="M754" s="119">
        <f>COLD_CHAIN!M50</f>
        <v>0</v>
      </c>
      <c r="N754" s="119">
        <f>COLD_CHAIN!N50</f>
        <v>0</v>
      </c>
    </row>
    <row r="755" spans="4:14" x14ac:dyDescent="0.2">
      <c r="D755" s="49" t="str">
        <f t="shared" si="126"/>
        <v>Cold Storage Equipment Type 5</v>
      </c>
      <c r="E755" s="119">
        <f>COLD_CHAIN!E51</f>
        <v>0</v>
      </c>
      <c r="I755" s="255">
        <f>COLD_CHAIN!I51</f>
        <v>0</v>
      </c>
      <c r="J755" s="119">
        <f>COLD_CHAIN!J51</f>
        <v>0</v>
      </c>
      <c r="K755" s="119">
        <f>COLD_CHAIN!K51</f>
        <v>0</v>
      </c>
      <c r="L755" s="119">
        <f>COLD_CHAIN!L51</f>
        <v>0</v>
      </c>
      <c r="M755" s="119">
        <f>COLD_CHAIN!M51</f>
        <v>0</v>
      </c>
      <c r="N755" s="119">
        <f>COLD_CHAIN!N51</f>
        <v>0</v>
      </c>
    </row>
    <row r="756" spans="4:14" x14ac:dyDescent="0.2">
      <c r="D756" s="49" t="str">
        <f t="shared" si="126"/>
        <v>Cold Storage Equipment Type 6</v>
      </c>
      <c r="E756" s="119">
        <f>COLD_CHAIN!E52</f>
        <v>0</v>
      </c>
      <c r="I756" s="255">
        <f>COLD_CHAIN!I52</f>
        <v>0</v>
      </c>
      <c r="J756" s="119">
        <f>COLD_CHAIN!J52</f>
        <v>0</v>
      </c>
      <c r="K756" s="119">
        <f>COLD_CHAIN!K52</f>
        <v>0</v>
      </c>
      <c r="L756" s="119">
        <f>COLD_CHAIN!L52</f>
        <v>0</v>
      </c>
      <c r="M756" s="119">
        <f>COLD_CHAIN!M52</f>
        <v>0</v>
      </c>
      <c r="N756" s="119">
        <f>COLD_CHAIN!N52</f>
        <v>0</v>
      </c>
    </row>
    <row r="757" spans="4:14" x14ac:dyDescent="0.2">
      <c r="D757" s="49" t="str">
        <f t="shared" si="126"/>
        <v>Cold Storage Equipment Type 7</v>
      </c>
      <c r="E757" s="119">
        <f>COLD_CHAIN!E53</f>
        <v>0</v>
      </c>
      <c r="I757" s="255">
        <f>COLD_CHAIN!I53</f>
        <v>0</v>
      </c>
      <c r="J757" s="119">
        <f>COLD_CHAIN!J53</f>
        <v>0</v>
      </c>
      <c r="K757" s="119">
        <f>COLD_CHAIN!K53</f>
        <v>0</v>
      </c>
      <c r="L757" s="119">
        <f>COLD_CHAIN!L53</f>
        <v>0</v>
      </c>
      <c r="M757" s="119">
        <f>COLD_CHAIN!M53</f>
        <v>0</v>
      </c>
      <c r="N757" s="119">
        <f>COLD_CHAIN!N53</f>
        <v>0</v>
      </c>
    </row>
    <row r="758" spans="4:14" x14ac:dyDescent="0.2">
      <c r="D758" s="49" t="str">
        <f t="shared" si="126"/>
        <v>Cold Storage Equipment Type 8</v>
      </c>
      <c r="E758" s="119">
        <f>COLD_CHAIN!E54</f>
        <v>0</v>
      </c>
      <c r="I758" s="255">
        <f>COLD_CHAIN!I54</f>
        <v>0</v>
      </c>
      <c r="J758" s="119">
        <f>COLD_CHAIN!J54</f>
        <v>0</v>
      </c>
      <c r="K758" s="119">
        <f>COLD_CHAIN!K54</f>
        <v>0</v>
      </c>
      <c r="L758" s="119">
        <f>COLD_CHAIN!L54</f>
        <v>0</v>
      </c>
      <c r="M758" s="119">
        <f>COLD_CHAIN!M54</f>
        <v>0</v>
      </c>
      <c r="N758" s="119">
        <f>COLD_CHAIN!N54</f>
        <v>0</v>
      </c>
    </row>
    <row r="759" spans="4:14" x14ac:dyDescent="0.2">
      <c r="D759" s="49" t="str">
        <f t="shared" si="126"/>
        <v>Cold Storage Equipment Type 9</v>
      </c>
      <c r="E759" s="119">
        <f>COLD_CHAIN!E55</f>
        <v>0</v>
      </c>
      <c r="I759" s="255">
        <f>COLD_CHAIN!I55</f>
        <v>0</v>
      </c>
      <c r="J759" s="119">
        <f>COLD_CHAIN!J55</f>
        <v>0</v>
      </c>
      <c r="K759" s="119">
        <f>COLD_CHAIN!K55</f>
        <v>0</v>
      </c>
      <c r="L759" s="119">
        <f>COLD_CHAIN!L55</f>
        <v>0</v>
      </c>
      <c r="M759" s="119">
        <f>COLD_CHAIN!M55</f>
        <v>0</v>
      </c>
      <c r="N759" s="119">
        <f>COLD_CHAIN!N55</f>
        <v>0</v>
      </c>
    </row>
    <row r="760" spans="4:14" s="10" customFormat="1" x14ac:dyDescent="0.2">
      <c r="D760" s="49" t="str">
        <f t="shared" si="126"/>
        <v>Cold Storage Equipment Type 10</v>
      </c>
      <c r="E760" s="119">
        <f>COLD_CHAIN!E56</f>
        <v>0</v>
      </c>
      <c r="I760" s="255">
        <f>COLD_CHAIN!I56</f>
        <v>0</v>
      </c>
      <c r="J760" s="119">
        <f>COLD_CHAIN!J56</f>
        <v>0</v>
      </c>
      <c r="K760" s="119">
        <f>COLD_CHAIN!K56</f>
        <v>0</v>
      </c>
      <c r="L760" s="119">
        <f>COLD_CHAIN!L56</f>
        <v>0</v>
      </c>
      <c r="M760" s="119">
        <f>COLD_CHAIN!M56</f>
        <v>0</v>
      </c>
      <c r="N760" s="119">
        <f>COLD_CHAIN!N56</f>
        <v>0</v>
      </c>
    </row>
    <row r="761" spans="4:14" s="10" customFormat="1" x14ac:dyDescent="0.2">
      <c r="D761" s="251" t="str">
        <f>Lang_Total_SmallLetter&amp;" "&amp;$B$711&amp;" "&amp;D749</f>
        <v>Total Cold Chain Introduction Costs Financial (USD) - Annualized</v>
      </c>
      <c r="E761" s="252"/>
      <c r="I761" s="348">
        <f>SUM(I751:I760)</f>
        <v>0</v>
      </c>
      <c r="J761" s="245">
        <f t="shared" ref="J761:N761" si="127">SUM(J751:J760)</f>
        <v>0</v>
      </c>
      <c r="K761" s="245">
        <f t="shared" si="127"/>
        <v>0</v>
      </c>
      <c r="L761" s="245">
        <f t="shared" si="127"/>
        <v>0</v>
      </c>
      <c r="M761" s="245">
        <f t="shared" si="127"/>
        <v>0</v>
      </c>
      <c r="N761" s="245">
        <f t="shared" si="127"/>
        <v>0</v>
      </c>
    </row>
    <row r="762" spans="4:14" s="10" customFormat="1" x14ac:dyDescent="0.2"/>
    <row r="763" spans="4:14" s="10" customFormat="1" x14ac:dyDescent="0.2">
      <c r="D763" s="101" t="str">
        <f>B711&amp;" "&amp;Lang_Cost&amp;" "&amp;Lang_Per_Fully_Immunized_Person_FIP</f>
        <v>Cold Chain Introduction Costs Cost per Fully Immunized Person (FIP)</v>
      </c>
      <c r="I763" s="388">
        <f>I761/I$37</f>
        <v>0</v>
      </c>
      <c r="J763" s="116">
        <f t="shared" ref="J763:N763" si="128">J761/J$37</f>
        <v>0</v>
      </c>
      <c r="K763" s="116">
        <f t="shared" si="128"/>
        <v>0</v>
      </c>
      <c r="L763" s="116">
        <f t="shared" si="128"/>
        <v>0</v>
      </c>
      <c r="M763" s="116">
        <f t="shared" si="128"/>
        <v>0</v>
      </c>
      <c r="N763" s="116">
        <f t="shared" si="128"/>
        <v>0</v>
      </c>
    </row>
    <row r="764" spans="4:14" s="10" customFormat="1" x14ac:dyDescent="0.2"/>
    <row r="765" spans="4:14" s="10" customFormat="1" x14ac:dyDescent="0.2"/>
    <row r="766" spans="4:14" s="10" customFormat="1" x14ac:dyDescent="0.2"/>
    <row r="767" spans="4:14" s="10" customFormat="1" x14ac:dyDescent="0.2"/>
    <row r="768" spans="4:14" s="10" customFormat="1" x14ac:dyDescent="0.2">
      <c r="D768" s="105" t="str">
        <f>Lang_Econ&amp;" ("&amp;Analy_Lu!$D$12&amp;")- Annualized"</f>
        <v>Economic (USD)- Annualized</v>
      </c>
    </row>
    <row r="769" spans="1:14" s="10" customFormat="1" x14ac:dyDescent="0.2">
      <c r="E769" s="228" t="str">
        <f>Lang_Unit_Cost_Annualized</f>
        <v>Unit Cost (Annualized)</v>
      </c>
      <c r="I769" s="228" t="str">
        <f>Lang_All_Years</f>
        <v>ALL YEARS</v>
      </c>
    </row>
    <row r="770" spans="1:14" s="10" customFormat="1" x14ac:dyDescent="0.2">
      <c r="D770" s="49" t="str">
        <f t="shared" ref="D770:D779" si="129">D631</f>
        <v>Cold Storage Equipment Type 1</v>
      </c>
      <c r="E770" s="119">
        <f>COLD_CHAIN!E61</f>
        <v>0</v>
      </c>
      <c r="I770" s="255">
        <f>COLD_CHAIN!I61</f>
        <v>0</v>
      </c>
      <c r="J770" s="119">
        <f>COLD_CHAIN!J61</f>
        <v>0</v>
      </c>
      <c r="K770" s="119">
        <f>COLD_CHAIN!K61</f>
        <v>0</v>
      </c>
      <c r="L770" s="119">
        <f>COLD_CHAIN!L61</f>
        <v>0</v>
      </c>
      <c r="M770" s="119">
        <f>COLD_CHAIN!M61</f>
        <v>0</v>
      </c>
      <c r="N770" s="119">
        <f>COLD_CHAIN!N61</f>
        <v>0</v>
      </c>
    </row>
    <row r="771" spans="1:14" x14ac:dyDescent="0.2">
      <c r="D771" s="49" t="str">
        <f t="shared" si="129"/>
        <v>Cold Storage Equipment Type 2</v>
      </c>
      <c r="E771" s="119">
        <f>COLD_CHAIN!E62</f>
        <v>0</v>
      </c>
      <c r="I771" s="255">
        <f>COLD_CHAIN!I62</f>
        <v>0</v>
      </c>
      <c r="J771" s="119">
        <f>COLD_CHAIN!J62</f>
        <v>0</v>
      </c>
      <c r="K771" s="119">
        <f>COLD_CHAIN!K62</f>
        <v>0</v>
      </c>
      <c r="L771" s="119">
        <f>COLD_CHAIN!L62</f>
        <v>0</v>
      </c>
      <c r="M771" s="119">
        <f>COLD_CHAIN!M62</f>
        <v>0</v>
      </c>
      <c r="N771" s="119">
        <f>COLD_CHAIN!N62</f>
        <v>0</v>
      </c>
    </row>
    <row r="772" spans="1:14" x14ac:dyDescent="0.2">
      <c r="D772" s="49" t="str">
        <f t="shared" si="129"/>
        <v>Cold Storage Equipment Type 3</v>
      </c>
      <c r="E772" s="119">
        <f>COLD_CHAIN!E63</f>
        <v>0</v>
      </c>
      <c r="I772" s="255">
        <f>COLD_CHAIN!I63</f>
        <v>0</v>
      </c>
      <c r="J772" s="119">
        <f>COLD_CHAIN!J63</f>
        <v>0</v>
      </c>
      <c r="K772" s="119">
        <f>COLD_CHAIN!K63</f>
        <v>0</v>
      </c>
      <c r="L772" s="119">
        <f>COLD_CHAIN!L63</f>
        <v>0</v>
      </c>
      <c r="M772" s="119">
        <f>COLD_CHAIN!M63</f>
        <v>0</v>
      </c>
      <c r="N772" s="119">
        <f>COLD_CHAIN!N63</f>
        <v>0</v>
      </c>
    </row>
    <row r="773" spans="1:14" x14ac:dyDescent="0.2">
      <c r="D773" s="49" t="str">
        <f t="shared" si="129"/>
        <v>Cold Storage Equipment Type 4</v>
      </c>
      <c r="E773" s="119">
        <f>COLD_CHAIN!E64</f>
        <v>0</v>
      </c>
      <c r="I773" s="255">
        <f>COLD_CHAIN!I64</f>
        <v>0</v>
      </c>
      <c r="J773" s="119">
        <f>COLD_CHAIN!J64</f>
        <v>0</v>
      </c>
      <c r="K773" s="119">
        <f>COLD_CHAIN!K64</f>
        <v>0</v>
      </c>
      <c r="L773" s="119">
        <f>COLD_CHAIN!L64</f>
        <v>0</v>
      </c>
      <c r="M773" s="119">
        <f>COLD_CHAIN!M64</f>
        <v>0</v>
      </c>
      <c r="N773" s="119">
        <f>COLD_CHAIN!N64</f>
        <v>0</v>
      </c>
    </row>
    <row r="774" spans="1:14" x14ac:dyDescent="0.2">
      <c r="D774" s="49" t="str">
        <f t="shared" si="129"/>
        <v>Cold Storage Equipment Type 5</v>
      </c>
      <c r="E774" s="119">
        <f>COLD_CHAIN!E65</f>
        <v>0</v>
      </c>
      <c r="I774" s="255">
        <f>COLD_CHAIN!I65</f>
        <v>0</v>
      </c>
      <c r="J774" s="119">
        <f>COLD_CHAIN!J65</f>
        <v>0</v>
      </c>
      <c r="K774" s="119">
        <f>COLD_CHAIN!K65</f>
        <v>0</v>
      </c>
      <c r="L774" s="119">
        <f>COLD_CHAIN!L65</f>
        <v>0</v>
      </c>
      <c r="M774" s="119">
        <f>COLD_CHAIN!M65</f>
        <v>0</v>
      </c>
      <c r="N774" s="119">
        <f>COLD_CHAIN!N65</f>
        <v>0</v>
      </c>
    </row>
    <row r="775" spans="1:14" x14ac:dyDescent="0.2">
      <c r="D775" s="49" t="str">
        <f t="shared" si="129"/>
        <v>Cold Storage Equipment Type 6</v>
      </c>
      <c r="E775" s="119">
        <f>COLD_CHAIN!E66</f>
        <v>0</v>
      </c>
      <c r="I775" s="255">
        <f>COLD_CHAIN!I66</f>
        <v>0</v>
      </c>
      <c r="J775" s="119">
        <f>COLD_CHAIN!J66</f>
        <v>0</v>
      </c>
      <c r="K775" s="119">
        <f>COLD_CHAIN!K66</f>
        <v>0</v>
      </c>
      <c r="L775" s="119">
        <f>COLD_CHAIN!L66</f>
        <v>0</v>
      </c>
      <c r="M775" s="119">
        <f>COLD_CHAIN!M66</f>
        <v>0</v>
      </c>
      <c r="N775" s="119">
        <f>COLD_CHAIN!N66</f>
        <v>0</v>
      </c>
    </row>
    <row r="776" spans="1:14" x14ac:dyDescent="0.2">
      <c r="D776" s="49" t="str">
        <f t="shared" si="129"/>
        <v>Cold Storage Equipment Type 7</v>
      </c>
      <c r="E776" s="119">
        <f>COLD_CHAIN!E67</f>
        <v>0</v>
      </c>
      <c r="I776" s="255">
        <f>COLD_CHAIN!I67</f>
        <v>0</v>
      </c>
      <c r="J776" s="119">
        <f>COLD_CHAIN!J67</f>
        <v>0</v>
      </c>
      <c r="K776" s="119">
        <f>COLD_CHAIN!K67</f>
        <v>0</v>
      </c>
      <c r="L776" s="119">
        <f>COLD_CHAIN!L67</f>
        <v>0</v>
      </c>
      <c r="M776" s="119">
        <f>COLD_CHAIN!M67</f>
        <v>0</v>
      </c>
      <c r="N776" s="119">
        <f>COLD_CHAIN!N67</f>
        <v>0</v>
      </c>
    </row>
    <row r="777" spans="1:14" x14ac:dyDescent="0.2">
      <c r="D777" s="49" t="str">
        <f t="shared" si="129"/>
        <v>Cold Storage Equipment Type 8</v>
      </c>
      <c r="E777" s="119">
        <f>COLD_CHAIN!E68</f>
        <v>0</v>
      </c>
      <c r="I777" s="255">
        <f>COLD_CHAIN!I68</f>
        <v>0</v>
      </c>
      <c r="J777" s="119">
        <f>COLD_CHAIN!J68</f>
        <v>0</v>
      </c>
      <c r="K777" s="119">
        <f>COLD_CHAIN!K68</f>
        <v>0</v>
      </c>
      <c r="L777" s="119">
        <f>COLD_CHAIN!L68</f>
        <v>0</v>
      </c>
      <c r="M777" s="119">
        <f>COLD_CHAIN!M68</f>
        <v>0</v>
      </c>
      <c r="N777" s="119">
        <f>COLD_CHAIN!N68</f>
        <v>0</v>
      </c>
    </row>
    <row r="778" spans="1:14" x14ac:dyDescent="0.2">
      <c r="D778" s="49" t="str">
        <f t="shared" si="129"/>
        <v>Cold Storage Equipment Type 9</v>
      </c>
      <c r="E778" s="119">
        <f>COLD_CHAIN!E69</f>
        <v>0</v>
      </c>
      <c r="I778" s="255">
        <f>COLD_CHAIN!I69</f>
        <v>0</v>
      </c>
      <c r="J778" s="119">
        <f>COLD_CHAIN!J69</f>
        <v>0</v>
      </c>
      <c r="K778" s="119">
        <f>COLD_CHAIN!K69</f>
        <v>0</v>
      </c>
      <c r="L778" s="119">
        <f>COLD_CHAIN!L69</f>
        <v>0</v>
      </c>
      <c r="M778" s="119">
        <f>COLD_CHAIN!M69</f>
        <v>0</v>
      </c>
      <c r="N778" s="119">
        <f>COLD_CHAIN!N69</f>
        <v>0</v>
      </c>
    </row>
    <row r="779" spans="1:14" s="10" customFormat="1" x14ac:dyDescent="0.2">
      <c r="D779" s="49" t="str">
        <f t="shared" si="129"/>
        <v>Cold Storage Equipment Type 10</v>
      </c>
      <c r="E779" s="119">
        <f>COLD_CHAIN!E70</f>
        <v>0</v>
      </c>
      <c r="I779" s="255">
        <f>COLD_CHAIN!I70</f>
        <v>0</v>
      </c>
      <c r="J779" s="119">
        <f>COLD_CHAIN!J70</f>
        <v>0</v>
      </c>
      <c r="K779" s="119">
        <f>COLD_CHAIN!K70</f>
        <v>0</v>
      </c>
      <c r="L779" s="119">
        <f>COLD_CHAIN!L70</f>
        <v>0</v>
      </c>
      <c r="M779" s="119">
        <f>COLD_CHAIN!M70</f>
        <v>0</v>
      </c>
      <c r="N779" s="119">
        <f>COLD_CHAIN!N70</f>
        <v>0</v>
      </c>
    </row>
    <row r="780" spans="1:14" s="10" customFormat="1" x14ac:dyDescent="0.2">
      <c r="D780" s="249" t="str">
        <f>Lang_Total_SmallLetter&amp;" "&amp;$B$711&amp;" "&amp;D768</f>
        <v>Total Cold Chain Introduction Costs Economic (USD)- Annualized</v>
      </c>
      <c r="E780" s="252"/>
      <c r="I780" s="348">
        <f>SUM(I770:I779)</f>
        <v>0</v>
      </c>
      <c r="J780" s="245">
        <f t="shared" ref="J780:N780" si="130">SUM(J770:J779)</f>
        <v>0</v>
      </c>
      <c r="K780" s="245">
        <f t="shared" si="130"/>
        <v>0</v>
      </c>
      <c r="L780" s="245">
        <f t="shared" si="130"/>
        <v>0</v>
      </c>
      <c r="M780" s="245">
        <f t="shared" si="130"/>
        <v>0</v>
      </c>
      <c r="N780" s="245">
        <f t="shared" si="130"/>
        <v>0</v>
      </c>
    </row>
    <row r="781" spans="1:14" s="10" customFormat="1" x14ac:dyDescent="0.2"/>
    <row r="782" spans="1:14" s="10" customFormat="1" x14ac:dyDescent="0.2">
      <c r="D782" s="101" t="str">
        <f>B711&amp;" "&amp;Lang_Cost&amp;" "&amp;Lang_Per_Fully_Immunized_Person_FIP</f>
        <v>Cold Chain Introduction Costs Cost per Fully Immunized Person (FIP)</v>
      </c>
      <c r="I782" s="388">
        <f>I780/I$37</f>
        <v>0</v>
      </c>
      <c r="J782" s="116">
        <f t="shared" ref="J782:N782" si="131">J780/J$37</f>
        <v>0</v>
      </c>
      <c r="K782" s="116">
        <f t="shared" si="131"/>
        <v>0</v>
      </c>
      <c r="L782" s="116">
        <f t="shared" si="131"/>
        <v>0</v>
      </c>
      <c r="M782" s="116">
        <f t="shared" si="131"/>
        <v>0</v>
      </c>
      <c r="N782" s="116">
        <f t="shared" si="131"/>
        <v>0</v>
      </c>
    </row>
    <row r="783" spans="1:14" s="10" customFormat="1" x14ac:dyDescent="0.2"/>
    <row r="784" spans="1:14" s="10" customFormat="1" x14ac:dyDescent="0.2">
      <c r="A784" s="12" t="s">
        <v>125</v>
      </c>
      <c r="B784" s="13" t="str">
        <f>Lang_Analysis&amp;" - "&amp;B786</f>
        <v>Analysis - Other Capital Investments</v>
      </c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</row>
    <row r="785" spans="2:14" s="10" customFormat="1" x14ac:dyDescent="0.2"/>
    <row r="786" spans="2:14" s="10" customFormat="1" x14ac:dyDescent="0.2">
      <c r="B786" s="65" t="str">
        <f>Lang_Other_Capital_Investments</f>
        <v>Other Capital Investments</v>
      </c>
    </row>
    <row r="787" spans="2:14" s="10" customFormat="1" x14ac:dyDescent="0.2"/>
    <row r="788" spans="2:14" s="10" customFormat="1" x14ac:dyDescent="0.2"/>
    <row r="789" spans="2:14" s="10" customFormat="1" x14ac:dyDescent="0.2">
      <c r="D789" s="55" t="str">
        <f>Lang_Capital_Investment_Type</f>
        <v>Capital Investment Type</v>
      </c>
      <c r="I789" s="343" t="str">
        <f>Lang_All_Years</f>
        <v>ALL YEARS</v>
      </c>
    </row>
    <row r="790" spans="2:14" s="10" customFormat="1" x14ac:dyDescent="0.2">
      <c r="D790" s="49" t="str">
        <f>CAPITAL_INVESTS_OTH!B21</f>
        <v>Other Capital Investment 1</v>
      </c>
      <c r="I790" s="349">
        <f>CAPITAL_INVESTS_OTH!I21</f>
        <v>0</v>
      </c>
      <c r="J790" s="41">
        <f>CAPITAL_INVESTS_OTH!J21</f>
        <v>0</v>
      </c>
      <c r="K790" s="41">
        <f>CAPITAL_INVESTS_OTH!K21</f>
        <v>0</v>
      </c>
      <c r="L790" s="41">
        <f>CAPITAL_INVESTS_OTH!L21</f>
        <v>0</v>
      </c>
      <c r="M790" s="41">
        <f>CAPITAL_INVESTS_OTH!M21</f>
        <v>0</v>
      </c>
      <c r="N790" s="41">
        <f>CAPITAL_INVESTS_OTH!N21</f>
        <v>0</v>
      </c>
    </row>
    <row r="791" spans="2:14" s="10" customFormat="1" x14ac:dyDescent="0.2">
      <c r="D791" s="49" t="str">
        <f>CAPITAL_INVESTS_OTH!B22</f>
        <v>Other Capital Investment 2</v>
      </c>
      <c r="I791" s="349">
        <f>CAPITAL_INVESTS_OTH!I22</f>
        <v>0</v>
      </c>
      <c r="J791" s="41">
        <f>CAPITAL_INVESTS_OTH!J22</f>
        <v>0</v>
      </c>
      <c r="K791" s="41">
        <f>CAPITAL_INVESTS_OTH!K22</f>
        <v>0</v>
      </c>
      <c r="L791" s="41">
        <f>CAPITAL_INVESTS_OTH!L22</f>
        <v>0</v>
      </c>
      <c r="M791" s="41">
        <f>CAPITAL_INVESTS_OTH!M22</f>
        <v>0</v>
      </c>
      <c r="N791" s="41">
        <f>CAPITAL_INVESTS_OTH!N22</f>
        <v>0</v>
      </c>
    </row>
    <row r="792" spans="2:14" s="10" customFormat="1" x14ac:dyDescent="0.2">
      <c r="D792" s="49" t="str">
        <f>CAPITAL_INVESTS_OTH!B23</f>
        <v>Other Capital Investment 3</v>
      </c>
      <c r="I792" s="349">
        <f>CAPITAL_INVESTS_OTH!I23</f>
        <v>0</v>
      </c>
      <c r="J792" s="41">
        <f>CAPITAL_INVESTS_OTH!J23</f>
        <v>0</v>
      </c>
      <c r="K792" s="41">
        <f>CAPITAL_INVESTS_OTH!K23</f>
        <v>0</v>
      </c>
      <c r="L792" s="41">
        <f>CAPITAL_INVESTS_OTH!L23</f>
        <v>0</v>
      </c>
      <c r="M792" s="41">
        <f>CAPITAL_INVESTS_OTH!M23</f>
        <v>0</v>
      </c>
      <c r="N792" s="41">
        <f>CAPITAL_INVESTS_OTH!N23</f>
        <v>0</v>
      </c>
    </row>
    <row r="793" spans="2:14" s="10" customFormat="1" x14ac:dyDescent="0.2">
      <c r="D793" s="49" t="str">
        <f>CAPITAL_INVESTS_OTH!B24</f>
        <v>Other Capital Investment 4</v>
      </c>
      <c r="I793" s="349">
        <f>CAPITAL_INVESTS_OTH!I24</f>
        <v>0</v>
      </c>
      <c r="J793" s="41">
        <f>CAPITAL_INVESTS_OTH!J24</f>
        <v>0</v>
      </c>
      <c r="K793" s="41">
        <f>CAPITAL_INVESTS_OTH!K24</f>
        <v>0</v>
      </c>
      <c r="L793" s="41">
        <f>CAPITAL_INVESTS_OTH!L24</f>
        <v>0</v>
      </c>
      <c r="M793" s="41">
        <f>CAPITAL_INVESTS_OTH!M24</f>
        <v>0</v>
      </c>
      <c r="N793" s="41">
        <f>CAPITAL_INVESTS_OTH!N24</f>
        <v>0</v>
      </c>
    </row>
    <row r="794" spans="2:14" s="10" customFormat="1" x14ac:dyDescent="0.2">
      <c r="D794" s="49" t="str">
        <f>CAPITAL_INVESTS_OTH!B25</f>
        <v>Other Capital Investment 5</v>
      </c>
      <c r="I794" s="349">
        <f>CAPITAL_INVESTS_OTH!I25</f>
        <v>0</v>
      </c>
      <c r="J794" s="41">
        <f>CAPITAL_INVESTS_OTH!J25</f>
        <v>0</v>
      </c>
      <c r="K794" s="41">
        <f>CAPITAL_INVESTS_OTH!K25</f>
        <v>0</v>
      </c>
      <c r="L794" s="41">
        <f>CAPITAL_INVESTS_OTH!L25</f>
        <v>0</v>
      </c>
      <c r="M794" s="41">
        <f>CAPITAL_INVESTS_OTH!M25</f>
        <v>0</v>
      </c>
      <c r="N794" s="41">
        <f>CAPITAL_INVESTS_OTH!N25</f>
        <v>0</v>
      </c>
    </row>
    <row r="795" spans="2:14" s="10" customFormat="1" x14ac:dyDescent="0.2">
      <c r="D795" s="49" t="str">
        <f>CAPITAL_INVESTS_OTH!B26</f>
        <v>Other Capital Investment 6</v>
      </c>
      <c r="I795" s="349">
        <f>CAPITAL_INVESTS_OTH!I26</f>
        <v>0</v>
      </c>
      <c r="J795" s="41">
        <f>CAPITAL_INVESTS_OTH!J26</f>
        <v>0</v>
      </c>
      <c r="K795" s="41">
        <f>CAPITAL_INVESTS_OTH!K26</f>
        <v>0</v>
      </c>
      <c r="L795" s="41">
        <f>CAPITAL_INVESTS_OTH!L26</f>
        <v>0</v>
      </c>
      <c r="M795" s="41">
        <f>CAPITAL_INVESTS_OTH!M26</f>
        <v>0</v>
      </c>
      <c r="N795" s="41">
        <f>CAPITAL_INVESTS_OTH!N26</f>
        <v>0</v>
      </c>
    </row>
    <row r="796" spans="2:14" s="10" customFormat="1" x14ac:dyDescent="0.2">
      <c r="D796" s="49" t="str">
        <f>CAPITAL_INVESTS_OTH!B27</f>
        <v>Other Capital Investment 7</v>
      </c>
      <c r="I796" s="349">
        <f>CAPITAL_INVESTS_OTH!I27</f>
        <v>0</v>
      </c>
      <c r="J796" s="41">
        <f>CAPITAL_INVESTS_OTH!J27</f>
        <v>0</v>
      </c>
      <c r="K796" s="41">
        <f>CAPITAL_INVESTS_OTH!K27</f>
        <v>0</v>
      </c>
      <c r="L796" s="41">
        <f>CAPITAL_INVESTS_OTH!L27</f>
        <v>0</v>
      </c>
      <c r="M796" s="41">
        <f>CAPITAL_INVESTS_OTH!M27</f>
        <v>0</v>
      </c>
      <c r="N796" s="41">
        <f>CAPITAL_INVESTS_OTH!N27</f>
        <v>0</v>
      </c>
    </row>
    <row r="797" spans="2:14" s="10" customFormat="1" x14ac:dyDescent="0.2">
      <c r="D797" s="49" t="str">
        <f>CAPITAL_INVESTS_OTH!B28</f>
        <v>Other Capital Investment 8</v>
      </c>
      <c r="I797" s="349">
        <f>CAPITAL_INVESTS_OTH!I28</f>
        <v>0</v>
      </c>
      <c r="J797" s="41">
        <f>CAPITAL_INVESTS_OTH!J28</f>
        <v>0</v>
      </c>
      <c r="K797" s="41">
        <f>CAPITAL_INVESTS_OTH!K28</f>
        <v>0</v>
      </c>
      <c r="L797" s="41">
        <f>CAPITAL_INVESTS_OTH!L28</f>
        <v>0</v>
      </c>
      <c r="M797" s="41">
        <f>CAPITAL_INVESTS_OTH!M28</f>
        <v>0</v>
      </c>
      <c r="N797" s="41">
        <f>CAPITAL_INVESTS_OTH!N28</f>
        <v>0</v>
      </c>
    </row>
    <row r="798" spans="2:14" s="10" customFormat="1" x14ac:dyDescent="0.2">
      <c r="D798" s="49" t="str">
        <f>CAPITAL_INVESTS_OTH!B29</f>
        <v>Other Capital Investment 9</v>
      </c>
      <c r="I798" s="349">
        <f>CAPITAL_INVESTS_OTH!I29</f>
        <v>0</v>
      </c>
      <c r="J798" s="41">
        <f>CAPITAL_INVESTS_OTH!J29</f>
        <v>0</v>
      </c>
      <c r="K798" s="41">
        <f>CAPITAL_INVESTS_OTH!K29</f>
        <v>0</v>
      </c>
      <c r="L798" s="41">
        <f>CAPITAL_INVESTS_OTH!L29</f>
        <v>0</v>
      </c>
      <c r="M798" s="41">
        <f>CAPITAL_INVESTS_OTH!M29</f>
        <v>0</v>
      </c>
      <c r="N798" s="41">
        <f>CAPITAL_INVESTS_OTH!N29</f>
        <v>0</v>
      </c>
    </row>
    <row r="799" spans="2:14" s="10" customFormat="1" x14ac:dyDescent="0.2">
      <c r="D799" s="49" t="str">
        <f>CAPITAL_INVESTS_OTH!B30</f>
        <v>Other Capital Investment 10</v>
      </c>
      <c r="I799" s="349">
        <f>CAPITAL_INVESTS_OTH!I30</f>
        <v>0</v>
      </c>
      <c r="J799" s="41">
        <f>CAPITAL_INVESTS_OTH!J30</f>
        <v>0</v>
      </c>
      <c r="K799" s="41">
        <f>CAPITAL_INVESTS_OTH!K30</f>
        <v>0</v>
      </c>
      <c r="L799" s="41">
        <f>CAPITAL_INVESTS_OTH!L30</f>
        <v>0</v>
      </c>
      <c r="M799" s="41">
        <f>CAPITAL_INVESTS_OTH!M30</f>
        <v>0</v>
      </c>
      <c r="N799" s="41">
        <f>CAPITAL_INVESTS_OTH!N30</f>
        <v>0</v>
      </c>
    </row>
    <row r="800" spans="2:14" s="10" customFormat="1" x14ac:dyDescent="0.2"/>
    <row r="801" spans="2:14" s="10" customFormat="1" x14ac:dyDescent="0.2"/>
    <row r="802" spans="2:14" s="10" customFormat="1" x14ac:dyDescent="0.2">
      <c r="B802" s="55" t="str">
        <f>Lang_Other_Capital_Investments_Initial_Investment</f>
        <v>Other Capital Investments (Initial Investment)</v>
      </c>
    </row>
    <row r="803" spans="2:14" s="10" customFormat="1" x14ac:dyDescent="0.2"/>
    <row r="804" spans="2:14" s="10" customFormat="1" x14ac:dyDescent="0.2"/>
    <row r="805" spans="2:14" s="10" customFormat="1" x14ac:dyDescent="0.2">
      <c r="B805" s="358" t="str">
        <f>Analy_Lu!$D$13</f>
        <v>LCU</v>
      </c>
    </row>
    <row r="806" spans="2:14" s="10" customFormat="1" x14ac:dyDescent="0.2">
      <c r="D806" s="105" t="str">
        <f>Lang_Fin&amp;" ("&amp;Analy_Lu!$D$13&amp;")"</f>
        <v>Financial (LCU)</v>
      </c>
    </row>
    <row r="807" spans="2:14" s="10" customFormat="1" x14ac:dyDescent="0.2">
      <c r="I807" s="343" t="str">
        <f>Lang_All_Years</f>
        <v>ALL YEARS</v>
      </c>
    </row>
    <row r="808" spans="2:14" s="10" customFormat="1" x14ac:dyDescent="0.2">
      <c r="D808" s="49" t="str">
        <f>CAP_OTH!D80</f>
        <v>Other Capital Investment 1</v>
      </c>
      <c r="E808" s="41">
        <f>CAP_OTH!E80</f>
        <v>0</v>
      </c>
      <c r="I808" s="349">
        <f>CAP_OTH!I80</f>
        <v>0</v>
      </c>
      <c r="J808" s="41">
        <f>CAP_OTH!J80</f>
        <v>0</v>
      </c>
      <c r="K808" s="41">
        <f>CAP_OTH!K80</f>
        <v>0</v>
      </c>
      <c r="L808" s="41">
        <f>CAP_OTH!L80</f>
        <v>0</v>
      </c>
      <c r="M808" s="41">
        <f>CAP_OTH!M80</f>
        <v>0</v>
      </c>
      <c r="N808" s="41">
        <f>CAP_OTH!N80</f>
        <v>0</v>
      </c>
    </row>
    <row r="809" spans="2:14" s="10" customFormat="1" x14ac:dyDescent="0.2">
      <c r="D809" s="49" t="str">
        <f>CAP_OTH!D81</f>
        <v>Other Capital Investment 2</v>
      </c>
      <c r="E809" s="41">
        <f>CAP_OTH!E81</f>
        <v>0</v>
      </c>
      <c r="I809" s="349">
        <f>CAP_OTH!I81</f>
        <v>0</v>
      </c>
      <c r="J809" s="41">
        <f>CAP_OTH!J81</f>
        <v>0</v>
      </c>
      <c r="K809" s="41">
        <f>CAP_OTH!K81</f>
        <v>0</v>
      </c>
      <c r="L809" s="41">
        <f>CAP_OTH!L81</f>
        <v>0</v>
      </c>
      <c r="M809" s="41">
        <f>CAP_OTH!M81</f>
        <v>0</v>
      </c>
      <c r="N809" s="41">
        <f>CAP_OTH!N81</f>
        <v>0</v>
      </c>
    </row>
    <row r="810" spans="2:14" s="10" customFormat="1" x14ac:dyDescent="0.2">
      <c r="D810" s="49" t="str">
        <f>CAP_OTH!D82</f>
        <v>Other Capital Investment 3</v>
      </c>
      <c r="E810" s="41">
        <f>CAP_OTH!E82</f>
        <v>0</v>
      </c>
      <c r="I810" s="349">
        <f>CAP_OTH!I82</f>
        <v>0</v>
      </c>
      <c r="J810" s="41">
        <f>CAP_OTH!J82</f>
        <v>0</v>
      </c>
      <c r="K810" s="41">
        <f>CAP_OTH!K82</f>
        <v>0</v>
      </c>
      <c r="L810" s="41">
        <f>CAP_OTH!L82</f>
        <v>0</v>
      </c>
      <c r="M810" s="41">
        <f>CAP_OTH!M82</f>
        <v>0</v>
      </c>
      <c r="N810" s="41">
        <f>CAP_OTH!N82</f>
        <v>0</v>
      </c>
    </row>
    <row r="811" spans="2:14" s="10" customFormat="1" x14ac:dyDescent="0.2">
      <c r="D811" s="49" t="str">
        <f>CAP_OTH!D83</f>
        <v>Other Capital Investment 4</v>
      </c>
      <c r="E811" s="41">
        <f>CAP_OTH!E83</f>
        <v>0</v>
      </c>
      <c r="I811" s="349">
        <f>CAP_OTH!I83</f>
        <v>0</v>
      </c>
      <c r="J811" s="41">
        <f>CAP_OTH!J83</f>
        <v>0</v>
      </c>
      <c r="K811" s="41">
        <f>CAP_OTH!K83</f>
        <v>0</v>
      </c>
      <c r="L811" s="41">
        <f>CAP_OTH!L83</f>
        <v>0</v>
      </c>
      <c r="M811" s="41">
        <f>CAP_OTH!M83</f>
        <v>0</v>
      </c>
      <c r="N811" s="41">
        <f>CAP_OTH!N83</f>
        <v>0</v>
      </c>
    </row>
    <row r="812" spans="2:14" s="10" customFormat="1" x14ac:dyDescent="0.2">
      <c r="D812" s="49" t="str">
        <f>CAP_OTH!D84</f>
        <v>Other Capital Investment 5</v>
      </c>
      <c r="E812" s="41">
        <f>CAP_OTH!E84</f>
        <v>0</v>
      </c>
      <c r="I812" s="349">
        <f>CAP_OTH!I84</f>
        <v>0</v>
      </c>
      <c r="J812" s="41">
        <f>CAP_OTH!J84</f>
        <v>0</v>
      </c>
      <c r="K812" s="41">
        <f>CAP_OTH!K84</f>
        <v>0</v>
      </c>
      <c r="L812" s="41">
        <f>CAP_OTH!L84</f>
        <v>0</v>
      </c>
      <c r="M812" s="41">
        <f>CAP_OTH!M84</f>
        <v>0</v>
      </c>
      <c r="N812" s="41">
        <f>CAP_OTH!N84</f>
        <v>0</v>
      </c>
    </row>
    <row r="813" spans="2:14" s="10" customFormat="1" x14ac:dyDescent="0.2">
      <c r="D813" s="49" t="str">
        <f>CAP_OTH!D85</f>
        <v>Other Capital Investment 6</v>
      </c>
      <c r="E813" s="41">
        <f>CAP_OTH!E85</f>
        <v>0</v>
      </c>
      <c r="I813" s="349">
        <f>CAP_OTH!I85</f>
        <v>0</v>
      </c>
      <c r="J813" s="41">
        <f>CAP_OTH!J85</f>
        <v>0</v>
      </c>
      <c r="K813" s="41">
        <f>CAP_OTH!K85</f>
        <v>0</v>
      </c>
      <c r="L813" s="41">
        <f>CAP_OTH!L85</f>
        <v>0</v>
      </c>
      <c r="M813" s="41">
        <f>CAP_OTH!M85</f>
        <v>0</v>
      </c>
      <c r="N813" s="41">
        <f>CAP_OTH!N85</f>
        <v>0</v>
      </c>
    </row>
    <row r="814" spans="2:14" s="10" customFormat="1" x14ac:dyDescent="0.2">
      <c r="D814" s="49" t="str">
        <f>CAP_OTH!D86</f>
        <v>Other Capital Investment 7</v>
      </c>
      <c r="E814" s="41">
        <f>CAP_OTH!E86</f>
        <v>0</v>
      </c>
      <c r="I814" s="349">
        <f>CAP_OTH!I86</f>
        <v>0</v>
      </c>
      <c r="J814" s="41">
        <f>CAP_OTH!J86</f>
        <v>0</v>
      </c>
      <c r="K814" s="41">
        <f>CAP_OTH!K86</f>
        <v>0</v>
      </c>
      <c r="L814" s="41">
        <f>CAP_OTH!L86</f>
        <v>0</v>
      </c>
      <c r="M814" s="41">
        <f>CAP_OTH!M86</f>
        <v>0</v>
      </c>
      <c r="N814" s="41">
        <f>CAP_OTH!N86</f>
        <v>0</v>
      </c>
    </row>
    <row r="815" spans="2:14" s="10" customFormat="1" x14ac:dyDescent="0.2">
      <c r="D815" s="49" t="str">
        <f>CAP_OTH!D87</f>
        <v>Other Capital Investment 8</v>
      </c>
      <c r="E815" s="41">
        <f>CAP_OTH!E87</f>
        <v>0</v>
      </c>
      <c r="I815" s="349">
        <f>CAP_OTH!I87</f>
        <v>0</v>
      </c>
      <c r="J815" s="41">
        <f>CAP_OTH!J87</f>
        <v>0</v>
      </c>
      <c r="K815" s="41">
        <f>CAP_OTH!K87</f>
        <v>0</v>
      </c>
      <c r="L815" s="41">
        <f>CAP_OTH!L87</f>
        <v>0</v>
      </c>
      <c r="M815" s="41">
        <f>CAP_OTH!M87</f>
        <v>0</v>
      </c>
      <c r="N815" s="41">
        <f>CAP_OTH!N87</f>
        <v>0</v>
      </c>
    </row>
    <row r="816" spans="2:14" s="10" customFormat="1" x14ac:dyDescent="0.2">
      <c r="D816" s="49" t="str">
        <f>CAP_OTH!D88</f>
        <v>Other Capital Investment 9</v>
      </c>
      <c r="E816" s="41">
        <f>CAP_OTH!E88</f>
        <v>0</v>
      </c>
      <c r="I816" s="349">
        <f>CAP_OTH!I88</f>
        <v>0</v>
      </c>
      <c r="J816" s="41">
        <f>CAP_OTH!J88</f>
        <v>0</v>
      </c>
      <c r="K816" s="41">
        <f>CAP_OTH!K88</f>
        <v>0</v>
      </c>
      <c r="L816" s="41">
        <f>CAP_OTH!L88</f>
        <v>0</v>
      </c>
      <c r="M816" s="41">
        <f>CAP_OTH!M88</f>
        <v>0</v>
      </c>
      <c r="N816" s="41">
        <f>CAP_OTH!N88</f>
        <v>0</v>
      </c>
    </row>
    <row r="817" spans="4:14" s="10" customFormat="1" x14ac:dyDescent="0.2">
      <c r="D817" s="49" t="str">
        <f>CAP_OTH!D89</f>
        <v>Other Capital Investment 10</v>
      </c>
      <c r="E817" s="41">
        <f>CAP_OTH!E89</f>
        <v>0</v>
      </c>
      <c r="I817" s="349">
        <f>CAP_OTH!I89</f>
        <v>0</v>
      </c>
      <c r="J817" s="41">
        <f>CAP_OTH!J89</f>
        <v>0</v>
      </c>
      <c r="K817" s="41">
        <f>CAP_OTH!K89</f>
        <v>0</v>
      </c>
      <c r="L817" s="41">
        <f>CAP_OTH!L89</f>
        <v>0</v>
      </c>
      <c r="M817" s="41">
        <f>CAP_OTH!M89</f>
        <v>0</v>
      </c>
      <c r="N817" s="41">
        <f>CAP_OTH!N89</f>
        <v>0</v>
      </c>
    </row>
    <row r="818" spans="4:14" s="10" customFormat="1" x14ac:dyDescent="0.2">
      <c r="D818" s="326" t="str">
        <f>Lang_Total_SmallLetter&amp;" "&amp;$B$802&amp;" "&amp;D806</f>
        <v>Total Other Capital Investments (Initial Investment) Financial (LCU)</v>
      </c>
      <c r="E818" s="354"/>
      <c r="I818" s="41">
        <f>SUM(I808:I817)</f>
        <v>0</v>
      </c>
      <c r="J818" s="41">
        <f t="shared" ref="J818:N818" si="132">SUM(J808:J817)</f>
        <v>0</v>
      </c>
      <c r="K818" s="41">
        <f t="shared" si="132"/>
        <v>0</v>
      </c>
      <c r="L818" s="41">
        <f t="shared" si="132"/>
        <v>0</v>
      </c>
      <c r="M818" s="41">
        <f t="shared" si="132"/>
        <v>0</v>
      </c>
      <c r="N818" s="41">
        <f t="shared" si="132"/>
        <v>0</v>
      </c>
    </row>
    <row r="819" spans="4:14" s="10" customFormat="1" x14ac:dyDescent="0.2"/>
    <row r="820" spans="4:14" s="10" customFormat="1" x14ac:dyDescent="0.2">
      <c r="D820" s="105" t="str">
        <f>Lang_Econ&amp;" ("&amp;Analy_Lu!$D$13&amp;")"</f>
        <v>Economic (LCU)</v>
      </c>
    </row>
    <row r="821" spans="4:14" s="10" customFormat="1" x14ac:dyDescent="0.2">
      <c r="I821" s="343" t="str">
        <f>Lang_All_Years</f>
        <v>ALL YEARS</v>
      </c>
    </row>
    <row r="822" spans="4:14" s="10" customFormat="1" x14ac:dyDescent="0.2">
      <c r="D822" s="49" t="str">
        <f>CAP_OTH!D93</f>
        <v>Other Capital Investment 1</v>
      </c>
      <c r="E822" s="41">
        <f>CAP_OTH!E93</f>
        <v>0</v>
      </c>
      <c r="I822" s="386">
        <f>CAP_OTH!I93</f>
        <v>0</v>
      </c>
      <c r="J822" s="41">
        <f>CAP_OTH!J93</f>
        <v>0</v>
      </c>
      <c r="K822" s="41">
        <f>CAP_OTH!K93</f>
        <v>0</v>
      </c>
      <c r="L822" s="41">
        <f>CAP_OTH!L93</f>
        <v>0</v>
      </c>
      <c r="M822" s="41">
        <f>CAP_OTH!M93</f>
        <v>0</v>
      </c>
      <c r="N822" s="41">
        <f>CAP_OTH!N93</f>
        <v>0</v>
      </c>
    </row>
    <row r="823" spans="4:14" s="10" customFormat="1" x14ac:dyDescent="0.2">
      <c r="D823" s="49" t="str">
        <f>CAP_OTH!D94</f>
        <v>Other Capital Investment 2</v>
      </c>
      <c r="E823" s="41">
        <f>CAP_OTH!E94</f>
        <v>0</v>
      </c>
      <c r="I823" s="386">
        <f>CAP_OTH!I94</f>
        <v>0</v>
      </c>
      <c r="J823" s="41">
        <f>CAP_OTH!J94</f>
        <v>0</v>
      </c>
      <c r="K823" s="41">
        <f>CAP_OTH!K94</f>
        <v>0</v>
      </c>
      <c r="L823" s="41">
        <f>CAP_OTH!L94</f>
        <v>0</v>
      </c>
      <c r="M823" s="41">
        <f>CAP_OTH!M94</f>
        <v>0</v>
      </c>
      <c r="N823" s="41">
        <f>CAP_OTH!N94</f>
        <v>0</v>
      </c>
    </row>
    <row r="824" spans="4:14" s="10" customFormat="1" x14ac:dyDescent="0.2">
      <c r="D824" s="49" t="str">
        <f>CAP_OTH!D95</f>
        <v>Other Capital Investment 3</v>
      </c>
      <c r="E824" s="41">
        <f>CAP_OTH!E95</f>
        <v>0</v>
      </c>
      <c r="I824" s="386">
        <f>CAP_OTH!I95</f>
        <v>0</v>
      </c>
      <c r="J824" s="41">
        <f>CAP_OTH!J95</f>
        <v>0</v>
      </c>
      <c r="K824" s="41">
        <f>CAP_OTH!K95</f>
        <v>0</v>
      </c>
      <c r="L824" s="41">
        <f>CAP_OTH!L95</f>
        <v>0</v>
      </c>
      <c r="M824" s="41">
        <f>CAP_OTH!M95</f>
        <v>0</v>
      </c>
      <c r="N824" s="41">
        <f>CAP_OTH!N95</f>
        <v>0</v>
      </c>
    </row>
    <row r="825" spans="4:14" s="10" customFormat="1" x14ac:dyDescent="0.2">
      <c r="D825" s="49" t="str">
        <f>CAP_OTH!D96</f>
        <v>Other Capital Investment 4</v>
      </c>
      <c r="E825" s="41">
        <f>CAP_OTH!E96</f>
        <v>0</v>
      </c>
      <c r="I825" s="386">
        <f>CAP_OTH!I96</f>
        <v>0</v>
      </c>
      <c r="J825" s="41">
        <f>CAP_OTH!J96</f>
        <v>0</v>
      </c>
      <c r="K825" s="41">
        <f>CAP_OTH!K96</f>
        <v>0</v>
      </c>
      <c r="L825" s="41">
        <f>CAP_OTH!L96</f>
        <v>0</v>
      </c>
      <c r="M825" s="41">
        <f>CAP_OTH!M96</f>
        <v>0</v>
      </c>
      <c r="N825" s="41">
        <f>CAP_OTH!N96</f>
        <v>0</v>
      </c>
    </row>
    <row r="826" spans="4:14" s="10" customFormat="1" x14ac:dyDescent="0.2">
      <c r="D826" s="49" t="str">
        <f>CAP_OTH!D97</f>
        <v>Other Capital Investment 5</v>
      </c>
      <c r="E826" s="41">
        <f>CAP_OTH!E97</f>
        <v>0</v>
      </c>
      <c r="I826" s="386">
        <f>CAP_OTH!I97</f>
        <v>0</v>
      </c>
      <c r="J826" s="41">
        <f>CAP_OTH!J97</f>
        <v>0</v>
      </c>
      <c r="K826" s="41">
        <f>CAP_OTH!K97</f>
        <v>0</v>
      </c>
      <c r="L826" s="41">
        <f>CAP_OTH!L97</f>
        <v>0</v>
      </c>
      <c r="M826" s="41">
        <f>CAP_OTH!M97</f>
        <v>0</v>
      </c>
      <c r="N826" s="41">
        <f>CAP_OTH!N97</f>
        <v>0</v>
      </c>
    </row>
    <row r="827" spans="4:14" s="10" customFormat="1" x14ac:dyDescent="0.2">
      <c r="D827" s="49" t="str">
        <f>CAP_OTH!D98</f>
        <v>Other Capital Investment 6</v>
      </c>
      <c r="E827" s="41">
        <f>CAP_OTH!E98</f>
        <v>0</v>
      </c>
      <c r="I827" s="386">
        <f>CAP_OTH!I98</f>
        <v>0</v>
      </c>
      <c r="J827" s="41">
        <f>CAP_OTH!J98</f>
        <v>0</v>
      </c>
      <c r="K827" s="41">
        <f>CAP_OTH!K98</f>
        <v>0</v>
      </c>
      <c r="L827" s="41">
        <f>CAP_OTH!L98</f>
        <v>0</v>
      </c>
      <c r="M827" s="41">
        <f>CAP_OTH!M98</f>
        <v>0</v>
      </c>
      <c r="N827" s="41">
        <f>CAP_OTH!N98</f>
        <v>0</v>
      </c>
    </row>
    <row r="828" spans="4:14" s="10" customFormat="1" x14ac:dyDescent="0.2">
      <c r="D828" s="49" t="str">
        <f>CAP_OTH!D99</f>
        <v>Other Capital Investment 7</v>
      </c>
      <c r="E828" s="41">
        <f>CAP_OTH!E99</f>
        <v>0</v>
      </c>
      <c r="I828" s="386">
        <f>CAP_OTH!I99</f>
        <v>0</v>
      </c>
      <c r="J828" s="41">
        <f>CAP_OTH!J99</f>
        <v>0</v>
      </c>
      <c r="K828" s="41">
        <f>CAP_OTH!K99</f>
        <v>0</v>
      </c>
      <c r="L828" s="41">
        <f>CAP_OTH!L99</f>
        <v>0</v>
      </c>
      <c r="M828" s="41">
        <f>CAP_OTH!M99</f>
        <v>0</v>
      </c>
      <c r="N828" s="41">
        <f>CAP_OTH!N99</f>
        <v>0</v>
      </c>
    </row>
    <row r="829" spans="4:14" s="10" customFormat="1" x14ac:dyDescent="0.2">
      <c r="D829" s="49" t="str">
        <f>CAP_OTH!D100</f>
        <v>Other Capital Investment 8</v>
      </c>
      <c r="E829" s="41">
        <f>CAP_OTH!E100</f>
        <v>0</v>
      </c>
      <c r="I829" s="386">
        <f>CAP_OTH!I100</f>
        <v>0</v>
      </c>
      <c r="J829" s="41">
        <f>CAP_OTH!J100</f>
        <v>0</v>
      </c>
      <c r="K829" s="41">
        <f>CAP_OTH!K100</f>
        <v>0</v>
      </c>
      <c r="L829" s="41">
        <f>CAP_OTH!L100</f>
        <v>0</v>
      </c>
      <c r="M829" s="41">
        <f>CAP_OTH!M100</f>
        <v>0</v>
      </c>
      <c r="N829" s="41">
        <f>CAP_OTH!N100</f>
        <v>0</v>
      </c>
    </row>
    <row r="830" spans="4:14" s="10" customFormat="1" x14ac:dyDescent="0.2">
      <c r="D830" s="49" t="str">
        <f>CAP_OTH!D101</f>
        <v>Other Capital Investment 9</v>
      </c>
      <c r="E830" s="41">
        <f>CAP_OTH!E101</f>
        <v>0</v>
      </c>
      <c r="I830" s="386">
        <f>CAP_OTH!I101</f>
        <v>0</v>
      </c>
      <c r="J830" s="41">
        <f>CAP_OTH!J101</f>
        <v>0</v>
      </c>
      <c r="K830" s="41">
        <f>CAP_OTH!K101</f>
        <v>0</v>
      </c>
      <c r="L830" s="41">
        <f>CAP_OTH!L101</f>
        <v>0</v>
      </c>
      <c r="M830" s="41">
        <f>CAP_OTH!M101</f>
        <v>0</v>
      </c>
      <c r="N830" s="41">
        <f>CAP_OTH!N101</f>
        <v>0</v>
      </c>
    </row>
    <row r="831" spans="4:14" s="10" customFormat="1" x14ac:dyDescent="0.2">
      <c r="D831" s="49" t="str">
        <f>CAP_OTH!D102</f>
        <v>Other Capital Investment 10</v>
      </c>
      <c r="E831" s="41">
        <f>CAP_OTH!E102</f>
        <v>0</v>
      </c>
      <c r="I831" s="386">
        <f>CAP_OTH!I102</f>
        <v>0</v>
      </c>
      <c r="J831" s="41">
        <f>CAP_OTH!J102</f>
        <v>0</v>
      </c>
      <c r="K831" s="41">
        <f>CAP_OTH!K102</f>
        <v>0</v>
      </c>
      <c r="L831" s="41">
        <f>CAP_OTH!L102</f>
        <v>0</v>
      </c>
      <c r="M831" s="41">
        <f>CAP_OTH!M102</f>
        <v>0</v>
      </c>
      <c r="N831" s="41">
        <f>CAP_OTH!N102</f>
        <v>0</v>
      </c>
    </row>
    <row r="832" spans="4:14" s="10" customFormat="1" x14ac:dyDescent="0.2">
      <c r="D832" s="18" t="str">
        <f>Lang_Total_SmallLetter&amp;" "&amp;$B$802&amp;" "&amp;D820</f>
        <v>Total Other Capital Investments (Initial Investment) Economic (LCU)</v>
      </c>
      <c r="E832" s="354"/>
      <c r="I832" s="386">
        <f>SUM(I822:I831)</f>
        <v>0</v>
      </c>
      <c r="J832" s="41">
        <f t="shared" ref="J832:N832" si="133">SUM(J822:J831)</f>
        <v>0</v>
      </c>
      <c r="K832" s="41">
        <f t="shared" si="133"/>
        <v>0</v>
      </c>
      <c r="L832" s="41">
        <f t="shared" si="133"/>
        <v>0</v>
      </c>
      <c r="M832" s="41">
        <f t="shared" si="133"/>
        <v>0</v>
      </c>
      <c r="N832" s="41">
        <f t="shared" si="133"/>
        <v>0</v>
      </c>
    </row>
    <row r="833" spans="2:14" s="10" customFormat="1" x14ac:dyDescent="0.2"/>
    <row r="834" spans="2:14" s="10" customFormat="1" x14ac:dyDescent="0.2"/>
    <row r="835" spans="2:14" s="10" customFormat="1" x14ac:dyDescent="0.2"/>
    <row r="836" spans="2:14" s="10" customFormat="1" x14ac:dyDescent="0.2"/>
    <row r="837" spans="2:14" s="10" customFormat="1" x14ac:dyDescent="0.2">
      <c r="B837" s="358" t="str">
        <f>Analy_Lu!$D$12</f>
        <v>USD</v>
      </c>
    </row>
    <row r="838" spans="2:14" s="10" customFormat="1" x14ac:dyDescent="0.2">
      <c r="D838" s="105" t="str">
        <f>Lang_Fin&amp;" ("&amp;Analy_Lu!$D$12&amp;")"</f>
        <v>Financial (USD)</v>
      </c>
    </row>
    <row r="839" spans="2:14" s="10" customFormat="1" x14ac:dyDescent="0.2">
      <c r="I839" s="343" t="str">
        <f>Lang_All_Years</f>
        <v>ALL YEARS</v>
      </c>
    </row>
    <row r="840" spans="2:14" s="10" customFormat="1" x14ac:dyDescent="0.2">
      <c r="D840" s="49" t="str">
        <f>CAP_OTH!D22</f>
        <v>Other Capital Investment 1</v>
      </c>
      <c r="E840" s="137">
        <f>CAP_OTH!E22</f>
        <v>0</v>
      </c>
      <c r="I840" s="384">
        <f>CAP_OTH!I22</f>
        <v>0</v>
      </c>
      <c r="J840" s="119">
        <f>CAP_OTH!J22</f>
        <v>0</v>
      </c>
      <c r="K840" s="119">
        <f>CAP_OTH!K22</f>
        <v>0</v>
      </c>
      <c r="L840" s="119">
        <f>CAP_OTH!L22</f>
        <v>0</v>
      </c>
      <c r="M840" s="119">
        <f>CAP_OTH!M22</f>
        <v>0</v>
      </c>
      <c r="N840" s="119">
        <f>CAP_OTH!N22</f>
        <v>0</v>
      </c>
    </row>
    <row r="841" spans="2:14" s="10" customFormat="1" x14ac:dyDescent="0.2">
      <c r="D841" s="49" t="str">
        <f>CAP_OTH!D23</f>
        <v>Other Capital Investment 2</v>
      </c>
      <c r="E841" s="137">
        <f>CAP_OTH!E23</f>
        <v>0</v>
      </c>
      <c r="I841" s="384">
        <f>CAP_OTH!I23</f>
        <v>0</v>
      </c>
      <c r="J841" s="119">
        <f>CAP_OTH!J23</f>
        <v>0</v>
      </c>
      <c r="K841" s="119">
        <f>CAP_OTH!K23</f>
        <v>0</v>
      </c>
      <c r="L841" s="119">
        <f>CAP_OTH!L23</f>
        <v>0</v>
      </c>
      <c r="M841" s="119">
        <f>CAP_OTH!M23</f>
        <v>0</v>
      </c>
      <c r="N841" s="119">
        <f>CAP_OTH!N23</f>
        <v>0</v>
      </c>
    </row>
    <row r="842" spans="2:14" s="10" customFormat="1" x14ac:dyDescent="0.2">
      <c r="D842" s="49" t="str">
        <f>CAP_OTH!D24</f>
        <v>Other Capital Investment 3</v>
      </c>
      <c r="E842" s="137">
        <f>CAP_OTH!E24</f>
        <v>0</v>
      </c>
      <c r="I842" s="384">
        <f>CAP_OTH!I24</f>
        <v>0</v>
      </c>
      <c r="J842" s="119">
        <f>CAP_OTH!J24</f>
        <v>0</v>
      </c>
      <c r="K842" s="119">
        <f>CAP_OTH!K24</f>
        <v>0</v>
      </c>
      <c r="L842" s="119">
        <f>CAP_OTH!L24</f>
        <v>0</v>
      </c>
      <c r="M842" s="119">
        <f>CAP_OTH!M24</f>
        <v>0</v>
      </c>
      <c r="N842" s="119">
        <f>CAP_OTH!N24</f>
        <v>0</v>
      </c>
    </row>
    <row r="843" spans="2:14" s="10" customFormat="1" x14ac:dyDescent="0.2">
      <c r="D843" s="49" t="str">
        <f>CAP_OTH!D25</f>
        <v>Other Capital Investment 4</v>
      </c>
      <c r="E843" s="137">
        <f>CAP_OTH!E25</f>
        <v>0</v>
      </c>
      <c r="I843" s="384">
        <f>CAP_OTH!I25</f>
        <v>0</v>
      </c>
      <c r="J843" s="119">
        <f>CAP_OTH!J25</f>
        <v>0</v>
      </c>
      <c r="K843" s="119">
        <f>CAP_OTH!K25</f>
        <v>0</v>
      </c>
      <c r="L843" s="119">
        <f>CAP_OTH!L25</f>
        <v>0</v>
      </c>
      <c r="M843" s="119">
        <f>CAP_OTH!M25</f>
        <v>0</v>
      </c>
      <c r="N843" s="119">
        <f>CAP_OTH!N25</f>
        <v>0</v>
      </c>
    </row>
    <row r="844" spans="2:14" s="10" customFormat="1" x14ac:dyDescent="0.2">
      <c r="D844" s="49" t="str">
        <f>CAP_OTH!D26</f>
        <v>Other Capital Investment 5</v>
      </c>
      <c r="E844" s="137">
        <f>CAP_OTH!E26</f>
        <v>0</v>
      </c>
      <c r="I844" s="384">
        <f>CAP_OTH!I26</f>
        <v>0</v>
      </c>
      <c r="J844" s="119">
        <f>CAP_OTH!J26</f>
        <v>0</v>
      </c>
      <c r="K844" s="119">
        <f>CAP_OTH!K26</f>
        <v>0</v>
      </c>
      <c r="L844" s="119">
        <f>CAP_OTH!L26</f>
        <v>0</v>
      </c>
      <c r="M844" s="119">
        <f>CAP_OTH!M26</f>
        <v>0</v>
      </c>
      <c r="N844" s="119">
        <f>CAP_OTH!N26</f>
        <v>0</v>
      </c>
    </row>
    <row r="845" spans="2:14" s="10" customFormat="1" x14ac:dyDescent="0.2">
      <c r="D845" s="49" t="str">
        <f>CAP_OTH!D27</f>
        <v>Other Capital Investment 6</v>
      </c>
      <c r="E845" s="137">
        <f>CAP_OTH!E27</f>
        <v>0</v>
      </c>
      <c r="I845" s="384">
        <f>CAP_OTH!I27</f>
        <v>0</v>
      </c>
      <c r="J845" s="119">
        <f>CAP_OTH!J27</f>
        <v>0</v>
      </c>
      <c r="K845" s="119">
        <f>CAP_OTH!K27</f>
        <v>0</v>
      </c>
      <c r="L845" s="119">
        <f>CAP_OTH!L27</f>
        <v>0</v>
      </c>
      <c r="M845" s="119">
        <f>CAP_OTH!M27</f>
        <v>0</v>
      </c>
      <c r="N845" s="119">
        <f>CAP_OTH!N27</f>
        <v>0</v>
      </c>
    </row>
    <row r="846" spans="2:14" s="10" customFormat="1" x14ac:dyDescent="0.2">
      <c r="D846" s="49" t="str">
        <f>CAP_OTH!D28</f>
        <v>Other Capital Investment 7</v>
      </c>
      <c r="E846" s="137">
        <f>CAP_OTH!E28</f>
        <v>0</v>
      </c>
      <c r="I846" s="384">
        <f>CAP_OTH!I28</f>
        <v>0</v>
      </c>
      <c r="J846" s="119">
        <f>CAP_OTH!J28</f>
        <v>0</v>
      </c>
      <c r="K846" s="119">
        <f>CAP_OTH!K28</f>
        <v>0</v>
      </c>
      <c r="L846" s="119">
        <f>CAP_OTH!L28</f>
        <v>0</v>
      </c>
      <c r="M846" s="119">
        <f>CAP_OTH!M28</f>
        <v>0</v>
      </c>
      <c r="N846" s="119">
        <f>CAP_OTH!N28</f>
        <v>0</v>
      </c>
    </row>
    <row r="847" spans="2:14" s="10" customFormat="1" x14ac:dyDescent="0.2">
      <c r="D847" s="49" t="str">
        <f>CAP_OTH!D29</f>
        <v>Other Capital Investment 8</v>
      </c>
      <c r="E847" s="137">
        <f>CAP_OTH!E29</f>
        <v>0</v>
      </c>
      <c r="I847" s="384">
        <f>CAP_OTH!I29</f>
        <v>0</v>
      </c>
      <c r="J847" s="119">
        <f>CAP_OTH!J29</f>
        <v>0</v>
      </c>
      <c r="K847" s="119">
        <f>CAP_OTH!K29</f>
        <v>0</v>
      </c>
      <c r="L847" s="119">
        <f>CAP_OTH!L29</f>
        <v>0</v>
      </c>
      <c r="M847" s="119">
        <f>CAP_OTH!M29</f>
        <v>0</v>
      </c>
      <c r="N847" s="119">
        <f>CAP_OTH!N29</f>
        <v>0</v>
      </c>
    </row>
    <row r="848" spans="2:14" s="10" customFormat="1" x14ac:dyDescent="0.2">
      <c r="D848" s="49" t="str">
        <f>CAP_OTH!D30</f>
        <v>Other Capital Investment 9</v>
      </c>
      <c r="E848" s="137">
        <f>CAP_OTH!E30</f>
        <v>0</v>
      </c>
      <c r="I848" s="384">
        <f>CAP_OTH!I30</f>
        <v>0</v>
      </c>
      <c r="J848" s="119">
        <f>CAP_OTH!J30</f>
        <v>0</v>
      </c>
      <c r="K848" s="119">
        <f>CAP_OTH!K30</f>
        <v>0</v>
      </c>
      <c r="L848" s="119">
        <f>CAP_OTH!L30</f>
        <v>0</v>
      </c>
      <c r="M848" s="119">
        <f>CAP_OTH!M30</f>
        <v>0</v>
      </c>
      <c r="N848" s="119">
        <f>CAP_OTH!N30</f>
        <v>0</v>
      </c>
    </row>
    <row r="849" spans="4:14" s="10" customFormat="1" x14ac:dyDescent="0.2">
      <c r="D849" s="49" t="str">
        <f>CAP_OTH!D31</f>
        <v>Other Capital Investment 10</v>
      </c>
      <c r="E849" s="137">
        <f>CAP_OTH!E31</f>
        <v>0</v>
      </c>
      <c r="I849" s="384">
        <f>CAP_OTH!I31</f>
        <v>0</v>
      </c>
      <c r="J849" s="119">
        <f>CAP_OTH!J31</f>
        <v>0</v>
      </c>
      <c r="K849" s="119">
        <f>CAP_OTH!K31</f>
        <v>0</v>
      </c>
      <c r="L849" s="119">
        <f>CAP_OTH!L31</f>
        <v>0</v>
      </c>
      <c r="M849" s="119">
        <f>CAP_OTH!M31</f>
        <v>0</v>
      </c>
      <c r="N849" s="119">
        <f>CAP_OTH!N31</f>
        <v>0</v>
      </c>
    </row>
    <row r="850" spans="4:14" s="10" customFormat="1" x14ac:dyDescent="0.2">
      <c r="D850" s="249" t="str">
        <f>Lang_Total_SmallLetter&amp;" "&amp;$B$802&amp;" "&amp;D838</f>
        <v>Total Other Capital Investments (Initial Investment) Financial (USD)</v>
      </c>
      <c r="E850" s="252"/>
      <c r="I850" s="385">
        <f>SUM(I840:I849)</f>
        <v>0</v>
      </c>
      <c r="J850" s="361">
        <f t="shared" ref="J850:N850" si="134">SUM(J840:J849)</f>
        <v>0</v>
      </c>
      <c r="K850" s="361">
        <f t="shared" si="134"/>
        <v>0</v>
      </c>
      <c r="L850" s="361">
        <f t="shared" si="134"/>
        <v>0</v>
      </c>
      <c r="M850" s="361">
        <f t="shared" si="134"/>
        <v>0</v>
      </c>
      <c r="N850" s="361">
        <f t="shared" si="134"/>
        <v>0</v>
      </c>
    </row>
    <row r="851" spans="4:14" s="10" customFormat="1" x14ac:dyDescent="0.2"/>
    <row r="852" spans="4:14" s="10" customFormat="1" x14ac:dyDescent="0.2"/>
    <row r="853" spans="4:14" s="10" customFormat="1" x14ac:dyDescent="0.2">
      <c r="D853" s="105" t="str">
        <f>Lang_Econ&amp;" ("&amp;Analy_Lu!$D$12&amp;")"</f>
        <v>Economic (USD)</v>
      </c>
    </row>
    <row r="854" spans="4:14" s="10" customFormat="1" x14ac:dyDescent="0.2">
      <c r="I854" s="343" t="str">
        <f>Lang_All_Years</f>
        <v>ALL YEARS</v>
      </c>
    </row>
    <row r="855" spans="4:14" s="10" customFormat="1" x14ac:dyDescent="0.2">
      <c r="D855" s="49" t="str">
        <f>CAP_OTH!D35</f>
        <v>Other Capital Investment 1</v>
      </c>
      <c r="E855" s="119">
        <f>CAP_OTH!E35</f>
        <v>0</v>
      </c>
      <c r="I855" s="379">
        <f>CAP_OTH!I35</f>
        <v>0</v>
      </c>
      <c r="J855" s="119">
        <f>CAP_OTH!J35</f>
        <v>0</v>
      </c>
      <c r="K855" s="119">
        <f>CAP_OTH!K35</f>
        <v>0</v>
      </c>
      <c r="L855" s="119">
        <f>CAP_OTH!L35</f>
        <v>0</v>
      </c>
      <c r="M855" s="119">
        <f>CAP_OTH!M35</f>
        <v>0</v>
      </c>
      <c r="N855" s="119">
        <f>CAP_OTH!N35</f>
        <v>0</v>
      </c>
    </row>
    <row r="856" spans="4:14" s="10" customFormat="1" x14ac:dyDescent="0.2">
      <c r="D856" s="49" t="str">
        <f>CAP_OTH!D36</f>
        <v>Other Capital Investment 2</v>
      </c>
      <c r="E856" s="119">
        <f>CAP_OTH!E36</f>
        <v>0</v>
      </c>
      <c r="I856" s="379">
        <f>CAP_OTH!I36</f>
        <v>0</v>
      </c>
      <c r="J856" s="119">
        <f>CAP_OTH!J36</f>
        <v>0</v>
      </c>
      <c r="K856" s="119">
        <f>CAP_OTH!K36</f>
        <v>0</v>
      </c>
      <c r="L856" s="119">
        <f>CAP_OTH!L36</f>
        <v>0</v>
      </c>
      <c r="M856" s="119">
        <f>CAP_OTH!M36</f>
        <v>0</v>
      </c>
      <c r="N856" s="119">
        <f>CAP_OTH!N36</f>
        <v>0</v>
      </c>
    </row>
    <row r="857" spans="4:14" s="10" customFormat="1" x14ac:dyDescent="0.2">
      <c r="D857" s="49" t="str">
        <f>CAP_OTH!D37</f>
        <v>Other Capital Investment 3</v>
      </c>
      <c r="E857" s="119">
        <f>CAP_OTH!E37</f>
        <v>0</v>
      </c>
      <c r="I857" s="379">
        <f>CAP_OTH!I37</f>
        <v>0</v>
      </c>
      <c r="J857" s="119">
        <f>CAP_OTH!J37</f>
        <v>0</v>
      </c>
      <c r="K857" s="119">
        <f>CAP_OTH!K37</f>
        <v>0</v>
      </c>
      <c r="L857" s="119">
        <f>CAP_OTH!L37</f>
        <v>0</v>
      </c>
      <c r="M857" s="119">
        <f>CAP_OTH!M37</f>
        <v>0</v>
      </c>
      <c r="N857" s="119">
        <f>CAP_OTH!N37</f>
        <v>0</v>
      </c>
    </row>
    <row r="858" spans="4:14" s="10" customFormat="1" x14ac:dyDescent="0.2">
      <c r="D858" s="49" t="str">
        <f>CAP_OTH!D38</f>
        <v>Other Capital Investment 4</v>
      </c>
      <c r="E858" s="119">
        <f>CAP_OTH!E38</f>
        <v>0</v>
      </c>
      <c r="I858" s="379">
        <f>CAP_OTH!I38</f>
        <v>0</v>
      </c>
      <c r="J858" s="119">
        <f>CAP_OTH!J38</f>
        <v>0</v>
      </c>
      <c r="K858" s="119">
        <f>CAP_OTH!K38</f>
        <v>0</v>
      </c>
      <c r="L858" s="119">
        <f>CAP_OTH!L38</f>
        <v>0</v>
      </c>
      <c r="M858" s="119">
        <f>CAP_OTH!M38</f>
        <v>0</v>
      </c>
      <c r="N858" s="119">
        <f>CAP_OTH!N38</f>
        <v>0</v>
      </c>
    </row>
    <row r="859" spans="4:14" s="10" customFormat="1" x14ac:dyDescent="0.2">
      <c r="D859" s="49" t="str">
        <f>CAP_OTH!D39</f>
        <v>Other Capital Investment 5</v>
      </c>
      <c r="E859" s="119">
        <f>CAP_OTH!E39</f>
        <v>0</v>
      </c>
      <c r="I859" s="379">
        <f>CAP_OTH!I39</f>
        <v>0</v>
      </c>
      <c r="J859" s="119">
        <f>CAP_OTH!J39</f>
        <v>0</v>
      </c>
      <c r="K859" s="119">
        <f>CAP_OTH!K39</f>
        <v>0</v>
      </c>
      <c r="L859" s="119">
        <f>CAP_OTH!L39</f>
        <v>0</v>
      </c>
      <c r="M859" s="119">
        <f>CAP_OTH!M39</f>
        <v>0</v>
      </c>
      <c r="N859" s="119">
        <f>CAP_OTH!N39</f>
        <v>0</v>
      </c>
    </row>
    <row r="860" spans="4:14" s="10" customFormat="1" x14ac:dyDescent="0.2">
      <c r="D860" s="49" t="str">
        <f>CAP_OTH!D40</f>
        <v>Other Capital Investment 6</v>
      </c>
      <c r="E860" s="119">
        <f>CAP_OTH!E40</f>
        <v>0</v>
      </c>
      <c r="I860" s="379">
        <f>CAP_OTH!I40</f>
        <v>0</v>
      </c>
      <c r="J860" s="119">
        <f>CAP_OTH!J40</f>
        <v>0</v>
      </c>
      <c r="K860" s="119">
        <f>CAP_OTH!K40</f>
        <v>0</v>
      </c>
      <c r="L860" s="119">
        <f>CAP_OTH!L40</f>
        <v>0</v>
      </c>
      <c r="M860" s="119">
        <f>CAP_OTH!M40</f>
        <v>0</v>
      </c>
      <c r="N860" s="119">
        <f>CAP_OTH!N40</f>
        <v>0</v>
      </c>
    </row>
    <row r="861" spans="4:14" s="10" customFormat="1" x14ac:dyDescent="0.2">
      <c r="D861" s="49" t="str">
        <f>CAP_OTH!D41</f>
        <v>Other Capital Investment 7</v>
      </c>
      <c r="E861" s="119">
        <f>CAP_OTH!E41</f>
        <v>0</v>
      </c>
      <c r="I861" s="379">
        <f>CAP_OTH!I41</f>
        <v>0</v>
      </c>
      <c r="J861" s="119">
        <f>CAP_OTH!J41</f>
        <v>0</v>
      </c>
      <c r="K861" s="119">
        <f>CAP_OTH!K41</f>
        <v>0</v>
      </c>
      <c r="L861" s="119">
        <f>CAP_OTH!L41</f>
        <v>0</v>
      </c>
      <c r="M861" s="119">
        <f>CAP_OTH!M41</f>
        <v>0</v>
      </c>
      <c r="N861" s="119">
        <f>CAP_OTH!N41</f>
        <v>0</v>
      </c>
    </row>
    <row r="862" spans="4:14" s="10" customFormat="1" x14ac:dyDescent="0.2">
      <c r="D862" s="49" t="str">
        <f>CAP_OTH!D42</f>
        <v>Other Capital Investment 8</v>
      </c>
      <c r="E862" s="119">
        <f>CAP_OTH!E42</f>
        <v>0</v>
      </c>
      <c r="I862" s="379">
        <f>CAP_OTH!I42</f>
        <v>0</v>
      </c>
      <c r="J862" s="119">
        <f>CAP_OTH!J42</f>
        <v>0</v>
      </c>
      <c r="K862" s="119">
        <f>CAP_OTH!K42</f>
        <v>0</v>
      </c>
      <c r="L862" s="119">
        <f>CAP_OTH!L42</f>
        <v>0</v>
      </c>
      <c r="M862" s="119">
        <f>CAP_OTH!M42</f>
        <v>0</v>
      </c>
      <c r="N862" s="119">
        <f>CAP_OTH!N42</f>
        <v>0</v>
      </c>
    </row>
    <row r="863" spans="4:14" s="10" customFormat="1" x14ac:dyDescent="0.2">
      <c r="D863" s="49" t="str">
        <f>CAP_OTH!D43</f>
        <v>Other Capital Investment 9</v>
      </c>
      <c r="E863" s="119">
        <f>CAP_OTH!E43</f>
        <v>0</v>
      </c>
      <c r="I863" s="379">
        <f>CAP_OTH!I43</f>
        <v>0</v>
      </c>
      <c r="J863" s="119">
        <f>CAP_OTH!J43</f>
        <v>0</v>
      </c>
      <c r="K863" s="119">
        <f>CAP_OTH!K43</f>
        <v>0</v>
      </c>
      <c r="L863" s="119">
        <f>CAP_OTH!L43</f>
        <v>0</v>
      </c>
      <c r="M863" s="119">
        <f>CAP_OTH!M43</f>
        <v>0</v>
      </c>
      <c r="N863" s="119">
        <f>CAP_OTH!N43</f>
        <v>0</v>
      </c>
    </row>
    <row r="864" spans="4:14" s="10" customFormat="1" x14ac:dyDescent="0.2">
      <c r="D864" s="49" t="str">
        <f>CAP_OTH!D44</f>
        <v>Other Capital Investment 10</v>
      </c>
      <c r="E864" s="119">
        <f>CAP_OTH!E44</f>
        <v>0</v>
      </c>
      <c r="I864" s="380">
        <f>CAP_OTH!I44</f>
        <v>0</v>
      </c>
      <c r="J864" s="119">
        <f>CAP_OTH!J44</f>
        <v>0</v>
      </c>
      <c r="K864" s="119">
        <f>CAP_OTH!K44</f>
        <v>0</v>
      </c>
      <c r="L864" s="119">
        <f>CAP_OTH!L44</f>
        <v>0</v>
      </c>
      <c r="M864" s="119">
        <f>CAP_OTH!M44</f>
        <v>0</v>
      </c>
      <c r="N864" s="119">
        <f>CAP_OTH!N44</f>
        <v>0</v>
      </c>
    </row>
    <row r="865" spans="2:14" s="10" customFormat="1" x14ac:dyDescent="0.2">
      <c r="D865" s="249" t="str">
        <f>Lang_Total_SmallLetter&amp;" "&amp;$B$802&amp;" "&amp;D853</f>
        <v>Total Other Capital Investments (Initial Investment) Economic (USD)</v>
      </c>
      <c r="E865" s="252"/>
      <c r="I865" s="287">
        <f>SUM(I855:I864)</f>
        <v>0</v>
      </c>
      <c r="J865" s="360">
        <f t="shared" ref="J865:N865" si="135">SUM(J855:J864)</f>
        <v>0</v>
      </c>
      <c r="K865" s="360">
        <f t="shared" si="135"/>
        <v>0</v>
      </c>
      <c r="L865" s="360">
        <f t="shared" si="135"/>
        <v>0</v>
      </c>
      <c r="M865" s="360">
        <f t="shared" si="135"/>
        <v>0</v>
      </c>
      <c r="N865" s="360">
        <f t="shared" si="135"/>
        <v>0</v>
      </c>
    </row>
    <row r="866" spans="2:14" s="10" customFormat="1" x14ac:dyDescent="0.2"/>
    <row r="867" spans="2:14" s="10" customFormat="1" x14ac:dyDescent="0.2"/>
    <row r="868" spans="2:14" s="10" customFormat="1" x14ac:dyDescent="0.2">
      <c r="B868" s="55" t="str">
        <f>Lang_Other_Capital_Investments_Introduction_Costs</f>
        <v>Other Capital Investments (Introduction Costs)</v>
      </c>
    </row>
    <row r="869" spans="2:14" s="10" customFormat="1" x14ac:dyDescent="0.2"/>
    <row r="870" spans="2:14" s="10" customFormat="1" x14ac:dyDescent="0.2">
      <c r="B870" s="358" t="str">
        <f>Analy_Lu!$D$13</f>
        <v>LCU</v>
      </c>
    </row>
    <row r="871" spans="2:14" s="10" customFormat="1" x14ac:dyDescent="0.2">
      <c r="D871" s="105" t="str">
        <f>Lang_Fin&amp;" ("&amp;Analy_Lu!$D$13&amp;") - Annualized"</f>
        <v>Financial (LCU) - Annualized</v>
      </c>
    </row>
    <row r="872" spans="2:14" s="10" customFormat="1" x14ac:dyDescent="0.2">
      <c r="I872" s="343" t="str">
        <f>Lang_All_Years</f>
        <v>ALL YEARS</v>
      </c>
    </row>
    <row r="873" spans="2:14" s="10" customFormat="1" x14ac:dyDescent="0.2">
      <c r="D873" s="49" t="str">
        <f>CAP_OTH!D107</f>
        <v>Other Capital Investment 1</v>
      </c>
      <c r="E873" s="42">
        <f>CAP_OTH!E107</f>
        <v>0</v>
      </c>
      <c r="I873" s="145">
        <f>CAP_OTH!I107</f>
        <v>0</v>
      </c>
      <c r="J873" s="42">
        <f>CAP_OTH!J107</f>
        <v>0</v>
      </c>
      <c r="K873" s="42">
        <f>CAP_OTH!K107</f>
        <v>0</v>
      </c>
      <c r="L873" s="42">
        <f>CAP_OTH!L107</f>
        <v>0</v>
      </c>
      <c r="M873" s="42">
        <f>CAP_OTH!M107</f>
        <v>0</v>
      </c>
      <c r="N873" s="42">
        <f>CAP_OTH!N107</f>
        <v>0</v>
      </c>
    </row>
    <row r="874" spans="2:14" s="10" customFormat="1" x14ac:dyDescent="0.2">
      <c r="D874" s="49" t="str">
        <f>CAP_OTH!D108</f>
        <v>Other Capital Investment 2</v>
      </c>
      <c r="E874" s="42">
        <f>CAP_OTH!E108</f>
        <v>0</v>
      </c>
      <c r="I874" s="145">
        <f>CAP_OTH!I108</f>
        <v>0</v>
      </c>
      <c r="J874" s="42">
        <f>CAP_OTH!J108</f>
        <v>0</v>
      </c>
      <c r="K874" s="42">
        <f>CAP_OTH!K108</f>
        <v>0</v>
      </c>
      <c r="L874" s="42">
        <f>CAP_OTH!L108</f>
        <v>0</v>
      </c>
      <c r="M874" s="42">
        <f>CAP_OTH!M108</f>
        <v>0</v>
      </c>
      <c r="N874" s="42">
        <f>CAP_OTH!N108</f>
        <v>0</v>
      </c>
    </row>
    <row r="875" spans="2:14" s="10" customFormat="1" x14ac:dyDescent="0.2">
      <c r="D875" s="49" t="str">
        <f>CAP_OTH!D109</f>
        <v>Other Capital Investment 3</v>
      </c>
      <c r="E875" s="42">
        <f>CAP_OTH!E109</f>
        <v>0</v>
      </c>
      <c r="I875" s="145">
        <f>CAP_OTH!I109</f>
        <v>0</v>
      </c>
      <c r="J875" s="42">
        <f>CAP_OTH!J109</f>
        <v>0</v>
      </c>
      <c r="K875" s="42">
        <f>CAP_OTH!K109</f>
        <v>0</v>
      </c>
      <c r="L875" s="42">
        <f>CAP_OTH!L109</f>
        <v>0</v>
      </c>
      <c r="M875" s="42">
        <f>CAP_OTH!M109</f>
        <v>0</v>
      </c>
      <c r="N875" s="42">
        <f>CAP_OTH!N109</f>
        <v>0</v>
      </c>
    </row>
    <row r="876" spans="2:14" s="10" customFormat="1" x14ac:dyDescent="0.2">
      <c r="D876" s="49" t="str">
        <f>CAP_OTH!D110</f>
        <v>Other Capital Investment 4</v>
      </c>
      <c r="E876" s="42">
        <f>CAP_OTH!E110</f>
        <v>0</v>
      </c>
      <c r="I876" s="145">
        <f>CAP_OTH!I110</f>
        <v>0</v>
      </c>
      <c r="J876" s="42">
        <f>CAP_OTH!J110</f>
        <v>0</v>
      </c>
      <c r="K876" s="42">
        <f>CAP_OTH!K110</f>
        <v>0</v>
      </c>
      <c r="L876" s="42">
        <f>CAP_OTH!L110</f>
        <v>0</v>
      </c>
      <c r="M876" s="42">
        <f>CAP_OTH!M110</f>
        <v>0</v>
      </c>
      <c r="N876" s="42">
        <f>CAP_OTH!N110</f>
        <v>0</v>
      </c>
    </row>
    <row r="877" spans="2:14" s="10" customFormat="1" x14ac:dyDescent="0.2">
      <c r="D877" s="49" t="str">
        <f>CAP_OTH!D111</f>
        <v>Other Capital Investment 5</v>
      </c>
      <c r="E877" s="42">
        <f>CAP_OTH!E111</f>
        <v>0</v>
      </c>
      <c r="I877" s="145">
        <f>CAP_OTH!I111</f>
        <v>0</v>
      </c>
      <c r="J877" s="42">
        <f>CAP_OTH!J111</f>
        <v>0</v>
      </c>
      <c r="K877" s="42">
        <f>CAP_OTH!K111</f>
        <v>0</v>
      </c>
      <c r="L877" s="42">
        <f>CAP_OTH!L111</f>
        <v>0</v>
      </c>
      <c r="M877" s="42">
        <f>CAP_OTH!M111</f>
        <v>0</v>
      </c>
      <c r="N877" s="42">
        <f>CAP_OTH!N111</f>
        <v>0</v>
      </c>
    </row>
    <row r="878" spans="2:14" s="10" customFormat="1" x14ac:dyDescent="0.2">
      <c r="D878" s="49" t="str">
        <f>CAP_OTH!D112</f>
        <v>Other Capital Investment 6</v>
      </c>
      <c r="E878" s="42">
        <f>CAP_OTH!E112</f>
        <v>0</v>
      </c>
      <c r="I878" s="145">
        <f>CAP_OTH!I112</f>
        <v>0</v>
      </c>
      <c r="J878" s="42">
        <f>CAP_OTH!J112</f>
        <v>0</v>
      </c>
      <c r="K878" s="42">
        <f>CAP_OTH!K112</f>
        <v>0</v>
      </c>
      <c r="L878" s="42">
        <f>CAP_OTH!L112</f>
        <v>0</v>
      </c>
      <c r="M878" s="42">
        <f>CAP_OTH!M112</f>
        <v>0</v>
      </c>
      <c r="N878" s="42">
        <f>CAP_OTH!N112</f>
        <v>0</v>
      </c>
    </row>
    <row r="879" spans="2:14" s="10" customFormat="1" x14ac:dyDescent="0.2">
      <c r="D879" s="49" t="str">
        <f>CAP_OTH!D113</f>
        <v>Other Capital Investment 7</v>
      </c>
      <c r="E879" s="42">
        <f>CAP_OTH!E113</f>
        <v>0</v>
      </c>
      <c r="I879" s="145">
        <f>CAP_OTH!I113</f>
        <v>0</v>
      </c>
      <c r="J879" s="42">
        <f>CAP_OTH!J113</f>
        <v>0</v>
      </c>
      <c r="K879" s="42">
        <f>CAP_OTH!K113</f>
        <v>0</v>
      </c>
      <c r="L879" s="42">
        <f>CAP_OTH!L113</f>
        <v>0</v>
      </c>
      <c r="M879" s="42">
        <f>CAP_OTH!M113</f>
        <v>0</v>
      </c>
      <c r="N879" s="42">
        <f>CAP_OTH!N113</f>
        <v>0</v>
      </c>
    </row>
    <row r="880" spans="2:14" s="10" customFormat="1" x14ac:dyDescent="0.2">
      <c r="D880" s="49" t="str">
        <f>CAP_OTH!D114</f>
        <v>Other Capital Investment 8</v>
      </c>
      <c r="E880" s="42">
        <f>CAP_OTH!E114</f>
        <v>0</v>
      </c>
      <c r="I880" s="145">
        <f>CAP_OTH!I114</f>
        <v>0</v>
      </c>
      <c r="J880" s="42">
        <f>CAP_OTH!J114</f>
        <v>0</v>
      </c>
      <c r="K880" s="42">
        <f>CAP_OTH!K114</f>
        <v>0</v>
      </c>
      <c r="L880" s="42">
        <f>CAP_OTH!L114</f>
        <v>0</v>
      </c>
      <c r="M880" s="42">
        <f>CAP_OTH!M114</f>
        <v>0</v>
      </c>
      <c r="N880" s="42">
        <f>CAP_OTH!N114</f>
        <v>0</v>
      </c>
    </row>
    <row r="881" spans="4:14" s="10" customFormat="1" x14ac:dyDescent="0.2">
      <c r="D881" s="49" t="str">
        <f>CAP_OTH!D115</f>
        <v>Other Capital Investment 9</v>
      </c>
      <c r="E881" s="42">
        <f>CAP_OTH!E115</f>
        <v>0</v>
      </c>
      <c r="I881" s="145">
        <f>CAP_OTH!I115</f>
        <v>0</v>
      </c>
      <c r="J881" s="42">
        <f>CAP_OTH!J115</f>
        <v>0</v>
      </c>
      <c r="K881" s="42">
        <f>CAP_OTH!K115</f>
        <v>0</v>
      </c>
      <c r="L881" s="42">
        <f>CAP_OTH!L115</f>
        <v>0</v>
      </c>
      <c r="M881" s="42">
        <f>CAP_OTH!M115</f>
        <v>0</v>
      </c>
      <c r="N881" s="42">
        <f>CAP_OTH!N115</f>
        <v>0</v>
      </c>
    </row>
    <row r="882" spans="4:14" s="10" customFormat="1" x14ac:dyDescent="0.2">
      <c r="D882" s="49" t="str">
        <f>CAP_OTH!D116</f>
        <v>Other Capital Investment 10</v>
      </c>
      <c r="E882" s="42">
        <f>CAP_OTH!E116</f>
        <v>0</v>
      </c>
      <c r="I882" s="145">
        <f>CAP_OTH!I116</f>
        <v>0</v>
      </c>
      <c r="J882" s="42">
        <f>CAP_OTH!J116</f>
        <v>0</v>
      </c>
      <c r="K882" s="42">
        <f>CAP_OTH!K116</f>
        <v>0</v>
      </c>
      <c r="L882" s="42">
        <f>CAP_OTH!L116</f>
        <v>0</v>
      </c>
      <c r="M882" s="42">
        <f>CAP_OTH!M116</f>
        <v>0</v>
      </c>
      <c r="N882" s="42">
        <f>CAP_OTH!N116</f>
        <v>0</v>
      </c>
    </row>
    <row r="883" spans="4:14" s="10" customFormat="1" x14ac:dyDescent="0.2">
      <c r="D883" s="249" t="str">
        <f>Lang_Total_SmallLetter&amp;" "&amp;$B$868&amp;" "&amp;D871</f>
        <v>Total Other Capital Investments (Introduction Costs) Financial (LCU) - Annualized</v>
      </c>
      <c r="E883" s="253"/>
      <c r="I883" s="350">
        <f>SUM(I873:I882)</f>
        <v>0</v>
      </c>
      <c r="J883" s="383">
        <f t="shared" ref="J883:N883" si="136">SUM(J873:J882)</f>
        <v>0</v>
      </c>
      <c r="K883" s="383">
        <f t="shared" si="136"/>
        <v>0</v>
      </c>
      <c r="L883" s="383">
        <f t="shared" si="136"/>
        <v>0</v>
      </c>
      <c r="M883" s="383">
        <f t="shared" si="136"/>
        <v>0</v>
      </c>
      <c r="N883" s="383">
        <f t="shared" si="136"/>
        <v>0</v>
      </c>
    </row>
    <row r="884" spans="4:14" s="10" customFormat="1" x14ac:dyDescent="0.2"/>
    <row r="885" spans="4:14" s="10" customFormat="1" x14ac:dyDescent="0.2">
      <c r="D885" s="101" t="str">
        <f>B$802&amp;" "&amp;Lang_Cost&amp;" "&amp;Lang_Per_Fully_Immunized_Person_FIP</f>
        <v>Other Capital Investments (Initial Investment) Cost per Fully Immunized Person (FIP)</v>
      </c>
      <c r="I885" s="347">
        <f>I883/I$37</f>
        <v>0</v>
      </c>
      <c r="J885" s="42">
        <f t="shared" ref="J885:N885" si="137">J883/J$37</f>
        <v>0</v>
      </c>
      <c r="K885" s="42">
        <f t="shared" si="137"/>
        <v>0</v>
      </c>
      <c r="L885" s="42">
        <f t="shared" si="137"/>
        <v>0</v>
      </c>
      <c r="M885" s="42">
        <f t="shared" si="137"/>
        <v>0</v>
      </c>
      <c r="N885" s="42">
        <f t="shared" si="137"/>
        <v>0</v>
      </c>
    </row>
    <row r="886" spans="4:14" s="10" customFormat="1" x14ac:dyDescent="0.2"/>
    <row r="887" spans="4:14" s="10" customFormat="1" x14ac:dyDescent="0.2"/>
    <row r="888" spans="4:14" s="10" customFormat="1" x14ac:dyDescent="0.2"/>
    <row r="889" spans="4:14" s="10" customFormat="1" x14ac:dyDescent="0.2"/>
    <row r="890" spans="4:14" s="10" customFormat="1" x14ac:dyDescent="0.2">
      <c r="D890" s="105" t="str">
        <f>Lang_Econ&amp;" ("&amp;Analy_Lu!$D$13&amp;") - Annualized"</f>
        <v>Economic (LCU) - Annualized</v>
      </c>
    </row>
    <row r="891" spans="4:14" s="10" customFormat="1" x14ac:dyDescent="0.2">
      <c r="I891" s="343" t="str">
        <f>Lang_All_Years</f>
        <v>ALL YEARS</v>
      </c>
    </row>
    <row r="892" spans="4:14" s="10" customFormat="1" x14ac:dyDescent="0.2">
      <c r="D892" s="49" t="str">
        <f>CAP_OTH!D122</f>
        <v>Other Capital Investment 1</v>
      </c>
      <c r="E892" s="42">
        <f>CAP_OTH!E122</f>
        <v>0</v>
      </c>
      <c r="I892" s="347">
        <f>CAP_OTH!I122</f>
        <v>0</v>
      </c>
      <c r="J892" s="42">
        <f>CAP_OTH!J122</f>
        <v>0</v>
      </c>
      <c r="K892" s="42">
        <f>CAP_OTH!K122</f>
        <v>0</v>
      </c>
      <c r="L892" s="42">
        <f>CAP_OTH!L122</f>
        <v>0</v>
      </c>
      <c r="M892" s="42">
        <f>CAP_OTH!M122</f>
        <v>0</v>
      </c>
      <c r="N892" s="42">
        <f>CAP_OTH!N122</f>
        <v>0</v>
      </c>
    </row>
    <row r="893" spans="4:14" s="10" customFormat="1" x14ac:dyDescent="0.2">
      <c r="D893" s="49" t="str">
        <f>CAP_OTH!D123</f>
        <v>Other Capital Investment 2</v>
      </c>
      <c r="E893" s="42">
        <f>CAP_OTH!E123</f>
        <v>0</v>
      </c>
      <c r="I893" s="347">
        <f>CAP_OTH!I123</f>
        <v>0</v>
      </c>
      <c r="J893" s="42">
        <f>CAP_OTH!J123</f>
        <v>0</v>
      </c>
      <c r="K893" s="42">
        <f>CAP_OTH!K123</f>
        <v>0</v>
      </c>
      <c r="L893" s="42">
        <f>CAP_OTH!L123</f>
        <v>0</v>
      </c>
      <c r="M893" s="42">
        <f>CAP_OTH!M123</f>
        <v>0</v>
      </c>
      <c r="N893" s="42">
        <f>CAP_OTH!N123</f>
        <v>0</v>
      </c>
    </row>
    <row r="894" spans="4:14" s="10" customFormat="1" x14ac:dyDescent="0.2">
      <c r="D894" s="49" t="str">
        <f>CAP_OTH!D124</f>
        <v>Other Capital Investment 3</v>
      </c>
      <c r="E894" s="42">
        <f>CAP_OTH!E124</f>
        <v>0</v>
      </c>
      <c r="I894" s="347">
        <f>CAP_OTH!I124</f>
        <v>0</v>
      </c>
      <c r="J894" s="42">
        <f>CAP_OTH!J124</f>
        <v>0</v>
      </c>
      <c r="K894" s="42">
        <f>CAP_OTH!K124</f>
        <v>0</v>
      </c>
      <c r="L894" s="42">
        <f>CAP_OTH!L124</f>
        <v>0</v>
      </c>
      <c r="M894" s="42">
        <f>CAP_OTH!M124</f>
        <v>0</v>
      </c>
      <c r="N894" s="42">
        <f>CAP_OTH!N124</f>
        <v>0</v>
      </c>
    </row>
    <row r="895" spans="4:14" s="10" customFormat="1" x14ac:dyDescent="0.2">
      <c r="D895" s="49" t="str">
        <f>CAP_OTH!D125</f>
        <v>Other Capital Investment 4</v>
      </c>
      <c r="E895" s="42">
        <f>CAP_OTH!E125</f>
        <v>0</v>
      </c>
      <c r="I895" s="347">
        <f>CAP_OTH!I125</f>
        <v>0</v>
      </c>
      <c r="J895" s="42">
        <f>CAP_OTH!J125</f>
        <v>0</v>
      </c>
      <c r="K895" s="42">
        <f>CAP_OTH!K125</f>
        <v>0</v>
      </c>
      <c r="L895" s="42">
        <f>CAP_OTH!L125</f>
        <v>0</v>
      </c>
      <c r="M895" s="42">
        <f>CAP_OTH!M125</f>
        <v>0</v>
      </c>
      <c r="N895" s="42">
        <f>CAP_OTH!N125</f>
        <v>0</v>
      </c>
    </row>
    <row r="896" spans="4:14" s="10" customFormat="1" x14ac:dyDescent="0.2">
      <c r="D896" s="49" t="str">
        <f>CAP_OTH!D126</f>
        <v>Other Capital Investment 5</v>
      </c>
      <c r="E896" s="42">
        <f>CAP_OTH!E126</f>
        <v>0</v>
      </c>
      <c r="I896" s="347">
        <f>CAP_OTH!I126</f>
        <v>0</v>
      </c>
      <c r="J896" s="42">
        <f>CAP_OTH!J126</f>
        <v>0</v>
      </c>
      <c r="K896" s="42">
        <f>CAP_OTH!K126</f>
        <v>0</v>
      </c>
      <c r="L896" s="42">
        <f>CAP_OTH!L126</f>
        <v>0</v>
      </c>
      <c r="M896" s="42">
        <f>CAP_OTH!M126</f>
        <v>0</v>
      </c>
      <c r="N896" s="42">
        <f>CAP_OTH!N126</f>
        <v>0</v>
      </c>
    </row>
    <row r="897" spans="2:14" s="10" customFormat="1" x14ac:dyDescent="0.2">
      <c r="D897" s="49" t="str">
        <f>CAP_OTH!D127</f>
        <v>Other Capital Investment 6</v>
      </c>
      <c r="E897" s="42">
        <f>CAP_OTH!E127</f>
        <v>0</v>
      </c>
      <c r="I897" s="347">
        <f>CAP_OTH!I127</f>
        <v>0</v>
      </c>
      <c r="J897" s="42">
        <f>CAP_OTH!J127</f>
        <v>0</v>
      </c>
      <c r="K897" s="42">
        <f>CAP_OTH!K127</f>
        <v>0</v>
      </c>
      <c r="L897" s="42">
        <f>CAP_OTH!L127</f>
        <v>0</v>
      </c>
      <c r="M897" s="42">
        <f>CAP_OTH!M127</f>
        <v>0</v>
      </c>
      <c r="N897" s="42">
        <f>CAP_OTH!N127</f>
        <v>0</v>
      </c>
    </row>
    <row r="898" spans="2:14" s="10" customFormat="1" x14ac:dyDescent="0.2">
      <c r="D898" s="49" t="str">
        <f>CAP_OTH!D128</f>
        <v>Other Capital Investment 7</v>
      </c>
      <c r="E898" s="42">
        <f>CAP_OTH!E128</f>
        <v>0</v>
      </c>
      <c r="I898" s="347">
        <f>CAP_OTH!I128</f>
        <v>0</v>
      </c>
      <c r="J898" s="42">
        <f>CAP_OTH!J128</f>
        <v>0</v>
      </c>
      <c r="K898" s="42">
        <f>CAP_OTH!K128</f>
        <v>0</v>
      </c>
      <c r="L898" s="42">
        <f>CAP_OTH!L128</f>
        <v>0</v>
      </c>
      <c r="M898" s="42">
        <f>CAP_OTH!M128</f>
        <v>0</v>
      </c>
      <c r="N898" s="42">
        <f>CAP_OTH!N128</f>
        <v>0</v>
      </c>
    </row>
    <row r="899" spans="2:14" s="10" customFormat="1" x14ac:dyDescent="0.2">
      <c r="D899" s="49" t="str">
        <f>CAP_OTH!D129</f>
        <v>Other Capital Investment 8</v>
      </c>
      <c r="E899" s="42">
        <f>CAP_OTH!E129</f>
        <v>0</v>
      </c>
      <c r="I899" s="347">
        <f>CAP_OTH!I129</f>
        <v>0</v>
      </c>
      <c r="J899" s="42">
        <f>CAP_OTH!J129</f>
        <v>0</v>
      </c>
      <c r="K899" s="42">
        <f>CAP_OTH!K129</f>
        <v>0</v>
      </c>
      <c r="L899" s="42">
        <f>CAP_OTH!L129</f>
        <v>0</v>
      </c>
      <c r="M899" s="42">
        <f>CAP_OTH!M129</f>
        <v>0</v>
      </c>
      <c r="N899" s="42">
        <f>CAP_OTH!N129</f>
        <v>0</v>
      </c>
    </row>
    <row r="900" spans="2:14" s="10" customFormat="1" x14ac:dyDescent="0.2">
      <c r="D900" s="49" t="str">
        <f>CAP_OTH!D130</f>
        <v>Other Capital Investment 9</v>
      </c>
      <c r="E900" s="42">
        <f>CAP_OTH!E130</f>
        <v>0</v>
      </c>
      <c r="I900" s="347">
        <f>CAP_OTH!I130</f>
        <v>0</v>
      </c>
      <c r="J900" s="42">
        <f>CAP_OTH!J130</f>
        <v>0</v>
      </c>
      <c r="K900" s="42">
        <f>CAP_OTH!K130</f>
        <v>0</v>
      </c>
      <c r="L900" s="42">
        <f>CAP_OTH!L130</f>
        <v>0</v>
      </c>
      <c r="M900" s="42">
        <f>CAP_OTH!M130</f>
        <v>0</v>
      </c>
      <c r="N900" s="42">
        <f>CAP_OTH!N130</f>
        <v>0</v>
      </c>
    </row>
    <row r="901" spans="2:14" s="10" customFormat="1" x14ac:dyDescent="0.2">
      <c r="D901" s="49" t="str">
        <f>CAP_OTH!D131</f>
        <v>Other Capital Investment 10</v>
      </c>
      <c r="E901" s="42">
        <f>CAP_OTH!E131</f>
        <v>0</v>
      </c>
      <c r="I901" s="347">
        <f>CAP_OTH!I131</f>
        <v>0</v>
      </c>
      <c r="J901" s="42">
        <f>CAP_OTH!J131</f>
        <v>0</v>
      </c>
      <c r="K901" s="42">
        <f>CAP_OTH!K131</f>
        <v>0</v>
      </c>
      <c r="L901" s="42">
        <f>CAP_OTH!L131</f>
        <v>0</v>
      </c>
      <c r="M901" s="42">
        <f>CAP_OTH!M131</f>
        <v>0</v>
      </c>
      <c r="N901" s="42">
        <f>CAP_OTH!N131</f>
        <v>0</v>
      </c>
    </row>
    <row r="902" spans="2:14" s="10" customFormat="1" x14ac:dyDescent="0.2">
      <c r="D902" s="249" t="str">
        <f>Lang_Total_SmallLetter&amp;" "&amp;$B$868&amp;" "&amp;D890</f>
        <v>Total Other Capital Investments (Introduction Costs) Economic (LCU) - Annualized</v>
      </c>
      <c r="E902" s="250"/>
      <c r="I902" s="382">
        <f>SUM(I892:I901)</f>
        <v>0</v>
      </c>
      <c r="J902" s="363">
        <f t="shared" ref="J902:N902" si="138">SUM(J892:J901)</f>
        <v>0</v>
      </c>
      <c r="K902" s="363">
        <f t="shared" si="138"/>
        <v>0</v>
      </c>
      <c r="L902" s="363">
        <f t="shared" si="138"/>
        <v>0</v>
      </c>
      <c r="M902" s="363">
        <f t="shared" si="138"/>
        <v>0</v>
      </c>
      <c r="N902" s="363">
        <f t="shared" si="138"/>
        <v>0</v>
      </c>
    </row>
    <row r="903" spans="2:14" s="10" customFormat="1" x14ac:dyDescent="0.2"/>
    <row r="904" spans="2:14" s="10" customFormat="1" x14ac:dyDescent="0.2">
      <c r="D904" s="101" t="str">
        <f>B$802&amp;" "&amp;Lang_Cost&amp;" "&amp;Lang_Per_Fully_Immunized_Person_FIP</f>
        <v>Other Capital Investments (Initial Investment) Cost per Fully Immunized Person (FIP)</v>
      </c>
      <c r="I904" s="347">
        <f>I902/I$37</f>
        <v>0</v>
      </c>
      <c r="J904" s="42">
        <f t="shared" ref="J904:N904" si="139">J902/J$37</f>
        <v>0</v>
      </c>
      <c r="K904" s="42">
        <f t="shared" si="139"/>
        <v>0</v>
      </c>
      <c r="L904" s="42">
        <f t="shared" si="139"/>
        <v>0</v>
      </c>
      <c r="M904" s="42">
        <f t="shared" si="139"/>
        <v>0</v>
      </c>
      <c r="N904" s="42">
        <f t="shared" si="139"/>
        <v>0</v>
      </c>
    </row>
    <row r="905" spans="2:14" s="10" customFormat="1" x14ac:dyDescent="0.2"/>
    <row r="906" spans="2:14" s="10" customFormat="1" x14ac:dyDescent="0.2"/>
    <row r="907" spans="2:14" s="10" customFormat="1" x14ac:dyDescent="0.2">
      <c r="B907" s="358" t="str">
        <f>Analy_Lu!$D$12</f>
        <v>USD</v>
      </c>
    </row>
    <row r="908" spans="2:14" s="10" customFormat="1" x14ac:dyDescent="0.2">
      <c r="D908" s="105" t="str">
        <f>Lang_Fin&amp;" ("&amp;Analy_Lu!$D$12&amp;") - Annualized"</f>
        <v>Financial (USD) - Annualized</v>
      </c>
    </row>
    <row r="909" spans="2:14" s="10" customFormat="1" x14ac:dyDescent="0.2">
      <c r="I909" s="343" t="str">
        <f>Lang_All_Years</f>
        <v>ALL YEARS</v>
      </c>
    </row>
    <row r="910" spans="2:14" s="10" customFormat="1" x14ac:dyDescent="0.2">
      <c r="D910" s="49" t="str">
        <f>CAP_OTH!D49</f>
        <v>Other Capital Investment 1</v>
      </c>
      <c r="E910" s="119">
        <f>CAP_OTH!E49</f>
        <v>0</v>
      </c>
      <c r="I910" s="379">
        <f>CAP_OTH!I49</f>
        <v>0</v>
      </c>
      <c r="J910" s="119">
        <f>CAP_OTH!J49</f>
        <v>0</v>
      </c>
      <c r="K910" s="119">
        <f>CAP_OTH!K49</f>
        <v>0</v>
      </c>
      <c r="L910" s="119">
        <f>CAP_OTH!L49</f>
        <v>0</v>
      </c>
      <c r="M910" s="119">
        <f>CAP_OTH!M49</f>
        <v>0</v>
      </c>
      <c r="N910" s="119">
        <f>CAP_OTH!N49</f>
        <v>0</v>
      </c>
    </row>
    <row r="911" spans="2:14" s="10" customFormat="1" x14ac:dyDescent="0.2">
      <c r="D911" s="49" t="str">
        <f>CAP_OTH!D50</f>
        <v>Other Capital Investment 2</v>
      </c>
      <c r="E911" s="119">
        <f>CAP_OTH!E50</f>
        <v>0</v>
      </c>
      <c r="I911" s="379">
        <f>CAP_OTH!I50</f>
        <v>0</v>
      </c>
      <c r="J911" s="119">
        <f>CAP_OTH!J50</f>
        <v>0</v>
      </c>
      <c r="K911" s="119">
        <f>CAP_OTH!K50</f>
        <v>0</v>
      </c>
      <c r="L911" s="119">
        <f>CAP_OTH!L50</f>
        <v>0</v>
      </c>
      <c r="M911" s="119">
        <f>CAP_OTH!M50</f>
        <v>0</v>
      </c>
      <c r="N911" s="119">
        <f>CAP_OTH!N50</f>
        <v>0</v>
      </c>
    </row>
    <row r="912" spans="2:14" s="10" customFormat="1" x14ac:dyDescent="0.2">
      <c r="D912" s="49" t="str">
        <f>CAP_OTH!D51</f>
        <v>Other Capital Investment 3</v>
      </c>
      <c r="E912" s="119">
        <f>CAP_OTH!E51</f>
        <v>0</v>
      </c>
      <c r="I912" s="379">
        <f>CAP_OTH!I51</f>
        <v>0</v>
      </c>
      <c r="J912" s="119">
        <f>CAP_OTH!J51</f>
        <v>0</v>
      </c>
      <c r="K912" s="119">
        <f>CAP_OTH!K51</f>
        <v>0</v>
      </c>
      <c r="L912" s="119">
        <f>CAP_OTH!L51</f>
        <v>0</v>
      </c>
      <c r="M912" s="119">
        <f>CAP_OTH!M51</f>
        <v>0</v>
      </c>
      <c r="N912" s="119">
        <f>CAP_OTH!N51</f>
        <v>0</v>
      </c>
    </row>
    <row r="913" spans="4:14" s="10" customFormat="1" x14ac:dyDescent="0.2">
      <c r="D913" s="49" t="str">
        <f>CAP_OTH!D52</f>
        <v>Other Capital Investment 4</v>
      </c>
      <c r="E913" s="119">
        <f>CAP_OTH!E52</f>
        <v>0</v>
      </c>
      <c r="I913" s="379">
        <f>CAP_OTH!I52</f>
        <v>0</v>
      </c>
      <c r="J913" s="119">
        <f>CAP_OTH!J52</f>
        <v>0</v>
      </c>
      <c r="K913" s="119">
        <f>CAP_OTH!K52</f>
        <v>0</v>
      </c>
      <c r="L913" s="119">
        <f>CAP_OTH!L52</f>
        <v>0</v>
      </c>
      <c r="M913" s="119">
        <f>CAP_OTH!M52</f>
        <v>0</v>
      </c>
      <c r="N913" s="119">
        <f>CAP_OTH!N52</f>
        <v>0</v>
      </c>
    </row>
    <row r="914" spans="4:14" s="10" customFormat="1" x14ac:dyDescent="0.2">
      <c r="D914" s="49" t="str">
        <f>CAP_OTH!D53</f>
        <v>Other Capital Investment 5</v>
      </c>
      <c r="E914" s="119">
        <f>CAP_OTH!E53</f>
        <v>0</v>
      </c>
      <c r="I914" s="379">
        <f>CAP_OTH!I53</f>
        <v>0</v>
      </c>
      <c r="J914" s="119">
        <f>CAP_OTH!J53</f>
        <v>0</v>
      </c>
      <c r="K914" s="119">
        <f>CAP_OTH!K53</f>
        <v>0</v>
      </c>
      <c r="L914" s="119">
        <f>CAP_OTH!L53</f>
        <v>0</v>
      </c>
      <c r="M914" s="119">
        <f>CAP_OTH!M53</f>
        <v>0</v>
      </c>
      <c r="N914" s="119">
        <f>CAP_OTH!N53</f>
        <v>0</v>
      </c>
    </row>
    <row r="915" spans="4:14" s="10" customFormat="1" x14ac:dyDescent="0.2">
      <c r="D915" s="49" t="str">
        <f>CAP_OTH!D54</f>
        <v>Other Capital Investment 6</v>
      </c>
      <c r="E915" s="119">
        <f>CAP_OTH!E54</f>
        <v>0</v>
      </c>
      <c r="I915" s="379">
        <f>CAP_OTH!I54</f>
        <v>0</v>
      </c>
      <c r="J915" s="119">
        <f>CAP_OTH!J54</f>
        <v>0</v>
      </c>
      <c r="K915" s="119">
        <f>CAP_OTH!K54</f>
        <v>0</v>
      </c>
      <c r="L915" s="119">
        <f>CAP_OTH!L54</f>
        <v>0</v>
      </c>
      <c r="M915" s="119">
        <f>CAP_OTH!M54</f>
        <v>0</v>
      </c>
      <c r="N915" s="119">
        <f>CAP_OTH!N54</f>
        <v>0</v>
      </c>
    </row>
    <row r="916" spans="4:14" s="10" customFormat="1" x14ac:dyDescent="0.2">
      <c r="D916" s="49" t="str">
        <f>CAP_OTH!D55</f>
        <v>Other Capital Investment 7</v>
      </c>
      <c r="E916" s="119">
        <f>CAP_OTH!E55</f>
        <v>0</v>
      </c>
      <c r="I916" s="379">
        <f>CAP_OTH!I55</f>
        <v>0</v>
      </c>
      <c r="J916" s="119">
        <f>CAP_OTH!J55</f>
        <v>0</v>
      </c>
      <c r="K916" s="119">
        <f>CAP_OTH!K55</f>
        <v>0</v>
      </c>
      <c r="L916" s="119">
        <f>CAP_OTH!L55</f>
        <v>0</v>
      </c>
      <c r="M916" s="119">
        <f>CAP_OTH!M55</f>
        <v>0</v>
      </c>
      <c r="N916" s="119">
        <f>CAP_OTH!N55</f>
        <v>0</v>
      </c>
    </row>
    <row r="917" spans="4:14" s="10" customFormat="1" x14ac:dyDescent="0.2">
      <c r="D917" s="49" t="str">
        <f>CAP_OTH!D56</f>
        <v>Other Capital Investment 8</v>
      </c>
      <c r="E917" s="119">
        <f>CAP_OTH!E56</f>
        <v>0</v>
      </c>
      <c r="I917" s="379">
        <f>CAP_OTH!I56</f>
        <v>0</v>
      </c>
      <c r="J917" s="119">
        <f>CAP_OTH!J56</f>
        <v>0</v>
      </c>
      <c r="K917" s="119">
        <f>CAP_OTH!K56</f>
        <v>0</v>
      </c>
      <c r="L917" s="119">
        <f>CAP_OTH!L56</f>
        <v>0</v>
      </c>
      <c r="M917" s="119">
        <f>CAP_OTH!M56</f>
        <v>0</v>
      </c>
      <c r="N917" s="119">
        <f>CAP_OTH!N56</f>
        <v>0</v>
      </c>
    </row>
    <row r="918" spans="4:14" s="10" customFormat="1" x14ac:dyDescent="0.2">
      <c r="D918" s="49" t="str">
        <f>CAP_OTH!D57</f>
        <v>Other Capital Investment 9</v>
      </c>
      <c r="E918" s="119">
        <f>CAP_OTH!E57</f>
        <v>0</v>
      </c>
      <c r="I918" s="379">
        <f>CAP_OTH!I57</f>
        <v>0</v>
      </c>
      <c r="J918" s="119">
        <f>CAP_OTH!J57</f>
        <v>0</v>
      </c>
      <c r="K918" s="119">
        <f>CAP_OTH!K57</f>
        <v>0</v>
      </c>
      <c r="L918" s="119">
        <f>CAP_OTH!L57</f>
        <v>0</v>
      </c>
      <c r="M918" s="119">
        <f>CAP_OTH!M57</f>
        <v>0</v>
      </c>
      <c r="N918" s="119">
        <f>CAP_OTH!N57</f>
        <v>0</v>
      </c>
    </row>
    <row r="919" spans="4:14" s="10" customFormat="1" x14ac:dyDescent="0.2">
      <c r="D919" s="49" t="str">
        <f>CAP_OTH!D58</f>
        <v>Other Capital Investment 10</v>
      </c>
      <c r="E919" s="119">
        <f>CAP_OTH!E58</f>
        <v>0</v>
      </c>
      <c r="I919" s="379">
        <f>CAP_OTH!I58</f>
        <v>0</v>
      </c>
      <c r="J919" s="119">
        <f>CAP_OTH!J58</f>
        <v>0</v>
      </c>
      <c r="K919" s="119">
        <f>CAP_OTH!K58</f>
        <v>0</v>
      </c>
      <c r="L919" s="119">
        <f>CAP_OTH!L58</f>
        <v>0</v>
      </c>
      <c r="M919" s="119">
        <f>CAP_OTH!M58</f>
        <v>0</v>
      </c>
      <c r="N919" s="119">
        <f>CAP_OTH!N58</f>
        <v>0</v>
      </c>
    </row>
    <row r="920" spans="4:14" s="10" customFormat="1" x14ac:dyDescent="0.2">
      <c r="D920" s="249" t="str">
        <f>Lang_Total_SmallLetter&amp;" "&amp;$B$868&amp;" "&amp;D908</f>
        <v>Total Other Capital Investments (Introduction Costs) Financial (USD) - Annualized</v>
      </c>
      <c r="E920" s="378"/>
      <c r="I920" s="381">
        <f>SUM(I910:I919)</f>
        <v>0</v>
      </c>
      <c r="J920" s="360">
        <f t="shared" ref="J920:N920" si="140">SUM(J910:J919)</f>
        <v>0</v>
      </c>
      <c r="K920" s="360">
        <f t="shared" si="140"/>
        <v>0</v>
      </c>
      <c r="L920" s="360">
        <f t="shared" si="140"/>
        <v>0</v>
      </c>
      <c r="M920" s="360">
        <f t="shared" si="140"/>
        <v>0</v>
      </c>
      <c r="N920" s="360">
        <f t="shared" si="140"/>
        <v>0</v>
      </c>
    </row>
    <row r="921" spans="4:14" s="10" customFormat="1" x14ac:dyDescent="0.2"/>
    <row r="922" spans="4:14" s="10" customFormat="1" x14ac:dyDescent="0.2">
      <c r="D922" s="101" t="str">
        <f>B$802&amp;" "&amp;Lang_Cost&amp;" "&amp;Lang_Per_Fully_Immunized_Person_FIP</f>
        <v>Other Capital Investments (Initial Investment) Cost per Fully Immunized Person (FIP)</v>
      </c>
      <c r="I922" s="388">
        <f>I920/I$37</f>
        <v>0</v>
      </c>
      <c r="J922" s="116">
        <f t="shared" ref="J922:N922" si="141">J920/J$37</f>
        <v>0</v>
      </c>
      <c r="K922" s="116">
        <f t="shared" si="141"/>
        <v>0</v>
      </c>
      <c r="L922" s="116">
        <f t="shared" si="141"/>
        <v>0</v>
      </c>
      <c r="M922" s="116">
        <f t="shared" si="141"/>
        <v>0</v>
      </c>
      <c r="N922" s="116">
        <f t="shared" si="141"/>
        <v>0</v>
      </c>
    </row>
    <row r="923" spans="4:14" s="10" customFormat="1" x14ac:dyDescent="0.2"/>
    <row r="924" spans="4:14" s="10" customFormat="1" x14ac:dyDescent="0.2"/>
    <row r="925" spans="4:14" s="10" customFormat="1" x14ac:dyDescent="0.2">
      <c r="D925" s="105" t="str">
        <f>Lang_Econ&amp;" ("&amp;Analy_Lu!$D$12&amp;") - Annualized"</f>
        <v>Economic (USD) - Annualized</v>
      </c>
    </row>
    <row r="926" spans="4:14" s="10" customFormat="1" x14ac:dyDescent="0.2">
      <c r="I926" s="343" t="str">
        <f>Lang_All_Years</f>
        <v>ALL YEARS</v>
      </c>
    </row>
    <row r="927" spans="4:14" s="10" customFormat="1" x14ac:dyDescent="0.2">
      <c r="D927" s="49" t="str">
        <f>CAP_OTH!D63</f>
        <v>Other Capital Investment 1</v>
      </c>
      <c r="E927" s="119">
        <f>CAP_OTH!E63</f>
        <v>0</v>
      </c>
      <c r="I927" s="379">
        <f>CAP_OTH!I63</f>
        <v>0</v>
      </c>
      <c r="J927" s="119">
        <f>CAP_OTH!J63</f>
        <v>0</v>
      </c>
      <c r="K927" s="119">
        <f>CAP_OTH!K63</f>
        <v>0</v>
      </c>
      <c r="L927" s="119">
        <f>CAP_OTH!L63</f>
        <v>0</v>
      </c>
      <c r="M927" s="119">
        <f>CAP_OTH!M63</f>
        <v>0</v>
      </c>
      <c r="N927" s="119">
        <f>CAP_OTH!N63</f>
        <v>0</v>
      </c>
    </row>
    <row r="928" spans="4:14" s="10" customFormat="1" x14ac:dyDescent="0.2">
      <c r="D928" s="49" t="str">
        <f>CAP_OTH!D64</f>
        <v>Other Capital Investment 2</v>
      </c>
      <c r="E928" s="119">
        <f>CAP_OTH!E64</f>
        <v>0</v>
      </c>
      <c r="I928" s="379">
        <f>CAP_OTH!I64</f>
        <v>0</v>
      </c>
      <c r="J928" s="119">
        <f>CAP_OTH!J64</f>
        <v>0</v>
      </c>
      <c r="K928" s="119">
        <f>CAP_OTH!K64</f>
        <v>0</v>
      </c>
      <c r="L928" s="119">
        <f>CAP_OTH!L64</f>
        <v>0</v>
      </c>
      <c r="M928" s="119">
        <f>CAP_OTH!M64</f>
        <v>0</v>
      </c>
      <c r="N928" s="119">
        <f>CAP_OTH!N64</f>
        <v>0</v>
      </c>
    </row>
    <row r="929" spans="1:14" s="10" customFormat="1" x14ac:dyDescent="0.2">
      <c r="D929" s="49" t="str">
        <f>CAP_OTH!D65</f>
        <v>Other Capital Investment 3</v>
      </c>
      <c r="E929" s="119">
        <f>CAP_OTH!E65</f>
        <v>0</v>
      </c>
      <c r="I929" s="379">
        <f>CAP_OTH!I65</f>
        <v>0</v>
      </c>
      <c r="J929" s="119">
        <f>CAP_OTH!J65</f>
        <v>0</v>
      </c>
      <c r="K929" s="119">
        <f>CAP_OTH!K65</f>
        <v>0</v>
      </c>
      <c r="L929" s="119">
        <f>CAP_OTH!L65</f>
        <v>0</v>
      </c>
      <c r="M929" s="119">
        <f>CAP_OTH!M65</f>
        <v>0</v>
      </c>
      <c r="N929" s="119">
        <f>CAP_OTH!N65</f>
        <v>0</v>
      </c>
    </row>
    <row r="930" spans="1:14" s="10" customFormat="1" x14ac:dyDescent="0.2">
      <c r="D930" s="49" t="str">
        <f>CAP_OTH!D66</f>
        <v>Other Capital Investment 4</v>
      </c>
      <c r="E930" s="119">
        <f>CAP_OTH!E66</f>
        <v>0</v>
      </c>
      <c r="I930" s="379">
        <f>CAP_OTH!I66</f>
        <v>0</v>
      </c>
      <c r="J930" s="119">
        <f>CAP_OTH!J66</f>
        <v>0</v>
      </c>
      <c r="K930" s="119">
        <f>CAP_OTH!K66</f>
        <v>0</v>
      </c>
      <c r="L930" s="119">
        <f>CAP_OTH!L66</f>
        <v>0</v>
      </c>
      <c r="M930" s="119">
        <f>CAP_OTH!M66</f>
        <v>0</v>
      </c>
      <c r="N930" s="119">
        <f>CAP_OTH!N66</f>
        <v>0</v>
      </c>
    </row>
    <row r="931" spans="1:14" s="10" customFormat="1" x14ac:dyDescent="0.2">
      <c r="D931" s="49" t="str">
        <f>CAP_OTH!D67</f>
        <v>Other Capital Investment 5</v>
      </c>
      <c r="E931" s="119">
        <f>CAP_OTH!E67</f>
        <v>0</v>
      </c>
      <c r="I931" s="379">
        <f>CAP_OTH!I67</f>
        <v>0</v>
      </c>
      <c r="J931" s="119">
        <f>CAP_OTH!J67</f>
        <v>0</v>
      </c>
      <c r="K931" s="119">
        <f>CAP_OTH!K67</f>
        <v>0</v>
      </c>
      <c r="L931" s="119">
        <f>CAP_OTH!L67</f>
        <v>0</v>
      </c>
      <c r="M931" s="119">
        <f>CAP_OTH!M67</f>
        <v>0</v>
      </c>
      <c r="N931" s="119">
        <f>CAP_OTH!N67</f>
        <v>0</v>
      </c>
    </row>
    <row r="932" spans="1:14" s="10" customFormat="1" x14ac:dyDescent="0.2">
      <c r="D932" s="49" t="str">
        <f>CAP_OTH!D68</f>
        <v>Other Capital Investment 6</v>
      </c>
      <c r="E932" s="119">
        <f>CAP_OTH!E68</f>
        <v>0</v>
      </c>
      <c r="I932" s="379">
        <f>CAP_OTH!I68</f>
        <v>0</v>
      </c>
      <c r="J932" s="119">
        <f>CAP_OTH!J68</f>
        <v>0</v>
      </c>
      <c r="K932" s="119">
        <f>CAP_OTH!K68</f>
        <v>0</v>
      </c>
      <c r="L932" s="119">
        <f>CAP_OTH!L68</f>
        <v>0</v>
      </c>
      <c r="M932" s="119">
        <f>CAP_OTH!M68</f>
        <v>0</v>
      </c>
      <c r="N932" s="119">
        <f>CAP_OTH!N68</f>
        <v>0</v>
      </c>
    </row>
    <row r="933" spans="1:14" s="10" customFormat="1" x14ac:dyDescent="0.2">
      <c r="D933" s="49" t="str">
        <f>CAP_OTH!D69</f>
        <v>Other Capital Investment 7</v>
      </c>
      <c r="E933" s="119">
        <f>CAP_OTH!E69</f>
        <v>0</v>
      </c>
      <c r="I933" s="379">
        <f>CAP_OTH!I69</f>
        <v>0</v>
      </c>
      <c r="J933" s="119">
        <f>CAP_OTH!J69</f>
        <v>0</v>
      </c>
      <c r="K933" s="119">
        <f>CAP_OTH!K69</f>
        <v>0</v>
      </c>
      <c r="L933" s="119">
        <f>CAP_OTH!L69</f>
        <v>0</v>
      </c>
      <c r="M933" s="119">
        <f>CAP_OTH!M69</f>
        <v>0</v>
      </c>
      <c r="N933" s="119">
        <f>CAP_OTH!N69</f>
        <v>0</v>
      </c>
    </row>
    <row r="934" spans="1:14" s="10" customFormat="1" x14ac:dyDescent="0.2">
      <c r="D934" s="49" t="str">
        <f>CAP_OTH!D70</f>
        <v>Other Capital Investment 8</v>
      </c>
      <c r="E934" s="119">
        <f>CAP_OTH!E70</f>
        <v>0</v>
      </c>
      <c r="I934" s="379">
        <f>CAP_OTH!I70</f>
        <v>0</v>
      </c>
      <c r="J934" s="119">
        <f>CAP_OTH!J70</f>
        <v>0</v>
      </c>
      <c r="K934" s="119">
        <f>CAP_OTH!K70</f>
        <v>0</v>
      </c>
      <c r="L934" s="119">
        <f>CAP_OTH!L70</f>
        <v>0</v>
      </c>
      <c r="M934" s="119">
        <f>CAP_OTH!M70</f>
        <v>0</v>
      </c>
      <c r="N934" s="119">
        <f>CAP_OTH!N70</f>
        <v>0</v>
      </c>
    </row>
    <row r="935" spans="1:14" s="10" customFormat="1" x14ac:dyDescent="0.2">
      <c r="D935" s="49" t="str">
        <f>CAP_OTH!D71</f>
        <v>Other Capital Investment 9</v>
      </c>
      <c r="E935" s="119">
        <f>CAP_OTH!E71</f>
        <v>0</v>
      </c>
      <c r="I935" s="379">
        <f>CAP_OTH!I71</f>
        <v>0</v>
      </c>
      <c r="J935" s="119">
        <f>CAP_OTH!J71</f>
        <v>0</v>
      </c>
      <c r="K935" s="119">
        <f>CAP_OTH!K71</f>
        <v>0</v>
      </c>
      <c r="L935" s="119">
        <f>CAP_OTH!L71</f>
        <v>0</v>
      </c>
      <c r="M935" s="119">
        <f>CAP_OTH!M71</f>
        <v>0</v>
      </c>
      <c r="N935" s="119">
        <f>CAP_OTH!N71</f>
        <v>0</v>
      </c>
    </row>
    <row r="936" spans="1:14" s="10" customFormat="1" x14ac:dyDescent="0.2">
      <c r="D936" s="49" t="str">
        <f>CAP_OTH!D72</f>
        <v>Other Capital Investment 10</v>
      </c>
      <c r="E936" s="119">
        <f>CAP_OTH!E72</f>
        <v>0</v>
      </c>
      <c r="I936" s="379">
        <f>CAP_OTH!I72</f>
        <v>0</v>
      </c>
      <c r="J936" s="119">
        <f>CAP_OTH!J72</f>
        <v>0</v>
      </c>
      <c r="K936" s="119">
        <f>CAP_OTH!K72</f>
        <v>0</v>
      </c>
      <c r="L936" s="119">
        <f>CAP_OTH!L72</f>
        <v>0</v>
      </c>
      <c r="M936" s="119">
        <f>CAP_OTH!M72</f>
        <v>0</v>
      </c>
      <c r="N936" s="119">
        <f>CAP_OTH!N72</f>
        <v>0</v>
      </c>
    </row>
    <row r="937" spans="1:14" s="10" customFormat="1" x14ac:dyDescent="0.2">
      <c r="D937" s="249" t="str">
        <f>Lang_Total_SmallLetter&amp;" "&amp;$B$868&amp;" "&amp;D925</f>
        <v>Total Other Capital Investments (Introduction Costs) Economic (USD) - Annualized</v>
      </c>
      <c r="E937" s="378"/>
      <c r="I937" s="381">
        <f>SUM(I927:I936)</f>
        <v>0</v>
      </c>
      <c r="J937" s="360">
        <f t="shared" ref="J937:N937" si="142">SUM(J927:J936)</f>
        <v>0</v>
      </c>
      <c r="K937" s="360">
        <f t="shared" si="142"/>
        <v>0</v>
      </c>
      <c r="L937" s="360">
        <f t="shared" si="142"/>
        <v>0</v>
      </c>
      <c r="M937" s="360">
        <f t="shared" si="142"/>
        <v>0</v>
      </c>
      <c r="N937" s="360">
        <f t="shared" si="142"/>
        <v>0</v>
      </c>
    </row>
    <row r="938" spans="1:14" s="10" customFormat="1" x14ac:dyDescent="0.2"/>
    <row r="939" spans="1:14" s="10" customFormat="1" x14ac:dyDescent="0.2">
      <c r="D939" s="101" t="str">
        <f>B$802&amp;" "&amp;Lang_Cost&amp;" "&amp;Lang_Per_Fully_Immunized_Person_FIP</f>
        <v>Other Capital Investments (Initial Investment) Cost per Fully Immunized Person (FIP)</v>
      </c>
      <c r="I939" s="388">
        <f>I937/I$37</f>
        <v>0</v>
      </c>
      <c r="J939" s="116">
        <f t="shared" ref="J939:N939" si="143">J937/J$37</f>
        <v>0</v>
      </c>
      <c r="K939" s="116">
        <f t="shared" si="143"/>
        <v>0</v>
      </c>
      <c r="L939" s="116">
        <f t="shared" si="143"/>
        <v>0</v>
      </c>
      <c r="M939" s="116">
        <f t="shared" si="143"/>
        <v>0</v>
      </c>
      <c r="N939" s="116">
        <f t="shared" si="143"/>
        <v>0</v>
      </c>
    </row>
    <row r="940" spans="1:14" s="10" customFormat="1" x14ac:dyDescent="0.2"/>
    <row r="941" spans="1:14" s="10" customFormat="1" x14ac:dyDescent="0.2"/>
    <row r="942" spans="1:14" s="10" customFormat="1" hidden="1" x14ac:dyDescent="0.2"/>
    <row r="943" spans="1:14" s="10" customFormat="1" hidden="1" x14ac:dyDescent="0.2">
      <c r="A943" s="12" t="s">
        <v>125</v>
      </c>
      <c r="B943" s="13" t="s">
        <v>580</v>
      </c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</row>
    <row r="944" spans="1:14" s="10" customFormat="1" x14ac:dyDescent="0.2"/>
    <row r="945" spans="4:4" s="10" customFormat="1" x14ac:dyDescent="0.2">
      <c r="D945" s="49" t="str">
        <f>LABELS!E40</f>
        <v>HPV 1</v>
      </c>
    </row>
    <row r="946" spans="4:4" s="10" customFormat="1" x14ac:dyDescent="0.2">
      <c r="D946" s="49" t="str">
        <f>LABELS!E41</f>
        <v>HPV 2</v>
      </c>
    </row>
    <row r="947" spans="4:4" s="10" customFormat="1" x14ac:dyDescent="0.2"/>
    <row r="949" spans="4:4" x14ac:dyDescent="0.2"/>
    <row r="965" x14ac:dyDescent="0.2"/>
    <row r="966" x14ac:dyDescent="0.2"/>
    <row r="967" x14ac:dyDescent="0.2"/>
    <row r="968" x14ac:dyDescent="0.2"/>
    <row r="969" x14ac:dyDescent="0.2"/>
    <row r="970" x14ac:dyDescent="0.2"/>
    <row r="971" x14ac:dyDescent="0.2"/>
    <row r="972" x14ac:dyDescent="0.2"/>
    <row r="973" x14ac:dyDescent="0.2"/>
    <row r="974" x14ac:dyDescent="0.2"/>
    <row r="975" x14ac:dyDescent="0.2"/>
    <row r="976" x14ac:dyDescent="0.2"/>
    <row r="977" x14ac:dyDescent="0.2"/>
    <row r="978" x14ac:dyDescent="0.2"/>
    <row r="979" x14ac:dyDescent="0.2"/>
    <row r="980" x14ac:dyDescent="0.2"/>
  </sheetData>
  <dataConsolidate/>
  <dataValidations count="1">
    <dataValidation type="custom" showErrorMessage="1" errorTitle="Invalid Assumption" error="Assumption must be a number." sqref="J589:N593 J577:N581 J568:N568 J566:N566 J564:N564 J562:N562 J560:N560 J511:N517 J497:N503 J481:N487 J432:N434 J119:N119 J115:N115 J117:N117 J443:N445 J368:N375 J353:N360 J343:N343 J341:N341 J339:N339 J337:N337 J335:N335 J333:N333 J331:N331 J329:N329 J283:N288 J270:N275 J260:N260 J258:N258 J256:N256 J254:N254 J252:N252 J250:N250 J210:N213 J199:N202 J189:N189 J187:N187 J185:N185 J183:N183 J142:N145 J131:N134 J121:N121" xr:uid="{00000000-0002-0000-0600-000000000000}">
      <formula1>NOT(ISERROR(J115/1))</formula1>
    </dataValidation>
  </dataValidations>
  <hyperlinks>
    <hyperlink ref="A26" location="HL_Analy_Out" tooltip="Click to follow hyperlink." display="HL_Analy_Out" xr:uid="{00000000-0004-0000-0600-000000000000}"/>
    <hyperlink ref="A45" location="HL_Analy_Out" tooltip="Click to follow hyperlink." display="HL_Analy_Out" xr:uid="{00000000-0004-0000-0600-000001000000}"/>
    <hyperlink ref="A61" location="HL_Analy_Out" tooltip="Click to follow hyperlink." display="HL_Analy_Out" xr:uid="{00000000-0004-0000-0600-000002000000}"/>
    <hyperlink ref="A108" location="HL_Analy_Out_A" tooltip="Click to follow hyperlink." display="HL_Analy_Out_A" xr:uid="{00000000-0004-0000-0600-000003000000}"/>
    <hyperlink ref="A176" location="HL_Analy_Out_A" tooltip="Click to follow hyperlink." display="HL_Analy_Out_A" xr:uid="{00000000-0004-0000-0600-000004000000}"/>
    <hyperlink ref="A243" location="HL_Analy_Out_A" tooltip="Click to follow hyperlink." display="HL_Analy_Out_A" xr:uid="{00000000-0004-0000-0600-000005000000}"/>
    <hyperlink ref="A322" location="HL_Analy_Out_A" tooltip="Click to follow hyperlink." display="HL_Analy_Out_A" xr:uid="{00000000-0004-0000-0600-000006000000}"/>
    <hyperlink ref="A413" location="HL_Analy_Out_A" tooltip="Click to follow hyperlink." display="HL_Analy_Out_A" xr:uid="{00000000-0004-0000-0600-000007000000}"/>
    <hyperlink ref="A475" location="HL_Analy_Out_A" tooltip="Click to follow hyperlink." display="HL_Analy_Out_A" xr:uid="{00000000-0004-0000-0600-000008000000}"/>
    <hyperlink ref="A553" location="HL_Analy_Out_A" tooltip="Click to follow hyperlink." display="HL_Analy_Out_A" xr:uid="{00000000-0004-0000-0600-000009000000}"/>
    <hyperlink ref="A624" location="HL_Analy_Out_A" tooltip="Click to follow hyperlink." display="HL_Analy_Out_A" xr:uid="{00000000-0004-0000-0600-00000A000000}"/>
    <hyperlink ref="A784" location="HL_Analy_Out_A" tooltip="Click to follow hyperlink." display="HL_Analy_Out_A" xr:uid="{00000000-0004-0000-0600-00000B000000}"/>
    <hyperlink ref="A943" location="HL_Analy_Out_A" tooltip="Click to follow hyperlink." display="HL_Analy_Out_A" xr:uid="{00000000-0004-0000-0600-00000C000000}"/>
    <hyperlink ref="A1" location="Contents!A1" tooltip="Go to Table of Contents" display="±" xr:uid="{00000000-0004-0000-0600-00000D000000}"/>
    <hyperlink ref="A3" location="$B$8" tooltip="Go to Top of Sheet" display="$B$8" xr:uid="{050967C7-CDCF-432E-816C-89CC7E067179}"/>
  </hyperlinks>
  <pageMargins left="0.7" right="0.7" top="0.75" bottom="0.75" header="0.3" footer="0.3"/>
  <pageSetup scale="58" fitToHeight="0" orientation="landscape" horizontalDpi="0" verticalDpi="0" r:id="rId1"/>
  <headerFooter>
    <oddFooter>&amp;L&amp;B Confidential&amp;B&amp;C&amp;D&amp;RPage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rgb="FF0070C0"/>
    <pageSetUpPr autoPageBreaks="0"/>
  </sheetPr>
  <dimension ref="A1:N46"/>
  <sheetViews>
    <sheetView showGridLines="0" zoomScaleNormal="100" workbookViewId="0">
      <pane xSplit="1" ySplit="9" topLeftCell="B22" activePane="bottomRight" state="frozen"/>
      <selection activeCell="K26" sqref="K26"/>
      <selection pane="topRight" activeCell="K26" sqref="K26"/>
      <selection pane="bottomLeft" activeCell="K26" sqref="K26"/>
      <selection pane="bottomRight" activeCell="D35" sqref="D35"/>
    </sheetView>
  </sheetViews>
  <sheetFormatPr defaultColWidth="11.7109375" defaultRowHeight="12" outlineLevelRow="2" outlineLevelCol="1" x14ac:dyDescent="0.2"/>
  <cols>
    <col min="1" max="2" width="3.7109375" customWidth="1"/>
    <col min="3" max="3" width="5.7109375" customWidth="1"/>
    <col min="4" max="4" width="35.7109375" customWidth="1"/>
    <col min="5" max="5" width="30.7109375" customWidth="1"/>
    <col min="6" max="6" width="15.7109375" customWidth="1"/>
    <col min="7" max="7" width="10.7109375" customWidth="1"/>
    <col min="9" max="9" width="15.7109375" customWidth="1"/>
    <col min="10" max="14" width="20.7109375" customWidth="1" outlineLevel="1"/>
  </cols>
  <sheetData>
    <row r="1" spans="1:14" ht="15" x14ac:dyDescent="0.2">
      <c r="A1" s="2" t="s">
        <v>128</v>
      </c>
      <c r="B1" s="31" t="str">
        <f>Lang_Developer_Only</f>
        <v>Developer Only</v>
      </c>
    </row>
    <row r="2" spans="1:14" ht="12.75" x14ac:dyDescent="0.2">
      <c r="A2" s="36" t="s">
        <v>18</v>
      </c>
      <c r="B2" s="45" t="str">
        <f ca="1">Model_Name</f>
        <v>Cervical Cancer Prevention and Control Costing (C4P) Tool (Cost Projection)</v>
      </c>
    </row>
    <row r="3" spans="1:14" ht="12.75" x14ac:dyDescent="0.2">
      <c r="B3" s="426" t="str">
        <f>Lang_Goto_TOC</f>
        <v>Go to Table of Contents</v>
      </c>
      <c r="C3" s="426"/>
      <c r="D3" s="426"/>
      <c r="E3" s="47"/>
      <c r="F3" s="47"/>
    </row>
    <row r="4" spans="1:14" x14ac:dyDescent="0.2">
      <c r="A4" s="2" t="s">
        <v>5</v>
      </c>
      <c r="B4" s="38" t="s">
        <v>7</v>
      </c>
      <c r="C4" s="39" t="s">
        <v>8</v>
      </c>
      <c r="D4" s="57" t="s">
        <v>18</v>
      </c>
      <c r="F4" s="58" t="s">
        <v>19</v>
      </c>
    </row>
    <row r="5" spans="1:14" s="10" customFormat="1" x14ac:dyDescent="0.2">
      <c r="B5" s="90" t="str">
        <f>Lang_Year_Ending&amp;" "&amp;INDEX(LU_TS_Mth_Names,DD_TS_Fin_Yr_End_Mth)</f>
        <v>Year Ending December</v>
      </c>
      <c r="C5" s="90"/>
      <c r="D5" s="90"/>
      <c r="E5" s="90"/>
      <c r="F5" s="90"/>
      <c r="G5" s="90"/>
      <c r="H5" s="90"/>
      <c r="I5" s="90"/>
      <c r="J5" s="106">
        <f t="shared" ref="J5:N5" si="0">J9</f>
        <v>2019</v>
      </c>
      <c r="K5" s="106">
        <f t="shared" si="0"/>
        <v>2020</v>
      </c>
      <c r="L5" s="106">
        <f t="shared" si="0"/>
        <v>2021</v>
      </c>
      <c r="M5" s="106">
        <f t="shared" si="0"/>
        <v>2022</v>
      </c>
      <c r="N5" s="106">
        <f t="shared" si="0"/>
        <v>2023</v>
      </c>
    </row>
    <row r="6" spans="1:14" s="10" customFormat="1" outlineLevel="2" x14ac:dyDescent="0.2">
      <c r="B6" s="50" t="str">
        <f>Lang_Period_Start_Date</f>
        <v>Period Start Date</v>
      </c>
      <c r="J6" s="340">
        <f>EDATE(TS_Start_Date,(J8-1)*TS_Mths_In_Yr)</f>
        <v>43466</v>
      </c>
      <c r="K6" s="340">
        <f>EDATE(TS_Start_Date,(K8-1)*TS_Mths_In_Yr)</f>
        <v>43831</v>
      </c>
      <c r="L6" s="340">
        <f>EDATE(TS_Start_Date,(L8-1)*TS_Mths_In_Yr)</f>
        <v>44197</v>
      </c>
      <c r="M6" s="340">
        <f>EDATE(TS_Start_Date,(M8-1)*TS_Mths_In_Yr)</f>
        <v>44562</v>
      </c>
      <c r="N6" s="340">
        <f>EDATE(TS_Start_Date,(N8-1)*TS_Mths_In_Yr)</f>
        <v>44927</v>
      </c>
    </row>
    <row r="7" spans="1:14" s="10" customFormat="1" outlineLevel="2" x14ac:dyDescent="0.2">
      <c r="B7" s="50" t="str">
        <f>Lang_Period_End_Date</f>
        <v>Period End Date</v>
      </c>
      <c r="J7" s="340">
        <f>EDATE(J6,TS_Mths_In_Yr)-1</f>
        <v>43830</v>
      </c>
      <c r="K7" s="340">
        <f>EDATE(K6,TS_Mths_In_Yr)-1</f>
        <v>44196</v>
      </c>
      <c r="L7" s="340">
        <f>EDATE(L6,TS_Mths_In_Yr)-1</f>
        <v>44561</v>
      </c>
      <c r="M7" s="340">
        <f>EDATE(M6,TS_Mths_In_Yr)-1</f>
        <v>44926</v>
      </c>
      <c r="N7" s="340">
        <f>EDATE(N6,TS_Mths_In_Yr)-1</f>
        <v>45291</v>
      </c>
    </row>
    <row r="8" spans="1:14" s="10" customFormat="1" outlineLevel="2" x14ac:dyDescent="0.2">
      <c r="B8" s="50" t="str">
        <f>Lang_Counter</f>
        <v>Counter</v>
      </c>
      <c r="J8" s="42">
        <f>COLUMNS($J8:J8)</f>
        <v>1</v>
      </c>
      <c r="K8" s="42">
        <f>COLUMNS($J8:K8)</f>
        <v>2</v>
      </c>
      <c r="L8" s="42">
        <f>COLUMNS($J8:L8)</f>
        <v>3</v>
      </c>
      <c r="M8" s="42">
        <f>COLUMNS($J8:M8)</f>
        <v>4</v>
      </c>
      <c r="N8" s="42">
        <f>COLUMNS($J8:N8)</f>
        <v>5</v>
      </c>
    </row>
    <row r="9" spans="1:14" s="10" customFormat="1" outlineLevel="2" x14ac:dyDescent="0.2">
      <c r="B9" s="91" t="str">
        <f>Lang_Financial_Year</f>
        <v>Financial Year</v>
      </c>
      <c r="C9" s="69"/>
      <c r="D9" s="69"/>
      <c r="E9" s="69"/>
      <c r="F9" s="69"/>
      <c r="G9" s="69"/>
      <c r="H9" s="69"/>
      <c r="I9" s="69"/>
      <c r="J9" s="341">
        <f t="shared" ref="J9:N9" si="1">YEAR(J7)</f>
        <v>2019</v>
      </c>
      <c r="K9" s="341">
        <f t="shared" si="1"/>
        <v>2020</v>
      </c>
      <c r="L9" s="341">
        <f t="shared" si="1"/>
        <v>2021</v>
      </c>
      <c r="M9" s="341">
        <f t="shared" si="1"/>
        <v>2022</v>
      </c>
      <c r="N9" s="341">
        <f t="shared" si="1"/>
        <v>2023</v>
      </c>
    </row>
    <row r="10" spans="1:14" s="10" customFormat="1" x14ac:dyDescent="0.2">
      <c r="A10" s="12" t="s">
        <v>127</v>
      </c>
      <c r="B10" s="13" t="str">
        <f>Lang_Analysis_Imported_Selections_Developer_Only</f>
        <v>Analysis - Imported Selections (Developer Only)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</row>
    <row r="11" spans="1:14" s="10" customFormat="1" outlineLevel="1" x14ac:dyDescent="0.2"/>
    <row r="12" spans="1:14" s="10" customFormat="1" outlineLevel="1" x14ac:dyDescent="0.2"/>
    <row r="13" spans="1:14" s="10" customFormat="1" outlineLevel="1" x14ac:dyDescent="0.2"/>
    <row r="14" spans="1:14" s="10" customFormat="1" outlineLevel="1" x14ac:dyDescent="0.2"/>
    <row r="15" spans="1:14" s="10" customFormat="1" outlineLevel="1" x14ac:dyDescent="0.2"/>
    <row r="16" spans="1:14" s="10" customFormat="1" outlineLevel="1" x14ac:dyDescent="0.2"/>
    <row r="17" spans="1:14" s="10" customFormat="1" outlineLevel="1" x14ac:dyDescent="0.2">
      <c r="D17" s="50" t="str">
        <f>Lang_These_Values_Are_Set_By_User_In_Econ</f>
        <v>These values are set by the user in the Economics Worksheet (Econ)</v>
      </c>
    </row>
    <row r="18" spans="1:14" s="10" customFormat="1" outlineLevel="1" x14ac:dyDescent="0.2">
      <c r="D18" s="50" t="str">
        <f>Lang_Currencies_Category_1</f>
        <v>Foreign Currency</v>
      </c>
      <c r="E18" s="49" t="str">
        <f>ECONOMICS!F7</f>
        <v>USD</v>
      </c>
    </row>
    <row r="19" spans="1:14" s="10" customFormat="1" outlineLevel="1" x14ac:dyDescent="0.2">
      <c r="D19" s="50" t="str">
        <f>Lang_Currencies_Category_2</f>
        <v>Local Currency</v>
      </c>
      <c r="E19" s="49" t="str">
        <f>ECONOMICS!F8</f>
        <v>LCU</v>
      </c>
    </row>
    <row r="20" spans="1:14" s="10" customFormat="1" outlineLevel="1" x14ac:dyDescent="0.2"/>
    <row r="21" spans="1:14" s="10" customFormat="1" outlineLevel="1" x14ac:dyDescent="0.2">
      <c r="D21" s="50" t="str">
        <f>Lang_Exchange_Rate</f>
        <v>Exchange Rate</v>
      </c>
      <c r="E21" s="41">
        <f>ECONOMICS!E13</f>
        <v>1234.5</v>
      </c>
    </row>
    <row r="22" spans="1:14" s="10" customFormat="1" outlineLevel="1" x14ac:dyDescent="0.2"/>
    <row r="23" spans="1:14" s="10" customFormat="1" outlineLevel="1" x14ac:dyDescent="0.2"/>
    <row r="24" spans="1:14" s="10" customFormat="1" x14ac:dyDescent="0.2"/>
    <row r="25" spans="1:14" s="10" customFormat="1" x14ac:dyDescent="0.2">
      <c r="A25" s="12" t="s">
        <v>125</v>
      </c>
      <c r="B25" s="13" t="str">
        <f>Lang_Coverage_Linked_Names_Developer_Only</f>
        <v>Coverage - Linked Names (DEVELOPER ONLY)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</row>
    <row r="26" spans="1:14" s="10" customFormat="1" outlineLevel="1" x14ac:dyDescent="0.2"/>
    <row r="27" spans="1:14" s="10" customFormat="1" outlineLevel="1" x14ac:dyDescent="0.2"/>
    <row r="28" spans="1:14" s="10" customFormat="1" outlineLevel="1" x14ac:dyDescent="0.2">
      <c r="C28" s="55" t="str">
        <f>Lang_Age_Groups</f>
        <v>Age Groups</v>
      </c>
    </row>
    <row r="29" spans="1:14" s="10" customFormat="1" outlineLevel="1" x14ac:dyDescent="0.2">
      <c r="D29" s="49" t="str">
        <f>LABELS!E21</f>
        <v>Target Group Name1</v>
      </c>
    </row>
    <row r="30" spans="1:14" s="10" customFormat="1" outlineLevel="1" x14ac:dyDescent="0.2">
      <c r="D30" s="49" t="str">
        <f>LABELS!E22</f>
        <v>Target Group Name2</v>
      </c>
    </row>
    <row r="31" spans="1:14" s="10" customFormat="1" outlineLevel="1" x14ac:dyDescent="0.2"/>
    <row r="32" spans="1:14" s="10" customFormat="1" outlineLevel="1" x14ac:dyDescent="0.2"/>
    <row r="33" spans="3:4" s="10" customFormat="1" outlineLevel="1" x14ac:dyDescent="0.2"/>
    <row r="34" spans="3:4" s="10" customFormat="1" outlineLevel="1" x14ac:dyDescent="0.2">
      <c r="C34" s="55" t="str">
        <f>Lang_Segments_Used_For_Both_Age_Groups</f>
        <v>Segments (Used for Both Age Groups)</v>
      </c>
    </row>
    <row r="35" spans="3:4" s="10" customFormat="1" outlineLevel="1" x14ac:dyDescent="0.2">
      <c r="D35" s="49" t="str">
        <f>LABELS!E25</f>
        <v>IN-SCHOOL</v>
      </c>
    </row>
    <row r="36" spans="3:4" s="10" customFormat="1" outlineLevel="1" x14ac:dyDescent="0.2">
      <c r="D36" s="49" t="str">
        <f>LABELS!E26</f>
        <v>OUT OF SCHOOL</v>
      </c>
    </row>
    <row r="37" spans="3:4" s="10" customFormat="1" outlineLevel="1" x14ac:dyDescent="0.2"/>
    <row r="38" spans="3:4" s="10" customFormat="1" outlineLevel="1" x14ac:dyDescent="0.2"/>
    <row r="39" spans="3:4" s="10" customFormat="1" outlineLevel="1" x14ac:dyDescent="0.2"/>
    <row r="40" spans="3:4" s="10" customFormat="1" outlineLevel="1" x14ac:dyDescent="0.2"/>
    <row r="41" spans="3:4" s="10" customFormat="1" outlineLevel="1" x14ac:dyDescent="0.2">
      <c r="C41" s="55" t="str">
        <f>Lang_Primary_Area_Used_For_Age_Groups_And_Segments</f>
        <v>Primary Area (Used for Age Groups and Segments)</v>
      </c>
    </row>
    <row r="42" spans="3:4" s="10" customFormat="1" outlineLevel="1" x14ac:dyDescent="0.2">
      <c r="D42" s="49" t="str">
        <f>LABELS!E8</f>
        <v>Test  Country AA</v>
      </c>
    </row>
    <row r="43" spans="3:4" s="10" customFormat="1" outlineLevel="1" x14ac:dyDescent="0.2"/>
    <row r="44" spans="3:4" s="10" customFormat="1" outlineLevel="1" x14ac:dyDescent="0.2">
      <c r="C44" s="74" t="str">
        <f>Lang_Doses</f>
        <v>Doses</v>
      </c>
    </row>
    <row r="45" spans="3:4" s="10" customFormat="1" outlineLevel="1" x14ac:dyDescent="0.2">
      <c r="D45" s="49" t="str">
        <f>LABELS!E40</f>
        <v>HPV 1</v>
      </c>
    </row>
    <row r="46" spans="3:4" s="10" customFormat="1" outlineLevel="1" x14ac:dyDescent="0.2">
      <c r="D46" s="49" t="str">
        <f>LABELS!E41</f>
        <v>HPV 2</v>
      </c>
    </row>
  </sheetData>
  <mergeCells count="1">
    <mergeCell ref="B3:D3"/>
  </mergeCells>
  <dataValidations count="1">
    <dataValidation type="custom" showErrorMessage="1" errorTitle="Invalid Assumption" error="Assumption must be a number." sqref="E21" xr:uid="{00000000-0002-0000-0700-000000000000}">
      <formula1>NOT(ISERROR(E21/1))</formula1>
    </dataValidation>
  </dataValidations>
  <hyperlinks>
    <hyperlink ref="B4" location="HL_Sheet_Main_57" tooltip="Go to Previous Sheet" display="HL_Sheet_Main_57" xr:uid="{00000000-0004-0000-0700-000000000000}"/>
    <hyperlink ref="A10" location="HL_Analy_Out" tooltip="Click to follow hyperlink." display="HL_Analy_Out" xr:uid="{00000000-0004-0000-0700-000001000000}"/>
    <hyperlink ref="A4" location="$B$10" tooltip="Go to Top of Sheet" display="$B$10" xr:uid="{00000000-0004-0000-0700-000002000000}"/>
    <hyperlink ref="A1" location="HL_Home" tooltip="Go to Table of Contents" display="HL_Home" xr:uid="{00000000-0004-0000-0700-000003000000}"/>
    <hyperlink ref="C4" location="HL_Sheet_Main_64" tooltip="Go to Next Sheet" display="HL_Sheet_Main_64" xr:uid="{00000000-0004-0000-0700-000004000000}"/>
    <hyperlink ref="B3" location="HL_Home" tooltip="Go to Table of Contents" display="HL_Home" xr:uid="{00000000-0004-0000-0700-000005000000}"/>
    <hyperlink ref="D4" location="HL_Err_Chk" tooltip="Go to Error Checks" display="HL_Err_Chk" xr:uid="{00000000-0004-0000-0700-000006000000}"/>
    <hyperlink ref="F4" location="HL_Alt_Chk" tooltip="Go to Alert Checks" display="HL_Alt_Chk" xr:uid="{00000000-0004-0000-0700-000007000000}"/>
    <hyperlink ref="A2" location="HL_Err_Chk" tooltip="Go to Error Checks" display="HL_Err_Chk" xr:uid="{00000000-0004-0000-0700-000008000000}"/>
    <hyperlink ref="B3:D3" location="Contents!A1" tooltip="Go to Table of Contents" display="Contents!A1" xr:uid="{00000000-0004-0000-0700-000009000000}"/>
  </hyperlinks>
  <pageMargins left="0.4" right="0.4" top="0.6" bottom="1" header="0" footer="0.3"/>
  <pageSetup orientation="landscape" horizontalDpi="0" verticalDpi="0" r:id="rId1"/>
  <headerFooter>
    <oddFooter>&amp;L&amp;F
&amp;A
Printed: &amp;T on &amp;D&amp;CPage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0">
    <tabColor rgb="FF7030A0"/>
    <pageSetUpPr autoPageBreaks="0" fitToPage="1"/>
  </sheetPr>
  <dimension ref="A1:W33"/>
  <sheetViews>
    <sheetView showGridLines="0" showRowColHeaders="0" zoomScaleNormal="100" workbookViewId="0">
      <selection activeCell="R20" sqref="R20:S20"/>
    </sheetView>
  </sheetViews>
  <sheetFormatPr defaultColWidth="0" defaultRowHeight="12" zeroHeight="1" x14ac:dyDescent="0.2"/>
  <cols>
    <col min="1" max="2" width="11.7109375" customWidth="1"/>
    <col min="3" max="6" width="3.7109375" customWidth="1"/>
    <col min="7" max="23" width="11.7109375" customWidth="1"/>
    <col min="24" max="16384" width="11.7109375" hidden="1"/>
  </cols>
  <sheetData>
    <row r="1" spans="1:17" x14ac:dyDescent="0.2">
      <c r="A1" s="35" t="s">
        <v>128</v>
      </c>
    </row>
    <row r="2" spans="1:17" x14ac:dyDescent="0.2"/>
    <row r="3" spans="1:17" x14ac:dyDescent="0.2">
      <c r="N3" s="480"/>
      <c r="O3" s="480"/>
      <c r="P3" s="480"/>
      <c r="Q3" s="480"/>
    </row>
    <row r="4" spans="1:17" x14ac:dyDescent="0.2">
      <c r="N4" s="480"/>
      <c r="O4" s="480"/>
      <c r="P4" s="480"/>
      <c r="Q4" s="480"/>
    </row>
    <row r="5" spans="1:17" x14ac:dyDescent="0.2"/>
    <row r="6" spans="1:17" x14ac:dyDescent="0.2"/>
    <row r="7" spans="1:17" x14ac:dyDescent="0.2"/>
    <row r="8" spans="1:17" x14ac:dyDescent="0.2"/>
    <row r="9" spans="1:17" ht="15" x14ac:dyDescent="0.2">
      <c r="C9" s="31" t="str">
        <f>Lang_Assumptions</f>
        <v>Assumptions</v>
      </c>
    </row>
    <row r="10" spans="1:17" ht="12.75" x14ac:dyDescent="0.2">
      <c r="C10" s="32" t="str">
        <f>Lang_Section_2</f>
        <v>Section 2.</v>
      </c>
    </row>
    <row r="11" spans="1:17" ht="12.75" x14ac:dyDescent="0.2">
      <c r="C11" s="45" t="str">
        <f ca="1">Model_Name</f>
        <v>Cervical Cancer Prevention and Control Costing (C4P) Tool (Cost Projection)</v>
      </c>
    </row>
    <row r="12" spans="1:17" ht="12.75" x14ac:dyDescent="0.2">
      <c r="C12" s="426" t="str">
        <f>Lang_Goto_TOC</f>
        <v>Go to Table of Contents</v>
      </c>
      <c r="D12" s="426"/>
      <c r="E12" s="426"/>
      <c r="F12" s="426"/>
      <c r="G12" s="426"/>
    </row>
    <row r="13" spans="1:17" x14ac:dyDescent="0.2">
      <c r="C13" s="38" t="s">
        <v>7</v>
      </c>
      <c r="D13" s="2" t="s">
        <v>8</v>
      </c>
    </row>
    <row r="14" spans="1:17" x14ac:dyDescent="0.2"/>
    <row r="15" spans="1:17" x14ac:dyDescent="0.2"/>
    <row r="16" spans="1:17" x14ac:dyDescent="0.2"/>
    <row r="17" spans="3:21" ht="15" x14ac:dyDescent="0.2">
      <c r="C17" s="48"/>
      <c r="N17" s="146" t="str">
        <f>Lang_Current_Calc_Total_Per_FIP</f>
        <v>CURRENT CALCULATED TOTAL COST PER FULLY IMMUNISED PERSON (FIP)</v>
      </c>
    </row>
    <row r="18" spans="3:21" ht="12.75" thickBot="1" x14ac:dyDescent="0.25"/>
    <row r="19" spans="3:21" ht="12.75" thickBot="1" x14ac:dyDescent="0.25">
      <c r="R19" s="429" t="str">
        <f>Lang_Fin_Costs&amp;" ("&amp;Analy_Lu!$D$13&amp;")"</f>
        <v>FINANCIAL COSTS (LCU)</v>
      </c>
      <c r="S19" s="430"/>
      <c r="T19" s="429" t="str">
        <f>Lang_Econ_Costs&amp;" ("&amp;Analy_Lu!$D$13&amp;")"</f>
        <v>ECONOMIC COSTS (LCU)</v>
      </c>
      <c r="U19" s="479"/>
    </row>
    <row r="20" spans="3:21" x14ac:dyDescent="0.2">
      <c r="O20" s="431" t="str">
        <f>Lang_with&amp;" "&amp;Dashboard!$C$61</f>
        <v>with Vaccine and Injection Supply Costs</v>
      </c>
      <c r="P20" s="432"/>
      <c r="Q20" s="433"/>
      <c r="R20" s="434">
        <f>Dashboard!$E$76</f>
        <v>0</v>
      </c>
      <c r="S20" s="435"/>
      <c r="T20" s="435">
        <f>Dashboard!$F$76</f>
        <v>0</v>
      </c>
      <c r="U20" s="436"/>
    </row>
    <row r="21" spans="3:21" ht="12.75" thickBot="1" x14ac:dyDescent="0.25">
      <c r="O21" s="437" t="str">
        <f>Lang_without&amp;" "&amp;Dashboard!$C$61</f>
        <v>without Vaccine and Injection Supply Costs</v>
      </c>
      <c r="P21" s="438"/>
      <c r="Q21" s="438"/>
      <c r="R21" s="439">
        <f>Dashboard!$E$77</f>
        <v>0</v>
      </c>
      <c r="S21" s="440"/>
      <c r="T21" s="440">
        <f>Dashboard!$F$77</f>
        <v>0</v>
      </c>
      <c r="U21" s="441"/>
    </row>
    <row r="22" spans="3:21" x14ac:dyDescent="0.2"/>
    <row r="23" spans="3:21" x14ac:dyDescent="0.2">
      <c r="M23" s="427"/>
      <c r="N23" s="427"/>
      <c r="O23" s="427"/>
      <c r="P23" s="427"/>
      <c r="T23" s="56"/>
    </row>
    <row r="24" spans="3:21" ht="12.75" thickBot="1" x14ac:dyDescent="0.25"/>
    <row r="25" spans="3:21" ht="12.75" thickBot="1" x14ac:dyDescent="0.25">
      <c r="R25" s="477" t="str">
        <f>Lang_Fin_Costs&amp;" ("&amp;Analy_Lu!$D$12&amp;")"</f>
        <v>FINANCIAL COSTS (USD)</v>
      </c>
      <c r="S25" s="447"/>
      <c r="T25" s="447" t="str">
        <f>Lang_Econ_Costs&amp;" ("&amp;Analy_Lu!$D$12&amp;")"</f>
        <v>ECONOMIC COSTS (USD)</v>
      </c>
      <c r="U25" s="448"/>
    </row>
    <row r="26" spans="3:21" x14ac:dyDescent="0.2">
      <c r="O26" s="431" t="str">
        <f>Lang_with&amp;" "&amp;Dashboard!$C$61</f>
        <v>with Vaccine and Injection Supply Costs</v>
      </c>
      <c r="P26" s="432"/>
      <c r="Q26" s="433"/>
      <c r="R26" s="478">
        <f>Dashboard!$G$76</f>
        <v>0</v>
      </c>
      <c r="S26" s="450"/>
      <c r="T26" s="449">
        <f>Dashboard!$H$76</f>
        <v>0</v>
      </c>
      <c r="U26" s="451"/>
    </row>
    <row r="27" spans="3:21" ht="12.75" thickBot="1" x14ac:dyDescent="0.25">
      <c r="O27" s="437" t="str">
        <f>Lang_without&amp;" "&amp;Dashboard!$C$61</f>
        <v>without Vaccine and Injection Supply Costs</v>
      </c>
      <c r="P27" s="438"/>
      <c r="Q27" s="438"/>
      <c r="R27" s="476">
        <f>Dashboard!$G$77</f>
        <v>0</v>
      </c>
      <c r="S27" s="444"/>
      <c r="T27" s="443">
        <f>Dashboard!$H$77</f>
        <v>0</v>
      </c>
      <c r="U27" s="445"/>
    </row>
    <row r="28" spans="3:21" x14ac:dyDescent="0.2"/>
    <row r="29" spans="3:21" x14ac:dyDescent="0.2"/>
    <row r="30" spans="3:21" x14ac:dyDescent="0.2"/>
    <row r="31" spans="3:21" x14ac:dyDescent="0.2"/>
    <row r="32" spans="3:21" x14ac:dyDescent="0.2"/>
    <row r="33" spans="18:18" x14ac:dyDescent="0.2">
      <c r="R33" t="s">
        <v>39</v>
      </c>
    </row>
  </sheetData>
  <mergeCells count="21">
    <mergeCell ref="C12:G12"/>
    <mergeCell ref="N3:Q3"/>
    <mergeCell ref="P4:Q4"/>
    <mergeCell ref="N4:O4"/>
    <mergeCell ref="R19:S19"/>
    <mergeCell ref="T19:U19"/>
    <mergeCell ref="O20:Q20"/>
    <mergeCell ref="R20:S20"/>
    <mergeCell ref="T20:U20"/>
    <mergeCell ref="O21:Q21"/>
    <mergeCell ref="R21:S21"/>
    <mergeCell ref="T21:U21"/>
    <mergeCell ref="O27:Q27"/>
    <mergeCell ref="R27:S27"/>
    <mergeCell ref="T27:U27"/>
    <mergeCell ref="M23:P23"/>
    <mergeCell ref="R25:S25"/>
    <mergeCell ref="T25:U25"/>
    <mergeCell ref="O26:Q26"/>
    <mergeCell ref="R26:S26"/>
    <mergeCell ref="T26:U26"/>
  </mergeCells>
  <hyperlinks>
    <hyperlink ref="D13" location="HL_Sheet_Main_7" tooltip="Go to Next Sheet" display="HL_Sheet_Main_7" xr:uid="{00000000-0004-0000-0800-000000000000}"/>
    <hyperlink ref="C13" location="HL_Sheet_Main_57" tooltip="Go to Previous Sheet" display="HL_Sheet_Main_57" xr:uid="{00000000-0004-0000-0800-000001000000}"/>
    <hyperlink ref="C12" location="HL_Home" tooltip="Go to Table of Contents" display="HL_Home" xr:uid="{00000000-0004-0000-0800-000002000000}"/>
    <hyperlink ref="C12:G12" location="Contents!A1" tooltip="Go to Table of Contents" display="Contents!A1" xr:uid="{00000000-0004-0000-0800-000003000000}"/>
    <hyperlink ref="A1" location="Contents!A1" tooltip="Go to Table of Contents" display="±" xr:uid="{00000000-0004-0000-0800-000004000000}"/>
  </hyperlinks>
  <pageMargins left="0.7" right="0.7" top="0.75" bottom="0.75" header="0.3" footer="0.3"/>
  <pageSetup scale="76" fitToHeight="0" orientation="landscape" r:id="rId1"/>
  <headerFooter>
    <oddFooter>&amp;L&amp;B Confidential&amp;B&amp;C&amp;D&amp;RPage &amp;P</oddFooter>
  </headerFooter>
  <customProperties>
    <customPr name="LastActive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bookmarkGroups xmlns="bookmarkmarksaddin//bookmarkgroups"/>
</file>

<file path=customXml/item2.xml><?xml version="1.0" encoding="utf-8"?>
<bookmarks xmlns="bookmarkmarksaddin//bookmarks"/>
</file>

<file path=customXml/item3.xml>��< ? x m l   v e r s i o n = " 1 . 0 "   e n c o d i n g = " u t f - 1 6 " ? > < W o r k b o o k S e t t i n g s   x m l n s : x s i = " h t t p : / / w w w . w 3 . o r g / 2 0 0 1 / X M L S c h e m a - i n s t a n c e "   x m l n s : x s d = " h t t p : / / w w w . w 3 . o r g / 2 0 0 1 / X M L S c h e m a " >  
     < O p t i o n >  
         < O p t i o n T y p e > T o c I n c l u d e P r i n t e d P a g e N u m b e r s 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 T o c P r o m p t F o r P a g e N u m b e r s < / O p t i o n T y p e >  
         < U s e A p p l i c a t i o n S e t t i n g > t r u e < / U s e A p p l i c a t i o n S e t t i n g >  
         < V a l u e > t r u e < / V a l u e >  
     < / O p t i o n >  
     < O p t i o n >  
         < O p t i o n T y p e > T o c S h o w C u s t o m T o c E n t r i e s < / O p t i o n T y p e >  
         < U s e A p p l i c a t i o n S e t t i n g > f a l s e < / U s e A p p l i c a t i o n S e t t i n g >  
         < V a l u e > t r u e < / V a l u e >  
     < / O p t i o n >  
     < O p t i o n >  
         < O p t i o n T y p e > A u t o I n s e r t P r o j e c t S e c t i o n C o v e r s < / O p t i o n T y p e >  
         < U s e A p p l i c a t i o n S e t t i n g > f a l s e < / U s e A p p l i c a t i o n S e t t i n g >  
         < V a l u e > t r u e < / V a l u e >  
     < / O p t i o n >  
     < O p t i o n >  
         < O p t i o n T y p e > A u t o I n s e r t P r o j e c t S u b S e c t i o n C o v e r s < / O p t i o n T y p e >  
         < U s e A p p l i c a t i o n S e t t i n g > f a l s e < / U s e A p p l i c a t i o n S e t t i n g >  
         < V a l u e > t r u e < / V a l u e >  
     < / O p t i o n >  
     < O p t i o n >  
         < O p t i o n T y p e > A u t o I n s e r t M o d u l e S e c t i o n C o v e r s < / O p t i o n T y p e >  
         < U s e A p p l i c a t i o n S e t t i n g > f a l s e < / U s e A p p l i c a t i o n S e t t i n g >  
         < V a l u e > t r u e < / V a l u e >  
     < / O p t i o n >  
     < O p t i o n >  
         < O p t i o n T y p e > A u t o I n s e r t M o d u l e S u b S e c t i o n C o v e r s 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 G r o u p L o o k u p s C o m p o n e n t s < / O p t i o n T y p e >  
         < U s e A p p l i c a t i o n S e t t i n g > f a l s e < / U s e A p p l i c a t i o n S e t t i n g >  
         < V a l u e > t r u e < / V a l u e >  
     < / O p t i o n >  
     < O p t i o n >  
         < O p t i o n T y p e > S h e e t N a m e s B e s t P r a c t i c e S y n t a x < / O p t i o n T y p e >  
         < U s e A p p l i c a t i o n S e t t i n g > f a l s e < / U s e A p p l i c a t i o n S e t t i n g >  
         < V a l u e > t r u e < / V a l u e >  
     < / O p t i o n >  
     < O p t i o n >  
         < O p t i o n T y p e > S h e e t N a m e s A u t o U n d e r s c o r e < / O p t i o n T y p e >  
         < U s e A p p l i c a t i o n S e t t i n g > f a l s e < / U s e A p p l i c a t i o n S e t t i n g >  
         < V a l u e > t r u e < / V a l u e >  
     < / O p t i o n >  
     < O p t i o n >  
         < O p t i o n T y p e > G r o u p C o m p o n e n t R o w s < / O p t i o n T y p e >  
         < U s e A p p l i c a t i o n S e t t i n g > f a l s e < / U s e A p p l i c a t i o n S e t t i n g >  
         < V a l u e > t r u e < / V a l u e >  
     < / O p t i o n >  
     < O p t i o n >  
         < O p t i o n T y p e > A d d C o m p o n e n t H y p e r l i n k s < / O p t i o n T y p e >  
         < U s e A p p l i c a t i o n S e t t i n g > f a l s e < / U s e A p p l i c a t i o n S e t t i n g >  
         < V a l u e > t r u e < / V a l u e >  
     < / O p t i o n >  
     < O p t i o n >  
         < O p t i o n T y p e > D i s a b l e T h e m e C h a n g e P r o m p t < / O p t i o n T y p e >  
         < U s e A p p l i c a t i o n S e t t i n g > f a l s e < / U s e A p p l i c a t i o n S e t t i n g >  
         < V a l u e > t r u e < / V a l u e >  
     < / O p t i o n >  
     < I g n o r e C e l l C o n t e n t > f a l s e < / I g n o r e C e l l C o n t e n t >  
     < A u t o F o n t C o l o r S t y l e T y p e s > 0 , 1 , 2 , 5 , 6 , 7 , 8 , 9 , 1 0 , 1 1 , 1 2 , 1 3 , 1 4 , 1 5 , 1 6 , 1 7 , 1 8 , 1 9 , 2 0 , 2 1 , 2 3 , 2 4 , 2 5 , 3 3 < / A u t o F o n t C o l o r S t y l e T y p e s >  
     < B a s e S h e e t T y p e C o l o r >  
         < B a s e S h e e t T y p e >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 C o n t e n t s 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 S e c t i o n C o v e r 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 S u b S e c t i o n C o v e r 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 B l a n k A s s u m p t i o n s 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 T i m e S e r i e s A s s u m p t i o n s 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 B l a n k O u t p u t s 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 T i m e S e r i e s O u t p u t s 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 L o o k u p s 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 S c h e m a t i c s 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 C h a r t 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 O v e r v i e w 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R e q u i r e d C o l o r >  
         < R e q u i r e d C o l o r T y p e > C o n s t a n t < / R e q u i r e d C o l o r T y p e >  
         < C o l o r T y p e > T h e m e C o l o r P a t c h < / C o l o r T y p e >  
         < C o l o r N u m b e r > 5 < / C o l o r N u m b e r >  
         < C o l o r P a t c h R g b > 6 5 6 7 7 1 2 < / C o l o r P a t c h R g b >  
         < T i n t A n d S h a d e > - 0 . 4 9 9 9 8 4 7 < / T i n t A n d S h a d e >  
     < / R e q u i r e d C o l o r >  
     < R e q u i r e d C o l o r >  
         < R e q u i r e d C o l o r T y p e > F o r m u l a < / R e q u i r e d C o l o r T y p e >  
         < C o l o r T y p e > T h e m e C o l o r < / C o l o r T y p e >  
         < C o l o r N u m b e r > 2 < / C o l o r N u m b e r >  
         < C o l o r P a t c h R g b > 4 2 1 0 7 5 2 < / C o l o r P a t c h R g b >  
         < T i n t A n d S h a d e > 0 . 2 4 9 9 7 7 1 < / T i n t A n d S h a d e >  
     < / R e q u i r e d C o l o r >  
     < R e q u i r e d C o l o r >  
         < R e q u i r e d C o l o r T y p e > M i x e d C e l l < / R e q u i r e d C o l o r T y p e >  
         < C o l o r T y p e > T h e m e C o l o r P a t c h < / C o l o r T y p e >  
         < C o l o r N u m b e r > 1 0 < / C o l o r N u m b e r >  
         < C o l o r P a t c h R g b > 2 3 1 5 8 3 1 < / C o l o r P a t c h R g b >  
         < T i n t A n d S h a d e > - 0 . 4 9 9 9 8 4 7 < / T i n t A n d S h a d e >  
     < / R e q u i r e d C o l o r >  
     < R e q u i r e d C o l o r >  
         < R e q u i r e d C o l o r T y p e > C h e c k < / R e q u i r e d C o l o r T y p e >  
         < C o l o r T y p e > C o l o r I n d e x < / C o l o r T y p e >  
         < C o l o r N u m b e r > 5 1 < / C o l o r N u m b e r >  
         < C o l o r P a t c h R g b > 4 2 0 4 7 4 7 < / C o l o r P a t c h R g b >  
         < T i n t A n d S h a d e > 0 < / T i n t A n d S h a d e >  
     < / R e q u i r e d C o l o r >  
     < R e q u i r e d C o l o r >  
         < R e q u i r e d C o l o r T y p e > H y p e r l i n k < / R e q u i r e d C o l o r T y p e >  
         < C o l o r T y p e > T h e m e C o l o r P a t c h < / C o l o r T y p e >  
         < C o l o r N u m b e r > 1 2 < / C o l o r N u m b e r >  
         < C o l o r P a t c h R g b > 7 4 9 1 4 7 7 < / C o l o r P a t c h R g b >  
         < T i n t A n d S h a d e > 0 < / T i n t A n d S h a d e >  
     < / R e q u i r e d C o l o r >  
     < R e q u i r e d C o l o r >  
         < R e q u i r e d C o l o r T y p e > W o r k I n P r o g r e s s < / R e q u i r e d C o l o r T y p e >  
         < C o l o r T y p e > C o l o r I n d e x < / C o l o r T y p e >  
         < C o l o r N u m b e r > 5 5 < / C o l o r N u m b e r >  
         < C o l o r P a t c h R g b > 7 9 2 9 8 5 5 < / C o l o r P a t c h R g b >  
         < T i n t A n d S h a d e > 0 < / T i n t A n d S h a d e >  
     < / R e q u i r e d C o l o r >  
     < R e q u i r e d C o l o r >  
         < R e q u i r e d C o l o r T y p e > C o l o r A < / R e q u i r e d C o l o r T y p e >  
         < C o l o r T y p e > C o l o r I n d e x < / C o l o r T y p e >  
         < C o l o r N u m b e r > 1 1 < / C o l o r N u m b e r >  
         < C o l o r P a t c h R g b > 1 5 1 3 2 3 9 0 < / C o l o r P a t c h R g b >  
         < T i n t A n d S h a d e > 0 < / T i n t A n d S h a d e >  
     < / R e q u i r e d C o l o r >  
     < R e q u i r e d C o l o r >  
         < R e q u i r e d C o l o r T y p e > C o l o r B < / R e q u i r e d C o l o r T y p e >  
         < C o l o r T y p e > C o l o r I n d e x < / C o l o r T y p e >  
         < C o l o r N u m b e r > 5 6 < / C o l o r N u m b e r >  
         < C o l o r P a t c h R g b > 1 6 7 7 7 2 1 5 < / C o l o r P a t c h R g b >  
         < T i n t A n d S h a d e > 0 < / T i n t A n d S h a d e >  
     < / R e q u i r e d C o l o r >  
     < S h e e t T i t l e R o w >  
         < T y p e > S h e e t T i t l e < / T y p e >  
         < I n c l u d e > t r u e < / I n c l u d e >  
         < S e t t i n g > V i s i b l e < / S e t t i n g >  
         < C o l u m n N u m b e r > 2 < / C o l u m n N u m b e r >  
     < / S h e e t T i t l e R o w >  
     < S h e e t T i t l e R o w >  
         < T y p e > M o d e l N a m e < / T y p e >  
         < I n c l u d e > t r u e < / I n c l u d e >  
         < S e t t i n g > V i s i b l e < / S e t t i n g >  
         < C o l u m n N u m b e r > 2 < / C o l u m n N u m b e r >  
     < / S h e e t T i t l e R o w >  
     < S h e e t T i t l e R o w >  
         < T y p e > T o c H y p e r l i n k < / T y p e >  
         < I n c l u d e > t r u e < / I n c l u d e >  
         < S e t t i n g > V i s i b l e < / S e t t i n g >  
         < C o l u m n N u m b e r > 2 < / C o l u m n N u m b e r >  
     < / S h e e t T i t l e R o w >  
     < S h e e t T i t l e R o w >  
         < T y p e > N a v i g a t i o n H y p e r l i n k s < / T y p e >  
         < I n c l u d e > t r u e < / I n c l u d e >  
         < S e t t i n g > V i s i b l e < / S e t t i n g >  
         < C o l u m n N u m b e r > 1 < / C o l u m n N u m b e r >  
     < / S h e e t T i t l e R o w >  
     < I s s u e s R e g i s t e r S o r t B y / >  
     < I s s u e s R e g i s t e r C o l o r >  
         < T y p e > H e a d e r F o n t < / T y p e >  
         < C o l o r T y p e > C u s t o m < / C o l o r T y p e >  
         < C o l o r N u m b e r > 1 6 7 7 7 2 1 5 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 H e a d e r F i l l < / T y p e >  
         < C o l o r T y p e > T h e m e C o l o r < / C o l o r T y p e >  
         < C o l o r N u m b e r >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 O p e n I s s u e s F o n t < / T y p e >  
         < C o l o r T y p e > N o n e O r A u t o m a t i c < / C o l o r T y p e >  
         < C o l o r N u m b e r > 0 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 O p e n I s s u e s F i l l < / T y p e >  
         < C o l o r T y p e > N o n e O r A u t o m a t i c < / C o l o r T y p e >  
         < C o l o r N u m b e r > 0 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 C l o s e d I s s u e s F o n t < / T y p e >  
         < C o l o r T y p e > C u s t o m < / C o l o r T y p e >  
         < C o l o r N u m b e r > 6 7 1 0 8 8 6 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 C l o s e d I s s u e s F i l l < / T y p e >  
         < C o l o r T y p e > C u s t o m < / C o l o r T y p e >  
         < C o l o r N u m b e r > 1 5 5 9 2 9 4 1 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 R e d u n d a n t I s s u e s F o n t < / T y p e >  
         < C o l o r T y p e > C u s t o m < / C o l o r T y p e >  
         < C o l o r N u m b e r > 1 6 7 7 7 2 1 5 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 R e d u n d a n t I s s u e s F i l l < / T y p e >  
         < C o l o r T y p e > C u s t o m < / C o l o r T y p e >  
         < C o l o r N u m b e r > 4 2 0 4 7 4 7 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 I s s u e s B o r d e r < / T y p e >  
         < C o l o r T y p e > C u s t o m < / C o l o r T y p e >  
         < C o l o r N u m b e r > 1 3 2 2 4 3 9 3 < / C o l o r N u m b e r >  
         < C o l o r P a t c h R g b > 0 < / C o l o r P a t c h R g b >  
         < T i n t A n d S h a d e > 0 < / T i n t A n d S h a d e >  
     < / I s s u e s R e g i s t e r C o l o r >  
 < / W o r k b o o k S e t t i n g s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3CBCB931EE5B41B7DC5B397BC983C8" ma:contentTypeVersion="21" ma:contentTypeDescription="Create a new document." ma:contentTypeScope="" ma:versionID="8099f8856796b955c9e05f292aea806a">
  <xsd:schema xmlns:xsd="http://www.w3.org/2001/XMLSchema" xmlns:xs="http://www.w3.org/2001/XMLSchema" xmlns:p="http://schemas.microsoft.com/office/2006/metadata/properties" xmlns:ns1="http://schemas.microsoft.com/sharepoint/v3" xmlns:ns2="d159ad41-f995-48b1-ace8-2aeeec44a68a" xmlns:ns3="14c9eaec-fb32-4d62-8237-3ae2a8c3df22" targetNamespace="http://schemas.microsoft.com/office/2006/metadata/properties" ma:root="true" ma:fieldsID="4b07f559143c02481189ba6ee9619e95" ns1:_="" ns2:_="" ns3:_="">
    <xsd:import namespace="http://schemas.microsoft.com/sharepoint/v3"/>
    <xsd:import namespace="d159ad41-f995-48b1-ace8-2aeeec44a68a"/>
    <xsd:import namespace="14c9eaec-fb32-4d62-8237-3ae2a8c3df2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Path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9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0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59ad41-f995-48b1-ace8-2aeeec44a68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c70d68e6-a8d2-4eff-b5bc-b0eb521acf4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Path" ma:index="26" nillable="true" ma:displayName="Path" ma:description="Folder Path" ma:format="Dropdown" ma:internalName="Path">
      <xsd:simpleType>
        <xsd:restriction base="dms:Text">
          <xsd:maxLength value="255"/>
        </xsd:restriction>
      </xsd:simple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c9eaec-fb32-4d62-8237-3ae2a8c3df2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786ff11a-94a0-44fa-83a1-225f832d4896}" ma:internalName="TaxCatchAll" ma:showField="CatchAllData" ma:web="14c9eaec-fb32-4d62-8237-3ae2a8c3df2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682AE94-938C-420B-A68E-95B4C9BFB19B}">
  <ds:schemaRefs>
    <ds:schemaRef ds:uri="bookmarkmarksaddin//bookmarkgroups"/>
  </ds:schemaRefs>
</ds:datastoreItem>
</file>

<file path=customXml/itemProps2.xml><?xml version="1.0" encoding="utf-8"?>
<ds:datastoreItem xmlns:ds="http://schemas.openxmlformats.org/officeDocument/2006/customXml" ds:itemID="{AE1667D4-262A-4B46-884A-61FB0C767649}">
  <ds:schemaRefs>
    <ds:schemaRef ds:uri="bookmarkmarksaddin//bookmarks"/>
  </ds:schemaRefs>
</ds:datastoreItem>
</file>

<file path=customXml/itemProps3.xml><?xml version="1.0" encoding="utf-8"?>
<ds:datastoreItem xmlns:ds="http://schemas.openxmlformats.org/officeDocument/2006/customXml" ds:itemID="{D5D194C9-86A9-45F7-AC6D-5DAFDD8CA4F1}">
  <ds:schemaRefs>
    <ds:schemaRef ds:uri="http://www.w3.org/2001/XMLSchema"/>
  </ds:schemaRefs>
</ds:datastoreItem>
</file>

<file path=customXml/itemProps4.xml><?xml version="1.0" encoding="utf-8"?>
<ds:datastoreItem xmlns:ds="http://schemas.openxmlformats.org/officeDocument/2006/customXml" ds:itemID="{6784C052-74C7-4EE0-AE00-F2F10CCA68FF}"/>
</file>

<file path=customXml/itemProps5.xml><?xml version="1.0" encoding="utf-8"?>
<ds:datastoreItem xmlns:ds="http://schemas.openxmlformats.org/officeDocument/2006/customXml" ds:itemID="{F0767E47-4124-4919-B16C-181BD12241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2610</vt:i4>
      </vt:variant>
    </vt:vector>
  </HeadingPairs>
  <TitlesOfParts>
    <vt:vector size="2672" baseType="lpstr">
      <vt:lpstr>DB</vt:lpstr>
      <vt:lpstr>LANG</vt:lpstr>
      <vt:lpstr>Cover</vt:lpstr>
      <vt:lpstr>Contents</vt:lpstr>
      <vt:lpstr>Pres_Out_Sc</vt:lpstr>
      <vt:lpstr>Dashboard</vt:lpstr>
      <vt:lpstr>Analysis</vt:lpstr>
      <vt:lpstr>Developer_Only_To</vt:lpstr>
      <vt:lpstr>Assumptions</vt:lpstr>
      <vt:lpstr>LABELS</vt:lpstr>
      <vt:lpstr>TIME_SERIES</vt:lpstr>
      <vt:lpstr>ECONOMICS</vt:lpstr>
      <vt:lpstr>COUNTS</vt:lpstr>
      <vt:lpstr>COVERAGE</vt:lpstr>
      <vt:lpstr>VACCS_&amp;_SUPPLIES</vt:lpstr>
      <vt:lpstr>SERVICE_DELIVERY</vt:lpstr>
      <vt:lpstr>MICROPLANNING</vt:lpstr>
      <vt:lpstr>TRAINING</vt:lpstr>
      <vt:lpstr>SENSITISATION</vt:lpstr>
      <vt:lpstr>SOCIAL_MOBILISATION</vt:lpstr>
      <vt:lpstr>SUPERVISION</vt:lpstr>
      <vt:lpstr>OTHER</vt:lpstr>
      <vt:lpstr>COLD_CHAIN_EXPANS</vt:lpstr>
      <vt:lpstr>CAPITAL_INVESTS_OTH</vt:lpstr>
      <vt:lpstr>Outputs</vt:lpstr>
      <vt:lpstr>COUNTS_and_COVERAGE_Summary</vt:lpstr>
      <vt:lpstr>COST_SUMMARY</vt:lpstr>
      <vt:lpstr>COLD_CHAIN</vt:lpstr>
      <vt:lpstr>CAP_OTH</vt:lpstr>
      <vt:lpstr>COSTS_DETAILED_SUMMARY</vt:lpstr>
      <vt:lpstr>APPENDIX</vt:lpstr>
      <vt:lpstr>Detailed_Costing_Worksheets</vt:lpstr>
      <vt:lpstr>MICRO_DETAILED_COST_WKSHT</vt:lpstr>
      <vt:lpstr>TRAIN_DETAILED_COST_WKSHT</vt:lpstr>
      <vt:lpstr>SD_DETAILED_COST_WKSHT</vt:lpstr>
      <vt:lpstr>SENS_DETAILED_COST_WKSHT</vt:lpstr>
      <vt:lpstr>SOCMOB_DETAILED_COST_WKSHT</vt:lpstr>
      <vt:lpstr>SUPV_DETAILED_COST_WKSHT</vt:lpstr>
      <vt:lpstr>OTHER_DETAILED_COST_WKSHT</vt:lpstr>
      <vt:lpstr>Checks</vt:lpstr>
      <vt:lpstr>DEVELOPER_Sc</vt:lpstr>
      <vt:lpstr>CALCS_COVERAGE</vt:lpstr>
      <vt:lpstr>VACCS_&amp;_SUPPLIES_To</vt:lpstr>
      <vt:lpstr>CALCS_Annual</vt:lpstr>
      <vt:lpstr>CALCS_DETAILED</vt:lpstr>
      <vt:lpstr>6.3_Variable_Lookups</vt:lpstr>
      <vt:lpstr>Time_Lu</vt:lpstr>
      <vt:lpstr>Analy_Lu</vt:lpstr>
      <vt:lpstr>Vacc_Lu</vt:lpstr>
      <vt:lpstr>Lbl_Lu</vt:lpstr>
      <vt:lpstr>Econ_Lu</vt:lpstr>
      <vt:lpstr>Count_Lu</vt:lpstr>
      <vt:lpstr>CVG_Lu</vt:lpstr>
      <vt:lpstr>MICRO_Lu</vt:lpstr>
      <vt:lpstr>OTHER_Lu</vt:lpstr>
      <vt:lpstr>COLD_Lu</vt:lpstr>
      <vt:lpstr>CAP_OTH_Lu</vt:lpstr>
      <vt:lpstr>TRAIN_Lu</vt:lpstr>
      <vt:lpstr>SENS_Lu</vt:lpstr>
      <vt:lpstr>SOCMOB_Lu</vt:lpstr>
      <vt:lpstr>SD_Lu</vt:lpstr>
      <vt:lpstr>SUPV_Lu</vt:lpstr>
      <vt:lpstr>Alt_Chks_Msg</vt:lpstr>
      <vt:lpstr>Alt_Chks_Ttl_Areas</vt:lpstr>
      <vt:lpstr>Analy_Exchange_Rate</vt:lpstr>
      <vt:lpstr>CA_Alt_Chks</vt:lpstr>
      <vt:lpstr>CA_Alt_Chks_Area_Names</vt:lpstr>
      <vt:lpstr>CA_Alt_Chks_Flags</vt:lpstr>
      <vt:lpstr>CA_Alt_Chks_Inc</vt:lpstr>
      <vt:lpstr>CA_Err_Chks</vt:lpstr>
      <vt:lpstr>CA_Err_Chks_Area_Names</vt:lpstr>
      <vt:lpstr>CA_Err_Chks_Flags</vt:lpstr>
      <vt:lpstr>CA_Err_Chks_Inc</vt:lpstr>
      <vt:lpstr>CB_Alt_Chks_Show_Msg</vt:lpstr>
      <vt:lpstr>CB_Err_Chks_Show_Msg</vt:lpstr>
      <vt:lpstr>Db_AddCISP_y1</vt:lpstr>
      <vt:lpstr>Db_AddCISP_y2</vt:lpstr>
      <vt:lpstr>Db_AddCISP_y3</vt:lpstr>
      <vt:lpstr>Db_AddCISP_y4</vt:lpstr>
      <vt:lpstr>Db_AddCISP_y5</vt:lpstr>
      <vt:lpstr>Db_AddCSBP_y1</vt:lpstr>
      <vt:lpstr>Db_AddCSBP_y2</vt:lpstr>
      <vt:lpstr>Db_AddCSBP_y3</vt:lpstr>
      <vt:lpstr>Db_AddCSBP_y4</vt:lpstr>
      <vt:lpstr>Db_AddCSBP_y5</vt:lpstr>
      <vt:lpstr>Db_AddCVacP_y1</vt:lpstr>
      <vt:lpstr>Db_AddCVacP_y2</vt:lpstr>
      <vt:lpstr>Db_AddCVacP_y3</vt:lpstr>
      <vt:lpstr>Db_AddCVacP_y4</vt:lpstr>
      <vt:lpstr>Db_AddCVacP_y5</vt:lpstr>
      <vt:lpstr>Db_ColdCANtotalE_FC</vt:lpstr>
      <vt:lpstr>Db_ColdCANtotalE_LC</vt:lpstr>
      <vt:lpstr>Db_ColdCANtotalF_FC</vt:lpstr>
      <vt:lpstr>Db_ColdCANtotalF_LC</vt:lpstr>
      <vt:lpstr>Db_ColdCANy1E_FC</vt:lpstr>
      <vt:lpstr>Db_ColdCANy1E_LC</vt:lpstr>
      <vt:lpstr>Db_ColdCANy1F_FC</vt:lpstr>
      <vt:lpstr>Db_ColdCANy1F_LC</vt:lpstr>
      <vt:lpstr>Db_ColdCANy2E_FC</vt:lpstr>
      <vt:lpstr>Db_ColdCANy2E_LC</vt:lpstr>
      <vt:lpstr>Db_ColdCANy2F_FC</vt:lpstr>
      <vt:lpstr>Db_ColdCANy2F_LC</vt:lpstr>
      <vt:lpstr>Db_ColdCANy3E_FC</vt:lpstr>
      <vt:lpstr>Db_ColdCANy3E_LC</vt:lpstr>
      <vt:lpstr>Db_ColdCANy3F_FC</vt:lpstr>
      <vt:lpstr>Db_ColdCANy3F_LC</vt:lpstr>
      <vt:lpstr>Db_ColdCANy4E_FC</vt:lpstr>
      <vt:lpstr>Db_ColdCANy4E_LC</vt:lpstr>
      <vt:lpstr>Db_ColdCANy4F_FC</vt:lpstr>
      <vt:lpstr>Db_ColdCANy4F_LC</vt:lpstr>
      <vt:lpstr>Db_ColdCANy5E_FC</vt:lpstr>
      <vt:lpstr>Db_ColdCANy5E_LC</vt:lpstr>
      <vt:lpstr>Db_ColdCANy5F_FC</vt:lpstr>
      <vt:lpstr>Db_ColdCANy5F_LC</vt:lpstr>
      <vt:lpstr>Db_ColdCtotalE_FC</vt:lpstr>
      <vt:lpstr>Db_ColdCtotalE_LC</vt:lpstr>
      <vt:lpstr>Db_ColdCtotalF_FC</vt:lpstr>
      <vt:lpstr>Db_ColdCtotalF_LC</vt:lpstr>
      <vt:lpstr>Db_ColdCy1E_FC</vt:lpstr>
      <vt:lpstr>Db_ColdCy1E_LC</vt:lpstr>
      <vt:lpstr>Db_ColdCy1F_FC</vt:lpstr>
      <vt:lpstr>Db_ColdCy1F_LC</vt:lpstr>
      <vt:lpstr>Db_ColdCy2E_FC</vt:lpstr>
      <vt:lpstr>Db_ColdCy2E_LC</vt:lpstr>
      <vt:lpstr>Db_ColdCy2F_FC</vt:lpstr>
      <vt:lpstr>Db_ColdCy2F_LC</vt:lpstr>
      <vt:lpstr>Db_ColdCy3E_FC</vt:lpstr>
      <vt:lpstr>Db_ColdCy3E_LC</vt:lpstr>
      <vt:lpstr>Db_ColdCy3F_FC</vt:lpstr>
      <vt:lpstr>Db_ColdCy3F_LC</vt:lpstr>
      <vt:lpstr>Db_ColdCy4E_FC</vt:lpstr>
      <vt:lpstr>Db_ColdCy4E_LC</vt:lpstr>
      <vt:lpstr>Db_ColdCy4F_FC</vt:lpstr>
      <vt:lpstr>Db_ColdCy4F_LC</vt:lpstr>
      <vt:lpstr>Db_ColdCy5E_FC</vt:lpstr>
      <vt:lpstr>Db_ColdCy5E_LC</vt:lpstr>
      <vt:lpstr>Db_ColdCy5F_FC</vt:lpstr>
      <vt:lpstr>Db_ColdCy5F_LC</vt:lpstr>
      <vt:lpstr>Db_CostMethod</vt:lpstr>
      <vt:lpstr>Db_DisRate</vt:lpstr>
      <vt:lpstr>Db_Dose1</vt:lpstr>
      <vt:lpstr>Db_Dose1_G1SG1_y1</vt:lpstr>
      <vt:lpstr>Db_Dose1_G1SG1_y2</vt:lpstr>
      <vt:lpstr>Db_Dose1_G1SG1_y3</vt:lpstr>
      <vt:lpstr>Db_Dose1_G1SG1_y4</vt:lpstr>
      <vt:lpstr>Db_Dose1_G1SG1_y5</vt:lpstr>
      <vt:lpstr>Db_Dose1_G1SG2_y1</vt:lpstr>
      <vt:lpstr>Db_Dose1_G1SG2_y2</vt:lpstr>
      <vt:lpstr>Db_Dose1_G1SG2_y3</vt:lpstr>
      <vt:lpstr>Db_Dose1_G1SG2_y4</vt:lpstr>
      <vt:lpstr>Db_Dose1_G1SG2_y5</vt:lpstr>
      <vt:lpstr>Db_Dose1_G2SG1_y1</vt:lpstr>
      <vt:lpstr>Db_Dose1_G2SG1_y2</vt:lpstr>
      <vt:lpstr>Db_Dose1_G2SG1_y3</vt:lpstr>
      <vt:lpstr>Db_Dose1_G2SG1_y4</vt:lpstr>
      <vt:lpstr>Db_Dose1_G2SG1_y5</vt:lpstr>
      <vt:lpstr>Db_Dose1_G2SG2_y1</vt:lpstr>
      <vt:lpstr>Db_Dose1_G2SG2_y2</vt:lpstr>
      <vt:lpstr>Db_Dose1_G2SG2_y3</vt:lpstr>
      <vt:lpstr>Db_Dose1_G2SG2_y4</vt:lpstr>
      <vt:lpstr>Db_Dose1_G2SG2_y5</vt:lpstr>
      <vt:lpstr>Db_Dose1_GV1_y1_pro</vt:lpstr>
      <vt:lpstr>Db_Dose1_GV1_y1_retro</vt:lpstr>
      <vt:lpstr>Db_Dose1_GV1_y2_pro</vt:lpstr>
      <vt:lpstr>Db_Dose1_GV1_y2_retro</vt:lpstr>
      <vt:lpstr>Db_Dose1_GV1_y3_pro</vt:lpstr>
      <vt:lpstr>Db_Dose1_GV1_y3_retro</vt:lpstr>
      <vt:lpstr>Db_Dose1_GV1_y4_pro</vt:lpstr>
      <vt:lpstr>Db_Dose1_GV1_y4_retro</vt:lpstr>
      <vt:lpstr>Db_Dose1_GV1_y5_pro</vt:lpstr>
      <vt:lpstr>Db_Dose1_GV1_y5_retro</vt:lpstr>
      <vt:lpstr>Db_Dose1_GV2_y1_pro</vt:lpstr>
      <vt:lpstr>Db_Dose1_GV2_y1_retro</vt:lpstr>
      <vt:lpstr>Db_Dose1_GV2_y2_pro</vt:lpstr>
      <vt:lpstr>Db_Dose1_GV2_y2_retro</vt:lpstr>
      <vt:lpstr>Db_Dose1_GV2_y3_pro</vt:lpstr>
      <vt:lpstr>Db_Dose1_GV2_y3_retro</vt:lpstr>
      <vt:lpstr>Db_Dose1_GV2_y4_pro</vt:lpstr>
      <vt:lpstr>Db_Dose1_GV2_y4_retro</vt:lpstr>
      <vt:lpstr>Db_Dose1_GV2_y5_pro</vt:lpstr>
      <vt:lpstr>Db_Dose1_GV2_y5_retro</vt:lpstr>
      <vt:lpstr>Db_Dose1_SV1_y1_pro</vt:lpstr>
      <vt:lpstr>Db_Dose1_SV1_y1_retro</vt:lpstr>
      <vt:lpstr>Db_Dose1_SV1_y2_pro</vt:lpstr>
      <vt:lpstr>Db_Dose1_SV1_y2_retro</vt:lpstr>
      <vt:lpstr>Db_Dose1_SV1_y3_pro</vt:lpstr>
      <vt:lpstr>Db_Dose1_SV1_y3_retro</vt:lpstr>
      <vt:lpstr>Db_Dose1_SV1_y4_pro</vt:lpstr>
      <vt:lpstr>Db_Dose1_SV1_y4_retro</vt:lpstr>
      <vt:lpstr>Db_Dose1_SV1_y5_pro</vt:lpstr>
      <vt:lpstr>Db_Dose1_SV1_y5_retro</vt:lpstr>
      <vt:lpstr>Db_Dose1_SV2_y1_pro</vt:lpstr>
      <vt:lpstr>Db_Dose1_SV2_y1_retro</vt:lpstr>
      <vt:lpstr>Db_Dose1_SV2_y2_pro</vt:lpstr>
      <vt:lpstr>Db_Dose1_SV2_y2_retro</vt:lpstr>
      <vt:lpstr>Db_Dose1_SV2_y3_pro</vt:lpstr>
      <vt:lpstr>Db_Dose1_SV2_y3_retro</vt:lpstr>
      <vt:lpstr>Db_Dose1_SV2_y4_pro</vt:lpstr>
      <vt:lpstr>Db_Dose1_SV2_y4_retro</vt:lpstr>
      <vt:lpstr>Db_Dose1_SV2_y5_pro</vt:lpstr>
      <vt:lpstr>Db_Dose1_SV2_y5_retro</vt:lpstr>
      <vt:lpstr>Db_Dose2</vt:lpstr>
      <vt:lpstr>Db_Dose2_G1SG1_y1</vt:lpstr>
      <vt:lpstr>Db_Dose2_G1SG1_y2</vt:lpstr>
      <vt:lpstr>Db_Dose2_G1SG1_y3</vt:lpstr>
      <vt:lpstr>Db_Dose2_G1SG1_y4</vt:lpstr>
      <vt:lpstr>Db_Dose2_G1SG1_y5</vt:lpstr>
      <vt:lpstr>Db_Dose2_G1SG2_y1</vt:lpstr>
      <vt:lpstr>Db_Dose2_G1SG2_y2</vt:lpstr>
      <vt:lpstr>Db_Dose2_G1SG2_y3</vt:lpstr>
      <vt:lpstr>Db_Dose2_G1SG2_y4</vt:lpstr>
      <vt:lpstr>Db_Dose2_G1SG2_y5</vt:lpstr>
      <vt:lpstr>Db_Dose2_G2SG1_y1</vt:lpstr>
      <vt:lpstr>Db_Dose2_G2SG1_y2</vt:lpstr>
      <vt:lpstr>Db_Dose2_G2SG1_y3</vt:lpstr>
      <vt:lpstr>Db_Dose2_G2SG1_y4</vt:lpstr>
      <vt:lpstr>Db_Dose2_G2SG1_y5</vt:lpstr>
      <vt:lpstr>Db_Dose2_G2SG2_y1</vt:lpstr>
      <vt:lpstr>Db_Dose2_G2SG2_y2</vt:lpstr>
      <vt:lpstr>Db_Dose2_G2SG2_y3</vt:lpstr>
      <vt:lpstr>Db_Dose2_G2SG2_y4</vt:lpstr>
      <vt:lpstr>Db_Dose2_G2SG2_y5</vt:lpstr>
      <vt:lpstr>Db_Dose2_GV1_y1_pro</vt:lpstr>
      <vt:lpstr>Db_Dose2_GV1_y1_retro</vt:lpstr>
      <vt:lpstr>Db_Dose2_GV1_y2_pro</vt:lpstr>
      <vt:lpstr>Db_Dose2_GV1_y2_retro</vt:lpstr>
      <vt:lpstr>Db_Dose2_GV1_y3_pro</vt:lpstr>
      <vt:lpstr>Db_Dose2_GV1_y3_retro</vt:lpstr>
      <vt:lpstr>Db_Dose2_GV1_y4_pro</vt:lpstr>
      <vt:lpstr>Db_Dose2_GV1_y4_retro</vt:lpstr>
      <vt:lpstr>Db_Dose2_GV1_y5_pro</vt:lpstr>
      <vt:lpstr>Db_Dose2_GV1_y5_retro</vt:lpstr>
      <vt:lpstr>Db_Dose2_GV2_y1_pro</vt:lpstr>
      <vt:lpstr>Db_Dose2_GV2_y1_retro</vt:lpstr>
      <vt:lpstr>Db_Dose2_GV2_y2_pro</vt:lpstr>
      <vt:lpstr>Db_Dose2_GV2_y2_retro</vt:lpstr>
      <vt:lpstr>Db_Dose2_GV2_y3_pro</vt:lpstr>
      <vt:lpstr>Db_Dose2_GV2_y3_retro</vt:lpstr>
      <vt:lpstr>Db_Dose2_GV2_y4_pro</vt:lpstr>
      <vt:lpstr>Db_Dose2_GV2_y4_retro</vt:lpstr>
      <vt:lpstr>Db_Dose2_GV2_y5_pro</vt:lpstr>
      <vt:lpstr>Db_Dose2_GV2_y5_retro</vt:lpstr>
      <vt:lpstr>Db_Dose2_SV1_y1_pro</vt:lpstr>
      <vt:lpstr>Db_Dose2_SV1_y1_retro</vt:lpstr>
      <vt:lpstr>Db_Dose2_SV1_y2_pro</vt:lpstr>
      <vt:lpstr>Db_Dose2_SV1_y2_retro</vt:lpstr>
      <vt:lpstr>Db_Dose2_SV1_y3_pro</vt:lpstr>
      <vt:lpstr>Db_Dose2_SV1_y3_retro</vt:lpstr>
      <vt:lpstr>Db_Dose2_SV1_y4_pro</vt:lpstr>
      <vt:lpstr>Db_Dose2_SV1_y4_retro</vt:lpstr>
      <vt:lpstr>Db_Dose2_SV1_y5_pro</vt:lpstr>
      <vt:lpstr>Db_Dose2_SV1_y5_retro</vt:lpstr>
      <vt:lpstr>Db_Dose2_SV2_y1_pro</vt:lpstr>
      <vt:lpstr>Db_Dose2_SV2_y1_retro</vt:lpstr>
      <vt:lpstr>Db_Dose2_SV2_y2_pro</vt:lpstr>
      <vt:lpstr>Db_Dose2_SV2_y2_retro</vt:lpstr>
      <vt:lpstr>Db_Dose2_SV2_y3_pro</vt:lpstr>
      <vt:lpstr>Db_Dose2_SV2_y3_retro</vt:lpstr>
      <vt:lpstr>Db_Dose2_SV2_y4_pro</vt:lpstr>
      <vt:lpstr>Db_Dose2_SV2_y4_retro</vt:lpstr>
      <vt:lpstr>Db_Dose2_SV2_y5_pro</vt:lpstr>
      <vt:lpstr>Db_Dose2_SV2_y5_retro</vt:lpstr>
      <vt:lpstr>Db_DosePerOut_y1</vt:lpstr>
      <vt:lpstr>Db_DosePerOut_y2</vt:lpstr>
      <vt:lpstr>Db_DosePerOut_y3</vt:lpstr>
      <vt:lpstr>Db_DosePerOut_y4</vt:lpstr>
      <vt:lpstr>Db_DosePerOut_y5</vt:lpstr>
      <vt:lpstr>Db_ExRate</vt:lpstr>
      <vt:lpstr>Db_FC</vt:lpstr>
      <vt:lpstr>Db_HF_Out_Num_y1</vt:lpstr>
      <vt:lpstr>Db_HF_Out_Num_y2</vt:lpstr>
      <vt:lpstr>Db_HF_Out_Num_y3</vt:lpstr>
      <vt:lpstr>Db_HF_Out_Num_y4</vt:lpstr>
      <vt:lpstr>Db_HF_Out_Num_y5</vt:lpstr>
      <vt:lpstr>Db_HF_SV_Num_y1</vt:lpstr>
      <vt:lpstr>Db_HF_SV_Num_y2</vt:lpstr>
      <vt:lpstr>Db_HF_SV_Num_y3</vt:lpstr>
      <vt:lpstr>Db_HF_SV_Num_y4</vt:lpstr>
      <vt:lpstr>Db_HF_SV_Num_y5</vt:lpstr>
      <vt:lpstr>Db_LC</vt:lpstr>
      <vt:lpstr>Db_Micro1Num</vt:lpstr>
      <vt:lpstr>Db_Micro2Num</vt:lpstr>
      <vt:lpstr>Db_Micro3Num</vt:lpstr>
      <vt:lpstr>Db_Micro4Num</vt:lpstr>
      <vt:lpstr>Db_MicroCtotalE_FC</vt:lpstr>
      <vt:lpstr>Db_MicroCtotalE_LC</vt:lpstr>
      <vt:lpstr>Db_MicroCtotalF_FC</vt:lpstr>
      <vt:lpstr>Db_MicroCtotalF_LC</vt:lpstr>
      <vt:lpstr>Db_MicroCy1E_FC</vt:lpstr>
      <vt:lpstr>Db_MicroCy1E_LC</vt:lpstr>
      <vt:lpstr>Db_MicroCy1F_FC</vt:lpstr>
      <vt:lpstr>Db_MicroCy1F_LC</vt:lpstr>
      <vt:lpstr>Db_MicroCy2E_FC</vt:lpstr>
      <vt:lpstr>Db_MicroCy2E_LC</vt:lpstr>
      <vt:lpstr>Db_MicroCy2F_FC</vt:lpstr>
      <vt:lpstr>Db_MicroCy2F_LC</vt:lpstr>
      <vt:lpstr>Db_MicroCy3E_FC</vt:lpstr>
      <vt:lpstr>Db_MicroCy3E_LC</vt:lpstr>
      <vt:lpstr>Db_MicroCy3F_FC</vt:lpstr>
      <vt:lpstr>Db_MicroCy3F_LC</vt:lpstr>
      <vt:lpstr>Db_MicroCy4E_FC</vt:lpstr>
      <vt:lpstr>Db_MicroCy4E_LC</vt:lpstr>
      <vt:lpstr>Db_MicroCy4F_FC</vt:lpstr>
      <vt:lpstr>Db_MicroCy4F_LC</vt:lpstr>
      <vt:lpstr>Db_MicroCy5E_FC</vt:lpstr>
      <vt:lpstr>Db_MicroCy5E_LC</vt:lpstr>
      <vt:lpstr>Db_MicroCy5F_FC</vt:lpstr>
      <vt:lpstr>Db_MicroCy5F_LC</vt:lpstr>
      <vt:lpstr>Db_Name</vt:lpstr>
      <vt:lpstr>Db_OthCap10Num</vt:lpstr>
      <vt:lpstr>Db_OthCap1Num</vt:lpstr>
      <vt:lpstr>Db_OthCap2Num</vt:lpstr>
      <vt:lpstr>Db_OthCap3Num</vt:lpstr>
      <vt:lpstr>Db_OthCap4Num</vt:lpstr>
      <vt:lpstr>Db_OthCap5Num</vt:lpstr>
      <vt:lpstr>Db_OthCap6Num</vt:lpstr>
      <vt:lpstr>Db_OthCap7Num</vt:lpstr>
      <vt:lpstr>Db_OthCap8Num</vt:lpstr>
      <vt:lpstr>Db_OthCap9Num</vt:lpstr>
      <vt:lpstr>Db_OthCapCANtotalE_FC</vt:lpstr>
      <vt:lpstr>Db_OthCapCANtotalE_LC</vt:lpstr>
      <vt:lpstr>Db_OthCapCANtotalF_FC</vt:lpstr>
      <vt:lpstr>Db_OthCapCANtotalF_LC</vt:lpstr>
      <vt:lpstr>Db_OthCapCANy1E_FC</vt:lpstr>
      <vt:lpstr>Db_OthCapCANy1E_LC</vt:lpstr>
      <vt:lpstr>Db_OthCapCANy1F_FC</vt:lpstr>
      <vt:lpstr>Db_OthCapCANy1F_LC</vt:lpstr>
      <vt:lpstr>Db_OthCapCANy2E_FC</vt:lpstr>
      <vt:lpstr>Db_OthCapCANy2E_LC</vt:lpstr>
      <vt:lpstr>Db_OthCapCANy2F_FC</vt:lpstr>
      <vt:lpstr>Db_OthCapCANy2F_LC</vt:lpstr>
      <vt:lpstr>Db_OthCapCANy3E_FC</vt:lpstr>
      <vt:lpstr>Db_OthCapCANy3E_LC</vt:lpstr>
      <vt:lpstr>Db_OthCapCANy3F_FC</vt:lpstr>
      <vt:lpstr>Db_OthCapCANy3F_LC</vt:lpstr>
      <vt:lpstr>Db_OthCapCANy4E_FC</vt:lpstr>
      <vt:lpstr>Db_OthCapCANy4E_LC</vt:lpstr>
      <vt:lpstr>Db_OthCapCANy4F_FC</vt:lpstr>
      <vt:lpstr>Db_OthCapCANy4F_LC</vt:lpstr>
      <vt:lpstr>Db_OthCapCANy5E_FC</vt:lpstr>
      <vt:lpstr>Db_OthCapCANy5E_LC</vt:lpstr>
      <vt:lpstr>Db_OthCapCANy5F_FC</vt:lpstr>
      <vt:lpstr>Db_OthCapCANy5F_LC</vt:lpstr>
      <vt:lpstr>Db_OthCapCtotalE_FC</vt:lpstr>
      <vt:lpstr>Db_OthCapCtotalE_LC</vt:lpstr>
      <vt:lpstr>Db_OthCapCtotalF_FC</vt:lpstr>
      <vt:lpstr>Db_OthCapCtotalF_LC</vt:lpstr>
      <vt:lpstr>Db_OthCapCy1E_FC</vt:lpstr>
      <vt:lpstr>Db_OthCapCy1E_LC</vt:lpstr>
      <vt:lpstr>Db_OthCapCy1F_FC</vt:lpstr>
      <vt:lpstr>Db_OthCapCy1F_LC</vt:lpstr>
      <vt:lpstr>Db_OthCapCy2E_FC</vt:lpstr>
      <vt:lpstr>Db_OthCapCy2E_LC</vt:lpstr>
      <vt:lpstr>Db_OthCapCy2F_FC</vt:lpstr>
      <vt:lpstr>Db_OthCapCy2F_LC</vt:lpstr>
      <vt:lpstr>Db_OthCapCy3E_FC</vt:lpstr>
      <vt:lpstr>Db_OthCapCy3E_LC</vt:lpstr>
      <vt:lpstr>Db_OthCapCy3F_FC</vt:lpstr>
      <vt:lpstr>Db_OthCapCy3F_LC</vt:lpstr>
      <vt:lpstr>Db_OthCapCy4E_FC</vt:lpstr>
      <vt:lpstr>Db_OthCapCy4E_LC</vt:lpstr>
      <vt:lpstr>Db_OthCapCy4F_FC</vt:lpstr>
      <vt:lpstr>Db_OthCapCy4F_LC</vt:lpstr>
      <vt:lpstr>Db_OthCapCy5E_FC</vt:lpstr>
      <vt:lpstr>Db_OthCapCy5E_LC</vt:lpstr>
      <vt:lpstr>Db_OthCapCy5F_FC</vt:lpstr>
      <vt:lpstr>Db_OthCapCy5F_LC</vt:lpstr>
      <vt:lpstr>Db_OthRecur1Num</vt:lpstr>
      <vt:lpstr>Db_OthRecur2Num</vt:lpstr>
      <vt:lpstr>Db_OthRecur3Num</vt:lpstr>
      <vt:lpstr>Db_OthRecur4Num</vt:lpstr>
      <vt:lpstr>Db_OthRecur5Num</vt:lpstr>
      <vt:lpstr>Db_OthRecurCtotalE_FC</vt:lpstr>
      <vt:lpstr>Db_OthRecurCtotalE_LC</vt:lpstr>
      <vt:lpstr>Db_OthRecurCtotalF_FC</vt:lpstr>
      <vt:lpstr>Db_OthRecurCtotalF_LC</vt:lpstr>
      <vt:lpstr>Db_OthRecurCy1E_FC</vt:lpstr>
      <vt:lpstr>Db_OthRecurCy1E_LC</vt:lpstr>
      <vt:lpstr>Db_OthRecurCy1F_FC</vt:lpstr>
      <vt:lpstr>Db_OthRecurCy1F_LC</vt:lpstr>
      <vt:lpstr>Db_OthRecurCy2E_FC</vt:lpstr>
      <vt:lpstr>Db_OthRecurCy2E_LC</vt:lpstr>
      <vt:lpstr>Db_OthRecurCy2F_FC</vt:lpstr>
      <vt:lpstr>Db_OthRecurCy2F_LC</vt:lpstr>
      <vt:lpstr>Db_OthRecurCy3E_FC</vt:lpstr>
      <vt:lpstr>Db_OthRecurCy3E_LC</vt:lpstr>
      <vt:lpstr>Db_OthRecurCy3F_FC</vt:lpstr>
      <vt:lpstr>Db_OthRecurCy3F_LC</vt:lpstr>
      <vt:lpstr>Db_OthRecurCy4E_FC</vt:lpstr>
      <vt:lpstr>Db_OthRecurCy4E_LC</vt:lpstr>
      <vt:lpstr>Db_OthRecurCy4F_FC</vt:lpstr>
      <vt:lpstr>Db_OthRecurCy4F_LC</vt:lpstr>
      <vt:lpstr>Db_OthRecurCy5E_FC</vt:lpstr>
      <vt:lpstr>Db_OthRecurCy5E_LC</vt:lpstr>
      <vt:lpstr>Db_OthRecurCy5F_FC</vt:lpstr>
      <vt:lpstr>Db_OthRecurCy5F_LC</vt:lpstr>
      <vt:lpstr>Db_OutNumPerHFyr_y1</vt:lpstr>
      <vt:lpstr>Db_OutNumPerHFyr_y2</vt:lpstr>
      <vt:lpstr>Db_OutNumPerHFyr_y3</vt:lpstr>
      <vt:lpstr>Db_OutNumPerHFyr_y4</vt:lpstr>
      <vt:lpstr>Db_OutNumPerHFyr_y5</vt:lpstr>
      <vt:lpstr>Db_SchNum_y1</vt:lpstr>
      <vt:lpstr>Db_SchNum_y2</vt:lpstr>
      <vt:lpstr>Db_SchNum_y3</vt:lpstr>
      <vt:lpstr>Db_SchNum_y4</vt:lpstr>
      <vt:lpstr>Db_SchNum_y5</vt:lpstr>
      <vt:lpstr>Db_Sen1Num</vt:lpstr>
      <vt:lpstr>Db_Sen2Num</vt:lpstr>
      <vt:lpstr>Db_Sen3Num</vt:lpstr>
      <vt:lpstr>Db_Sen4Num</vt:lpstr>
      <vt:lpstr>Db_Sen5Num</vt:lpstr>
      <vt:lpstr>Db_Sen6Num</vt:lpstr>
      <vt:lpstr>Db_SenCtotalE_FC</vt:lpstr>
      <vt:lpstr>Db_SenCtotalE_LC</vt:lpstr>
      <vt:lpstr>Db_SenCtotalF_FC</vt:lpstr>
      <vt:lpstr>Db_SenCtotalF_LC</vt:lpstr>
      <vt:lpstr>Db_SenCy1E_FC</vt:lpstr>
      <vt:lpstr>Db_SenCy1E_LC</vt:lpstr>
      <vt:lpstr>Db_SenCy1F_FC</vt:lpstr>
      <vt:lpstr>Db_SenCy1F_LC</vt:lpstr>
      <vt:lpstr>Db_SenCy2E_FC</vt:lpstr>
      <vt:lpstr>Db_SenCy2E_LC</vt:lpstr>
      <vt:lpstr>Db_SenCy2F_FC</vt:lpstr>
      <vt:lpstr>Db_SenCy2F_LC</vt:lpstr>
      <vt:lpstr>Db_SenCy3E_FC</vt:lpstr>
      <vt:lpstr>Db_SenCy3E_LC</vt:lpstr>
      <vt:lpstr>Db_SenCy3F_FC</vt:lpstr>
      <vt:lpstr>Db_SenCy3F_LC</vt:lpstr>
      <vt:lpstr>Db_SenCy4E_FC</vt:lpstr>
      <vt:lpstr>Db_SenCy4E_LC</vt:lpstr>
      <vt:lpstr>Db_SenCy4F_FC</vt:lpstr>
      <vt:lpstr>Db_SenCy4F_LC</vt:lpstr>
      <vt:lpstr>Db_SenCy5E_FC</vt:lpstr>
      <vt:lpstr>Db_SenCy5E_LC</vt:lpstr>
      <vt:lpstr>Db_SenCy5F_FC</vt:lpstr>
      <vt:lpstr>Db_SenCy5F_LC</vt:lpstr>
      <vt:lpstr>Db_SerC_GV1_totalE_FC</vt:lpstr>
      <vt:lpstr>Db_SerC_GV1_totalE_LC</vt:lpstr>
      <vt:lpstr>Db_SerC_GV1_totalF_FC</vt:lpstr>
      <vt:lpstr>Db_SerC_GV1_totalF_LC</vt:lpstr>
      <vt:lpstr>Db_SerC_GV1_y1E_FC</vt:lpstr>
      <vt:lpstr>Db_SerC_GV1_y1E_LC</vt:lpstr>
      <vt:lpstr>Db_SerC_GV1_y1F_FC</vt:lpstr>
      <vt:lpstr>Db_SerC_GV1_y1F_LC</vt:lpstr>
      <vt:lpstr>Db_SerC_GV1_y2E_FC</vt:lpstr>
      <vt:lpstr>Db_SerC_GV1_y2E_LC</vt:lpstr>
      <vt:lpstr>Db_SerC_GV1_y2F_FC</vt:lpstr>
      <vt:lpstr>Db_SerC_GV1_y2F_LC</vt:lpstr>
      <vt:lpstr>Db_SerC_GV1_y3E_FC</vt:lpstr>
      <vt:lpstr>Db_SerC_GV1_y3E_LC</vt:lpstr>
      <vt:lpstr>Db_SerC_GV1_y3F_FC</vt:lpstr>
      <vt:lpstr>Db_SerC_GV1_y3F_LC</vt:lpstr>
      <vt:lpstr>Db_SerC_GV1_y4E_FC</vt:lpstr>
      <vt:lpstr>Db_SerC_GV1_y4E_LC</vt:lpstr>
      <vt:lpstr>Db_SerC_GV1_y4F_FC</vt:lpstr>
      <vt:lpstr>Db_SerC_GV1_y4F_LC</vt:lpstr>
      <vt:lpstr>Db_SerC_GV1_y5E_FC</vt:lpstr>
      <vt:lpstr>Db_SerC_GV1_y5E_LC</vt:lpstr>
      <vt:lpstr>Db_SerC_GV1_y5F_FC</vt:lpstr>
      <vt:lpstr>Db_SerC_GV1_y5F_LC</vt:lpstr>
      <vt:lpstr>Db_SerC_GV2_totalE_FC</vt:lpstr>
      <vt:lpstr>Db_SerC_GV2_totalE_LC</vt:lpstr>
      <vt:lpstr>Db_SerC_GV2_totalF_FC</vt:lpstr>
      <vt:lpstr>Db_SerC_GV2_totalF_LC</vt:lpstr>
      <vt:lpstr>Db_SerC_GV2_y1E_FC</vt:lpstr>
      <vt:lpstr>Db_SerC_GV2_y1E_LC</vt:lpstr>
      <vt:lpstr>Db_SerC_GV2_y1F_FC</vt:lpstr>
      <vt:lpstr>Db_SerC_GV2_y1F_LC</vt:lpstr>
      <vt:lpstr>Db_SerC_GV2_y2E_FC</vt:lpstr>
      <vt:lpstr>Db_SerC_GV2_y2E_LC</vt:lpstr>
      <vt:lpstr>Db_SerC_GV2_y2F_FC</vt:lpstr>
      <vt:lpstr>Db_SerC_GV2_y2F_LC</vt:lpstr>
      <vt:lpstr>Db_SerC_GV2_y3E_FC</vt:lpstr>
      <vt:lpstr>Db_SerC_GV2_y3E_LC</vt:lpstr>
      <vt:lpstr>Db_SerC_GV2_y3F_FC</vt:lpstr>
      <vt:lpstr>Db_SerC_GV2_y3F_LC</vt:lpstr>
      <vt:lpstr>Db_SerC_GV2_y4E_FC</vt:lpstr>
      <vt:lpstr>Db_SerC_GV2_y4E_LC</vt:lpstr>
      <vt:lpstr>Db_SerC_GV2_y4F_FC</vt:lpstr>
      <vt:lpstr>Db_SerC_GV2_y4F_LC</vt:lpstr>
      <vt:lpstr>Db_SerC_GV2_y5E_FC</vt:lpstr>
      <vt:lpstr>Db_SerC_GV2_y5E_LC</vt:lpstr>
      <vt:lpstr>Db_SerC_GV2_y5F_FC</vt:lpstr>
      <vt:lpstr>Db_SerC_GV2_y5F_LC</vt:lpstr>
      <vt:lpstr>Db_SerC_SV1_totalE_FC</vt:lpstr>
      <vt:lpstr>Db_SerC_SV1_totalE_LC</vt:lpstr>
      <vt:lpstr>Db_SerC_SV1_totalF_FC</vt:lpstr>
      <vt:lpstr>Db_SerC_SV1_totalF_LC</vt:lpstr>
      <vt:lpstr>Db_SerC_SV1_y1E_FC</vt:lpstr>
      <vt:lpstr>Db_SerC_SV1_y1E_LC</vt:lpstr>
      <vt:lpstr>Db_SerC_SV1_y1F_FC</vt:lpstr>
      <vt:lpstr>Db_SerC_SV1_y1F_LC</vt:lpstr>
      <vt:lpstr>Db_SerC_SV1_y2E_FC</vt:lpstr>
      <vt:lpstr>Db_SerC_SV1_y2E_LC</vt:lpstr>
      <vt:lpstr>Db_SerC_SV1_y2F_FC</vt:lpstr>
      <vt:lpstr>Db_SerC_SV1_y2F_LC</vt:lpstr>
      <vt:lpstr>Db_SerC_SV1_y3E_FC</vt:lpstr>
      <vt:lpstr>Db_SerC_SV1_y3E_LC</vt:lpstr>
      <vt:lpstr>Db_SerC_SV1_y3F_FC</vt:lpstr>
      <vt:lpstr>Db_SerC_SV1_y3F_LC</vt:lpstr>
      <vt:lpstr>Db_SerC_SV1_y4E_FC</vt:lpstr>
      <vt:lpstr>Db_SerC_SV1_y4E_LC</vt:lpstr>
      <vt:lpstr>Db_SerC_SV1_y4F_FC</vt:lpstr>
      <vt:lpstr>Db_SerC_SV1_y4F_LC</vt:lpstr>
      <vt:lpstr>Db_SerC_SV1_y5E_FC</vt:lpstr>
      <vt:lpstr>Db_SerC_SV1_y5E_LC</vt:lpstr>
      <vt:lpstr>Db_SerC_SV1_y5F_FC</vt:lpstr>
      <vt:lpstr>Db_SerC_SV1_y5F_LC</vt:lpstr>
      <vt:lpstr>Db_SerC_SV2_totalE_FC</vt:lpstr>
      <vt:lpstr>Db_SerC_SV2_totalE_LC</vt:lpstr>
      <vt:lpstr>Db_SerC_SV2_totalF_FC</vt:lpstr>
      <vt:lpstr>Db_SerC_SV2_totalF_LC</vt:lpstr>
      <vt:lpstr>Db_SerC_SV2_y1E_FC</vt:lpstr>
      <vt:lpstr>Db_SerC_SV2_y1E_LC</vt:lpstr>
      <vt:lpstr>Db_SerC_SV2_y1F_FC</vt:lpstr>
      <vt:lpstr>Db_SerC_SV2_y1F_LC</vt:lpstr>
      <vt:lpstr>Db_SerC_SV2_y2E_FC</vt:lpstr>
      <vt:lpstr>Db_SerC_SV2_y2E_LC</vt:lpstr>
      <vt:lpstr>Db_SerC_SV2_y2F_FC</vt:lpstr>
      <vt:lpstr>Db_SerC_SV2_y2F_LC</vt:lpstr>
      <vt:lpstr>Db_SerC_SV2_y3E_FC</vt:lpstr>
      <vt:lpstr>Db_SerC_SV2_y3E_LC</vt:lpstr>
      <vt:lpstr>Db_SerC_SV2_y3F_FC</vt:lpstr>
      <vt:lpstr>Db_SerC_SV2_y3F_LC</vt:lpstr>
      <vt:lpstr>Db_SerC_SV2_y4E_FC</vt:lpstr>
      <vt:lpstr>Db_SerC_SV2_y4E_LC</vt:lpstr>
      <vt:lpstr>Db_SerC_SV2_y4F_FC</vt:lpstr>
      <vt:lpstr>Db_SerC_SV2_y4F_LC</vt:lpstr>
      <vt:lpstr>Db_SerC_SV2_y5E_FC</vt:lpstr>
      <vt:lpstr>Db_SerC_SV2_y5E_LC</vt:lpstr>
      <vt:lpstr>Db_SerC_SV2_y5F_FC</vt:lpstr>
      <vt:lpstr>Db_SerC_SV2_y5F_LC</vt:lpstr>
      <vt:lpstr>Db_SerCtotalE_FC</vt:lpstr>
      <vt:lpstr>Db_SerCtotalE_LC</vt:lpstr>
      <vt:lpstr>Db_SerCtotalF_FC</vt:lpstr>
      <vt:lpstr>Db_SerCtotalF_LC</vt:lpstr>
      <vt:lpstr>Db_SerCy1E_FC</vt:lpstr>
      <vt:lpstr>Db_SerCy1E_LC</vt:lpstr>
      <vt:lpstr>Db_SerCy1F_FC</vt:lpstr>
      <vt:lpstr>Db_SerCy1F_LC</vt:lpstr>
      <vt:lpstr>Db_SerCy2E_FC</vt:lpstr>
      <vt:lpstr>Db_SerCy2E_LC</vt:lpstr>
      <vt:lpstr>Db_SerCy2F_FC</vt:lpstr>
      <vt:lpstr>Db_SerCy2F_LC</vt:lpstr>
      <vt:lpstr>Db_SerCy3E_FC</vt:lpstr>
      <vt:lpstr>Db_SerCy3E_LC</vt:lpstr>
      <vt:lpstr>Db_SerCy3F_FC</vt:lpstr>
      <vt:lpstr>Db_SerCy3F_LC</vt:lpstr>
      <vt:lpstr>Db_SerCy4E_FC</vt:lpstr>
      <vt:lpstr>Db_SerCy4E_LC</vt:lpstr>
      <vt:lpstr>Db_SerCy4F_FC</vt:lpstr>
      <vt:lpstr>Db_SerCy4F_LC</vt:lpstr>
      <vt:lpstr>Db_SerCy5E_FC</vt:lpstr>
      <vt:lpstr>Db_SerCy5E_LC</vt:lpstr>
      <vt:lpstr>Db_SerCy5F_FC</vt:lpstr>
      <vt:lpstr>Db_SerCy5F_LC</vt:lpstr>
      <vt:lpstr>Db_SerTypeGV1</vt:lpstr>
      <vt:lpstr>Db_SerTypeGV2</vt:lpstr>
      <vt:lpstr>Db_SerTypeSV1</vt:lpstr>
      <vt:lpstr>Db_SerTypeSV2</vt:lpstr>
      <vt:lpstr>Db_Soc1Num</vt:lpstr>
      <vt:lpstr>Db_Soc2Num</vt:lpstr>
      <vt:lpstr>Db_Soc3Num</vt:lpstr>
      <vt:lpstr>Db_Soc4Num</vt:lpstr>
      <vt:lpstr>Db_Soc5Num</vt:lpstr>
      <vt:lpstr>Db_Soc6Num</vt:lpstr>
      <vt:lpstr>Db_Soc7Num</vt:lpstr>
      <vt:lpstr>Db_Soc8Num</vt:lpstr>
      <vt:lpstr>Db_SocCtotalE_FC</vt:lpstr>
      <vt:lpstr>Db_SocCtotalE_LC</vt:lpstr>
      <vt:lpstr>Db_SocCtotalF_FC</vt:lpstr>
      <vt:lpstr>Db_SocCtotalF_LC</vt:lpstr>
      <vt:lpstr>Db_SocCy1E_FC</vt:lpstr>
      <vt:lpstr>Db_SocCy1E_LC</vt:lpstr>
      <vt:lpstr>Db_SocCy1F_FC</vt:lpstr>
      <vt:lpstr>Db_SocCy1F_LC</vt:lpstr>
      <vt:lpstr>Db_SocCy2E_FC</vt:lpstr>
      <vt:lpstr>Db_SocCy2E_LC</vt:lpstr>
      <vt:lpstr>Db_SocCy2F_FC</vt:lpstr>
      <vt:lpstr>Db_SocCy2F_LC</vt:lpstr>
      <vt:lpstr>Db_SocCy3E_FC</vt:lpstr>
      <vt:lpstr>Db_SocCy3E_LC</vt:lpstr>
      <vt:lpstr>Db_SocCy3F_FC</vt:lpstr>
      <vt:lpstr>Db_SocCy3F_LC</vt:lpstr>
      <vt:lpstr>Db_SocCy4E_FC</vt:lpstr>
      <vt:lpstr>Db_SocCy4E_LC</vt:lpstr>
      <vt:lpstr>Db_SocCy4F_FC</vt:lpstr>
      <vt:lpstr>Db_SocCy4F_LC</vt:lpstr>
      <vt:lpstr>Db_SocCy5E_FC</vt:lpstr>
      <vt:lpstr>Db_SocCy5E_LC</vt:lpstr>
      <vt:lpstr>Db_SocCy5F_FC</vt:lpstr>
      <vt:lpstr>Db_SocCy5F_LC</vt:lpstr>
      <vt:lpstr>Db_SubsidyISP</vt:lpstr>
      <vt:lpstr>Db_SubsidyISP_y1</vt:lpstr>
      <vt:lpstr>Db_SubsidyISP_y2</vt:lpstr>
      <vt:lpstr>Db_SubsidyISP_y3</vt:lpstr>
      <vt:lpstr>Db_SubsidyISP_y4</vt:lpstr>
      <vt:lpstr>Db_SubsidyISP_y5</vt:lpstr>
      <vt:lpstr>Db_SubsidySBP</vt:lpstr>
      <vt:lpstr>Db_SubsidySBP_y1</vt:lpstr>
      <vt:lpstr>Db_SubsidySBP_y2</vt:lpstr>
      <vt:lpstr>Db_SubsidySBP_y3</vt:lpstr>
      <vt:lpstr>Db_SubsidySBP_y4</vt:lpstr>
      <vt:lpstr>Db_SubsidySBP_y5</vt:lpstr>
      <vt:lpstr>Db_SubsidyVacP</vt:lpstr>
      <vt:lpstr>Db_SubsidyVacP_y1</vt:lpstr>
      <vt:lpstr>Db_SubsidyVacP_y2</vt:lpstr>
      <vt:lpstr>Db_SubsidyVacP_y3</vt:lpstr>
      <vt:lpstr>Db_SubsidyVacP_y4</vt:lpstr>
      <vt:lpstr>Db_SubsidyVacP_y5</vt:lpstr>
      <vt:lpstr>Db_Sup1Num</vt:lpstr>
      <vt:lpstr>Db_Sup2Num</vt:lpstr>
      <vt:lpstr>Db_Sup3Num</vt:lpstr>
      <vt:lpstr>Db_Sup4Num</vt:lpstr>
      <vt:lpstr>Db_Sup5Num</vt:lpstr>
      <vt:lpstr>Db_Sup6Num</vt:lpstr>
      <vt:lpstr>Db_Sup7Num</vt:lpstr>
      <vt:lpstr>Db_SupCtotalE_FC</vt:lpstr>
      <vt:lpstr>Db_SupCtotalE_LC</vt:lpstr>
      <vt:lpstr>Db_SupCtotalF_FC</vt:lpstr>
      <vt:lpstr>Db_SupCtotalF_LC</vt:lpstr>
      <vt:lpstr>Db_SupCy1E_FC</vt:lpstr>
      <vt:lpstr>Db_SupCy1E_LC</vt:lpstr>
      <vt:lpstr>Db_SupCy1F_FC</vt:lpstr>
      <vt:lpstr>Db_SupCy1F_LC</vt:lpstr>
      <vt:lpstr>Db_SupCy2E_FC</vt:lpstr>
      <vt:lpstr>Db_SupCy2E_LC</vt:lpstr>
      <vt:lpstr>Db_SupCy2F_FC</vt:lpstr>
      <vt:lpstr>Db_SupCy2F_LC</vt:lpstr>
      <vt:lpstr>Db_SupCy3E_FC</vt:lpstr>
      <vt:lpstr>Db_SupCy3E_LC</vt:lpstr>
      <vt:lpstr>Db_SupCy3F_FC</vt:lpstr>
      <vt:lpstr>Db_SupCy3F_LC</vt:lpstr>
      <vt:lpstr>Db_SupCy4E_FC</vt:lpstr>
      <vt:lpstr>Db_SupCy4E_LC</vt:lpstr>
      <vt:lpstr>Db_SupCy4F_FC</vt:lpstr>
      <vt:lpstr>Db_SupCy4F_LC</vt:lpstr>
      <vt:lpstr>Db_SupCy5E_FC</vt:lpstr>
      <vt:lpstr>Db_SupCy5E_LC</vt:lpstr>
      <vt:lpstr>Db_SupCy5F_FC</vt:lpstr>
      <vt:lpstr>Db_SupCy5F_LC</vt:lpstr>
      <vt:lpstr>Db_TarPopG1</vt:lpstr>
      <vt:lpstr>Db_TarPopG1PerSch_y1</vt:lpstr>
      <vt:lpstr>Db_TarPopG1PerSch_y2</vt:lpstr>
      <vt:lpstr>Db_TarPopG1PerSch_y3</vt:lpstr>
      <vt:lpstr>Db_TarPopG1PerSch_y4</vt:lpstr>
      <vt:lpstr>Db_TarPopG1PerSch_y5</vt:lpstr>
      <vt:lpstr>Db_TarPopG2</vt:lpstr>
      <vt:lpstr>Db_TarPopG2PerSch_y1</vt:lpstr>
      <vt:lpstr>Db_TarPopG2PerSch_y2</vt:lpstr>
      <vt:lpstr>Db_TarPopG2PerSch_y3</vt:lpstr>
      <vt:lpstr>Db_TarPopG2PerSch_y4</vt:lpstr>
      <vt:lpstr>Db_TarPopG2PerSch_y5</vt:lpstr>
      <vt:lpstr>Db_TarPopSG1</vt:lpstr>
      <vt:lpstr>Db_TarPopSG2</vt:lpstr>
      <vt:lpstr>Db_TarPopSize_G1SG1_y1</vt:lpstr>
      <vt:lpstr>Db_TarPopSize_G1SG1_y2</vt:lpstr>
      <vt:lpstr>Db_TarPopSize_G1SG1_y3</vt:lpstr>
      <vt:lpstr>Db_TarPopSize_G1SG1_y4</vt:lpstr>
      <vt:lpstr>Db_TarPopSize_G1SG1_y5</vt:lpstr>
      <vt:lpstr>Db_TarPopSize_G1SG2_y1</vt:lpstr>
      <vt:lpstr>Db_TarPopSize_G1SG2_y2</vt:lpstr>
      <vt:lpstr>Db_TarPopSize_G1SG2_y3</vt:lpstr>
      <vt:lpstr>Db_TarPopSize_G1SG2_y4</vt:lpstr>
      <vt:lpstr>Db_TarPopSize_G1SG2_y5</vt:lpstr>
      <vt:lpstr>Db_TarPopSize_G2SG1_y1</vt:lpstr>
      <vt:lpstr>Db_TarPopSize_G2SG1_y2</vt:lpstr>
      <vt:lpstr>Db_TarPopSize_G2SG1_y3</vt:lpstr>
      <vt:lpstr>Db_TarPopSize_G2SG1_y4</vt:lpstr>
      <vt:lpstr>Db_TarPopSize_G2SG1_y5</vt:lpstr>
      <vt:lpstr>Db_TarPopSize_G2SG2_y1</vt:lpstr>
      <vt:lpstr>Db_TarPopSize_G2SG2_y2</vt:lpstr>
      <vt:lpstr>Db_TarPopSize_G2SG2_y3</vt:lpstr>
      <vt:lpstr>Db_TarPopSize_G2SG2_y4</vt:lpstr>
      <vt:lpstr>Db_TarPopSize_G2SG2_y5</vt:lpstr>
      <vt:lpstr>Db_TarPopSize_total</vt:lpstr>
      <vt:lpstr>Db_Train1Num</vt:lpstr>
      <vt:lpstr>Db_Train2Num</vt:lpstr>
      <vt:lpstr>Db_Train3Num</vt:lpstr>
      <vt:lpstr>Db_Train4Num</vt:lpstr>
      <vt:lpstr>Db_TrainCtotalE_FC</vt:lpstr>
      <vt:lpstr>Db_TrainCtotalE_LC</vt:lpstr>
      <vt:lpstr>Db_TrainCtotalF_FC</vt:lpstr>
      <vt:lpstr>Db_TrainCtotalF_LC</vt:lpstr>
      <vt:lpstr>Db_TrainCy1E_FC</vt:lpstr>
      <vt:lpstr>Db_TrainCy1E_LC</vt:lpstr>
      <vt:lpstr>Db_TrainCy1F_FC</vt:lpstr>
      <vt:lpstr>Db_TrainCy1F_LC</vt:lpstr>
      <vt:lpstr>Db_TrainCy2E_FC</vt:lpstr>
      <vt:lpstr>Db_TrainCy2E_LC</vt:lpstr>
      <vt:lpstr>Db_TrainCy2F_FC</vt:lpstr>
      <vt:lpstr>Db_TrainCy2F_LC</vt:lpstr>
      <vt:lpstr>Db_TrainCy3E_FC</vt:lpstr>
      <vt:lpstr>Db_TrainCy3E_LC</vt:lpstr>
      <vt:lpstr>Db_TrainCy3F_FC</vt:lpstr>
      <vt:lpstr>Db_TrainCy3F_LC</vt:lpstr>
      <vt:lpstr>Db_TrainCy4E_FC</vt:lpstr>
      <vt:lpstr>Db_TrainCy4E_LC</vt:lpstr>
      <vt:lpstr>Db_TrainCy4F_FC</vt:lpstr>
      <vt:lpstr>Db_TrainCy4F_LC</vt:lpstr>
      <vt:lpstr>Db_TrainCy5E_FC</vt:lpstr>
      <vt:lpstr>Db_TrainCy5E_LC</vt:lpstr>
      <vt:lpstr>Db_TrainCy5F_FC</vt:lpstr>
      <vt:lpstr>Db_TrainCy5F_LC</vt:lpstr>
      <vt:lpstr>Db_VacCtotalE_FC</vt:lpstr>
      <vt:lpstr>Db_VacCtotalE_LC</vt:lpstr>
      <vt:lpstr>Db_VacCtotalF_FC</vt:lpstr>
      <vt:lpstr>Db_VacCtotalF_LC</vt:lpstr>
      <vt:lpstr>Db_VacCy1E_FC</vt:lpstr>
      <vt:lpstr>Db_VacCy1E_LC</vt:lpstr>
      <vt:lpstr>Db_VacCy1F_FC</vt:lpstr>
      <vt:lpstr>Db_VacCy1F_LC</vt:lpstr>
      <vt:lpstr>Db_VacCy2E_FC</vt:lpstr>
      <vt:lpstr>Db_VacCy2E_LC</vt:lpstr>
      <vt:lpstr>Db_VacCy2F_FC</vt:lpstr>
      <vt:lpstr>Db_VacCy2F_LC</vt:lpstr>
      <vt:lpstr>Db_VacCy3E_FC</vt:lpstr>
      <vt:lpstr>Db_VacCy3E_LC</vt:lpstr>
      <vt:lpstr>Db_VacCy3F_FC</vt:lpstr>
      <vt:lpstr>Db_VacCy3F_LC</vt:lpstr>
      <vt:lpstr>Db_VacCy4E_FC</vt:lpstr>
      <vt:lpstr>Db_VacCy4E_LC</vt:lpstr>
      <vt:lpstr>Db_VacCy4F_FC</vt:lpstr>
      <vt:lpstr>Db_VacCy4F_LC</vt:lpstr>
      <vt:lpstr>Db_VacCy5E_FC</vt:lpstr>
      <vt:lpstr>Db_VacCy5E_LC</vt:lpstr>
      <vt:lpstr>Db_VacCy5F_FC</vt:lpstr>
      <vt:lpstr>Db_VacCy5F_LC</vt:lpstr>
      <vt:lpstr>Db_VacGV1Num</vt:lpstr>
      <vt:lpstr>Db_VacGV2Num</vt:lpstr>
      <vt:lpstr>Db_VacSV1Num</vt:lpstr>
      <vt:lpstr>Db_VacSV2Num</vt:lpstr>
      <vt:lpstr>DD_Current_Lang</vt:lpstr>
      <vt:lpstr>DD_LVL2_ACTV_10_Annual_Currency_Select</vt:lpstr>
      <vt:lpstr>DD_LVL2_ACTV_10_Currency_Selected</vt:lpstr>
      <vt:lpstr>DD_LVL2_ACTV_10_Input_Detail_or_Freeform</vt:lpstr>
      <vt:lpstr>DD_LVL2_ACTV_11_Annual_Currency_Select</vt:lpstr>
      <vt:lpstr>DD_LVL2_ACTV_11_Currency_Selected</vt:lpstr>
      <vt:lpstr>DD_LVL2_ACTV_11_Input_Detail_or_Freeform</vt:lpstr>
      <vt:lpstr>DD_LVL2_ACTV_12_Annual_Currency_Select</vt:lpstr>
      <vt:lpstr>DD_LVL2_ACTV_12_Currency_Selected</vt:lpstr>
      <vt:lpstr>DD_LVL2_ACTV_12_Input_Detail_or_Freeform</vt:lpstr>
      <vt:lpstr>DD_LVL2_ACTV_13_Annual_Currency_Select</vt:lpstr>
      <vt:lpstr>DD_LVL2_ACTV_13_Currency_Selected</vt:lpstr>
      <vt:lpstr>DD_LVL2_ACTV_13_Input_Detail_or_Freeform</vt:lpstr>
      <vt:lpstr>DD_LVL2_ACTV_14_Annual_Currency_Select</vt:lpstr>
      <vt:lpstr>DD_LVL2_ACTV_14_Currency_Selected</vt:lpstr>
      <vt:lpstr>DD_LVL2_ACTV_14_Input_Detail_or_Freeform</vt:lpstr>
      <vt:lpstr>DD_LVL2_ACTV_15_Annual_Currency_Select</vt:lpstr>
      <vt:lpstr>DD_LVL2_ACTV_15_Currency_Selected</vt:lpstr>
      <vt:lpstr>DD_LVL2_ACTV_15_Input_Detail_or_Freeform</vt:lpstr>
      <vt:lpstr>DD_LVL2_ACTV_16_Annual_Currency_Select</vt:lpstr>
      <vt:lpstr>DD_LVL2_ACTV_16_Currency_Selected</vt:lpstr>
      <vt:lpstr>DD_LVL2_ACTV_16_Input_Detail_or_Freeform</vt:lpstr>
      <vt:lpstr>DD_LVL2_ACTV_18_Annual_Currency_Select</vt:lpstr>
      <vt:lpstr>DD_LVL2_ACTV_18_Currency_Selected</vt:lpstr>
      <vt:lpstr>DD_LVL2_ACTV_18_Input_Detail_or_Freeform</vt:lpstr>
      <vt:lpstr>DD_LVL2_ACTV_19_Annual_Currency_Select</vt:lpstr>
      <vt:lpstr>DD_LVL2_ACTV_19_Currency_Selected</vt:lpstr>
      <vt:lpstr>DD_LVL2_ACTV_19_Input_Detail_or_Freeform</vt:lpstr>
      <vt:lpstr>DD_LVL2_ACTV_2_Annual_Currency_Select</vt:lpstr>
      <vt:lpstr>DD_LVL2_ACTV_2_Currency_Selected</vt:lpstr>
      <vt:lpstr>DD_LVL2_ACTV_2_Input_Detail_or_Freeform</vt:lpstr>
      <vt:lpstr>DD_LVL2_ACTV_20_Annual_Currency_Select</vt:lpstr>
      <vt:lpstr>DD_LVL2_ACTV_20_Currency_Selected</vt:lpstr>
      <vt:lpstr>DD_LVL2_ACTV_20_Input_Detail_or_Freeform</vt:lpstr>
      <vt:lpstr>DD_LVL2_ACTV_21_Annual_Currency_Select</vt:lpstr>
      <vt:lpstr>DD_LVL2_ACTV_21_Currency_Selected</vt:lpstr>
      <vt:lpstr>DD_LVL2_ACTV_21_Input_Detail_or_Freeform</vt:lpstr>
      <vt:lpstr>DD_LVL2_ACTV_3_Annual_Currency_Select</vt:lpstr>
      <vt:lpstr>DD_LVL2_ACTV_3_Currency_Selected</vt:lpstr>
      <vt:lpstr>DD_LVL2_ACTV_3_Input_Detail_or_Freeform</vt:lpstr>
      <vt:lpstr>DD_LVL2_ACTV_4_Annual_Currency_Select</vt:lpstr>
      <vt:lpstr>DD_LVL2_ACTV_4_Currency_Selected</vt:lpstr>
      <vt:lpstr>DD_LVL2_ACTV_4_Input_Detail_or_Freeform</vt:lpstr>
      <vt:lpstr>DD_LVL2_ACTV_5_Annual_Currency_Select</vt:lpstr>
      <vt:lpstr>DD_LVL2_ACTV_5_Currency_Selected</vt:lpstr>
      <vt:lpstr>DD_LVL2_ACTV_5_Input_Detail_or_Freeform</vt:lpstr>
      <vt:lpstr>DD_LVL2_ACTV_6_Annual_Currency_Select</vt:lpstr>
      <vt:lpstr>DD_LVL2_ACTV_6_Currency_Selected</vt:lpstr>
      <vt:lpstr>DD_LVL2_ACTV_6_Input_Detail_or_Freeform</vt:lpstr>
      <vt:lpstr>DD_LVL2_ACTV_7_Annual_Currency_Select</vt:lpstr>
      <vt:lpstr>DD_LVL2_ACTV_7_Currency_Selected</vt:lpstr>
      <vt:lpstr>DD_LVL2_ACTV_7_Input_Detail_or_Freeform</vt:lpstr>
      <vt:lpstr>DD_LVL2_ACTV_8_Annual_Currency_Select</vt:lpstr>
      <vt:lpstr>DD_LVL2_ACTV_8_Currency_Selected</vt:lpstr>
      <vt:lpstr>DD_LVL2_ACTV_8_Input_Detail_or_Freeform</vt:lpstr>
      <vt:lpstr>DD_LVL2_ACTV_9_Annual_Currency_Select</vt:lpstr>
      <vt:lpstr>DD_LVL2_ACTV_9_Currency_Selected</vt:lpstr>
      <vt:lpstr>DD_LVL2_ACTV_9_Input_Detail_or_Freeform</vt:lpstr>
      <vt:lpstr>DD_LVL2_ACTV_Annual_Currency_Select</vt:lpstr>
      <vt:lpstr>DD_LVL2_ACTV_Currency_Selected</vt:lpstr>
      <vt:lpstr>DD_LVL2_ACTV_Input_Detail_or_Freeform</vt:lpstr>
      <vt:lpstr>DD_TOP_ACTV_10_Annual_Currency_Used</vt:lpstr>
      <vt:lpstr>DD_TOP_ACTV_10_Detailed_Currency_Used</vt:lpstr>
      <vt:lpstr>DD_TOP_ACTV_10_Input_Detail_or_Freeform</vt:lpstr>
      <vt:lpstr>DD_TOP_ACTV_11_Annual_Currency_Used</vt:lpstr>
      <vt:lpstr>DD_TOP_ACTV_11_Detailed_Currency_Used</vt:lpstr>
      <vt:lpstr>DD_TOP_ACTV_11_Input_Detail_or_Freeform</vt:lpstr>
      <vt:lpstr>DD_TOP_ACTV_13_Annual_Currency_Used</vt:lpstr>
      <vt:lpstr>DD_TOP_ACTV_13_Detailed_Currency_Used</vt:lpstr>
      <vt:lpstr>DD_TOP_ACTV_13_Input_Detail_or_Freeform</vt:lpstr>
      <vt:lpstr>DD_TOP_ACTV_14_Annual_Currency_Used</vt:lpstr>
      <vt:lpstr>DD_TOP_ACTV_14_Detailed_Currency_Used</vt:lpstr>
      <vt:lpstr>DD_TOP_ACTV_14_Input_Detail_or_Freeform</vt:lpstr>
      <vt:lpstr>DD_TOP_ACTV_15_Annual_Currency_Used</vt:lpstr>
      <vt:lpstr>DD_TOP_ACTV_15_Detailed_Currency_Used</vt:lpstr>
      <vt:lpstr>DD_TOP_ACTV_15_Input_Detail_or_Freeform</vt:lpstr>
      <vt:lpstr>DD_TOP_ACTV_16_Annual_Currency_Used</vt:lpstr>
      <vt:lpstr>DD_TOP_ACTV_16_Detailed_Currency_Used</vt:lpstr>
      <vt:lpstr>DD_TOP_ACTV_16_Input_Detail_or_Freeform</vt:lpstr>
      <vt:lpstr>DD_TOP_ACTV_17_Annual_Currency_Used</vt:lpstr>
      <vt:lpstr>DD_TOP_ACTV_17_Detailed_Currency_Used</vt:lpstr>
      <vt:lpstr>DD_TOP_ACTV_17_Input_Detail_or_Freeform</vt:lpstr>
      <vt:lpstr>DD_TOP_ACTV_18_Annual_Currency_Used</vt:lpstr>
      <vt:lpstr>DD_TOP_ACTV_18_Detailed_Currency_Used</vt:lpstr>
      <vt:lpstr>DD_TOP_ACTV_18_Input_Detail_or_Freeform</vt:lpstr>
      <vt:lpstr>DD_TOP_ACTV_19_Annual_Currency_Used</vt:lpstr>
      <vt:lpstr>DD_TOP_ACTV_19_Detailed_Currency_Used</vt:lpstr>
      <vt:lpstr>DD_TOP_ACTV_19_Input_Detail_or_Freeform</vt:lpstr>
      <vt:lpstr>DD_TOP_ACTV_2_Annual_Currency_Used</vt:lpstr>
      <vt:lpstr>DD_TOP_ACTV_2_Detailed_Currency_Used</vt:lpstr>
      <vt:lpstr>DD_TOP_ACTV_2_Input_Detail_or_Freeform</vt:lpstr>
      <vt:lpstr>DD_TOP_ACTV_20_Annual_Currency_Used</vt:lpstr>
      <vt:lpstr>DD_TOP_ACTV_20_Detailed_Currency_Used</vt:lpstr>
      <vt:lpstr>DD_TOP_ACTV_20_Input_Detail_or_Freeform</vt:lpstr>
      <vt:lpstr>DD_TOP_ACTV_3_Annual_Currency_Used</vt:lpstr>
      <vt:lpstr>DD_TOP_ACTV_3_Detailed_Currency_Used</vt:lpstr>
      <vt:lpstr>DD_TOP_ACTV_3_Input_Detail_or_Freeform</vt:lpstr>
      <vt:lpstr>DD_TOP_ACTV_4_Annual_Currency_Used</vt:lpstr>
      <vt:lpstr>DD_TOP_ACTV_4_Detailed_Currency_Used</vt:lpstr>
      <vt:lpstr>DD_TOP_ACTV_4_Input_Detail_or_Freeform</vt:lpstr>
      <vt:lpstr>DD_TOP_ACTV_5_Annual_Currency_Used</vt:lpstr>
      <vt:lpstr>DD_TOP_ACTV_5_Detailed_Currency_Used</vt:lpstr>
      <vt:lpstr>DD_TOP_ACTV_5_Input_Detail_or_Freeform</vt:lpstr>
      <vt:lpstr>DD_TOP_ACTV_6_Annual_Currency_Used</vt:lpstr>
      <vt:lpstr>DD_TOP_ACTV_6_Detailed_Currency_Used</vt:lpstr>
      <vt:lpstr>DD_TOP_ACTV_6_Input_Detail_or_Freeform</vt:lpstr>
      <vt:lpstr>DD_TOP_ACTV_7_Annual_Currency_Used</vt:lpstr>
      <vt:lpstr>DD_TOP_ACTV_7_Detailed_Currency_Used</vt:lpstr>
      <vt:lpstr>DD_TOP_ACTV_7_Input_Detail_or_Freeform</vt:lpstr>
      <vt:lpstr>DD_TOP_ACTV_8_Annual_Currency_Used</vt:lpstr>
      <vt:lpstr>DD_TOP_ACTV_8_Detailed_Currency_Used</vt:lpstr>
      <vt:lpstr>DD_TOP_ACTV_8_Input_Detail_or_Freeform</vt:lpstr>
      <vt:lpstr>DD_TOP_ACTV_Annual_Currency_Used</vt:lpstr>
      <vt:lpstr>DD_TOP_ACTV_Detailed_Currency_Used</vt:lpstr>
      <vt:lpstr>DD_TOP_ACTV_Input_Detail_or_Freeform</vt:lpstr>
      <vt:lpstr>DD_TS_Denom</vt:lpstr>
      <vt:lpstr>DD_TS_Fin_Yr_End_Mth</vt:lpstr>
      <vt:lpstr>DD_Vacc_Applied_Input_Currency</vt:lpstr>
      <vt:lpstr>Err_Chks_Msg</vt:lpstr>
      <vt:lpstr>Err_Chks_Ttl_Areas</vt:lpstr>
      <vt:lpstr>HL_Alt_Chk</vt:lpstr>
      <vt:lpstr>HL_Analy_Ass_A</vt:lpstr>
      <vt:lpstr>HL_Analy_Average_Number_of_Vaccinations_Delivered_During_Service_Delivery_Activities_Prospective_or_Retrospective</vt:lpstr>
      <vt:lpstr>HL_Analy_Out</vt:lpstr>
      <vt:lpstr>HL_Analy_Out_A</vt:lpstr>
      <vt:lpstr>HL_Analy_Out_B</vt:lpstr>
      <vt:lpstr>HL_Analy_Out_C</vt:lpstr>
      <vt:lpstr>HL_CAP_OTH_Ass_A</vt:lpstr>
      <vt:lpstr>HL_CAP_OTH_Out_A</vt:lpstr>
      <vt:lpstr>HL_COLD_Ass_A</vt:lpstr>
      <vt:lpstr>HL_COLD_Out_A</vt:lpstr>
      <vt:lpstr>HL_Count_Ass</vt:lpstr>
      <vt:lpstr>HL_Count_Ass_A</vt:lpstr>
      <vt:lpstr>HL_Count_Ass_B</vt:lpstr>
      <vt:lpstr>HL_Count_Ass_C</vt:lpstr>
      <vt:lpstr>HL_Count_Ass_D</vt:lpstr>
      <vt:lpstr>HL_CVG_Ass_A</vt:lpstr>
      <vt:lpstr>HL_CVG_Ass_B</vt:lpstr>
      <vt:lpstr>HL_CVG_Coverage_Prospective_Assumptions</vt:lpstr>
      <vt:lpstr>HL_CVG_Out_A</vt:lpstr>
      <vt:lpstr>HL_CVG_Out_Sum</vt:lpstr>
      <vt:lpstr>HL_CVG_Projected_Coverage_Instructions</vt:lpstr>
      <vt:lpstr>HL_CVG_Retrospective_Coverage_Instructions</vt:lpstr>
      <vt:lpstr>HL_Econ_Economic_Rates</vt:lpstr>
      <vt:lpstr>HL_Err_Chk</vt:lpstr>
      <vt:lpstr>HL_Lbl_Ass</vt:lpstr>
      <vt:lpstr>HL_LVL2_ACTV_10_Activity_Number_of_Activities_Annual_Assumptions</vt:lpstr>
      <vt:lpstr>HL_LVL2_ACTV_10_Activity_Summary_Costs_Annual</vt:lpstr>
      <vt:lpstr>HL_LVL2_ACTV_10_Allowances_Assumptions</vt:lpstr>
      <vt:lpstr>HL_LVL2_ACTV_10_Allowances_Outputs</vt:lpstr>
      <vt:lpstr>HL_LVL2_ACTV_10_Ass_A</vt:lpstr>
      <vt:lpstr>HL_LVL2_ACTV_10_Ass_B</vt:lpstr>
      <vt:lpstr>HL_LVL2_ACTV_10_Cost_Summary_Output</vt:lpstr>
      <vt:lpstr>HL_LVL2_ACTV_10_Detailed_Costing_Worksheet</vt:lpstr>
      <vt:lpstr>HL_LVL2_ACTV_10_Name</vt:lpstr>
      <vt:lpstr>HL_LVL2_ACTV_10_Other_Direct_Costs</vt:lpstr>
      <vt:lpstr>HL_LVL2_ACTV_10_Other_Direct_Costs_Outputs</vt:lpstr>
      <vt:lpstr>HL_LVL2_ACTV_10_Out_A</vt:lpstr>
      <vt:lpstr>HL_LVL2_ACTV_10_Personnel_Assumptions</vt:lpstr>
      <vt:lpstr>HL_LVL2_ACTV_10_Personnel_Outputs</vt:lpstr>
      <vt:lpstr>HL_LVL2_ACTV_10_Single_Activity_Cost_Assumptions_Annual</vt:lpstr>
      <vt:lpstr>HL_LVL2_ACTV_10_Single_Activity_Cost_Outputs_Annual_ECON_International_Currency</vt:lpstr>
      <vt:lpstr>HL_LVL2_ACTV_10_Single_Activity_Cost_Outputs_Annual_ECON_Local_Currency</vt:lpstr>
      <vt:lpstr>HL_LVL2_ACTV_10_Single_Activity_Cost_Outputs_Annual_FIN_International_Currency</vt:lpstr>
      <vt:lpstr>HL_LVL2_ACTV_10_Single_Activity_Cost_Outputs_Annual_FIN_Local_Currency</vt:lpstr>
      <vt:lpstr>HL_LVL2_ACTV_10_Supplies_and_Materials</vt:lpstr>
      <vt:lpstr>HL_LVL2_ACTV_10_Supplies_and_Materials_Outputs</vt:lpstr>
      <vt:lpstr>HL_LVL2_ACTV_11_Activity_Number_of_Activities_Annual_Assumptions</vt:lpstr>
      <vt:lpstr>HL_LVL2_ACTV_11_Activity_Summary_Costs_Annual</vt:lpstr>
      <vt:lpstr>HL_LVL2_ACTV_11_Allowances_Assumptions</vt:lpstr>
      <vt:lpstr>HL_LVL2_ACTV_11_Allowances_Outputs</vt:lpstr>
      <vt:lpstr>HL_LVL2_ACTV_11_Ass_A</vt:lpstr>
      <vt:lpstr>HL_LVL2_ACTV_11_Ass_B</vt:lpstr>
      <vt:lpstr>HL_LVL2_ACTV_11_Cost_Summary_Output</vt:lpstr>
      <vt:lpstr>HL_LVL2_ACTV_11_Detailed_Costing_Worksheet</vt:lpstr>
      <vt:lpstr>HL_LVL2_ACTV_11_Name</vt:lpstr>
      <vt:lpstr>HL_LVL2_ACTV_11_Other_Direct_Costs</vt:lpstr>
      <vt:lpstr>HL_LVL2_ACTV_11_Other_Direct_Costs_Outputs</vt:lpstr>
      <vt:lpstr>HL_LVL2_ACTV_11_Out_A</vt:lpstr>
      <vt:lpstr>HL_LVL2_ACTV_11_Personnel_Assumptions</vt:lpstr>
      <vt:lpstr>HL_LVL2_ACTV_11_Personnel_Outputs</vt:lpstr>
      <vt:lpstr>HL_LVL2_ACTV_11_Single_Activity_Cost_Assumptions_Annual</vt:lpstr>
      <vt:lpstr>HL_LVL2_ACTV_11_Single_Activity_Cost_Outputs_Annual_ECON_International_Currency</vt:lpstr>
      <vt:lpstr>HL_LVL2_ACTV_11_Single_Activity_Cost_Outputs_Annual_ECON_Local_Currency</vt:lpstr>
      <vt:lpstr>HL_LVL2_ACTV_11_Single_Activity_Cost_Outputs_Annual_FIN_International_Currency</vt:lpstr>
      <vt:lpstr>HL_LVL2_ACTV_11_Single_Activity_Cost_Outputs_Annual_FIN_Local_Currency</vt:lpstr>
      <vt:lpstr>HL_LVL2_ACTV_11_Supplies_and_Materials</vt:lpstr>
      <vt:lpstr>HL_LVL2_ACTV_11_Supplies_and_Materials_Outputs</vt:lpstr>
      <vt:lpstr>HL_LVL2_ACTV_12_Activity_Summary_Costs_Annual</vt:lpstr>
      <vt:lpstr>HL_LVL2_ACTV_12_Allowances_Assumptions</vt:lpstr>
      <vt:lpstr>HL_LVL2_ACTV_12_Allowances_Outputs</vt:lpstr>
      <vt:lpstr>HL_LVL2_ACTV_12_Ass_A</vt:lpstr>
      <vt:lpstr>HL_LVL2_ACTV_12_Ass_B</vt:lpstr>
      <vt:lpstr>HL_LVL2_ACTV_12_Cost_Summary_Output</vt:lpstr>
      <vt:lpstr>HL_LVL2_ACTV_12_Detailed_Costing_Worksheet</vt:lpstr>
      <vt:lpstr>HL_LVL2_ACTV_12_Name</vt:lpstr>
      <vt:lpstr>HL_LVL2_ACTV_12_Other_Direct_Costs</vt:lpstr>
      <vt:lpstr>HL_LVL2_ACTV_12_Other_Direct_Costs_Outputs</vt:lpstr>
      <vt:lpstr>HL_LVL2_ACTV_12_Out_A</vt:lpstr>
      <vt:lpstr>HL_LVL2_ACTV_12_Personnel_Assumptions</vt:lpstr>
      <vt:lpstr>HL_LVL2_ACTV_12_Personnel_Outputs</vt:lpstr>
      <vt:lpstr>HL_LVL2_ACTV_12_Single_Activity_Cost_Assumptions_Annual</vt:lpstr>
      <vt:lpstr>HL_LVL2_ACTV_12_Single_Activity_Cost_Outputs_Annual_ECON_International_Currency</vt:lpstr>
      <vt:lpstr>HL_LVL2_ACTV_12_Single_Activity_Cost_Outputs_Annual_ECON_Local_Currency</vt:lpstr>
      <vt:lpstr>HL_LVL2_ACTV_12_Single_Activity_Cost_Outputs_Annual_FIN_International_Currency</vt:lpstr>
      <vt:lpstr>HL_LVL2_ACTV_12_Single_Activity_Cost_Outputs_Annual_FIN_Local_Currency</vt:lpstr>
      <vt:lpstr>HL_LVL2_ACTV_12_Supplies_and_Materials</vt:lpstr>
      <vt:lpstr>HL_LVL2_ACTV_12_Supplies_and_Materials_Outputs</vt:lpstr>
      <vt:lpstr>HL_LVL2_ACTV_13_Activity_Summary_Costs_Annual</vt:lpstr>
      <vt:lpstr>HL_LVL2_ACTV_13_Allowances_Assumptions</vt:lpstr>
      <vt:lpstr>HL_LVL2_ACTV_13_Allowances_Outputs</vt:lpstr>
      <vt:lpstr>HL_LVL2_ACTV_13_Ass_A</vt:lpstr>
      <vt:lpstr>HL_LVL2_ACTV_13_Ass_B</vt:lpstr>
      <vt:lpstr>HL_LVL2_ACTV_13_Cost_Summary_Output</vt:lpstr>
      <vt:lpstr>HL_LVL2_ACTV_13_Detailed_Costing_Worksheet</vt:lpstr>
      <vt:lpstr>HL_LVL2_ACTV_13_Name</vt:lpstr>
      <vt:lpstr>HL_LVL2_ACTV_13_Other_Direct_Costs</vt:lpstr>
      <vt:lpstr>HL_LVL2_ACTV_13_Other_Direct_Costs_Outputs</vt:lpstr>
      <vt:lpstr>HL_LVL2_ACTV_13_Out_A</vt:lpstr>
      <vt:lpstr>HL_LVL2_ACTV_13_Personnel_Assumptions</vt:lpstr>
      <vt:lpstr>HL_LVL2_ACTV_13_Personnel_Outputs</vt:lpstr>
      <vt:lpstr>HL_LVL2_ACTV_13_Single_Activity_Cost_Assumptions_Annual</vt:lpstr>
      <vt:lpstr>HL_LVL2_ACTV_13_Single_Activity_Cost_Outputs_Annual_ECON_International_Currency</vt:lpstr>
      <vt:lpstr>HL_LVL2_ACTV_13_Single_Activity_Cost_Outputs_Annual_ECON_Local_Currency</vt:lpstr>
      <vt:lpstr>HL_LVL2_ACTV_13_Single_Activity_Cost_Outputs_Annual_FIN_International_Currency</vt:lpstr>
      <vt:lpstr>HL_LVL2_ACTV_13_Single_Activity_Cost_Outputs_Annual_FIN_Local_Currency</vt:lpstr>
      <vt:lpstr>HL_LVL2_ACTV_13_Supplies_and_Materials</vt:lpstr>
      <vt:lpstr>HL_LVL2_ACTV_13_Supplies_and_Materials_Outputs</vt:lpstr>
      <vt:lpstr>HL_LVL2_ACTV_14_Activity_Number_of_Activities_Annual_Assumptions</vt:lpstr>
      <vt:lpstr>HL_LVL2_ACTV_14_Activity_Summary_Costs_Annual</vt:lpstr>
      <vt:lpstr>HL_LVL2_ACTV_14_Allowances_Assumptions</vt:lpstr>
      <vt:lpstr>HL_LVL2_ACTV_14_Allowances_Outputs</vt:lpstr>
      <vt:lpstr>HL_LVL2_ACTV_14_Ass_A</vt:lpstr>
      <vt:lpstr>HL_LVL2_ACTV_14_Ass_B</vt:lpstr>
      <vt:lpstr>HL_LVL2_ACTV_14_Cost_Summary_Output</vt:lpstr>
      <vt:lpstr>HL_LVL2_ACTV_14_Detailed_Costing_Worksheet</vt:lpstr>
      <vt:lpstr>HL_LVL2_ACTV_14_Name</vt:lpstr>
      <vt:lpstr>HL_LVL2_ACTV_14_Other_Direct_Costs</vt:lpstr>
      <vt:lpstr>HL_LVL2_ACTV_14_Other_Direct_Costs_Outputs</vt:lpstr>
      <vt:lpstr>HL_LVL2_ACTV_14_Out_A</vt:lpstr>
      <vt:lpstr>HL_LVL2_ACTV_14_Personnel_Assumptions</vt:lpstr>
      <vt:lpstr>HL_LVL2_ACTV_14_Personnel_Outputs</vt:lpstr>
      <vt:lpstr>HL_LVL2_ACTV_14_Single_Activity_Cost_Assumptions_Annual</vt:lpstr>
      <vt:lpstr>HL_LVL2_ACTV_14_Single_Activity_Cost_Outputs_Annual_ECON_International_Currency</vt:lpstr>
      <vt:lpstr>HL_LVL2_ACTV_14_Single_Activity_Cost_Outputs_Annual_ECON_Local_Currency</vt:lpstr>
      <vt:lpstr>HL_LVL2_ACTV_14_Single_Activity_Cost_Outputs_Annual_FIN_International_Currency</vt:lpstr>
      <vt:lpstr>HL_LVL2_ACTV_14_Single_Activity_Cost_Outputs_Annual_FIN_Local_Currency</vt:lpstr>
      <vt:lpstr>HL_LVL2_ACTV_14_Supplies_and_Materials</vt:lpstr>
      <vt:lpstr>HL_LVL2_ACTV_14_Supplies_and_Materials_Outputs</vt:lpstr>
      <vt:lpstr>HL_LVL2_ACTV_15_Activity_Number_of_Activities_Annual_Assumptions</vt:lpstr>
      <vt:lpstr>HL_LVL2_ACTV_15_Activity_Summary_Costs_Annual</vt:lpstr>
      <vt:lpstr>HL_LVL2_ACTV_15_Allowances_Assumptions</vt:lpstr>
      <vt:lpstr>HL_LVL2_ACTV_15_Allowances_Outputs</vt:lpstr>
      <vt:lpstr>HL_LVL2_ACTV_15_Ass_A</vt:lpstr>
      <vt:lpstr>HL_LVL2_ACTV_15_Ass_B</vt:lpstr>
      <vt:lpstr>HL_LVL2_ACTV_15_Cost_Summary_Output</vt:lpstr>
      <vt:lpstr>HL_LVL2_ACTV_15_Detailed_Costing_Worksheet</vt:lpstr>
      <vt:lpstr>HL_LVL2_ACTV_15_Name</vt:lpstr>
      <vt:lpstr>HL_LVL2_ACTV_15_Other_Direct_Costs</vt:lpstr>
      <vt:lpstr>HL_LVL2_ACTV_15_Other_Direct_Costs_Outputs</vt:lpstr>
      <vt:lpstr>HL_LVL2_ACTV_15_Out_A</vt:lpstr>
      <vt:lpstr>HL_LVL2_ACTV_15_Personnel_Assumptions</vt:lpstr>
      <vt:lpstr>HL_LVL2_ACTV_15_Personnel_Outputs</vt:lpstr>
      <vt:lpstr>HL_LVL2_ACTV_15_Single_Activity_Cost_Assumptions_Annual</vt:lpstr>
      <vt:lpstr>HL_LVL2_ACTV_15_Single_Activity_Cost_Outputs_Annual_ECON_International_Currency</vt:lpstr>
      <vt:lpstr>HL_LVL2_ACTV_15_Single_Activity_Cost_Outputs_Annual_ECON_Local_Currency</vt:lpstr>
      <vt:lpstr>HL_LVL2_ACTV_15_Single_Activity_Cost_Outputs_Annual_FIN_International_Currency</vt:lpstr>
      <vt:lpstr>HL_LVL2_ACTV_15_Single_Activity_Cost_Outputs_Annual_FIN_Local_Currency</vt:lpstr>
      <vt:lpstr>HL_LVL2_ACTV_15_Supplies_and_Materials</vt:lpstr>
      <vt:lpstr>HL_LVL2_ACTV_15_Supplies_and_Materials_Outputs</vt:lpstr>
      <vt:lpstr>HL_LVL2_ACTV_16_Activity_Number_of_Activities_Annual_Assumptions</vt:lpstr>
      <vt:lpstr>HL_LVL2_ACTV_16_Activity_Summary_Costs_Annual</vt:lpstr>
      <vt:lpstr>HL_LVL2_ACTV_16_Allowances_Assumptions</vt:lpstr>
      <vt:lpstr>HL_LVL2_ACTV_16_Allowances_Outputs</vt:lpstr>
      <vt:lpstr>HL_LVL2_ACTV_16_Ass_A</vt:lpstr>
      <vt:lpstr>HL_LVL2_ACTV_16_Ass_B</vt:lpstr>
      <vt:lpstr>HL_LVL2_ACTV_16_Cost_Summary_Output</vt:lpstr>
      <vt:lpstr>HL_LVL2_ACTV_16_Detailed_Costing_Worksheet</vt:lpstr>
      <vt:lpstr>HL_LVL2_ACTV_16_Name</vt:lpstr>
      <vt:lpstr>HL_LVL2_ACTV_16_Other_Direct_Costs</vt:lpstr>
      <vt:lpstr>HL_LVL2_ACTV_16_Other_Direct_Costs_Outputs</vt:lpstr>
      <vt:lpstr>HL_LVL2_ACTV_16_Out_A</vt:lpstr>
      <vt:lpstr>HL_LVL2_ACTV_16_Personnel_Assumptions</vt:lpstr>
      <vt:lpstr>HL_LVL2_ACTV_16_Personnel_Outputs</vt:lpstr>
      <vt:lpstr>HL_LVL2_ACTV_16_Single_Activity_Cost_Assumptions_Annual</vt:lpstr>
      <vt:lpstr>HL_LVL2_ACTV_16_Single_Activity_Cost_Outputs_Annual_ECON_International_Currency</vt:lpstr>
      <vt:lpstr>HL_LVL2_ACTV_16_Single_Activity_Cost_Outputs_Annual_ECON_Local_Currency</vt:lpstr>
      <vt:lpstr>HL_LVL2_ACTV_16_Single_Activity_Cost_Outputs_Annual_FIN_International_Currency</vt:lpstr>
      <vt:lpstr>HL_LVL2_ACTV_16_Single_Activity_Cost_Outputs_Annual_FIN_Local_Currency</vt:lpstr>
      <vt:lpstr>HL_LVL2_ACTV_16_Supplies_and_Materials</vt:lpstr>
      <vt:lpstr>HL_LVL2_ACTV_16_Supplies_and_Materials_Outputs</vt:lpstr>
      <vt:lpstr>HL_LVL2_ACTV_18_Activity_Number_of_Activities_Annual_Assumptions</vt:lpstr>
      <vt:lpstr>HL_LVL2_ACTV_18_Activity_Summary_Costs_Annual</vt:lpstr>
      <vt:lpstr>HL_LVL2_ACTV_18_Allowances_Assumptions</vt:lpstr>
      <vt:lpstr>HL_LVL2_ACTV_18_Allowances_Outputs</vt:lpstr>
      <vt:lpstr>HL_LVL2_ACTV_18_Ass_A</vt:lpstr>
      <vt:lpstr>HL_LVL2_ACTV_18_Ass_B</vt:lpstr>
      <vt:lpstr>HL_LVL2_ACTV_18_Cost_Summary_Output</vt:lpstr>
      <vt:lpstr>HL_LVL2_ACTV_18_Detailed_Costing_Worksheet</vt:lpstr>
      <vt:lpstr>HL_LVL2_ACTV_18_Name</vt:lpstr>
      <vt:lpstr>HL_LVL2_ACTV_18_Other_Direct_Costs</vt:lpstr>
      <vt:lpstr>HL_LVL2_ACTV_18_Other_Direct_Costs_Outputs</vt:lpstr>
      <vt:lpstr>HL_LVL2_ACTV_18_Out_A</vt:lpstr>
      <vt:lpstr>HL_LVL2_ACTV_18_Personnel_Assumptions</vt:lpstr>
      <vt:lpstr>HL_LVL2_ACTV_18_Personnel_Outputs</vt:lpstr>
      <vt:lpstr>HL_LVL2_ACTV_18_Single_Activity_Cost_Assumptions_Annual</vt:lpstr>
      <vt:lpstr>HL_LVL2_ACTV_18_Single_Activity_Cost_Outputs_Annual_ECON_International_Currency</vt:lpstr>
      <vt:lpstr>HL_LVL2_ACTV_18_Single_Activity_Cost_Outputs_Annual_ECON_Local_Currency</vt:lpstr>
      <vt:lpstr>HL_LVL2_ACTV_18_Single_Activity_Cost_Outputs_Annual_FIN_International_Currency</vt:lpstr>
      <vt:lpstr>HL_LVL2_ACTV_18_Single_Activity_Cost_Outputs_Annual_FIN_Local_Currency</vt:lpstr>
      <vt:lpstr>HL_LVL2_ACTV_18_Supplies_and_Materials</vt:lpstr>
      <vt:lpstr>HL_LVL2_ACTV_18_Supplies_and_Materials_Outputs</vt:lpstr>
      <vt:lpstr>HL_LVL2_ACTV_19_Activity_Number_of_Activities_Annual_Assumptions</vt:lpstr>
      <vt:lpstr>HL_LVL2_ACTV_19_Activity_Summary_Costs_Annual</vt:lpstr>
      <vt:lpstr>HL_LVL2_ACTV_19_Allowances_Assumptions</vt:lpstr>
      <vt:lpstr>HL_LVL2_ACTV_19_Allowances_Outputs</vt:lpstr>
      <vt:lpstr>HL_LVL2_ACTV_19_Ass_A</vt:lpstr>
      <vt:lpstr>HL_LVL2_ACTV_19_Ass_B</vt:lpstr>
      <vt:lpstr>HL_LVL2_ACTV_19_Cost_Summary_Output</vt:lpstr>
      <vt:lpstr>HL_LVL2_ACTV_19_Detailed_Costing_Worksheet</vt:lpstr>
      <vt:lpstr>HL_LVL2_ACTV_19_Name</vt:lpstr>
      <vt:lpstr>HL_LVL2_ACTV_19_Other_Direct_Costs</vt:lpstr>
      <vt:lpstr>HL_LVL2_ACTV_19_Other_Direct_Costs_Outputs</vt:lpstr>
      <vt:lpstr>HL_LVL2_ACTV_19_Out_A</vt:lpstr>
      <vt:lpstr>HL_LVL2_ACTV_19_Personnel_Assumptions</vt:lpstr>
      <vt:lpstr>HL_LVL2_ACTV_19_Personnel_Outputs</vt:lpstr>
      <vt:lpstr>HL_LVL2_ACTV_19_Single_Activity_Cost_Assumptions_Annual</vt:lpstr>
      <vt:lpstr>HL_LVL2_ACTV_19_Single_Activity_Cost_Outputs_Annual_ECON_International_Currency</vt:lpstr>
      <vt:lpstr>HL_LVL2_ACTV_19_Single_Activity_Cost_Outputs_Annual_ECON_Local_Currency</vt:lpstr>
      <vt:lpstr>HL_LVL2_ACTV_19_Single_Activity_Cost_Outputs_Annual_FIN_International_Currency</vt:lpstr>
      <vt:lpstr>HL_LVL2_ACTV_19_Single_Activity_Cost_Outputs_Annual_FIN_Local_Currency</vt:lpstr>
      <vt:lpstr>HL_LVL2_ACTV_19_Supplies_and_Materials</vt:lpstr>
      <vt:lpstr>HL_LVL2_ACTV_19_Supplies_and_Materials_Outputs</vt:lpstr>
      <vt:lpstr>HL_LVL2_ACTV_2_Activity_Number_of_Activities_Annual_Assumptions</vt:lpstr>
      <vt:lpstr>HL_LVL2_ACTV_2_Activity_Summary_Costs_Annual</vt:lpstr>
      <vt:lpstr>HL_LVL2_ACTV_2_Allowances_Assumptions</vt:lpstr>
      <vt:lpstr>HL_LVL2_ACTV_2_Allowances_Outputs</vt:lpstr>
      <vt:lpstr>HL_LVL2_ACTV_2_Ass_A</vt:lpstr>
      <vt:lpstr>HL_LVL2_ACTV_2_Ass_B</vt:lpstr>
      <vt:lpstr>HL_LVL2_ACTV_2_Cost_Summary_Output</vt:lpstr>
      <vt:lpstr>HL_LVL2_ACTV_2_Detailed_Costing_Worksheet</vt:lpstr>
      <vt:lpstr>HL_LVL2_ACTV_2_Name</vt:lpstr>
      <vt:lpstr>HL_LVL2_ACTV_2_Other_Direct_Costs</vt:lpstr>
      <vt:lpstr>HL_LVL2_ACTV_2_Other_Direct_Costs_Outputs</vt:lpstr>
      <vt:lpstr>HL_LVL2_ACTV_2_Out_A</vt:lpstr>
      <vt:lpstr>HL_LVL2_ACTV_2_Personnel_Assumptions</vt:lpstr>
      <vt:lpstr>HL_LVL2_ACTV_2_Personnel_Outputs</vt:lpstr>
      <vt:lpstr>HL_LVL2_ACTV_2_Single_Activity_Cost_Assumptions_Annual</vt:lpstr>
      <vt:lpstr>HL_LVL2_ACTV_2_Single_Activity_Cost_Outputs_Annual_ECON_International_Currency</vt:lpstr>
      <vt:lpstr>HL_LVL2_ACTV_2_Single_Activity_Cost_Outputs_Annual_ECON_Local_Currency</vt:lpstr>
      <vt:lpstr>HL_LVL2_ACTV_2_Single_Activity_Cost_Outputs_Annual_FIN_International_Currency</vt:lpstr>
      <vt:lpstr>HL_LVL2_ACTV_2_Single_Activity_Cost_Outputs_Annual_FIN_Local_Currency</vt:lpstr>
      <vt:lpstr>HL_LVL2_ACTV_2_Supplies_and_Materials</vt:lpstr>
      <vt:lpstr>HL_LVL2_ACTV_2_Supplies_and_Materials_Outputs</vt:lpstr>
      <vt:lpstr>HL_LVL2_ACTV_20_Activity_Number_of_Activities_Annual_Assumptions</vt:lpstr>
      <vt:lpstr>HL_LVL2_ACTV_20_Activity_Summary_Costs_Annual</vt:lpstr>
      <vt:lpstr>HL_LVL2_ACTV_20_Allowances_Assumptions</vt:lpstr>
      <vt:lpstr>HL_LVL2_ACTV_20_Allowances_Outputs</vt:lpstr>
      <vt:lpstr>HL_LVL2_ACTV_20_Ass_A</vt:lpstr>
      <vt:lpstr>HL_LVL2_ACTV_20_Ass_B</vt:lpstr>
      <vt:lpstr>HL_LVL2_ACTV_20_Cost_Summary_Output</vt:lpstr>
      <vt:lpstr>HL_LVL2_ACTV_20_Detailed_Costing_Worksheet</vt:lpstr>
      <vt:lpstr>HL_LVL2_ACTV_20_Name</vt:lpstr>
      <vt:lpstr>HL_LVL2_ACTV_20_Other_Direct_Costs</vt:lpstr>
      <vt:lpstr>HL_LVL2_ACTV_20_Other_Direct_Costs_Outputs</vt:lpstr>
      <vt:lpstr>HL_LVL2_ACTV_20_Out_A</vt:lpstr>
      <vt:lpstr>HL_LVL2_ACTV_20_Personnel_Assumptions</vt:lpstr>
      <vt:lpstr>HL_LVL2_ACTV_20_Personnel_Outputs</vt:lpstr>
      <vt:lpstr>HL_LVL2_ACTV_20_Single_Activity_Cost_Assumptions_Annual</vt:lpstr>
      <vt:lpstr>HL_LVL2_ACTV_20_Single_Activity_Cost_Outputs_Annual_ECON_International_Currency</vt:lpstr>
      <vt:lpstr>HL_LVL2_ACTV_20_Single_Activity_Cost_Outputs_Annual_ECON_Local_Currency</vt:lpstr>
      <vt:lpstr>HL_LVL2_ACTV_20_Single_Activity_Cost_Outputs_Annual_FIN_International_Currency</vt:lpstr>
      <vt:lpstr>HL_LVL2_ACTV_20_Single_Activity_Cost_Outputs_Annual_FIN_Local_Currency</vt:lpstr>
      <vt:lpstr>HL_LVL2_ACTV_20_Supplies_and_Materials</vt:lpstr>
      <vt:lpstr>HL_LVL2_ACTV_20_Supplies_and_Materials_Outputs</vt:lpstr>
      <vt:lpstr>HL_LVL2_ACTV_21_Activity_Number_of_Activities_Annual_Assumptions</vt:lpstr>
      <vt:lpstr>HL_LVL2_ACTV_21_Activity_Summary_Costs_Annual</vt:lpstr>
      <vt:lpstr>HL_LVL2_ACTV_21_Allowances_Assumptions</vt:lpstr>
      <vt:lpstr>HL_LVL2_ACTV_21_Allowances_Outputs</vt:lpstr>
      <vt:lpstr>HL_LVL2_ACTV_21_Ass_A</vt:lpstr>
      <vt:lpstr>HL_LVL2_ACTV_21_Ass_B</vt:lpstr>
      <vt:lpstr>HL_LVL2_ACTV_21_Cost_Summary_Output</vt:lpstr>
      <vt:lpstr>HL_LVL2_ACTV_21_Detailed_Costing_Worksheet</vt:lpstr>
      <vt:lpstr>HL_LVL2_ACTV_21_Name</vt:lpstr>
      <vt:lpstr>HL_LVL2_ACTV_21_Other_Direct_Costs</vt:lpstr>
      <vt:lpstr>HL_LVL2_ACTV_21_Other_Direct_Costs_Outputs</vt:lpstr>
      <vt:lpstr>HL_LVL2_ACTV_21_Out_A</vt:lpstr>
      <vt:lpstr>HL_LVL2_ACTV_21_Personnel_Assumptions</vt:lpstr>
      <vt:lpstr>HL_LVL2_ACTV_21_Personnel_Outputs</vt:lpstr>
      <vt:lpstr>HL_LVL2_ACTV_21_Single_Activity_Cost_Assumptions_Annual</vt:lpstr>
      <vt:lpstr>HL_LVL2_ACTV_21_Single_Activity_Cost_Outputs_Annual_ECON_International_Currency</vt:lpstr>
      <vt:lpstr>HL_LVL2_ACTV_21_Single_Activity_Cost_Outputs_Annual_ECON_Local_Currency</vt:lpstr>
      <vt:lpstr>HL_LVL2_ACTV_21_Single_Activity_Cost_Outputs_Annual_FIN_International_Currency</vt:lpstr>
      <vt:lpstr>HL_LVL2_ACTV_21_Single_Activity_Cost_Outputs_Annual_FIN_Local_Currency</vt:lpstr>
      <vt:lpstr>HL_LVL2_ACTV_21_Supplies_and_Materials</vt:lpstr>
      <vt:lpstr>HL_LVL2_ACTV_21_Supplies_and_Materials_Outputs</vt:lpstr>
      <vt:lpstr>HL_LVL2_ACTV_3_Activity_Number_of_Activities_Annual_Assumptions</vt:lpstr>
      <vt:lpstr>HL_LVL2_ACTV_3_Activity_Summary_Costs_Annual</vt:lpstr>
      <vt:lpstr>HL_LVL2_ACTV_3_Allowances_Assumptions</vt:lpstr>
      <vt:lpstr>HL_LVL2_ACTV_3_Allowances_Outputs</vt:lpstr>
      <vt:lpstr>HL_LVL2_ACTV_3_Ass_A</vt:lpstr>
      <vt:lpstr>HL_LVL2_ACTV_3_Ass_B</vt:lpstr>
      <vt:lpstr>HL_LVL2_ACTV_3_Cost_Summary_Output</vt:lpstr>
      <vt:lpstr>HL_LVL2_ACTV_3_Detailed_Costing_Worksheet</vt:lpstr>
      <vt:lpstr>HL_LVL2_ACTV_3_Name</vt:lpstr>
      <vt:lpstr>HL_LVL2_ACTV_3_Other_Direct_Costs</vt:lpstr>
      <vt:lpstr>HL_LVL2_ACTV_3_Other_Direct_Costs_Outputs</vt:lpstr>
      <vt:lpstr>HL_LVL2_ACTV_3_Out_A</vt:lpstr>
      <vt:lpstr>HL_LVL2_ACTV_3_Personnel_Assumptions</vt:lpstr>
      <vt:lpstr>HL_LVL2_ACTV_3_Personnel_Outputs</vt:lpstr>
      <vt:lpstr>HL_LVL2_ACTV_3_Single_Activity_Cost_Assumptions_Annual</vt:lpstr>
      <vt:lpstr>HL_LVL2_ACTV_3_Single_Activity_Cost_Outputs_Annual_ECON_International_Currency</vt:lpstr>
      <vt:lpstr>HL_LVL2_ACTV_3_Single_Activity_Cost_Outputs_Annual_ECON_Local_Currency</vt:lpstr>
      <vt:lpstr>HL_LVL2_ACTV_3_Single_Activity_Cost_Outputs_Annual_FIN_International_Currency</vt:lpstr>
      <vt:lpstr>HL_LVL2_ACTV_3_Single_Activity_Cost_Outputs_Annual_FIN_Local_Currency</vt:lpstr>
      <vt:lpstr>HL_LVL2_ACTV_3_Supplies_and_Materials</vt:lpstr>
      <vt:lpstr>HL_LVL2_ACTV_3_Supplies_and_Materials_Outputs</vt:lpstr>
      <vt:lpstr>HL_LVL2_ACTV_4_Activity_Number_of_Activities_Annual_Assumptions</vt:lpstr>
      <vt:lpstr>HL_LVL2_ACTV_4_Activity_Summary_Costs_Annual</vt:lpstr>
      <vt:lpstr>HL_LVL2_ACTV_4_Allowances_Assumptions</vt:lpstr>
      <vt:lpstr>HL_LVL2_ACTV_4_Allowances_Outputs</vt:lpstr>
      <vt:lpstr>HL_LVL2_ACTV_4_Ass_A</vt:lpstr>
      <vt:lpstr>HL_LVL2_ACTV_4_Ass_B</vt:lpstr>
      <vt:lpstr>HL_LVL2_ACTV_4_Cost_Summary_Output</vt:lpstr>
      <vt:lpstr>HL_LVL2_ACTV_4_Detailed_Costing_Worksheet</vt:lpstr>
      <vt:lpstr>HL_LVL2_ACTV_4_Name</vt:lpstr>
      <vt:lpstr>HL_LVL2_ACTV_4_Other_Direct_Costs</vt:lpstr>
      <vt:lpstr>HL_LVL2_ACTV_4_Other_Direct_Costs_Outputs</vt:lpstr>
      <vt:lpstr>HL_LVL2_ACTV_4_Out_A</vt:lpstr>
      <vt:lpstr>HL_LVL2_ACTV_4_Personnel_Assumptions</vt:lpstr>
      <vt:lpstr>HL_LVL2_ACTV_4_Personnel_Outputs</vt:lpstr>
      <vt:lpstr>HL_LVL2_ACTV_4_Single_Activity_Cost_Assumptions_Annual</vt:lpstr>
      <vt:lpstr>HL_LVL2_ACTV_4_Single_Activity_Cost_Outputs_Annual_ECON_International_Currency</vt:lpstr>
      <vt:lpstr>HL_LVL2_ACTV_4_Single_Activity_Cost_Outputs_Annual_ECON_Local_Currency</vt:lpstr>
      <vt:lpstr>HL_LVL2_ACTV_4_Single_Activity_Cost_Outputs_Annual_FIN_International_Currency</vt:lpstr>
      <vt:lpstr>HL_LVL2_ACTV_4_Single_Activity_Cost_Outputs_Annual_FIN_Local_Currency</vt:lpstr>
      <vt:lpstr>HL_LVL2_ACTV_4_Supplies_and_Materials</vt:lpstr>
      <vt:lpstr>HL_LVL2_ACTV_4_Supplies_and_Materials_Outputs</vt:lpstr>
      <vt:lpstr>HL_LVL2_ACTV_5_Activity_Number_of_Activities_Annual_Assumptions</vt:lpstr>
      <vt:lpstr>HL_LVL2_ACTV_5_Activity_Summary_Costs_Annual</vt:lpstr>
      <vt:lpstr>HL_LVL2_ACTV_5_Allowances_Assumptions</vt:lpstr>
      <vt:lpstr>HL_LVL2_ACTV_5_Allowances_Outputs</vt:lpstr>
      <vt:lpstr>HL_LVL2_ACTV_5_Ass_A</vt:lpstr>
      <vt:lpstr>HL_LVL2_ACTV_5_Ass_B</vt:lpstr>
      <vt:lpstr>HL_LVL2_ACTV_5_Cost_Summary_Output</vt:lpstr>
      <vt:lpstr>HL_LVL2_ACTV_5_Detailed_Costing_Worksheet</vt:lpstr>
      <vt:lpstr>HL_LVL2_ACTV_5_Name</vt:lpstr>
      <vt:lpstr>HL_LVL2_ACTV_5_Other_Direct_Costs</vt:lpstr>
      <vt:lpstr>HL_LVL2_ACTV_5_Other_Direct_Costs_Outputs</vt:lpstr>
      <vt:lpstr>HL_LVL2_ACTV_5_Out_A</vt:lpstr>
      <vt:lpstr>HL_LVL2_ACTV_5_Personnel_Assumptions</vt:lpstr>
      <vt:lpstr>HL_LVL2_ACTV_5_Personnel_Outputs</vt:lpstr>
      <vt:lpstr>HL_LVL2_ACTV_5_Single_Activity_Cost_Assumptions_Annual</vt:lpstr>
      <vt:lpstr>HL_LVL2_ACTV_5_Single_Activity_Cost_Outputs_Annual_ECON_International_Currency</vt:lpstr>
      <vt:lpstr>HL_LVL2_ACTV_5_Single_Activity_Cost_Outputs_Annual_ECON_Local_Currency</vt:lpstr>
      <vt:lpstr>HL_LVL2_ACTV_5_Single_Activity_Cost_Outputs_Annual_FIN_International_Currency</vt:lpstr>
      <vt:lpstr>HL_LVL2_ACTV_5_Single_Activity_Cost_Outputs_Annual_FIN_Local_Currency</vt:lpstr>
      <vt:lpstr>HL_LVL2_ACTV_5_Supplies_and_Materials</vt:lpstr>
      <vt:lpstr>HL_LVL2_ACTV_5_Supplies_and_Materials_Outputs</vt:lpstr>
      <vt:lpstr>HL_LVL2_ACTV_6_Activity_Summary_Costs_Annual</vt:lpstr>
      <vt:lpstr>HL_LVL2_ACTV_6_Allowances_Assumptions</vt:lpstr>
      <vt:lpstr>HL_LVL2_ACTV_6_Allowances_Outputs</vt:lpstr>
      <vt:lpstr>HL_LVL2_ACTV_6_Ass_A</vt:lpstr>
      <vt:lpstr>HL_LVL2_ACTV_6_Ass_B</vt:lpstr>
      <vt:lpstr>HL_LVL2_ACTV_6_Cost_Summary_Output</vt:lpstr>
      <vt:lpstr>HL_LVL2_ACTV_6_Detailed_Costing_Worksheet</vt:lpstr>
      <vt:lpstr>HL_LVL2_ACTV_6_Name</vt:lpstr>
      <vt:lpstr>HL_LVL2_ACTV_6_Other_Direct_Costs</vt:lpstr>
      <vt:lpstr>HL_LVL2_ACTV_6_Other_Direct_Costs_Outputs</vt:lpstr>
      <vt:lpstr>HL_LVL2_ACTV_6_Out_A</vt:lpstr>
      <vt:lpstr>HL_LVL2_ACTV_6_Personnel_Assumptions</vt:lpstr>
      <vt:lpstr>HL_LVL2_ACTV_6_Personnel_Outputs</vt:lpstr>
      <vt:lpstr>HL_LVL2_ACTV_6_Single_Activity_Cost_Assumptions_Annual</vt:lpstr>
      <vt:lpstr>HL_LVL2_ACTV_6_Single_Activity_Cost_Outputs_Annual_ECON_International_Currency</vt:lpstr>
      <vt:lpstr>HL_LVL2_ACTV_6_Single_Activity_Cost_Outputs_Annual_ECON_Local_Currency</vt:lpstr>
      <vt:lpstr>HL_LVL2_ACTV_6_Single_Activity_Cost_Outputs_Annual_FIN_International_Currency</vt:lpstr>
      <vt:lpstr>HL_LVL2_ACTV_6_Single_Activity_Cost_Outputs_Annual_FIN_Local_Currency</vt:lpstr>
      <vt:lpstr>HL_LVL2_ACTV_6_Supplies_and_Materials</vt:lpstr>
      <vt:lpstr>HL_LVL2_ACTV_6_Supplies_and_Materials_Outputs</vt:lpstr>
      <vt:lpstr>HL_LVL2_ACTV_7_Activity_Number_of_Activities_Annual_Assumptions</vt:lpstr>
      <vt:lpstr>HL_LVL2_ACTV_7_Activity_Summary_Costs_Annual</vt:lpstr>
      <vt:lpstr>HL_LVL2_ACTV_7_Allowances_Assumptions</vt:lpstr>
      <vt:lpstr>HL_LVL2_ACTV_7_Allowances_Outputs</vt:lpstr>
      <vt:lpstr>HL_LVL2_ACTV_7_Ass_A</vt:lpstr>
      <vt:lpstr>HL_LVL2_ACTV_7_Ass_B</vt:lpstr>
      <vt:lpstr>HL_LVL2_ACTV_7_Cost_Summary_Output</vt:lpstr>
      <vt:lpstr>HL_LVL2_ACTV_7_Detailed_Costing_Worksheet</vt:lpstr>
      <vt:lpstr>HL_LVL2_ACTV_7_Name</vt:lpstr>
      <vt:lpstr>HL_LVL2_ACTV_7_Other_Direct_Costs</vt:lpstr>
      <vt:lpstr>HL_LVL2_ACTV_7_Other_Direct_Costs_Outputs</vt:lpstr>
      <vt:lpstr>HL_LVL2_ACTV_7_Out_A</vt:lpstr>
      <vt:lpstr>HL_LVL2_ACTV_7_Personnel_Assumptions</vt:lpstr>
      <vt:lpstr>HL_LVL2_ACTV_7_Personnel_Outputs</vt:lpstr>
      <vt:lpstr>HL_LVL2_ACTV_7_Single_Activity_Cost_Assumptions_Annual</vt:lpstr>
      <vt:lpstr>HL_LVL2_ACTV_7_Single_Activity_Cost_Outputs_Annual_ECON_International_Currency</vt:lpstr>
      <vt:lpstr>HL_LVL2_ACTV_7_Single_Activity_Cost_Outputs_Annual_ECON_Local_Currency</vt:lpstr>
      <vt:lpstr>HL_LVL2_ACTV_7_Single_Activity_Cost_Outputs_Annual_FIN_International_Currency</vt:lpstr>
      <vt:lpstr>HL_LVL2_ACTV_7_Single_Activity_Cost_Outputs_Annual_FIN_Local_Currency</vt:lpstr>
      <vt:lpstr>HL_LVL2_ACTV_7_Supplies_and_Materials</vt:lpstr>
      <vt:lpstr>HL_LVL2_ACTV_7_Supplies_and_Materials_Outputs</vt:lpstr>
      <vt:lpstr>HL_LVL2_ACTV_8_Activity_Number_of_Activities_Annual_Assumptions</vt:lpstr>
      <vt:lpstr>HL_LVL2_ACTV_8_Activity_Summary_Costs_Annual</vt:lpstr>
      <vt:lpstr>HL_LVL2_ACTV_8_Allowances_Assumptions</vt:lpstr>
      <vt:lpstr>HL_LVL2_ACTV_8_Allowances_Outputs</vt:lpstr>
      <vt:lpstr>HL_LVL2_ACTV_8_Ass_A</vt:lpstr>
      <vt:lpstr>HL_LVL2_ACTV_8_Ass_B</vt:lpstr>
      <vt:lpstr>HL_LVL2_ACTV_8_Cost_Summary_Output</vt:lpstr>
      <vt:lpstr>HL_LVL2_ACTV_8_Detailed_Costing_Worksheet</vt:lpstr>
      <vt:lpstr>HL_LVL2_ACTV_8_Name</vt:lpstr>
      <vt:lpstr>HL_LVL2_ACTV_8_Other_Direct_Costs</vt:lpstr>
      <vt:lpstr>HL_LVL2_ACTV_8_Other_Direct_Costs_Outputs</vt:lpstr>
      <vt:lpstr>HL_LVL2_ACTV_8_Out_A</vt:lpstr>
      <vt:lpstr>HL_LVL2_ACTV_8_Personnel_Assumptions</vt:lpstr>
      <vt:lpstr>HL_LVL2_ACTV_8_Personnel_Outputs</vt:lpstr>
      <vt:lpstr>HL_LVL2_ACTV_8_Single_Activity_Cost_Assumptions_Annual</vt:lpstr>
      <vt:lpstr>HL_LVL2_ACTV_8_Single_Activity_Cost_Outputs_Annual_ECON_International_Currency</vt:lpstr>
      <vt:lpstr>HL_LVL2_ACTV_8_Single_Activity_Cost_Outputs_Annual_ECON_Local_Currency</vt:lpstr>
      <vt:lpstr>HL_LVL2_ACTV_8_Single_Activity_Cost_Outputs_Annual_FIN_International_Currency</vt:lpstr>
      <vt:lpstr>HL_LVL2_ACTV_8_Single_Activity_Cost_Outputs_Annual_FIN_Local_Currency</vt:lpstr>
      <vt:lpstr>HL_LVL2_ACTV_8_Supplies_and_Materials</vt:lpstr>
      <vt:lpstr>HL_LVL2_ACTV_8_Supplies_and_Materials_Outputs</vt:lpstr>
      <vt:lpstr>HL_LVL2_ACTV_9_Activity_Summary_Costs_Annual</vt:lpstr>
      <vt:lpstr>HL_LVL2_ACTV_9_Allowances_Assumptions</vt:lpstr>
      <vt:lpstr>HL_LVL2_ACTV_9_Allowances_Outputs</vt:lpstr>
      <vt:lpstr>HL_LVL2_ACTV_9_Ass_A</vt:lpstr>
      <vt:lpstr>HL_LVL2_ACTV_9_Ass_B</vt:lpstr>
      <vt:lpstr>HL_LVL2_ACTV_9_Cost_Summary_Output</vt:lpstr>
      <vt:lpstr>HL_LVL2_ACTV_9_Detailed_Costing_Worksheet</vt:lpstr>
      <vt:lpstr>HL_LVL2_ACTV_9_Name</vt:lpstr>
      <vt:lpstr>HL_LVL2_ACTV_9_Other_Direct_Costs</vt:lpstr>
      <vt:lpstr>HL_LVL2_ACTV_9_Other_Direct_Costs_Outputs</vt:lpstr>
      <vt:lpstr>HL_LVL2_ACTV_9_Out_A</vt:lpstr>
      <vt:lpstr>HL_LVL2_ACTV_9_Personnel_Assumptions</vt:lpstr>
      <vt:lpstr>HL_LVL2_ACTV_9_Personnel_Outputs</vt:lpstr>
      <vt:lpstr>HL_LVL2_ACTV_9_Single_Activity_Cost_Assumptions_Annual</vt:lpstr>
      <vt:lpstr>HL_LVL2_ACTV_9_Single_Activity_Cost_Outputs_Annual_ECON_International_Currency</vt:lpstr>
      <vt:lpstr>HL_LVL2_ACTV_9_Single_Activity_Cost_Outputs_Annual_ECON_Local_Currency</vt:lpstr>
      <vt:lpstr>HL_LVL2_ACTV_9_Single_Activity_Cost_Outputs_Annual_FIN_International_Currency</vt:lpstr>
      <vt:lpstr>HL_LVL2_ACTV_9_Single_Activity_Cost_Outputs_Annual_FIN_Local_Currency</vt:lpstr>
      <vt:lpstr>HL_LVL2_ACTV_9_Supplies_and_Materials</vt:lpstr>
      <vt:lpstr>HL_LVL2_ACTV_9_Supplies_and_Materials_Outputs</vt:lpstr>
      <vt:lpstr>HL_LVL2_ACTV_Activity_Number_of_Activities_Annual_Assumptions</vt:lpstr>
      <vt:lpstr>HL_LVL2_ACTV_Activity_Summary_Costs_Annual</vt:lpstr>
      <vt:lpstr>HL_LVL2_ACTV_Allowances_Assumptions</vt:lpstr>
      <vt:lpstr>HL_LVL2_ACTV_Allowances_Outputs</vt:lpstr>
      <vt:lpstr>HL_LVL2_ACTV_Ass_A</vt:lpstr>
      <vt:lpstr>HL_LVL2_ACTV_Ass_B</vt:lpstr>
      <vt:lpstr>HL_LVL2_ACTV_Cost_Summary_Output</vt:lpstr>
      <vt:lpstr>HL_LVL2_ACTV_Detailed_Costing_Worksheet</vt:lpstr>
      <vt:lpstr>HL_LVL2_ACTV_Name</vt:lpstr>
      <vt:lpstr>HL_LVL2_ACTV_Other_Direct_Costs</vt:lpstr>
      <vt:lpstr>HL_LVL2_ACTV_Other_Direct_Costs_Outputs</vt:lpstr>
      <vt:lpstr>HL_LVL2_ACTV_Out_A</vt:lpstr>
      <vt:lpstr>HL_LVL2_ACTV_Personnel_Assumptions</vt:lpstr>
      <vt:lpstr>HL_LVL2_ACTV_Personnel_Outputs</vt:lpstr>
      <vt:lpstr>HL_LVL2_ACTV_Single_Activity_Cost_Assumptions_Annual</vt:lpstr>
      <vt:lpstr>HL_LVL2_ACTV_Single_Activity_Cost_Outputs_Annual_ECON_International_Currency</vt:lpstr>
      <vt:lpstr>HL_LVL2_ACTV_Single_Activity_Cost_Outputs_Annual_ECON_Local_Currency</vt:lpstr>
      <vt:lpstr>HL_LVL2_ACTV_Single_Activity_Cost_Outputs_Annual_FIN_International_Currency</vt:lpstr>
      <vt:lpstr>HL_LVL2_ACTV_Single_Activity_Cost_Outputs_Annual_FIN_Local_Currency</vt:lpstr>
      <vt:lpstr>HL_LVL2_ACTV_Supplies_and_Materials</vt:lpstr>
      <vt:lpstr>HL_LVL2_ACTV_Supplies_and_Materials_Outputs</vt:lpstr>
      <vt:lpstr>HL_Outputs_SC</vt:lpstr>
      <vt:lpstr>HL_Sheet_Main_10</vt:lpstr>
      <vt:lpstr>HL_Sheet_Main_11</vt:lpstr>
      <vt:lpstr>HL_Sheet_Main_12</vt:lpstr>
      <vt:lpstr>HL_Sheet_Main_14</vt:lpstr>
      <vt:lpstr>HL_Sheet_Main_15</vt:lpstr>
      <vt:lpstr>HL_Sheet_Main_16</vt:lpstr>
      <vt:lpstr>HL_Sheet_Main_17</vt:lpstr>
      <vt:lpstr>HL_Sheet_Main_18</vt:lpstr>
      <vt:lpstr>HL_Sheet_Main_23</vt:lpstr>
      <vt:lpstr>HL_Sheet_Main_25</vt:lpstr>
      <vt:lpstr>HL_Sheet_Main_26</vt:lpstr>
      <vt:lpstr>HL_Sheet_Main_27</vt:lpstr>
      <vt:lpstr>HL_Sheet_Main_28</vt:lpstr>
      <vt:lpstr>HL_Sheet_Main_29</vt:lpstr>
      <vt:lpstr>HL_Sheet_Main_3</vt:lpstr>
      <vt:lpstr>HL_Sheet_Main_30</vt:lpstr>
      <vt:lpstr>HL_Sheet_Main_31</vt:lpstr>
      <vt:lpstr>HL_Sheet_Main_32</vt:lpstr>
      <vt:lpstr>HL_Sheet_Main_34</vt:lpstr>
      <vt:lpstr>HL_Sheet_Main_35</vt:lpstr>
      <vt:lpstr>HL_Sheet_Main_36</vt:lpstr>
      <vt:lpstr>HL_Sheet_Main_37</vt:lpstr>
      <vt:lpstr>HL_Sheet_Main_38</vt:lpstr>
      <vt:lpstr>HL_Sheet_Main_39</vt:lpstr>
      <vt:lpstr>HL_Sheet_Main_4</vt:lpstr>
      <vt:lpstr>HL_Sheet_Main_40</vt:lpstr>
      <vt:lpstr>HL_Sheet_Main_41</vt:lpstr>
      <vt:lpstr>HL_Sheet_Main_42</vt:lpstr>
      <vt:lpstr>HL_Sheet_Main_43</vt:lpstr>
      <vt:lpstr>HL_Sheet_Main_44</vt:lpstr>
      <vt:lpstr>HL_Sheet_Main_50</vt:lpstr>
      <vt:lpstr>HL_Sheet_Main_51</vt:lpstr>
      <vt:lpstr>HL_Sheet_Main_52</vt:lpstr>
      <vt:lpstr>HL_Sheet_Main_54</vt:lpstr>
      <vt:lpstr>HL_Sheet_Main_55</vt:lpstr>
      <vt:lpstr>HL_Sheet_Main_56</vt:lpstr>
      <vt:lpstr>HL_Sheet_Main_57</vt:lpstr>
      <vt:lpstr>HL_Sheet_Main_58</vt:lpstr>
      <vt:lpstr>HL_Sheet_Main_59</vt:lpstr>
      <vt:lpstr>HL_Sheet_Main_60</vt:lpstr>
      <vt:lpstr>HL_Sheet_Main_62</vt:lpstr>
      <vt:lpstr>HL_Sheet_Main_63</vt:lpstr>
      <vt:lpstr>HL_Sheet_Main_66</vt:lpstr>
      <vt:lpstr>HL_Sheet_Main_9</vt:lpstr>
      <vt:lpstr>HL_TOP_ACTV_10_Activity_Number_of_Activities_Annual_Assumptions</vt:lpstr>
      <vt:lpstr>HL_TOP_ACTV_10_Activity_Summary_Costs_Annual</vt:lpstr>
      <vt:lpstr>HL_TOP_ACTV_10_Allowances_Assumptions</vt:lpstr>
      <vt:lpstr>HL_TOP_ACTV_10_Allowances_Outputs</vt:lpstr>
      <vt:lpstr>HL_TOP_ACTV_10_Ass_A</vt:lpstr>
      <vt:lpstr>HL_TOP_ACTV_10_Ass_B</vt:lpstr>
      <vt:lpstr>HL_TOP_ACTV_10_Cost_Summary_Output</vt:lpstr>
      <vt:lpstr>HL_TOP_ACTV_10_Detailed_Costing_Worksheet</vt:lpstr>
      <vt:lpstr>HL_TOP_ACTV_10_Name</vt:lpstr>
      <vt:lpstr>HL_TOP_ACTV_10_Other_Direct_Costs</vt:lpstr>
      <vt:lpstr>HL_TOP_ACTV_10_Other_Direct_Costs_Outputs</vt:lpstr>
      <vt:lpstr>HL_TOP_ACTV_10_Out_A</vt:lpstr>
      <vt:lpstr>HL_TOP_ACTV_10_Personnel_Assumptions</vt:lpstr>
      <vt:lpstr>HL_TOP_ACTV_10_Personnel_Outputs</vt:lpstr>
      <vt:lpstr>HL_TOP_ACTV_10_Single_Activity_Cost_Assumptions_Annual</vt:lpstr>
      <vt:lpstr>HL_TOP_ACTV_10_Single_Activity_Cost_Outputs_Annual_ECON_International_Currency</vt:lpstr>
      <vt:lpstr>HL_TOP_ACTV_10_Single_Activity_Cost_Outputs_Annual_ECON_Local_Currency</vt:lpstr>
      <vt:lpstr>HL_TOP_ACTV_10_Single_Activity_Cost_Outputs_Annual_FIN_International_Currency</vt:lpstr>
      <vt:lpstr>HL_TOP_ACTV_10_Single_Activity_Cost_Outputs_Annual_FIN_Local_Currency</vt:lpstr>
      <vt:lpstr>HL_TOP_ACTV_10_Supplies_and_Materials</vt:lpstr>
      <vt:lpstr>HL_TOP_ACTV_10_Supplies_and_Materials_Outputs</vt:lpstr>
      <vt:lpstr>HL_TOP_ACTV_11_Activity_Number_of_Activities_Annual_Assumptions</vt:lpstr>
      <vt:lpstr>HL_TOP_ACTV_11_Activity_Summary_Costs_Annual</vt:lpstr>
      <vt:lpstr>HL_TOP_ACTV_11_Allowances_Assumptions</vt:lpstr>
      <vt:lpstr>HL_TOP_ACTV_11_Allowances_Outputs</vt:lpstr>
      <vt:lpstr>HL_TOP_ACTV_11_Ass_A</vt:lpstr>
      <vt:lpstr>HL_TOP_ACTV_11_Ass_B</vt:lpstr>
      <vt:lpstr>HL_TOP_ACTV_11_Cost_Summary_Output</vt:lpstr>
      <vt:lpstr>HL_TOP_ACTV_11_Detailed_Costing_Worksheet</vt:lpstr>
      <vt:lpstr>HL_TOP_ACTV_11_Name</vt:lpstr>
      <vt:lpstr>HL_TOP_ACTV_11_Other_Direct_Costs</vt:lpstr>
      <vt:lpstr>HL_TOP_ACTV_11_Other_Direct_Costs_Outputs</vt:lpstr>
      <vt:lpstr>HL_TOP_ACTV_11_Out_A</vt:lpstr>
      <vt:lpstr>HL_TOP_ACTV_11_Personnel_Assumptions</vt:lpstr>
      <vt:lpstr>HL_TOP_ACTV_11_Personnel_Outputs</vt:lpstr>
      <vt:lpstr>HL_TOP_ACTV_11_Single_Activity_Cost_Assumptions_Annual</vt:lpstr>
      <vt:lpstr>HL_TOP_ACTV_11_Single_Activity_Cost_Outputs_Annual_ECON_International_Currency</vt:lpstr>
      <vt:lpstr>HL_TOP_ACTV_11_Single_Activity_Cost_Outputs_Annual_ECON_Local_Currency</vt:lpstr>
      <vt:lpstr>HL_TOP_ACTV_11_Single_Activity_Cost_Outputs_Annual_FIN_International_Currency</vt:lpstr>
      <vt:lpstr>HL_TOP_ACTV_11_Single_Activity_Cost_Outputs_Annual_FIN_Local_Currency</vt:lpstr>
      <vt:lpstr>HL_TOP_ACTV_11_Supplies_and_Materials</vt:lpstr>
      <vt:lpstr>HL_TOP_ACTV_11_Supplies_and_Materials_Outputs</vt:lpstr>
      <vt:lpstr>HL_TOP_ACTV_13_Activity_Number_of_Activities_Annual_Assumptions</vt:lpstr>
      <vt:lpstr>HL_TOP_ACTV_13_Activity_Summary_Costs_Annual</vt:lpstr>
      <vt:lpstr>HL_TOP_ACTV_13_Allowances_Assumptions</vt:lpstr>
      <vt:lpstr>HL_TOP_ACTV_13_Allowances_Outputs</vt:lpstr>
      <vt:lpstr>HL_TOP_ACTV_13_Ass_A</vt:lpstr>
      <vt:lpstr>HL_TOP_ACTV_13_Ass_B</vt:lpstr>
      <vt:lpstr>HL_TOP_ACTV_13_Cost_Summary_Output</vt:lpstr>
      <vt:lpstr>HL_TOP_ACTV_13_Detailed_Costing_Worksheet</vt:lpstr>
      <vt:lpstr>HL_TOP_ACTV_13_Name</vt:lpstr>
      <vt:lpstr>HL_TOP_ACTV_13_Other_Direct_Costs</vt:lpstr>
      <vt:lpstr>HL_TOP_ACTV_13_Other_Direct_Costs_Outputs</vt:lpstr>
      <vt:lpstr>HL_TOP_ACTV_13_Out_A</vt:lpstr>
      <vt:lpstr>HL_TOP_ACTV_13_Personnel_Assumptions</vt:lpstr>
      <vt:lpstr>HL_TOP_ACTV_13_Personnel_Outputs</vt:lpstr>
      <vt:lpstr>HL_TOP_ACTV_13_Single_Activity_Cost_Assumptions_Annual</vt:lpstr>
      <vt:lpstr>HL_TOP_ACTV_13_Single_Activity_Cost_Outputs_Annual_ECON_International_Currency</vt:lpstr>
      <vt:lpstr>HL_TOP_ACTV_13_Single_Activity_Cost_Outputs_Annual_ECON_Local_Currency</vt:lpstr>
      <vt:lpstr>HL_TOP_ACTV_13_Single_Activity_Cost_Outputs_Annual_FIN_International_Currency</vt:lpstr>
      <vt:lpstr>HL_TOP_ACTV_13_Single_Activity_Cost_Outputs_Annual_FIN_Local_Currency</vt:lpstr>
      <vt:lpstr>HL_TOP_ACTV_13_Supplies_and_Materials</vt:lpstr>
      <vt:lpstr>HL_TOP_ACTV_13_Supplies_and_Materials_Outputs</vt:lpstr>
      <vt:lpstr>HL_TOP_ACTV_14_Activity_Number_of_Activities_Annual_Assumptions</vt:lpstr>
      <vt:lpstr>HL_TOP_ACTV_14_Activity_Summary_Costs_Annual</vt:lpstr>
      <vt:lpstr>HL_TOP_ACTV_14_Allowances_Assumptions</vt:lpstr>
      <vt:lpstr>HL_TOP_ACTV_14_Allowances_Outputs</vt:lpstr>
      <vt:lpstr>HL_TOP_ACTV_14_Ass_A</vt:lpstr>
      <vt:lpstr>HL_TOP_ACTV_14_Ass_B</vt:lpstr>
      <vt:lpstr>HL_TOP_ACTV_14_Cost_Summary_Output</vt:lpstr>
      <vt:lpstr>HL_TOP_ACTV_14_Detailed_Costing_Worksheet</vt:lpstr>
      <vt:lpstr>HL_TOP_ACTV_14_Name</vt:lpstr>
      <vt:lpstr>HL_TOP_ACTV_14_Other_Direct_Costs</vt:lpstr>
      <vt:lpstr>HL_TOP_ACTV_14_Other_Direct_Costs_Outputs</vt:lpstr>
      <vt:lpstr>HL_TOP_ACTV_14_Out_A</vt:lpstr>
      <vt:lpstr>HL_TOP_ACTV_14_Personnel_Assumptions</vt:lpstr>
      <vt:lpstr>HL_TOP_ACTV_14_Personnel_Outputs</vt:lpstr>
      <vt:lpstr>HL_TOP_ACTV_14_Single_Activity_Cost_Assumptions_Annual</vt:lpstr>
      <vt:lpstr>HL_TOP_ACTV_14_Single_Activity_Cost_Outputs_Annual_ECON_International_Currency</vt:lpstr>
      <vt:lpstr>HL_TOP_ACTV_14_Single_Activity_Cost_Outputs_Annual_ECON_Local_Currency</vt:lpstr>
      <vt:lpstr>HL_TOP_ACTV_14_Single_Activity_Cost_Outputs_Annual_FIN_International_Currency</vt:lpstr>
      <vt:lpstr>HL_TOP_ACTV_14_Single_Activity_Cost_Outputs_Annual_FIN_Local_Currency</vt:lpstr>
      <vt:lpstr>HL_TOP_ACTV_14_Supplies_and_Materials</vt:lpstr>
      <vt:lpstr>HL_TOP_ACTV_14_Supplies_and_Materials_Outputs</vt:lpstr>
      <vt:lpstr>HL_TOP_ACTV_15_Activity_Number_of_Activities_Annual_Assumptions</vt:lpstr>
      <vt:lpstr>HL_TOP_ACTV_15_Activity_Summary_Costs_Annual</vt:lpstr>
      <vt:lpstr>HL_TOP_ACTV_15_Allowances_Assumptions</vt:lpstr>
      <vt:lpstr>HL_TOP_ACTV_15_Allowances_Outputs</vt:lpstr>
      <vt:lpstr>HL_TOP_ACTV_15_Ass_A</vt:lpstr>
      <vt:lpstr>HL_TOP_ACTV_15_Ass_B</vt:lpstr>
      <vt:lpstr>HL_TOP_ACTV_15_Cost_Summary_Output</vt:lpstr>
      <vt:lpstr>HL_TOP_ACTV_15_Detailed_Costing_Worksheet</vt:lpstr>
      <vt:lpstr>HL_TOP_ACTV_15_Name</vt:lpstr>
      <vt:lpstr>HL_TOP_ACTV_15_Other_Direct_Costs</vt:lpstr>
      <vt:lpstr>HL_TOP_ACTV_15_Other_Direct_Costs_Outputs</vt:lpstr>
      <vt:lpstr>HL_TOP_ACTV_15_Out_A</vt:lpstr>
      <vt:lpstr>HL_TOP_ACTV_15_Personnel_Assumptions</vt:lpstr>
      <vt:lpstr>HL_TOP_ACTV_15_Personnel_Outputs</vt:lpstr>
      <vt:lpstr>HL_TOP_ACTV_15_Single_Activity_Cost_Assumptions_Annual</vt:lpstr>
      <vt:lpstr>HL_TOP_ACTV_15_Single_Activity_Cost_Outputs_Annual_ECON_International_Currency</vt:lpstr>
      <vt:lpstr>HL_TOP_ACTV_15_Single_Activity_Cost_Outputs_Annual_ECON_Local_Currency</vt:lpstr>
      <vt:lpstr>HL_TOP_ACTV_15_Single_Activity_Cost_Outputs_Annual_FIN_International_Currency</vt:lpstr>
      <vt:lpstr>HL_TOP_ACTV_15_Single_Activity_Cost_Outputs_Annual_FIN_Local_Currency</vt:lpstr>
      <vt:lpstr>HL_TOP_ACTV_15_Supplies_and_Materials</vt:lpstr>
      <vt:lpstr>HL_TOP_ACTV_15_Supplies_and_Materials_Outputs</vt:lpstr>
      <vt:lpstr>HL_TOP_ACTV_16_Activity_Number_of_Activities_Annual_Assumptions</vt:lpstr>
      <vt:lpstr>HL_TOP_ACTV_16_Activity_Summary_Costs_Annual</vt:lpstr>
      <vt:lpstr>HL_TOP_ACTV_16_Allowances_Assumptions</vt:lpstr>
      <vt:lpstr>HL_TOP_ACTV_16_Allowances_Outputs</vt:lpstr>
      <vt:lpstr>HL_TOP_ACTV_16_Ass_A</vt:lpstr>
      <vt:lpstr>HL_TOP_ACTV_16_Ass_B</vt:lpstr>
      <vt:lpstr>HL_TOP_ACTV_16_Cost_Summary_Output</vt:lpstr>
      <vt:lpstr>HL_TOP_ACTV_16_Detailed_Costing_Worksheet</vt:lpstr>
      <vt:lpstr>HL_TOP_ACTV_16_Name</vt:lpstr>
      <vt:lpstr>HL_TOP_ACTV_16_Other_Direct_Costs</vt:lpstr>
      <vt:lpstr>HL_TOP_ACTV_16_Other_Direct_Costs_Outputs</vt:lpstr>
      <vt:lpstr>HL_TOP_ACTV_16_Out_A</vt:lpstr>
      <vt:lpstr>HL_TOP_ACTV_16_Personnel_Assumptions</vt:lpstr>
      <vt:lpstr>HL_TOP_ACTV_16_Personnel_Outputs</vt:lpstr>
      <vt:lpstr>HL_TOP_ACTV_16_Single_Activity_Cost_Assumptions_Annual</vt:lpstr>
      <vt:lpstr>HL_TOP_ACTV_16_Single_Activity_Cost_Outputs_Annual_ECON_International_Currency</vt:lpstr>
      <vt:lpstr>HL_TOP_ACTV_16_Single_Activity_Cost_Outputs_Annual_ECON_Local_Currency</vt:lpstr>
      <vt:lpstr>HL_TOP_ACTV_16_Single_Activity_Cost_Outputs_Annual_FIN_International_Currency</vt:lpstr>
      <vt:lpstr>HL_TOP_ACTV_16_Single_Activity_Cost_Outputs_Annual_FIN_Local_Currency</vt:lpstr>
      <vt:lpstr>HL_TOP_ACTV_16_Supplies_and_Materials</vt:lpstr>
      <vt:lpstr>HL_TOP_ACTV_16_Supplies_and_Materials_Outputs</vt:lpstr>
      <vt:lpstr>HL_TOP_ACTV_17_Activity_Number_of_Activities_Annual_Assumptions</vt:lpstr>
      <vt:lpstr>HL_TOP_ACTV_17_Activity_Summary_Costs_Annual</vt:lpstr>
      <vt:lpstr>HL_TOP_ACTV_17_Allowances_Assumptions</vt:lpstr>
      <vt:lpstr>HL_TOP_ACTV_17_Allowances_Outputs</vt:lpstr>
      <vt:lpstr>HL_TOP_ACTV_17_Ass_A</vt:lpstr>
      <vt:lpstr>HL_TOP_ACTV_17_Ass_B</vt:lpstr>
      <vt:lpstr>HL_TOP_ACTV_17_Cost_Summary_Output</vt:lpstr>
      <vt:lpstr>HL_TOP_ACTV_17_Detailed_Costing_Worksheet</vt:lpstr>
      <vt:lpstr>HL_TOP_ACTV_17_Name</vt:lpstr>
      <vt:lpstr>HL_TOP_ACTV_17_Other_Direct_Costs</vt:lpstr>
      <vt:lpstr>HL_TOP_ACTV_17_Other_Direct_Costs_Outputs</vt:lpstr>
      <vt:lpstr>HL_TOP_ACTV_17_Out_A</vt:lpstr>
      <vt:lpstr>HL_TOP_ACTV_17_Personnel_Assumptions</vt:lpstr>
      <vt:lpstr>HL_TOP_ACTV_17_Personnel_Outputs</vt:lpstr>
      <vt:lpstr>HL_TOP_ACTV_17_Single_Activity_Cost_Assumptions_Annual</vt:lpstr>
      <vt:lpstr>HL_TOP_ACTV_17_Single_Activity_Cost_Outputs_Annual_ECON_International_Currency</vt:lpstr>
      <vt:lpstr>HL_TOP_ACTV_17_Single_Activity_Cost_Outputs_Annual_ECON_Local_Currency</vt:lpstr>
      <vt:lpstr>HL_TOP_ACTV_17_Single_Activity_Cost_Outputs_Annual_FIN_International_Currency</vt:lpstr>
      <vt:lpstr>HL_TOP_ACTV_17_Single_Activity_Cost_Outputs_Annual_FIN_Local_Currency</vt:lpstr>
      <vt:lpstr>HL_TOP_ACTV_17_Supplies_and_Materials</vt:lpstr>
      <vt:lpstr>HL_TOP_ACTV_17_Supplies_and_Materials_Outputs</vt:lpstr>
      <vt:lpstr>HL_TOP_ACTV_18_Activity_Number_of_Activities_Annual_Assumptions</vt:lpstr>
      <vt:lpstr>HL_TOP_ACTV_18_Activity_Summary_Costs_Annual</vt:lpstr>
      <vt:lpstr>HL_TOP_ACTV_18_Allowances_Assumptions</vt:lpstr>
      <vt:lpstr>HL_TOP_ACTV_18_Allowances_Outputs</vt:lpstr>
      <vt:lpstr>HL_TOP_ACTV_18_Ass_A</vt:lpstr>
      <vt:lpstr>HL_TOP_ACTV_18_Ass_B</vt:lpstr>
      <vt:lpstr>HL_TOP_ACTV_18_Cost_Summary_Output</vt:lpstr>
      <vt:lpstr>HL_TOP_ACTV_18_Detailed_Costing_Worksheet</vt:lpstr>
      <vt:lpstr>HL_TOP_ACTV_18_Name</vt:lpstr>
      <vt:lpstr>HL_TOP_ACTV_18_Other_Direct_Costs</vt:lpstr>
      <vt:lpstr>HL_TOP_ACTV_18_Other_Direct_Costs_Outputs</vt:lpstr>
      <vt:lpstr>HL_TOP_ACTV_18_Out_A</vt:lpstr>
      <vt:lpstr>HL_TOP_ACTV_18_Personnel_Assumptions</vt:lpstr>
      <vt:lpstr>HL_TOP_ACTV_18_Personnel_Outputs</vt:lpstr>
      <vt:lpstr>HL_TOP_ACTV_18_Single_Activity_Cost_Assumptions_Annual</vt:lpstr>
      <vt:lpstr>HL_TOP_ACTV_18_Single_Activity_Cost_Outputs_Annual_ECON_International_Currency</vt:lpstr>
      <vt:lpstr>HL_TOP_ACTV_18_Single_Activity_Cost_Outputs_Annual_ECON_Local_Currency</vt:lpstr>
      <vt:lpstr>HL_TOP_ACTV_18_Single_Activity_Cost_Outputs_Annual_FIN_International_Currency</vt:lpstr>
      <vt:lpstr>HL_TOP_ACTV_18_Single_Activity_Cost_Outputs_Annual_FIN_Local_Currency</vt:lpstr>
      <vt:lpstr>HL_TOP_ACTV_18_Supplies_and_Materials</vt:lpstr>
      <vt:lpstr>HL_TOP_ACTV_18_Supplies_and_Materials_Outputs</vt:lpstr>
      <vt:lpstr>HL_TOP_ACTV_19_Activity_Number_of_Activities_Annual_Assumptions</vt:lpstr>
      <vt:lpstr>HL_TOP_ACTV_19_Activity_Summary_Costs_Annual</vt:lpstr>
      <vt:lpstr>HL_TOP_ACTV_19_Allowances_Assumptions</vt:lpstr>
      <vt:lpstr>HL_TOP_ACTV_19_Allowances_Outputs</vt:lpstr>
      <vt:lpstr>HL_TOP_ACTV_19_Ass_A</vt:lpstr>
      <vt:lpstr>HL_TOP_ACTV_19_Ass_B</vt:lpstr>
      <vt:lpstr>HL_TOP_ACTV_19_Cost_Summary_Output</vt:lpstr>
      <vt:lpstr>HL_TOP_ACTV_19_Detailed_Costing_Worksheet</vt:lpstr>
      <vt:lpstr>HL_TOP_ACTV_19_Name</vt:lpstr>
      <vt:lpstr>HL_TOP_ACTV_19_Other_Direct_Costs</vt:lpstr>
      <vt:lpstr>HL_TOP_ACTV_19_Other_Direct_Costs_Outputs</vt:lpstr>
      <vt:lpstr>HL_TOP_ACTV_19_Out_A</vt:lpstr>
      <vt:lpstr>HL_TOP_ACTV_19_Personnel_Assumptions</vt:lpstr>
      <vt:lpstr>HL_TOP_ACTV_19_Personnel_Outputs</vt:lpstr>
      <vt:lpstr>HL_TOP_ACTV_19_Single_Activity_Cost_Assumptions_Annual</vt:lpstr>
      <vt:lpstr>HL_TOP_ACTV_19_Single_Activity_Cost_Outputs_Annual_ECON_International_Currency</vt:lpstr>
      <vt:lpstr>HL_TOP_ACTV_19_Single_Activity_Cost_Outputs_Annual_ECON_Local_Currency</vt:lpstr>
      <vt:lpstr>HL_TOP_ACTV_19_Single_Activity_Cost_Outputs_Annual_FIN_International_Currency</vt:lpstr>
      <vt:lpstr>HL_TOP_ACTV_19_Single_Activity_Cost_Outputs_Annual_FIN_Local_Currency</vt:lpstr>
      <vt:lpstr>HL_TOP_ACTV_19_Supplies_and_Materials</vt:lpstr>
      <vt:lpstr>HL_TOP_ACTV_19_Supplies_and_Materials_Outputs</vt:lpstr>
      <vt:lpstr>HL_TOP_ACTV_2_Activity_Number_of_Activities_Annual_Assumptions</vt:lpstr>
      <vt:lpstr>HL_TOP_ACTV_2_Activity_Summary_Costs_Annual</vt:lpstr>
      <vt:lpstr>HL_TOP_ACTV_2_Allowances_Assumptions</vt:lpstr>
      <vt:lpstr>HL_TOP_ACTV_2_Allowances_Outputs</vt:lpstr>
      <vt:lpstr>HL_TOP_ACTV_2_Ass_A</vt:lpstr>
      <vt:lpstr>HL_TOP_ACTV_2_Ass_B</vt:lpstr>
      <vt:lpstr>HL_TOP_ACTV_2_Cost_Summary_Output</vt:lpstr>
      <vt:lpstr>HL_TOP_ACTV_2_Detailed_Costing_Worksheet</vt:lpstr>
      <vt:lpstr>HL_TOP_ACTV_2_Name</vt:lpstr>
      <vt:lpstr>HL_TOP_ACTV_2_Other_Direct_Costs</vt:lpstr>
      <vt:lpstr>HL_TOP_ACTV_2_Other_Direct_Costs_Outputs</vt:lpstr>
      <vt:lpstr>HL_TOP_ACTV_2_Out_A</vt:lpstr>
      <vt:lpstr>HL_TOP_ACTV_2_Personnel_Assumptions</vt:lpstr>
      <vt:lpstr>HL_TOP_ACTV_2_Personnel_Outputs</vt:lpstr>
      <vt:lpstr>HL_TOP_ACTV_2_Single_Activity_Cost_Assumptions_Annual</vt:lpstr>
      <vt:lpstr>HL_TOP_ACTV_2_Single_Activity_Cost_Outputs_Annual_ECON_International_Currency</vt:lpstr>
      <vt:lpstr>HL_TOP_ACTV_2_Single_Activity_Cost_Outputs_Annual_ECON_Local_Currency</vt:lpstr>
      <vt:lpstr>HL_TOP_ACTV_2_Single_Activity_Cost_Outputs_Annual_FIN_International_Currency</vt:lpstr>
      <vt:lpstr>HL_TOP_ACTV_2_Single_Activity_Cost_Outputs_Annual_FIN_Local_Currency</vt:lpstr>
      <vt:lpstr>HL_TOP_ACTV_2_Supplies_and_Materials</vt:lpstr>
      <vt:lpstr>HL_TOP_ACTV_2_Supplies_and_Materials_Outputs</vt:lpstr>
      <vt:lpstr>HL_TOP_ACTV_20_Activity_Number_of_Activities_Annual_Assumptions</vt:lpstr>
      <vt:lpstr>HL_TOP_ACTV_20_Activity_Summary_Costs_Annual</vt:lpstr>
      <vt:lpstr>HL_TOP_ACTV_20_Allowances_Assumptions</vt:lpstr>
      <vt:lpstr>HL_TOP_ACTV_20_Allowances_Outputs</vt:lpstr>
      <vt:lpstr>HL_TOP_ACTV_20_Ass_A</vt:lpstr>
      <vt:lpstr>HL_TOP_ACTV_20_Ass_B</vt:lpstr>
      <vt:lpstr>HL_TOP_ACTV_20_Cost_Summary_Output</vt:lpstr>
      <vt:lpstr>HL_TOP_ACTV_20_Detailed_Costing_Worksheet</vt:lpstr>
      <vt:lpstr>HL_TOP_ACTV_20_Name</vt:lpstr>
      <vt:lpstr>HL_TOP_ACTV_20_Other_Direct_Costs</vt:lpstr>
      <vt:lpstr>HL_TOP_ACTV_20_Other_Direct_Costs_Outputs</vt:lpstr>
      <vt:lpstr>HL_TOP_ACTV_20_Out_A</vt:lpstr>
      <vt:lpstr>HL_TOP_ACTV_20_Personnel_Assumptions</vt:lpstr>
      <vt:lpstr>HL_TOP_ACTV_20_Personnel_Outputs</vt:lpstr>
      <vt:lpstr>HL_TOP_ACTV_20_Single_Activity_Cost_Assumptions_Annual</vt:lpstr>
      <vt:lpstr>HL_TOP_ACTV_20_Single_Activity_Cost_Outputs_Annual_ECON_International_Currency</vt:lpstr>
      <vt:lpstr>HL_TOP_ACTV_20_Single_Activity_Cost_Outputs_Annual_ECON_Local_Currency</vt:lpstr>
      <vt:lpstr>HL_TOP_ACTV_20_Single_Activity_Cost_Outputs_Annual_FIN_International_Currency</vt:lpstr>
      <vt:lpstr>HL_TOP_ACTV_20_Single_Activity_Cost_Outputs_Annual_FIN_Local_Currency</vt:lpstr>
      <vt:lpstr>HL_TOP_ACTV_20_Supplies_and_Materials</vt:lpstr>
      <vt:lpstr>HL_TOP_ACTV_20_Supplies_and_Materials_Outputs</vt:lpstr>
      <vt:lpstr>HL_TOP_ACTV_3_Activity_Number_of_Activities_Annual_Assumptions</vt:lpstr>
      <vt:lpstr>HL_TOP_ACTV_3_Activity_Summary_Costs_Annual</vt:lpstr>
      <vt:lpstr>HL_TOP_ACTV_3_Allowances_Assumptions</vt:lpstr>
      <vt:lpstr>HL_TOP_ACTV_3_Allowances_Outputs</vt:lpstr>
      <vt:lpstr>HL_TOP_ACTV_3_Ass_A</vt:lpstr>
      <vt:lpstr>HL_TOP_ACTV_3_Ass_B</vt:lpstr>
      <vt:lpstr>HL_TOP_ACTV_3_Cost_Summary_Output</vt:lpstr>
      <vt:lpstr>HL_TOP_ACTV_3_Detailed_Costing_Worksheet</vt:lpstr>
      <vt:lpstr>HL_TOP_ACTV_3_Name</vt:lpstr>
      <vt:lpstr>HL_TOP_ACTV_3_Other_Direct_Costs</vt:lpstr>
      <vt:lpstr>HL_TOP_ACTV_3_Other_Direct_Costs_Outputs</vt:lpstr>
      <vt:lpstr>HL_TOP_ACTV_3_Out_A</vt:lpstr>
      <vt:lpstr>HL_TOP_ACTV_3_Personnel_Assumptions</vt:lpstr>
      <vt:lpstr>HL_TOP_ACTV_3_Personnel_Outputs</vt:lpstr>
      <vt:lpstr>HL_TOP_ACTV_3_Single_Activity_Cost_Assumptions_Annual</vt:lpstr>
      <vt:lpstr>HL_TOP_ACTV_3_Single_Activity_Cost_Outputs_Annual_ECON_International_Currency</vt:lpstr>
      <vt:lpstr>HL_TOP_ACTV_3_Single_Activity_Cost_Outputs_Annual_ECON_Local_Currency</vt:lpstr>
      <vt:lpstr>HL_TOP_ACTV_3_Single_Activity_Cost_Outputs_Annual_FIN_International_Currency</vt:lpstr>
      <vt:lpstr>HL_TOP_ACTV_3_Single_Activity_Cost_Outputs_Annual_FIN_Local_Currency</vt:lpstr>
      <vt:lpstr>HL_TOP_ACTV_3_Supplies_and_Materials</vt:lpstr>
      <vt:lpstr>HL_TOP_ACTV_3_Supplies_and_Materials_Outputs</vt:lpstr>
      <vt:lpstr>HL_TOP_ACTV_4_Activity_Number_of_Activities_Annual_Assumptions</vt:lpstr>
      <vt:lpstr>HL_TOP_ACTV_4_Activity_Summary_Costs_Annual</vt:lpstr>
      <vt:lpstr>HL_TOP_ACTV_4_Allowances_Assumptions</vt:lpstr>
      <vt:lpstr>HL_TOP_ACTV_4_Allowances_Outputs</vt:lpstr>
      <vt:lpstr>HL_TOP_ACTV_4_Ass_A</vt:lpstr>
      <vt:lpstr>HL_TOP_ACTV_4_Ass_B</vt:lpstr>
      <vt:lpstr>HL_TOP_ACTV_4_Cost_Summary_Output</vt:lpstr>
      <vt:lpstr>HL_TOP_ACTV_4_Detailed_Costing_Worksheet</vt:lpstr>
      <vt:lpstr>HL_TOP_ACTV_4_Name</vt:lpstr>
      <vt:lpstr>HL_TOP_ACTV_4_Other_Direct_Costs</vt:lpstr>
      <vt:lpstr>HL_TOP_ACTV_4_Other_Direct_Costs_Outputs</vt:lpstr>
      <vt:lpstr>HL_TOP_ACTV_4_Out_A</vt:lpstr>
      <vt:lpstr>HL_TOP_ACTV_4_Personnel_Assumptions</vt:lpstr>
      <vt:lpstr>HL_TOP_ACTV_4_Personnel_Outputs</vt:lpstr>
      <vt:lpstr>HL_TOP_ACTV_4_Single_Activity_Cost_Assumptions_Annual</vt:lpstr>
      <vt:lpstr>HL_TOP_ACTV_4_Single_Activity_Cost_Outputs_Annual_ECON_International_Currency</vt:lpstr>
      <vt:lpstr>HL_TOP_ACTV_4_Single_Activity_Cost_Outputs_Annual_ECON_Local_Currency</vt:lpstr>
      <vt:lpstr>HL_TOP_ACTV_4_Single_Activity_Cost_Outputs_Annual_FIN_International_Currency</vt:lpstr>
      <vt:lpstr>HL_TOP_ACTV_4_Single_Activity_Cost_Outputs_Annual_FIN_Local_Currency</vt:lpstr>
      <vt:lpstr>HL_TOP_ACTV_4_Supplies_and_Materials</vt:lpstr>
      <vt:lpstr>HL_TOP_ACTV_4_Supplies_and_Materials_Outputs</vt:lpstr>
      <vt:lpstr>HL_TOP_ACTV_5_Activity_Number_of_Activities_Annual_Assumptions</vt:lpstr>
      <vt:lpstr>HL_TOP_ACTV_5_Activity_Summary_Costs_Annual</vt:lpstr>
      <vt:lpstr>HL_TOP_ACTV_5_Allowances_Assumptions</vt:lpstr>
      <vt:lpstr>HL_TOP_ACTV_5_Allowances_Outputs</vt:lpstr>
      <vt:lpstr>HL_TOP_ACTV_5_Ass_A</vt:lpstr>
      <vt:lpstr>HL_TOP_ACTV_5_Ass_B</vt:lpstr>
      <vt:lpstr>HL_TOP_ACTV_5_Cost_Summary_Output</vt:lpstr>
      <vt:lpstr>HL_TOP_ACTV_5_Detailed_Costing_Worksheet</vt:lpstr>
      <vt:lpstr>HL_TOP_ACTV_5_Name</vt:lpstr>
      <vt:lpstr>HL_TOP_ACTV_5_Other_Direct_Costs</vt:lpstr>
      <vt:lpstr>HL_TOP_ACTV_5_Other_Direct_Costs_Outputs</vt:lpstr>
      <vt:lpstr>HL_TOP_ACTV_5_Out_A</vt:lpstr>
      <vt:lpstr>HL_TOP_ACTV_5_Personnel_Assumptions</vt:lpstr>
      <vt:lpstr>HL_TOP_ACTV_5_Personnel_Outputs</vt:lpstr>
      <vt:lpstr>HL_TOP_ACTV_5_Single_Activity_Cost_Assumptions_Annual</vt:lpstr>
      <vt:lpstr>HL_TOP_ACTV_5_Single_Activity_Cost_Outputs_Annual_ECON_International_Currency</vt:lpstr>
      <vt:lpstr>HL_TOP_ACTV_5_Single_Activity_Cost_Outputs_Annual_ECON_Local_Currency</vt:lpstr>
      <vt:lpstr>HL_TOP_ACTV_5_Single_Activity_Cost_Outputs_Annual_FIN_International_Currency</vt:lpstr>
      <vt:lpstr>HL_TOP_ACTV_5_Single_Activity_Cost_Outputs_Annual_FIN_Local_Currency</vt:lpstr>
      <vt:lpstr>HL_TOP_ACTV_5_Supplies_and_Materials</vt:lpstr>
      <vt:lpstr>HL_TOP_ACTV_5_Supplies_and_Materials_Outputs</vt:lpstr>
      <vt:lpstr>HL_TOP_ACTV_6_Activity_Number_of_Activities_Annual_Assumptions</vt:lpstr>
      <vt:lpstr>HL_TOP_ACTV_6_Activity_Summary_Costs_Annual</vt:lpstr>
      <vt:lpstr>HL_TOP_ACTV_6_Allowances_Assumptions</vt:lpstr>
      <vt:lpstr>HL_TOP_ACTV_6_Allowances_Outputs</vt:lpstr>
      <vt:lpstr>HL_TOP_ACTV_6_Ass_A</vt:lpstr>
      <vt:lpstr>HL_TOP_ACTV_6_Ass_B</vt:lpstr>
      <vt:lpstr>HL_TOP_ACTV_6_Cost_Summary_Output</vt:lpstr>
      <vt:lpstr>HL_TOP_ACTV_6_Detailed_Costing_Worksheet</vt:lpstr>
      <vt:lpstr>HL_TOP_ACTV_6_Name</vt:lpstr>
      <vt:lpstr>HL_TOP_ACTV_6_Other_Direct_Costs</vt:lpstr>
      <vt:lpstr>HL_TOP_ACTV_6_Other_Direct_Costs_Outputs</vt:lpstr>
      <vt:lpstr>HL_TOP_ACTV_6_Out_A</vt:lpstr>
      <vt:lpstr>HL_TOP_ACTV_6_Personnel_Assumptions</vt:lpstr>
      <vt:lpstr>HL_TOP_ACTV_6_Personnel_Outputs</vt:lpstr>
      <vt:lpstr>HL_TOP_ACTV_6_Single_Activity_Cost_Assumptions_Annual</vt:lpstr>
      <vt:lpstr>HL_TOP_ACTV_6_Single_Activity_Cost_Outputs_Annual_ECON_International_Currency</vt:lpstr>
      <vt:lpstr>HL_TOP_ACTV_6_Single_Activity_Cost_Outputs_Annual_ECON_Local_Currency</vt:lpstr>
      <vt:lpstr>HL_TOP_ACTV_6_Single_Activity_Cost_Outputs_Annual_FIN_International_Currency</vt:lpstr>
      <vt:lpstr>HL_TOP_ACTV_6_Single_Activity_Cost_Outputs_Annual_FIN_Local_Currency</vt:lpstr>
      <vt:lpstr>HL_TOP_ACTV_6_Supplies_and_Materials</vt:lpstr>
      <vt:lpstr>HL_TOP_ACTV_6_Supplies_and_Materials_Outputs</vt:lpstr>
      <vt:lpstr>HL_TOP_ACTV_7_Activity_Number_of_Activities_Annual_Assumptions</vt:lpstr>
      <vt:lpstr>HL_TOP_ACTV_7_Activity_Summary_Costs_Annual</vt:lpstr>
      <vt:lpstr>HL_TOP_ACTV_7_Allowances_Assumptions</vt:lpstr>
      <vt:lpstr>HL_TOP_ACTV_7_Allowances_Outputs</vt:lpstr>
      <vt:lpstr>HL_TOP_ACTV_7_Ass_A</vt:lpstr>
      <vt:lpstr>HL_TOP_ACTV_7_Ass_B</vt:lpstr>
      <vt:lpstr>HL_TOP_ACTV_7_Cost_Summary_Output</vt:lpstr>
      <vt:lpstr>HL_TOP_ACTV_7_Detailed_Costing_Worksheet</vt:lpstr>
      <vt:lpstr>HL_TOP_ACTV_7_Name</vt:lpstr>
      <vt:lpstr>HL_TOP_ACTV_7_Other_Direct_Costs</vt:lpstr>
      <vt:lpstr>HL_TOP_ACTV_7_Other_Direct_Costs_Outputs</vt:lpstr>
      <vt:lpstr>HL_TOP_ACTV_7_Out_A</vt:lpstr>
      <vt:lpstr>HL_TOP_ACTV_7_Personnel_Assumptions</vt:lpstr>
      <vt:lpstr>HL_TOP_ACTV_7_Personnel_Outputs</vt:lpstr>
      <vt:lpstr>HL_TOP_ACTV_7_Single_Activity_Cost_Assumptions_Annual</vt:lpstr>
      <vt:lpstr>HL_TOP_ACTV_7_Single_Activity_Cost_Outputs_Annual_ECON_International_Currency</vt:lpstr>
      <vt:lpstr>HL_TOP_ACTV_7_Single_Activity_Cost_Outputs_Annual_ECON_Local_Currency</vt:lpstr>
      <vt:lpstr>HL_TOP_ACTV_7_Single_Activity_Cost_Outputs_Annual_FIN_International_Currency</vt:lpstr>
      <vt:lpstr>HL_TOP_ACTV_7_Single_Activity_Cost_Outputs_Annual_FIN_Local_Currency</vt:lpstr>
      <vt:lpstr>HL_TOP_ACTV_7_Supplies_and_Materials</vt:lpstr>
      <vt:lpstr>HL_TOP_ACTV_7_Supplies_and_Materials_Outputs</vt:lpstr>
      <vt:lpstr>HL_TOP_ACTV_8_Activity_Number_of_Activities_Annual_Assumptions</vt:lpstr>
      <vt:lpstr>HL_TOP_ACTV_8_Activity_Summary_Costs_Annual</vt:lpstr>
      <vt:lpstr>HL_TOP_ACTV_8_Allowances_Assumptions</vt:lpstr>
      <vt:lpstr>HL_TOP_ACTV_8_Allowances_Outputs</vt:lpstr>
      <vt:lpstr>HL_TOP_ACTV_8_Ass_A</vt:lpstr>
      <vt:lpstr>HL_TOP_ACTV_8_Ass_B</vt:lpstr>
      <vt:lpstr>HL_TOP_ACTV_8_Cost_Summary_Output</vt:lpstr>
      <vt:lpstr>HL_TOP_ACTV_8_Detailed_Costing_Worksheet</vt:lpstr>
      <vt:lpstr>HL_TOP_ACTV_8_Name</vt:lpstr>
      <vt:lpstr>HL_TOP_ACTV_8_Other_Direct_Costs</vt:lpstr>
      <vt:lpstr>HL_TOP_ACTV_8_Other_Direct_Costs_Outputs</vt:lpstr>
      <vt:lpstr>HL_TOP_ACTV_8_Out_A</vt:lpstr>
      <vt:lpstr>HL_TOP_ACTV_8_Personnel_Assumptions</vt:lpstr>
      <vt:lpstr>HL_TOP_ACTV_8_Personnel_Outputs</vt:lpstr>
      <vt:lpstr>HL_TOP_ACTV_8_Single_Activity_Cost_Assumptions_Annual</vt:lpstr>
      <vt:lpstr>HL_TOP_ACTV_8_Single_Activity_Cost_Outputs_Annual_ECON_International_Currency</vt:lpstr>
      <vt:lpstr>HL_TOP_ACTV_8_Single_Activity_Cost_Outputs_Annual_ECON_Local_Currency</vt:lpstr>
      <vt:lpstr>HL_TOP_ACTV_8_Single_Activity_Cost_Outputs_Annual_FIN_International_Currency</vt:lpstr>
      <vt:lpstr>HL_TOP_ACTV_8_Single_Activity_Cost_Outputs_Annual_FIN_Local_Currency</vt:lpstr>
      <vt:lpstr>HL_TOP_ACTV_8_Supplies_and_Materials</vt:lpstr>
      <vt:lpstr>HL_TOP_ACTV_8_Supplies_and_Materials_Outputs</vt:lpstr>
      <vt:lpstr>HL_TOP_ACTV_Activity_Number_of_Activities_Annual_Assumptions</vt:lpstr>
      <vt:lpstr>HL_TOP_ACTV_Activity_Summary_Costs_Annual</vt:lpstr>
      <vt:lpstr>HL_TOP_ACTV_Allowances_Assumptions</vt:lpstr>
      <vt:lpstr>HL_TOP_ACTV_Allowances_Outputs</vt:lpstr>
      <vt:lpstr>HL_TOP_ACTV_Ass_A</vt:lpstr>
      <vt:lpstr>HL_TOP_ACTV_Ass_B</vt:lpstr>
      <vt:lpstr>HL_TOP_ACTV_Cost_Summary_Output</vt:lpstr>
      <vt:lpstr>HL_TOP_ACTV_Detailed_Costing_Worksheet</vt:lpstr>
      <vt:lpstr>HL_TOP_ACTV_Name</vt:lpstr>
      <vt:lpstr>HL_TOP_ACTV_Other_Direct_Costs</vt:lpstr>
      <vt:lpstr>HL_TOP_ACTV_Other_Direct_Costs_Outputs</vt:lpstr>
      <vt:lpstr>HL_TOP_ACTV_Out_A</vt:lpstr>
      <vt:lpstr>HL_TOP_ACTV_Personnel_Assumptions</vt:lpstr>
      <vt:lpstr>HL_TOP_ACTV_Personnel_Outputs</vt:lpstr>
      <vt:lpstr>HL_TOP_ACTV_Single_Activity_Cost_Assumptions_Annual</vt:lpstr>
      <vt:lpstr>HL_TOP_ACTV_Single_Activity_Cost_Outputs_Annual_ECON_International_Currency</vt:lpstr>
      <vt:lpstr>HL_TOP_ACTV_Single_Activity_Cost_Outputs_Annual_ECON_Local_Currency</vt:lpstr>
      <vt:lpstr>HL_TOP_ACTV_Single_Activity_Cost_Outputs_Annual_FIN_International_Currency</vt:lpstr>
      <vt:lpstr>HL_TOP_ACTV_Single_Activity_Cost_Outputs_Annual_FIN_Local_Currency</vt:lpstr>
      <vt:lpstr>HL_TOP_ACTV_Supplies_and_Materials</vt:lpstr>
      <vt:lpstr>HL_TOP_ACTV_Supplies_and_Materials_Outputs</vt:lpstr>
      <vt:lpstr>HL_Vacc_Ass_A</vt:lpstr>
      <vt:lpstr>HL_Vacc_Ass_C</vt:lpstr>
      <vt:lpstr>HL_Vacc_Out</vt:lpstr>
      <vt:lpstr>HL_Vacc_Out_A</vt:lpstr>
      <vt:lpstr>HL_Vacc_Safety_Box_Capacity_Prospective</vt:lpstr>
      <vt:lpstr>Lang_3percent_Is_Standard_For_Health_Costing_Analyses</vt:lpstr>
      <vt:lpstr>Lang_Activities</vt:lpstr>
      <vt:lpstr>Lang_Activities_Annual_Assumptions</vt:lpstr>
      <vt:lpstr>Lang_Activities_Annual_Assumptions_Projected_Or_Retrospective</vt:lpstr>
      <vt:lpstr>Lang_Activity</vt:lpstr>
      <vt:lpstr>Lang_Activity_Names_And_Quantities_Performed</vt:lpstr>
      <vt:lpstr>Lang_Activity_Quantities_And_Cost_Summary</vt:lpstr>
      <vt:lpstr>Lang_Activity_Unit_Day_Hour_Minute</vt:lpstr>
      <vt:lpstr>Lang_Additional_Costs</vt:lpstr>
      <vt:lpstr>Lang_Additional_Costs_Injection_Syringes</vt:lpstr>
      <vt:lpstr>Lang_Additional_Costs_Safety_Boxes</vt:lpstr>
      <vt:lpstr>Lang_Additional_Costs_Vaccine</vt:lpstr>
      <vt:lpstr>Lang_Adjustment_For_Projected_Wastage_Rate_For_Injection_Syringes</vt:lpstr>
      <vt:lpstr>Lang_Adjustment_For_Projected_Wastage_Rate_For_Safety_Boxes</vt:lpstr>
      <vt:lpstr>Lang_Adjustment_For_Projected_Wastage_Rate_For_Vaccines</vt:lpstr>
      <vt:lpstr>Lang_AEFI_Variables</vt:lpstr>
      <vt:lpstr>Lang_Age_Groups</vt:lpstr>
      <vt:lpstr>Lang_Alert_Check_Does_Total_Sum_To_Coverage_Total</vt:lpstr>
      <vt:lpstr>Lang_Alert_Check_Percent_Administered_Through_School_Should_Not_Exceed_Percent_Of_In_School_Pop_Receiving_Vacc</vt:lpstr>
      <vt:lpstr>Lang_Alert_Checks</vt:lpstr>
      <vt:lpstr>Lang_Alert_In</vt:lpstr>
      <vt:lpstr>Lang_Alerts_Detected</vt:lpstr>
      <vt:lpstr>Lang_All_Age_Groups</vt:lpstr>
      <vt:lpstr>Lang_All_Age_Groups_Projected</vt:lpstr>
      <vt:lpstr>Lang_All_Age_Groups_Retrospective</vt:lpstr>
      <vt:lpstr>Lang_All_Age_Groups_Retrospective_AUTOCALCULATED</vt:lpstr>
      <vt:lpstr>Lang_All_Target_Pop</vt:lpstr>
      <vt:lpstr>Lang_All_Target_Pop_Coverage</vt:lpstr>
      <vt:lpstr>Lang_All_Target_Pop_SmallLetter</vt:lpstr>
      <vt:lpstr>Lang_All_Years</vt:lpstr>
      <vt:lpstr>Lang_Allowance_Type</vt:lpstr>
      <vt:lpstr>Lang_Allowance_Unit_Per_Day_Round_Trip_Travel</vt:lpstr>
      <vt:lpstr>Lang_Allowances</vt:lpstr>
      <vt:lpstr>Lang_Allowances_Outputs</vt:lpstr>
      <vt:lpstr>Lang_Analysis</vt:lpstr>
      <vt:lpstr>Lang_Analysis_Imported_Selections_Developer_Only</vt:lpstr>
      <vt:lpstr>Lang_Analysis_Lookups</vt:lpstr>
      <vt:lpstr>Lang_Annual_Discount_Rate_Category_1</vt:lpstr>
      <vt:lpstr>Lang_Annual_Discount_Rate_Colon</vt:lpstr>
      <vt:lpstr>Lang_Annual_Pop_Growth_Rate</vt:lpstr>
      <vt:lpstr>Lang_Annualized</vt:lpstr>
      <vt:lpstr>Lang_Appendices</vt:lpstr>
      <vt:lpstr>Lang_Applied_Currency</vt:lpstr>
      <vt:lpstr>Lang_Area_Name</vt:lpstr>
      <vt:lpstr>Lang_Assumptions</vt:lpstr>
      <vt:lpstr>Lang_AutoCal_Drop_Out_Rate</vt:lpstr>
      <vt:lpstr>Lang_AutoCal_Number_Receiving_Vacc</vt:lpstr>
      <vt:lpstr>Lang_AutoCal_Percent_Receiving_Vacc</vt:lpstr>
      <vt:lpstr>Lang_AutoCal_Proportion_Of_All_Receiving_Vacc</vt:lpstr>
      <vt:lpstr>Lang_Autocalculated</vt:lpstr>
      <vt:lpstr>Lang_Average_Number_Of_Persons_Vaccinated_During_A_outine_Outreach_Service_Activity</vt:lpstr>
      <vt:lpstr>Lang_Average_Number_Of_Routine_Outreach_Vacc_Activities_Per_Facility</vt:lpstr>
      <vt:lpstr>Lang_Avg_Number_Of</vt:lpstr>
      <vt:lpstr>Lang_Avg_Number_Of_Vacc_Delivered_During</vt:lpstr>
      <vt:lpstr>Lang_Avg_Number_Of_Vacc_Delivered_During_Service_Delivery_Activities_Prospective_Or_Retrospective</vt:lpstr>
      <vt:lpstr>Lang_Baseline</vt:lpstr>
      <vt:lpstr>Lang_C4P</vt:lpstr>
      <vt:lpstr>Lang_Calculations_Coverage</vt:lpstr>
      <vt:lpstr>Lang_Calculations_From_Detailed_Cost_Worksheets</vt:lpstr>
      <vt:lpstr>Lang_Calculations_Single_Activity_Costs_Annual</vt:lpstr>
      <vt:lpstr>Lang_Calculations_Vaccine_Procurement_Costs</vt:lpstr>
      <vt:lpstr>Lang_Cant_Divide_By_Zero</vt:lpstr>
      <vt:lpstr>Lang_Capacity_Per_Unit</vt:lpstr>
      <vt:lpstr>Lang_Capital_Investment_Type</vt:lpstr>
      <vt:lpstr>Lang_Check</vt:lpstr>
      <vt:lpstr>Lang_Checks</vt:lpstr>
      <vt:lpstr>Lang_Cold_Chain_Equipment_Procured</vt:lpstr>
      <vt:lpstr>Lang_Cold_Chain_Expansion</vt:lpstr>
      <vt:lpstr>Lang_Cold_Chain_Expansion_Assumptions_Annual</vt:lpstr>
      <vt:lpstr>Lang_Cold_Chain_Expansion_Costs_Initial_Investment</vt:lpstr>
      <vt:lpstr>Lang_Cold_Chain_Expansion_Lookups</vt:lpstr>
      <vt:lpstr>Lang_Cold_Chain_Expansion_Outputs</vt:lpstr>
      <vt:lpstr>Lang_Cold_Chain_Introduction_Costs</vt:lpstr>
      <vt:lpstr>Lang_Complete_Only</vt:lpstr>
      <vt:lpstr>Lang_Cost</vt:lpstr>
      <vt:lpstr>Lang_Cost_Category</vt:lpstr>
      <vt:lpstr>Lang_Cost_Of_A_Single</vt:lpstr>
      <vt:lpstr>Lang_Cost_Per_Activity_Unit</vt:lpstr>
      <vt:lpstr>Lang_Cost_Per_FIP</vt:lpstr>
      <vt:lpstr>Lang_Cost_Per_Injection_Syringe</vt:lpstr>
      <vt:lpstr>Lang_Cost_Per_Safety_Box</vt:lpstr>
      <vt:lpstr>Lang_Cost_Per_Unit</vt:lpstr>
      <vt:lpstr>Lang_Cost_Per_Vaccine_Dose</vt:lpstr>
      <vt:lpstr>Lang_Cost_Projection</vt:lpstr>
      <vt:lpstr>Lang_Cost_Projection_Counts_Assumptions</vt:lpstr>
      <vt:lpstr>Lang_Cost_Projection_Or_Retrospective</vt:lpstr>
      <vt:lpstr>Lang_Costing_Start_Year_And_Term</vt:lpstr>
      <vt:lpstr>Lang_Costs</vt:lpstr>
      <vt:lpstr>Lang_Count_Using_Retrospective_Data</vt:lpstr>
      <vt:lpstr>Lang_Counter</vt:lpstr>
      <vt:lpstr>Lang_Counts</vt:lpstr>
      <vt:lpstr>Lang_Counts_Assumptions_Cost_Projection_Or_Retrospective</vt:lpstr>
      <vt:lpstr>Lang_Counts_Lookups</vt:lpstr>
      <vt:lpstr>Lang_Counts_Variables</vt:lpstr>
      <vt:lpstr>Lang_Cover_Notes</vt:lpstr>
      <vt:lpstr>Lang_Coverage_Linked_Names_Developer_Only</vt:lpstr>
      <vt:lpstr>Lang_Coverage_Lookups</vt:lpstr>
      <vt:lpstr>Lang_Coverage_Navigation</vt:lpstr>
      <vt:lpstr>Lang_Coverage_Number_Retrospective_Data</vt:lpstr>
      <vt:lpstr>Lang_Coverage_Outputs_Projected_Target_Group_A</vt:lpstr>
      <vt:lpstr>Lang_Coverage_Outputs_Retrospective_Target_Group_A</vt:lpstr>
      <vt:lpstr>Lang_Coverage_Projection</vt:lpstr>
      <vt:lpstr>Lang_Coverage_Projections</vt:lpstr>
      <vt:lpstr>Lang_Coverage_Retrospective_Data</vt:lpstr>
      <vt:lpstr>Lang_Coverage_Summary_Of_Projected_Assumptions</vt:lpstr>
      <vt:lpstr>Lang_Coverage_Summary_Of_Retrospective_Data</vt:lpstr>
      <vt:lpstr>Lang_Coverage_Summary_Outputs</vt:lpstr>
      <vt:lpstr>Lang_Coverage_Variables</vt:lpstr>
      <vt:lpstr>Lang_Currencies</vt:lpstr>
      <vt:lpstr>Lang_Currencies_Category_1</vt:lpstr>
      <vt:lpstr>Lang_Currencies_Category_2</vt:lpstr>
      <vt:lpstr>Lang_Currency_Code</vt:lpstr>
      <vt:lpstr>Lang_Currency_Name</vt:lpstr>
      <vt:lpstr>Lang_Currency_Options_For_Dropdown_List</vt:lpstr>
      <vt:lpstr>Lang_Currency_Used_For_Cost_Inputs</vt:lpstr>
      <vt:lpstr>Lang_Current_Calc_Total_Per_FIP</vt:lpstr>
      <vt:lpstr>Lang_Current_Language</vt:lpstr>
      <vt:lpstr>Lang_Custom_Labels_Lookups</vt:lpstr>
      <vt:lpstr>Lang_Custom_Labels_Variables</vt:lpstr>
      <vt:lpstr>Lang_Dashboard</vt:lpstr>
      <vt:lpstr>Lang_Data_For_Extraction</vt:lpstr>
      <vt:lpstr>Lang_Detailed_Activity_Costing_Worksheet_Currency_Selection</vt:lpstr>
      <vt:lpstr>Lang_Detailed_Activity_Costing_Worksheet_Instructions</vt:lpstr>
      <vt:lpstr>Lang_Detailed_Allowance_Cost_Assumptions</vt:lpstr>
      <vt:lpstr>Lang_Detailed_Cost_Summary</vt:lpstr>
      <vt:lpstr>Lang_Detailed_Cost_Worksheet_Optional_Outputs_Summaries</vt:lpstr>
      <vt:lpstr>Lang_Detailed_Costing_Worksheet_Estimate</vt:lpstr>
      <vt:lpstr>Lang_Detailed_Costing_Worksheets_Notes_1</vt:lpstr>
      <vt:lpstr>Lang_Detailed_Costing_Worksheets_Notes_2</vt:lpstr>
      <vt:lpstr>Lang_Detailed_Costing_Worksheets_Notes_3</vt:lpstr>
      <vt:lpstr>Lang_Detailed_Costing_Worksheets_Optional</vt:lpstr>
      <vt:lpstr>Lang_Detailed_Other_Direct_Cost_Assumptions</vt:lpstr>
      <vt:lpstr>Lang_Detailed_Personnel_Cost_Assumptions</vt:lpstr>
      <vt:lpstr>Lang_Detailed_Supply_And_Material_Cost_Assumptions</vt:lpstr>
      <vt:lpstr>Lang_Developer_Only</vt:lpstr>
      <vt:lpstr>Lang_Direct_User_Entry_Cost_Estimate</vt:lpstr>
      <vt:lpstr>Lang_Dose_1_And_2_Coverage_Outputs_Retrospective_All_Target_Pop</vt:lpstr>
      <vt:lpstr>Lang_Dose_1_And_2_Coverage_Outputs_Retrospective_Target_Group_A</vt:lpstr>
      <vt:lpstr>Lang_Doses</vt:lpstr>
      <vt:lpstr>Lang_Drop_Out_Rate</vt:lpstr>
      <vt:lpstr>Lang_Econ</vt:lpstr>
      <vt:lpstr>Lang_Econ_Costs</vt:lpstr>
      <vt:lpstr>Lang_Econ_Costs_Annualized</vt:lpstr>
      <vt:lpstr>Lang_Econ_Currencies</vt:lpstr>
      <vt:lpstr>Lang_Econ_Instructions</vt:lpstr>
      <vt:lpstr>Lang_Econ_Lookups</vt:lpstr>
      <vt:lpstr>Lang_Econ_Rates</vt:lpstr>
      <vt:lpstr>Lang_Econ_Variables</vt:lpstr>
      <vt:lpstr>Lang_Eligible</vt:lpstr>
      <vt:lpstr>Lang_Enter_Cost_Estimates_Directly</vt:lpstr>
      <vt:lpstr>Lang_Entire</vt:lpstr>
      <vt:lpstr>Lang_Error_Check</vt:lpstr>
      <vt:lpstr>Lang_Error_Check_Checks_If_Override_Input_economic_Cost_Is_Less_Than_Financial_Cost</vt:lpstr>
      <vt:lpstr>Lang_Error_Check_Flags_If_Input_Econ_Cost_Is_Less_Than_Fin_Cost</vt:lpstr>
      <vt:lpstr>Lang_Error_Check_HPV2_Coverage_Larger_Than_HPV1_Coverage</vt:lpstr>
      <vt:lpstr>Lang_Error_Check_Should_Sum_To_100</vt:lpstr>
      <vt:lpstr>Lang_Error_Checks</vt:lpstr>
      <vt:lpstr>Lang_Error_In</vt:lpstr>
      <vt:lpstr>Lang_Errors_Detected</vt:lpstr>
      <vt:lpstr>Lang_Estimated_Cost_For_Cold_Storage_Expansion</vt:lpstr>
      <vt:lpstr>Lang_Estimated_Cost_For_Other_Capital_Investments</vt:lpstr>
      <vt:lpstr>Lang_Evidence_For_Using_This_Cost_Information_Source_Or_Notes</vt:lpstr>
      <vt:lpstr>Lang_Exchange_Rate</vt:lpstr>
      <vt:lpstr>Lang_Exchange_Rate_Colon</vt:lpstr>
      <vt:lpstr>Lang_Exchange_Rate_From_Econ</vt:lpstr>
      <vt:lpstr>Lang_Fin</vt:lpstr>
      <vt:lpstr>Lang_Fin_Costs</vt:lpstr>
      <vt:lpstr>Lang_Fin_Costs_Annualized</vt:lpstr>
      <vt:lpstr>Lang_Financial_Year</vt:lpstr>
      <vt:lpstr>Lang_First_Costing_Year</vt:lpstr>
      <vt:lpstr>Lang_Flag</vt:lpstr>
      <vt:lpstr>Lang_For</vt:lpstr>
      <vt:lpstr>Lang_From_Coverage_Assumptions</vt:lpstr>
      <vt:lpstr>Lang_From_Econ_Tab</vt:lpstr>
      <vt:lpstr>Lang_GoTo</vt:lpstr>
      <vt:lpstr>Lang_GoTo_Cost_Projection_Counts_Assumptions</vt:lpstr>
      <vt:lpstr>Lang_Goto_Cover</vt:lpstr>
      <vt:lpstr>Lang_GoTo_Retrospective_Costing_Pop_Counts</vt:lpstr>
      <vt:lpstr>Lang_Goto_TOC</vt:lpstr>
      <vt:lpstr>Lang_Group_Service_Delivery_Activity_1_Of_2_Name</vt:lpstr>
      <vt:lpstr>Lang_Group_Service_Delivery_Activity_2_Of_2_Name</vt:lpstr>
      <vt:lpstr>Lang_Group_Vaccination_Type</vt:lpstr>
      <vt:lpstr>Lang_Health_Facilities_Counts_Cost_Projection_Or_Retrospective</vt:lpstr>
      <vt:lpstr>Lang_HL_Home</vt:lpstr>
      <vt:lpstr>Lang_HPV_Vacc_Administered</vt:lpstr>
      <vt:lpstr>Lang_IEC_Social_Mobilisation_Activities_Annual_Assumptions</vt:lpstr>
      <vt:lpstr>Lang_IEC_Social_Mobilisation_Activity_Name</vt:lpstr>
      <vt:lpstr>Lang_Immunization_Coverage</vt:lpstr>
      <vt:lpstr>Lang_Immunization_Coverage_Assumptions</vt:lpstr>
      <vt:lpstr>Lang_Imported_From_Econ_Module</vt:lpstr>
      <vt:lpstr>Lang_In_A</vt:lpstr>
      <vt:lpstr>Lang_In_School</vt:lpstr>
      <vt:lpstr>Lang_Include</vt:lpstr>
      <vt:lpstr>Lang_Initial_Invest_Costs</vt:lpstr>
      <vt:lpstr>Lang_Injection_Syringe_Capacity_Per_Safety_Box_Number</vt:lpstr>
      <vt:lpstr>Lang_Injection_Syringe_Each</vt:lpstr>
      <vt:lpstr>Lang_Injection_Syringes</vt:lpstr>
      <vt:lpstr>Lang_Input_Currency_For_Cold_Storage_Equipment_Prices</vt:lpstr>
      <vt:lpstr>Lang_Input_Currency_For_Other_Capital_Investment</vt:lpstr>
      <vt:lpstr>Lang_Instructions</vt:lpstr>
      <vt:lpstr>Lang_International_Currency_Econ</vt:lpstr>
      <vt:lpstr>Lang_International_Currency_Fin</vt:lpstr>
      <vt:lpstr>Lang_Intro_Costs</vt:lpstr>
      <vt:lpstr>Lang_Introduction</vt:lpstr>
      <vt:lpstr>Lang_Labels_For_Important_Data_Points</vt:lpstr>
      <vt:lpstr>Lang_Language_Choice_Table</vt:lpstr>
      <vt:lpstr>Lang_Language_Translation</vt:lpstr>
      <vt:lpstr>Lang_Level_2_Activity_Lookups</vt:lpstr>
      <vt:lpstr>Lang_Local_Currency_Econ</vt:lpstr>
      <vt:lpstr>Lang_Local_Currency_Fin</vt:lpstr>
      <vt:lpstr>Lang_Market_Cost_Of_Vaccine_And_Injectable_Supplies</vt:lpstr>
      <vt:lpstr>Lang_Microplanning</vt:lpstr>
      <vt:lpstr>Lang_Microplanning_Activities_Annual_Assumptions</vt:lpstr>
      <vt:lpstr>Lang_Microplanning_Activity_Name</vt:lpstr>
      <vt:lpstr>Lang_Microplanning_Activity_Variables</vt:lpstr>
      <vt:lpstr>Lang_Microplanning_Detailed_Costing_Worksheets_Optional</vt:lpstr>
      <vt:lpstr>Lang_Microplanning_Level_1_1_Lookups</vt:lpstr>
      <vt:lpstr>Lang_Microplanning_Level_1_2_Lookups</vt:lpstr>
      <vt:lpstr>Lang_Microplanning_Level_2_1_Lookups</vt:lpstr>
      <vt:lpstr>Lang_Microplanning_Level_2_2_Lookups</vt:lpstr>
      <vt:lpstr>Lang_Miscellaneous_Check</vt:lpstr>
      <vt:lpstr>Lang_Model_Development_And_Maintenance_Developer_Only</vt:lpstr>
      <vt:lpstr>Lang_Name</vt:lpstr>
      <vt:lpstr>Lang_Name_Of_Capital_Investment</vt:lpstr>
      <vt:lpstr>Lang_Name_Of_Cold_Storage_Equipment</vt:lpstr>
      <vt:lpstr>Lang_Name_Of_Other_Capital_Investment</vt:lpstr>
      <vt:lpstr>Lang_Not_A_Cost_Projection_Skip_This_Section_Use_The_Retrospective_Target_Pop_Counts_Data_Section</vt:lpstr>
      <vt:lpstr>Lang_Not_A_Retrospective_Costing_Skip_This_Section_Use_The_Cost_Projection_Counts_Assumptions_Section</vt:lpstr>
      <vt:lpstr>Lang_Notes_On_Calculations_Estimates</vt:lpstr>
      <vt:lpstr>Lang_Number_Administered_By_Year_And_Service_Delivery_Type</vt:lpstr>
      <vt:lpstr>Lang_Number_Injection_Syringes_Procured</vt:lpstr>
      <vt:lpstr>Lang_Number_Injection_Syringes_To_Procure_Based_On_Pop_Coverage_Projections_And_Wastage_Rates</vt:lpstr>
      <vt:lpstr>Lang_Number_Of</vt:lpstr>
      <vt:lpstr>Lang_Number_Of_Activities</vt:lpstr>
      <vt:lpstr>Lang_Number_Of_Activities_Per_Year</vt:lpstr>
      <vt:lpstr>Lang_Number_Of_Activities_Required_To_Administer_This_Number_Of_Vaccines</vt:lpstr>
      <vt:lpstr>Lang_Number_Of_Activities_Vacc_To_A_Group_Completed</vt:lpstr>
      <vt:lpstr>Lang_Number_Of_Activity_Units_Required</vt:lpstr>
      <vt:lpstr>Lang_Number_Of_Allowance_Units_Required</vt:lpstr>
      <vt:lpstr>Lang_Number_Of_Group_Vacc_Activities_Required_To_Administer_Vaccines</vt:lpstr>
      <vt:lpstr>Lang_Number_Of_Health_Facilities_Conducting_Routine_HPV_Vacc_Outreach_Services</vt:lpstr>
      <vt:lpstr>Lang_Number_Of_Health_Facilities_Providing_HPV_Vacc</vt:lpstr>
      <vt:lpstr>Lang_Number_Of_ODC_Units_Required</vt:lpstr>
      <vt:lpstr>Lang_Number_Of_Schools_To_Received_Group_Vacc_Visits</vt:lpstr>
      <vt:lpstr>Lang_Number_Of_Service_Delivery_Activities_Providing_Vacc_To_A_Single_Person_Completed</vt:lpstr>
      <vt:lpstr>Lang_Number_Of_Single_Vacc_Activities_Required_To_Administer_Vaccines</vt:lpstr>
      <vt:lpstr>Lang_Number_Of_Supply_Units_Required</vt:lpstr>
      <vt:lpstr>Lang_Number_Of_Units</vt:lpstr>
      <vt:lpstr>Lang_Number_Of_Vacc_Delivered_And_Activities_Completed_By_Year_And_Service_Delivery_Type_Retrospective</vt:lpstr>
      <vt:lpstr>Lang_Number_Of_Vacc_Provided_Through_Vacc_To_A_Group</vt:lpstr>
      <vt:lpstr>Lang_Number_Receiving_Vacc</vt:lpstr>
      <vt:lpstr>Lang_Number_Receiving_Vacc_Retrospective_Data</vt:lpstr>
      <vt:lpstr>Lang_Number_Safety_Boxes_Procured</vt:lpstr>
      <vt:lpstr>Lang_Number_Safety_Boxes_To_Procure</vt:lpstr>
      <vt:lpstr>Lang_Number_Vaccine_Doses_Procured</vt:lpstr>
      <vt:lpstr>Lang_Number_Vaccine_Doses_To_Procure_Based_On_Pop_Coverage_Projections_And_Wastage_Rates</vt:lpstr>
      <vt:lpstr>Lang_Numbers</vt:lpstr>
      <vt:lpstr>Lang_ODC_Unit_Each_Dozen_100_Pack</vt:lpstr>
      <vt:lpstr>Lang_Other</vt:lpstr>
      <vt:lpstr>Lang_Other_Activity_Level_1_1_Lookups</vt:lpstr>
      <vt:lpstr>Lang_Other_Activity_Level_1_2_Lookups</vt:lpstr>
      <vt:lpstr>Lang_Other_Activity_Level_1_3_Lookups</vt:lpstr>
      <vt:lpstr>Lang_Other_Activity_Level_2_1_Lookups</vt:lpstr>
      <vt:lpstr>Lang_Other_Activity_Level_2_2_Lookups</vt:lpstr>
      <vt:lpstr>Lang_Other_Activity_Name_Recurrent_Cost_Activity_Only</vt:lpstr>
      <vt:lpstr>Lang_Other_Activity_Recurrent_Costs_Only_Annual_Assumptions</vt:lpstr>
      <vt:lpstr>Lang_Other_Capital_Investments</vt:lpstr>
      <vt:lpstr>Lang_Other_Capital_Investments_Assumptions_Annual</vt:lpstr>
      <vt:lpstr>Lang_Other_Capital_Investments_Initial_Investment</vt:lpstr>
      <vt:lpstr>Lang_Other_Capital_Investments_Introduction_Costs</vt:lpstr>
      <vt:lpstr>Lang_Other_Capital_Investments_Lookups</vt:lpstr>
      <vt:lpstr>Lang_Other_Capital_Investments_Outputs</vt:lpstr>
      <vt:lpstr>Lang_Other_Direct_Cost_ODC_Type</vt:lpstr>
      <vt:lpstr>Lang_Other_Direct_Costs</vt:lpstr>
      <vt:lpstr>Lang_Other_Direct_Costs_Outputs</vt:lpstr>
      <vt:lpstr>Lang_Other_Recurrent_Costs_Only_Detailed_Costing_Worksheets_Optional</vt:lpstr>
      <vt:lpstr>Lang_Out_Of_School</vt:lpstr>
      <vt:lpstr>Lang_Outputs</vt:lpstr>
      <vt:lpstr>Lang_Per_Fully_Immunized_Person_FIP</vt:lpstr>
      <vt:lpstr>Lang_Per_School</vt:lpstr>
      <vt:lpstr>Lang_Percentage</vt:lpstr>
      <vt:lpstr>Lang_Period_End_Date</vt:lpstr>
      <vt:lpstr>Lang_Period_Start_Date</vt:lpstr>
      <vt:lpstr>Lang_Personnel</vt:lpstr>
      <vt:lpstr>Lang_Personnel_Cadre_Type</vt:lpstr>
      <vt:lpstr>Lang_Personnel_Outputs</vt:lpstr>
      <vt:lpstr>Lang_Pop</vt:lpstr>
      <vt:lpstr>Lang_Pop_Count</vt:lpstr>
      <vt:lpstr>Lang_Pop_SmallLetter</vt:lpstr>
      <vt:lpstr>Lang_Pop_With_Vaccine</vt:lpstr>
      <vt:lpstr>Lang_Pop_Without_Vaccine</vt:lpstr>
      <vt:lpstr>Lang_Portion_Using_Retrospective_Data</vt:lpstr>
      <vt:lpstr>Lang_Portion_Using_Retrospective_Data_Autocalculated</vt:lpstr>
      <vt:lpstr>Lang_Present_Outputs</vt:lpstr>
      <vt:lpstr>Lang_Price_Per_Unit_Econ</vt:lpstr>
      <vt:lpstr>Lang_Price_Per_Unit_Fin</vt:lpstr>
      <vt:lpstr>Lang_Primary_Area_Used_For_Age_Groups_And_Segments</vt:lpstr>
      <vt:lpstr>Lang_Primary_Developer</vt:lpstr>
      <vt:lpstr>Lang_Primary_Level_Name</vt:lpstr>
      <vt:lpstr>Lang_Procurement_Costs</vt:lpstr>
      <vt:lpstr>Lang_Projected</vt:lpstr>
      <vt:lpstr>Lang_Projected_Calculation</vt:lpstr>
      <vt:lpstr>Lang_Projected_Coverage_Instructions_Input_Percent_Coverage_For_Each_Year_Dose_And_Target_Pop</vt:lpstr>
      <vt:lpstr>Lang_Projected_Or_Retrospective</vt:lpstr>
      <vt:lpstr>Lang_Projection</vt:lpstr>
      <vt:lpstr>Lang_Proportion</vt:lpstr>
      <vt:lpstr>Lang_Proportion_Administered_By_Year_And_Service_Delivery_Type</vt:lpstr>
      <vt:lpstr>Lang_Proportion_And_Number_Of_Vacc_Delivered_By_Year_And_Service_Delivery_Type_Prospective</vt:lpstr>
      <vt:lpstr>Lang_Proportion_Of</vt:lpstr>
      <vt:lpstr>Lang_Proportion_Of_Additional_Costs_Injection_Syringes_Subsidized_On_Scale_Of_0_To_100</vt:lpstr>
      <vt:lpstr>Lang_Proportion_Of_Additional_Costs_Safety_Boxes_Subsidized_On_Scale_Of_0_To_100</vt:lpstr>
      <vt:lpstr>Lang_Proportion_Of_Additional_Costs_Vaccine_Subsidized_On_Scale_Of_0_To_100</vt:lpstr>
      <vt:lpstr>Lang_Proportion_Of_Vacc_Delivered_Prospective</vt:lpstr>
      <vt:lpstr>Lang_Proportion_Of_Vaccine_And_Injectable_Supply_Procurement_Subsidized</vt:lpstr>
      <vt:lpstr>Lang_Proportion_Projected_Autocalculated</vt:lpstr>
      <vt:lpstr>Lang_Proportion_Projected_Calculation</vt:lpstr>
      <vt:lpstr>Lang_Proportions</vt:lpstr>
      <vt:lpstr>Lang_Prospective</vt:lpstr>
      <vt:lpstr>Lang_Prospective_Assumptions</vt:lpstr>
      <vt:lpstr>Lang_Prospective_Or_Retrospective</vt:lpstr>
      <vt:lpstr>Lang_Prospective_Projection</vt:lpstr>
      <vt:lpstr>Lang_Receiving</vt:lpstr>
      <vt:lpstr>Lang_Recurrent</vt:lpstr>
      <vt:lpstr>Lang_Recurrent_Costs</vt:lpstr>
      <vt:lpstr>Lang_Required_Capital_Investments</vt:lpstr>
      <vt:lpstr>Lang_Required_Cold_Storage_Expansion</vt:lpstr>
      <vt:lpstr>Lang_Results_Numbers</vt:lpstr>
      <vt:lpstr>Lang_Retrospective</vt:lpstr>
      <vt:lpstr>Lang_Retrospective_Costing</vt:lpstr>
      <vt:lpstr>Lang_Retrospective_Costs</vt:lpstr>
      <vt:lpstr>Lang_Retrospective_Count</vt:lpstr>
      <vt:lpstr>Lang_Retrospective_Coverage</vt:lpstr>
      <vt:lpstr>Lang_Retrospective_Coverage_Insert_The_Actual_Quantity_Of_Vaccine_Doses_Administered</vt:lpstr>
      <vt:lpstr>Lang_Retrospective_Data</vt:lpstr>
      <vt:lpstr>Lang_Retrospective_Target_Pop_Counts_Data</vt:lpstr>
      <vt:lpstr>Lang_Safety_Box_Costs</vt:lpstr>
      <vt:lpstr>Lang_Safety_Box_Each</vt:lpstr>
      <vt:lpstr>Lang_Safety_Boxes</vt:lpstr>
      <vt:lpstr>Lang_Safety_Boxes_Procured</vt:lpstr>
      <vt:lpstr>Lang_Save_Often</vt:lpstr>
      <vt:lpstr>Lang_Schools_Counts_Cost_Projection_Or_Retrospective</vt:lpstr>
      <vt:lpstr>Lang_Section_1</vt:lpstr>
      <vt:lpstr>Lang_Section_2</vt:lpstr>
      <vt:lpstr>Lang_Section_3</vt:lpstr>
      <vt:lpstr>Lang_Section_4</vt:lpstr>
      <vt:lpstr>Lang_Section_5</vt:lpstr>
      <vt:lpstr>Lang_Section_Cover_Notes</vt:lpstr>
      <vt:lpstr>Lang_Section_Cover_Notes_Appendices_1</vt:lpstr>
      <vt:lpstr>Lang_Section_Cover_Notes_Appendices_2</vt:lpstr>
      <vt:lpstr>Lang_Section_Cover_Notes_Appendices_3</vt:lpstr>
      <vt:lpstr>Lang_Section_Cover_Notes_Appendices_4</vt:lpstr>
      <vt:lpstr>Lang_Section_Sheet_Titles</vt:lpstr>
      <vt:lpstr>Lang_Segment</vt:lpstr>
      <vt:lpstr>Lang_Segments_Used_For_Both_Age_Groups</vt:lpstr>
      <vt:lpstr>Lang_Select_Costing_Input_Method</vt:lpstr>
      <vt:lpstr>Lang_Select_Currency_Output</vt:lpstr>
      <vt:lpstr>Lang_Select_Input_Currency</vt:lpstr>
      <vt:lpstr>Lang_Select_Years</vt:lpstr>
      <vt:lpstr>Lang_Senistisation_Activity_Name</vt:lpstr>
      <vt:lpstr>Lang_Sensitisation</vt:lpstr>
      <vt:lpstr>Lang_Sensitisation_Activities_Annual_Assumptions</vt:lpstr>
      <vt:lpstr>Lang_Sensitisation_Activity_Variables</vt:lpstr>
      <vt:lpstr>Lang_Sensitisation_Detailed_Costing_Worksheets_Optional</vt:lpstr>
      <vt:lpstr>Lang_Sensitization_Level_1_1_Lookups</vt:lpstr>
      <vt:lpstr>Lang_Sensitization_Level_1_2_Lookups</vt:lpstr>
      <vt:lpstr>Lang_Sensitization_Level_1_3_Lookups</vt:lpstr>
      <vt:lpstr>Lang_Sensitization_Level_2_1_Lookups</vt:lpstr>
      <vt:lpstr>Lang_Sensitization_Level_2_2_Lookups</vt:lpstr>
      <vt:lpstr>Lang_Sensitization_Level_2_3_Lookups</vt:lpstr>
      <vt:lpstr>Lang_Service_Delivery</vt:lpstr>
      <vt:lpstr>Lang_Service_Delivery_Activities_Providing_Vacc_To_A_Group</vt:lpstr>
      <vt:lpstr>Lang_Service_Delivery_Activities_Providing_Vacc_To_A_Single_Person</vt:lpstr>
      <vt:lpstr>Lang_Service_Delivery_Activity_Types</vt:lpstr>
      <vt:lpstr>Lang_Service_Delivery_Activity_Variables</vt:lpstr>
      <vt:lpstr>Lang_Service_Delivery_Annual_Assumptions</vt:lpstr>
      <vt:lpstr>Lang_Service_Delivery_Detailed_Costing_Worksheets_Optional</vt:lpstr>
      <vt:lpstr>Lang_Service_Delivery_Group_Vacc_Types_1</vt:lpstr>
      <vt:lpstr>Lang_Service_Delivery_Group_Vacc_Types_2</vt:lpstr>
      <vt:lpstr>Lang_Service_Delivery_Level_2_1_Lookups</vt:lpstr>
      <vt:lpstr>Lang_Service_Delivery_Level_2_2_Lookups</vt:lpstr>
      <vt:lpstr>Lang_Service_Delivery_Level_2_3_Lookups</vt:lpstr>
      <vt:lpstr>Lang_Service_Delivery_Single_Vacc_1</vt:lpstr>
      <vt:lpstr>Lang_Service_Delivery_Single_Vacc_2</vt:lpstr>
      <vt:lpstr>Lang_Service_Delivery_Types</vt:lpstr>
      <vt:lpstr>Lang_Single_Activity_Cost_Annual_Assumptions</vt:lpstr>
      <vt:lpstr>Lang_Single_Activity_Cost_Annual_Assumptions_Projected_Or_Retrospective</vt:lpstr>
      <vt:lpstr>Lang_Single_Activity_Cost_Outputs_Annual</vt:lpstr>
      <vt:lpstr>Lang_Single_HPV_Vacc_Delivery_Type_1_Of_2</vt:lpstr>
      <vt:lpstr>Lang_Single_HPV_Vacc_Delivery_Type_2_Of_2</vt:lpstr>
      <vt:lpstr>Lang_Single_Vaccination_Type</vt:lpstr>
      <vt:lpstr>Lang_SOC_MOB_Level_1_1_Lookups</vt:lpstr>
      <vt:lpstr>Lang_SOC_MOB_Level_1_2_Lookups</vt:lpstr>
      <vt:lpstr>Lang_SOC_MOB_Level_1_3_Lookups</vt:lpstr>
      <vt:lpstr>Lang_SOC_MOB_Level_2_1_Lookups</vt:lpstr>
      <vt:lpstr>Lang_SOC_MOB_Level_2_2_Lookups</vt:lpstr>
      <vt:lpstr>Lang_SOC_MOB_Level_2_3_Lookups</vt:lpstr>
      <vt:lpstr>Lang_SOC_MOB_Level_2_4_Lookups</vt:lpstr>
      <vt:lpstr>Lang_SOC_MOB_Level_2_5_Lookups</vt:lpstr>
      <vt:lpstr>Lang_Social_Mobilisation</vt:lpstr>
      <vt:lpstr>Lang_Social_Mobilisation_Activity_Variables</vt:lpstr>
      <vt:lpstr>Lang_Social_Mobilisation_Detailed_Costing_Worksheets_Optional</vt:lpstr>
      <vt:lpstr>Lang_Source_Of_Information_Notes</vt:lpstr>
      <vt:lpstr>Lang_Stays_Constant_All_Years_To_Correctly_Calculate</vt:lpstr>
      <vt:lpstr>Lang_Sub_Section_2_1</vt:lpstr>
      <vt:lpstr>Lang_Sub_Section_4_1</vt:lpstr>
      <vt:lpstr>Lang_Subgroup_Only</vt:lpstr>
      <vt:lpstr>Lang_Subgroups</vt:lpstr>
      <vt:lpstr>Lang_Subsidies_For_Vaccine_And_Injectable_Supplies</vt:lpstr>
      <vt:lpstr>Lang_Summary_Colon</vt:lpstr>
      <vt:lpstr>Lang_Summary_Costs_Annual</vt:lpstr>
      <vt:lpstr>Lang_Supervision</vt:lpstr>
      <vt:lpstr>Lang_Supervision_Activity_Variables</vt:lpstr>
      <vt:lpstr>Lang_Supervision_Detailed_Costing_Worksheets_Optional</vt:lpstr>
      <vt:lpstr>Lang_Supervision_Level_1_1_Lookups</vt:lpstr>
      <vt:lpstr>Lang_Supervision_Level_1_2_Lookups</vt:lpstr>
      <vt:lpstr>Lang_Supervision_Level_1_3_Lookups</vt:lpstr>
      <vt:lpstr>Lang_Supervision_Level_1_4_Lookups</vt:lpstr>
      <vt:lpstr>Lang_Supervision_Level_2_1_Lookups</vt:lpstr>
      <vt:lpstr>Lang_Supervision_Level_2_2_Lookups</vt:lpstr>
      <vt:lpstr>Lang_Supervision_Level_2_3_Lookups</vt:lpstr>
      <vt:lpstr>Lang_Supervision_Monitoring_And_Evaluation_Activities_SME_Annual_Assumptions</vt:lpstr>
      <vt:lpstr>Lang_Supervision_Monitoring_And_Evaluation_SME_Activity_Name</vt:lpstr>
      <vt:lpstr>Lang_Supplies_And_Materials</vt:lpstr>
      <vt:lpstr>Lang_Supplies_And_Materials_Outputs</vt:lpstr>
      <vt:lpstr>Lang_Supply_Type</vt:lpstr>
      <vt:lpstr>Lang_Supply_Unit_Each_Dozen_100_Pack</vt:lpstr>
      <vt:lpstr>Lang_Syringe_Costs</vt:lpstr>
      <vt:lpstr>Lang_Syringes</vt:lpstr>
      <vt:lpstr>Lang_Syringes_Procured</vt:lpstr>
      <vt:lpstr>Lang_Target_Groups_Category_1</vt:lpstr>
      <vt:lpstr>Lang_Target_Groups_Category_2</vt:lpstr>
      <vt:lpstr>Lang_Target_Groups_Counts_Summary</vt:lpstr>
      <vt:lpstr>Lang_Target_Pop</vt:lpstr>
      <vt:lpstr>Lang_Target_Pop_And_Coverage_Summary</vt:lpstr>
      <vt:lpstr>Lang_Target_Pop_Count</vt:lpstr>
      <vt:lpstr>Lang_Target_Pop_Labels</vt:lpstr>
      <vt:lpstr>Lang_Target_Subgoups_Category_1</vt:lpstr>
      <vt:lpstr>Lang_Target_Subgoups_Category_2</vt:lpstr>
      <vt:lpstr>Lang_Target_Subgroup_Labels</vt:lpstr>
      <vt:lpstr>Lang_These_Values_Are_Set_By_User_In_Econ</vt:lpstr>
      <vt:lpstr>Lang_This_Is_A</vt:lpstr>
      <vt:lpstr>Lang_This_is_version</vt:lpstr>
      <vt:lpstr>Lang_This_Link_Not_For_Cost_Projection_Use</vt:lpstr>
      <vt:lpstr>Lang_This_Link_Not_For_Retrospective_Costing_Use</vt:lpstr>
      <vt:lpstr>Lang_Time_Series</vt:lpstr>
      <vt:lpstr>Lang_Time_Series_Assumptions</vt:lpstr>
      <vt:lpstr>Lang_Time_Series_Lookups</vt:lpstr>
      <vt:lpstr>Lang_Time_Series_Variables</vt:lpstr>
      <vt:lpstr>Lang_To</vt:lpstr>
      <vt:lpstr>Lang_Total</vt:lpstr>
      <vt:lpstr>Lang_Total_Alerts</vt:lpstr>
      <vt:lpstr>Lang_Total_All_Years</vt:lpstr>
      <vt:lpstr>Lang_Total_Cost_Per_FIP</vt:lpstr>
      <vt:lpstr>Lang_Total_Cost_Per_Fully_Immunized_Person_FIP</vt:lpstr>
      <vt:lpstr>Lang_Total_Econ_Costs</vt:lpstr>
      <vt:lpstr>Lang_Total_Econ_Costs_Annualized</vt:lpstr>
      <vt:lpstr>Lang_Total_Errors</vt:lpstr>
      <vt:lpstr>Lang_Total_Expansion</vt:lpstr>
      <vt:lpstr>Lang_Total_Fin_Costs</vt:lpstr>
      <vt:lpstr>Lang_Total_Fin_Costs_Annualized</vt:lpstr>
      <vt:lpstr>Lang_Total_Number_Injection_Syringes_Procured_Retrospective_Data</vt:lpstr>
      <vt:lpstr>Lang_Total_Number_Injection_Syringes_To_Procure_Projected_Based_On_Pop_Coverage_Projections_And_Wastage_Rates</vt:lpstr>
      <vt:lpstr>Lang_Total_Number_Of</vt:lpstr>
      <vt:lpstr>Lang_Total_Number_Safety_Boxes_Procured_Retrospective_Data</vt:lpstr>
      <vt:lpstr>Lang_Total_Number_Safety_Boxes_To_Procure_Projected_Based_On_Pop_Coverage_Projections_And_Wastage_Rates</vt:lpstr>
      <vt:lpstr>Lang_Total_Number_Vaccine_Doses_Procured_Retrospective_Data</vt:lpstr>
      <vt:lpstr>Lang_Total_Number_Vaccine_Doses_To_Procure_Projected_Based_On_Pop_Coverage_Projections_And_Wastage_Rates</vt:lpstr>
      <vt:lpstr>Lang_Total_Single_Activity_Cost</vt:lpstr>
      <vt:lpstr>Lang_Total_SmallLetter</vt:lpstr>
      <vt:lpstr>Lang_Total_Target_Pop</vt:lpstr>
      <vt:lpstr>Lang_Total_Units_Procured</vt:lpstr>
      <vt:lpstr>Lang_Total_Vacc_Received_By_All_Target_Pop_Through_Any_Service_Delivery_Method_From_Coverage_Assumptions_Projected</vt:lpstr>
      <vt:lpstr>Lang_Total_Vacc_Received_By_All_Target_Pop_Through_Any_Service_Delivery_Method_From_Coverage_Assumptions_Retrospective</vt:lpstr>
      <vt:lpstr>Lang_Total_Vaccine_Doses_Administered_Retrospective_Data</vt:lpstr>
      <vt:lpstr>Lang_Total_Vaccines_And_Supplies</vt:lpstr>
      <vt:lpstr>Lang_Training</vt:lpstr>
      <vt:lpstr>Lang_Training_Activities_Annual_Assumptions</vt:lpstr>
      <vt:lpstr>Lang_Training_Activity_Name</vt:lpstr>
      <vt:lpstr>Lang_Training_Activity_Variables</vt:lpstr>
      <vt:lpstr>Lang_Training_Detailed_Costing_Worksheets_Optional</vt:lpstr>
      <vt:lpstr>Lang_Training_Level_1_1_Lookups</vt:lpstr>
      <vt:lpstr>Lang_Training_Level_1_2_Lookups</vt:lpstr>
      <vt:lpstr>Lang_Training_Level_1_3_Lookups</vt:lpstr>
      <vt:lpstr>Lang_Training_Level_2_1_Lookups</vt:lpstr>
      <vt:lpstr>Lang_Unit_Cost</vt:lpstr>
      <vt:lpstr>Lang_Unit_Cost_Annualized</vt:lpstr>
      <vt:lpstr>Lang_Use_Detailed_Cost_Worksheet</vt:lpstr>
      <vt:lpstr>Lang_use_TOC</vt:lpstr>
      <vt:lpstr>Lang_Useful_Life_Years</vt:lpstr>
      <vt:lpstr>Lang_Vacc</vt:lpstr>
      <vt:lpstr>Lang_Vacc_Administered_Projected</vt:lpstr>
      <vt:lpstr>Lang_Vacc_Administered_Retrospective</vt:lpstr>
      <vt:lpstr>Lang_Vacc_Received_By</vt:lpstr>
      <vt:lpstr>Lang_Vacc_Received_By_All_Target_Pop_Through_Any_Service_Delivery_Method_From_Coverage_Assumptions_Projected</vt:lpstr>
      <vt:lpstr>Lang_Vacc_Received_By_All_Target_Pop_Through_Any_Service_Delivery_Method_From_Coverage_Assumptions_Retrospective</vt:lpstr>
      <vt:lpstr>Lang_Vaccinated</vt:lpstr>
      <vt:lpstr>Lang_Vaccination_Module</vt:lpstr>
      <vt:lpstr>Lang_Vaccine</vt:lpstr>
      <vt:lpstr>Lang_Vaccine_And_Dose_Labels</vt:lpstr>
      <vt:lpstr>Lang_Vaccine_And_Injection_Supplies_Economic_Local_Currency</vt:lpstr>
      <vt:lpstr>Lang_Vaccine_And_Injection_Supply_Costs</vt:lpstr>
      <vt:lpstr>Lang_Vaccine_And_Injection_Supply_Quantities_Includes_Administered_And_Wasted</vt:lpstr>
      <vt:lpstr>Lang_Vaccine_And_Supply_Costs_Assumptions_Prospective_Or_Retrospective</vt:lpstr>
      <vt:lpstr>Lang_Vaccine_Costs</vt:lpstr>
      <vt:lpstr>Lang_Vaccine_Dose_Labels</vt:lpstr>
      <vt:lpstr>Lang_Vaccine_Dose_Number_Label_Category_1</vt:lpstr>
      <vt:lpstr>Lang_Vaccine_Dose_Number_Label_Category_2</vt:lpstr>
      <vt:lpstr>Lang_Vaccine_Doses</vt:lpstr>
      <vt:lpstr>Lang_Vaccine_Doses_Procured</vt:lpstr>
      <vt:lpstr>Lang_Vaccine_Label</vt:lpstr>
      <vt:lpstr>Lang_Vaccine_Lookups</vt:lpstr>
      <vt:lpstr>Lang_Vaccine_Name</vt:lpstr>
      <vt:lpstr>Lang_Vaccine_Per_Dose</vt:lpstr>
      <vt:lpstr>Lang_Vaccines</vt:lpstr>
      <vt:lpstr>Lang_Vaccines_And_Injection_Supplies_Economic_International_Currency</vt:lpstr>
      <vt:lpstr>Lang_Vaccines_And_Injection_Supplies_Financial_International_Currency</vt:lpstr>
      <vt:lpstr>Lang_Vaccines_And_Injection_Supplies_Financial_Local_Currency</vt:lpstr>
      <vt:lpstr>Lang_Variable_Lookup_Worksheets_Auto</vt:lpstr>
      <vt:lpstr>Lang_with</vt:lpstr>
      <vt:lpstr>Lang_without</vt:lpstr>
      <vt:lpstr>Lang_Year</vt:lpstr>
      <vt:lpstr>Lang_Year_Ending</vt:lpstr>
      <vt:lpstr>Lang_Years_Selected</vt:lpstr>
      <vt:lpstr>LU_Analy_Currencies</vt:lpstr>
      <vt:lpstr>LU_Analy_Financial_or_Economic</vt:lpstr>
      <vt:lpstr>LU_Analy_HPV_Dose</vt:lpstr>
      <vt:lpstr>LU_CAP_OTH_Currency</vt:lpstr>
      <vt:lpstr>LU_CAP_OTH_Financial_Economic</vt:lpstr>
      <vt:lpstr>LU_COLD_Currency</vt:lpstr>
      <vt:lpstr>LU_COLD_Financial_Economic</vt:lpstr>
      <vt:lpstr>LU_Count_Target_Groups</vt:lpstr>
      <vt:lpstr>LU_Count_Target_Sub_Groups</vt:lpstr>
      <vt:lpstr>LU_CVG_Doses</vt:lpstr>
      <vt:lpstr>LU_CVG_Numbers_or_Proportion</vt:lpstr>
      <vt:lpstr>LU_CVG_Secondary_Level_Areas</vt:lpstr>
      <vt:lpstr>LU_CVG_Target_Grpi_s</vt:lpstr>
      <vt:lpstr>LU_CVG_Target_Sub_Groups</vt:lpstr>
      <vt:lpstr>LU_Econ_Annual_Discount_Rate</vt:lpstr>
      <vt:lpstr>LU_Econ_Currencies</vt:lpstr>
      <vt:lpstr>LU_Econ_Currency_Codes</vt:lpstr>
      <vt:lpstr>LU_Econ_Exchange_Rate</vt:lpstr>
      <vt:lpstr>LU_Lbl_SVC_Delivery_Types</vt:lpstr>
      <vt:lpstr>LU_Lbl_Target_Groups</vt:lpstr>
      <vt:lpstr>LU_Lbl_Target_Subgroups</vt:lpstr>
      <vt:lpstr>LU_Lbl_Top_Level_Name</vt:lpstr>
      <vt:lpstr>LU_LVL2_ACTV_10_Currencies</vt:lpstr>
      <vt:lpstr>LU_LVL2_ACTV_10_Detail_or_Freeform</vt:lpstr>
      <vt:lpstr>LU_LVL2_ACTV_10_FIN_ECON</vt:lpstr>
      <vt:lpstr>LU_LVL2_ACTV_10_INTRO_RECURRING</vt:lpstr>
      <vt:lpstr>LU_LVL2_ACTV_10_PROJECTION_RETROSPECTIVE</vt:lpstr>
      <vt:lpstr>LU_LVL2_ACTV_11_Currencies</vt:lpstr>
      <vt:lpstr>LU_LVL2_ACTV_11_Detail_or_Freeform</vt:lpstr>
      <vt:lpstr>LU_LVL2_ACTV_11_FIN_ECON</vt:lpstr>
      <vt:lpstr>LU_LVL2_ACTV_11_INTRO_RECURRING</vt:lpstr>
      <vt:lpstr>LU_LVL2_ACTV_11_PROJECTION_RETROSPECTIVE</vt:lpstr>
      <vt:lpstr>LU_LVL2_ACTV_12_Currencies</vt:lpstr>
      <vt:lpstr>LU_LVL2_ACTV_12_Detail_or_Freeform</vt:lpstr>
      <vt:lpstr>LU_LVL2_ACTV_12_FIN_ECON</vt:lpstr>
      <vt:lpstr>LU_LVL2_ACTV_12_INTRO_RECURRING</vt:lpstr>
      <vt:lpstr>LU_LVL2_ACTV_12_PROJECTION_RETROSPECTIVE</vt:lpstr>
      <vt:lpstr>LU_LVL2_ACTV_13_Currencies</vt:lpstr>
      <vt:lpstr>LU_LVL2_ACTV_13_Detail_or_Freeform</vt:lpstr>
      <vt:lpstr>LU_LVL2_ACTV_13_FIN_ECON</vt:lpstr>
      <vt:lpstr>LU_LVL2_ACTV_13_INTRO_RECURRING</vt:lpstr>
      <vt:lpstr>LU_LVL2_ACTV_13_PROJECTION_RETROSPECTIVE</vt:lpstr>
      <vt:lpstr>LU_LVL2_ACTV_14_Currencies</vt:lpstr>
      <vt:lpstr>LU_LVL2_ACTV_14_Detail_or_Freeform</vt:lpstr>
      <vt:lpstr>LU_LVL2_ACTV_14_FIN_ECON</vt:lpstr>
      <vt:lpstr>LU_LVL2_ACTV_14_INTRO_RECURRING</vt:lpstr>
      <vt:lpstr>LU_LVL2_ACTV_14_PROJECTION_RETROSPECTIVE</vt:lpstr>
      <vt:lpstr>LU_LVL2_ACTV_15_Currencies</vt:lpstr>
      <vt:lpstr>LU_LVL2_ACTV_15_Detail_or_Freeform</vt:lpstr>
      <vt:lpstr>LU_LVL2_ACTV_15_FIN_ECON</vt:lpstr>
      <vt:lpstr>LU_LVL2_ACTV_15_INTRO_RECURRING</vt:lpstr>
      <vt:lpstr>LU_LVL2_ACTV_15_PROJECTION_RETROSPECTIVE</vt:lpstr>
      <vt:lpstr>LU_LVL2_ACTV_16_Currencies</vt:lpstr>
      <vt:lpstr>LU_LVL2_ACTV_16_Detail_or_Freeform</vt:lpstr>
      <vt:lpstr>LU_LVL2_ACTV_16_FIN_ECON</vt:lpstr>
      <vt:lpstr>LU_LVL2_ACTV_16_INTRO_RECURRING</vt:lpstr>
      <vt:lpstr>LU_LVL2_ACTV_16_PROJECTION_RETROSPECTIVE</vt:lpstr>
      <vt:lpstr>LU_LVL2_ACTV_18_Currencies</vt:lpstr>
      <vt:lpstr>LU_LVL2_ACTV_18_Detail_or_Freeform</vt:lpstr>
      <vt:lpstr>LU_LVL2_ACTV_18_FIN_ECON</vt:lpstr>
      <vt:lpstr>LU_LVL2_ACTV_18_INTRO_RECURRING</vt:lpstr>
      <vt:lpstr>LU_LVL2_ACTV_18_PROJECTION_RETROSPECTIVE</vt:lpstr>
      <vt:lpstr>LU_LVL2_ACTV_19_Currencies</vt:lpstr>
      <vt:lpstr>LU_LVL2_ACTV_19_Detail_or_Freeform</vt:lpstr>
      <vt:lpstr>LU_LVL2_ACTV_19_FIN_ECON</vt:lpstr>
      <vt:lpstr>LU_LVL2_ACTV_19_INTRO_RECURRING</vt:lpstr>
      <vt:lpstr>LU_LVL2_ACTV_19_PROJECTION_RETROSPECTIVE</vt:lpstr>
      <vt:lpstr>LU_LVL2_ACTV_2_Currencies</vt:lpstr>
      <vt:lpstr>LU_LVL2_ACTV_2_Detail_or_Freeform</vt:lpstr>
      <vt:lpstr>LU_LVL2_ACTV_2_FIN_ECON</vt:lpstr>
      <vt:lpstr>LU_LVL2_ACTV_2_INTRO_RECURRING</vt:lpstr>
      <vt:lpstr>LU_LVL2_ACTV_2_PROJECTION_RETROSPECTIVE</vt:lpstr>
      <vt:lpstr>LU_LVL2_ACTV_20_Currencies</vt:lpstr>
      <vt:lpstr>LU_LVL2_ACTV_20_Detail_or_Freeform</vt:lpstr>
      <vt:lpstr>LU_LVL2_ACTV_20_FIN_ECON</vt:lpstr>
      <vt:lpstr>LU_LVL2_ACTV_20_INTRO_RECURRING</vt:lpstr>
      <vt:lpstr>LU_LVL2_ACTV_20_PROJECTION_RETROSPECTIVE</vt:lpstr>
      <vt:lpstr>LU_LVL2_ACTV_21_Currencies</vt:lpstr>
      <vt:lpstr>LU_LVL2_ACTV_21_Detail_or_Freeform</vt:lpstr>
      <vt:lpstr>LU_LVL2_ACTV_21_FIN_ECON</vt:lpstr>
      <vt:lpstr>LU_LVL2_ACTV_21_INTRO_RECURRING</vt:lpstr>
      <vt:lpstr>LU_LVL2_ACTV_21_PROJECTION_RETROSPECTIVE</vt:lpstr>
      <vt:lpstr>LU_LVL2_ACTV_3_Currencies</vt:lpstr>
      <vt:lpstr>LU_LVL2_ACTV_3_Detail_or_Freeform</vt:lpstr>
      <vt:lpstr>LU_LVL2_ACTV_3_FIN_ECON</vt:lpstr>
      <vt:lpstr>LU_LVL2_ACTV_3_INTRO_RECURRING</vt:lpstr>
      <vt:lpstr>LU_LVL2_ACTV_3_PROJECTION_RETROSPECTIVE</vt:lpstr>
      <vt:lpstr>LU_LVL2_ACTV_4_Currencies</vt:lpstr>
      <vt:lpstr>LU_LVL2_ACTV_4_Detail_or_Freeform</vt:lpstr>
      <vt:lpstr>LU_LVL2_ACTV_4_FIN_ECON</vt:lpstr>
      <vt:lpstr>LU_LVL2_ACTV_4_INTRO_RECURRING</vt:lpstr>
      <vt:lpstr>LU_LVL2_ACTV_4_PROJECTION_RETROSPECTIVE</vt:lpstr>
      <vt:lpstr>LU_LVL2_ACTV_5_Currencies</vt:lpstr>
      <vt:lpstr>LU_LVL2_ACTV_5_Detail_or_Freeform</vt:lpstr>
      <vt:lpstr>LU_LVL2_ACTV_5_FIN_ECON</vt:lpstr>
      <vt:lpstr>LU_LVL2_ACTV_5_INTRO_RECURRING</vt:lpstr>
      <vt:lpstr>LU_LVL2_ACTV_5_PROJECTION_RETROSPECTIVE</vt:lpstr>
      <vt:lpstr>LU_LVL2_ACTV_6_Currencies</vt:lpstr>
      <vt:lpstr>LU_LVL2_ACTV_6_Detail_or_Freeform</vt:lpstr>
      <vt:lpstr>LU_LVL2_ACTV_6_FIN_ECON</vt:lpstr>
      <vt:lpstr>LU_LVL2_ACTV_6_INTRO_RECURRING</vt:lpstr>
      <vt:lpstr>LU_LVL2_ACTV_6_PROJECTION_RETROSPECTIVE</vt:lpstr>
      <vt:lpstr>LU_LVL2_ACTV_7_Currencies</vt:lpstr>
      <vt:lpstr>LU_LVL2_ACTV_7_Detail_or_Freeform</vt:lpstr>
      <vt:lpstr>LU_LVL2_ACTV_7_FIN_ECON</vt:lpstr>
      <vt:lpstr>LU_LVL2_ACTV_7_INTRO_RECURRING</vt:lpstr>
      <vt:lpstr>LU_LVL2_ACTV_7_PROJECTION_RETROSPECTIVE</vt:lpstr>
      <vt:lpstr>LU_LVL2_ACTV_8_Currencies</vt:lpstr>
      <vt:lpstr>LU_LVL2_ACTV_8_Detail_or_Freeform</vt:lpstr>
      <vt:lpstr>LU_LVL2_ACTV_8_FIN_ECON</vt:lpstr>
      <vt:lpstr>LU_LVL2_ACTV_8_INTRO_RECURRING</vt:lpstr>
      <vt:lpstr>LU_LVL2_ACTV_8_PROJECTION_RETROSPECTIVE</vt:lpstr>
      <vt:lpstr>LU_LVL2_ACTV_9_Currencies</vt:lpstr>
      <vt:lpstr>LU_LVL2_ACTV_9_Detail_or_Freeform</vt:lpstr>
      <vt:lpstr>LU_LVL2_ACTV_9_FIN_ECON</vt:lpstr>
      <vt:lpstr>LU_LVL2_ACTV_9_INTRO_RECURRING</vt:lpstr>
      <vt:lpstr>LU_LVL2_ACTV_9_PROJECTION_RETROSPECTIVE</vt:lpstr>
      <vt:lpstr>LU_LVL2_ACTV_Currencies</vt:lpstr>
      <vt:lpstr>LU_LVL2_ACTV_Detail_or_Freeform</vt:lpstr>
      <vt:lpstr>LU_LVL2_ACTV_FIN_ECON</vt:lpstr>
      <vt:lpstr>LU_LVL2_ACTV_INTRO_RECURRING</vt:lpstr>
      <vt:lpstr>LU_LVL2_ACTV_PROJECTION_RETROSPECTIVE</vt:lpstr>
      <vt:lpstr>LU_TOP_ACTV_10_Currencies</vt:lpstr>
      <vt:lpstr>LU_TOP_ACTV_10_Detail_or_Freeform</vt:lpstr>
      <vt:lpstr>LU_TOP_ACTV_10_FIN_ECON</vt:lpstr>
      <vt:lpstr>LU_TOP_ACTV_10_INTRO_RECURRING</vt:lpstr>
      <vt:lpstr>LU_TOP_ACTV_10_PROJECTION_RETROSPECTIVE</vt:lpstr>
      <vt:lpstr>LU_TOP_ACTV_11_Currencies</vt:lpstr>
      <vt:lpstr>LU_TOP_ACTV_11_Detail_or_Freeform</vt:lpstr>
      <vt:lpstr>LU_TOP_ACTV_11_FIN_ECON</vt:lpstr>
      <vt:lpstr>LU_TOP_ACTV_11_INTRO_RECURRING</vt:lpstr>
      <vt:lpstr>LU_TOP_ACTV_11_PROJECTION_RETROSPECTIVE</vt:lpstr>
      <vt:lpstr>LU_TOP_ACTV_13_Currencies</vt:lpstr>
      <vt:lpstr>LU_TOP_ACTV_13_Detail_or_Freeform</vt:lpstr>
      <vt:lpstr>LU_TOP_ACTV_13_FIN_ECON</vt:lpstr>
      <vt:lpstr>LU_TOP_ACTV_13_INTRO_RECURRING</vt:lpstr>
      <vt:lpstr>LU_TOP_ACTV_13_PROJECTION_RETROSPECTIVE</vt:lpstr>
      <vt:lpstr>LU_TOP_ACTV_14_Currencies</vt:lpstr>
      <vt:lpstr>LU_TOP_ACTV_14_Detail_or_Freeform</vt:lpstr>
      <vt:lpstr>LU_TOP_ACTV_14_FIN_ECON</vt:lpstr>
      <vt:lpstr>LU_TOP_ACTV_14_INTRO_RECURRING</vt:lpstr>
      <vt:lpstr>LU_TOP_ACTV_14_PROJECTION_RETROSPECTIVE</vt:lpstr>
      <vt:lpstr>LU_TOP_ACTV_15_Currencies</vt:lpstr>
      <vt:lpstr>LU_TOP_ACTV_15_Detail_or_Freeform</vt:lpstr>
      <vt:lpstr>LU_TOP_ACTV_15_FIN_ECON</vt:lpstr>
      <vt:lpstr>LU_TOP_ACTV_15_INTRO_RECURRING</vt:lpstr>
      <vt:lpstr>LU_TOP_ACTV_15_PROJECTION_RETROSPECTIVE</vt:lpstr>
      <vt:lpstr>LU_TOP_ACTV_16_Currencies</vt:lpstr>
      <vt:lpstr>LU_TOP_ACTV_16_Detail_or_Freeform</vt:lpstr>
      <vt:lpstr>LU_TOP_ACTV_16_FIN_ECON</vt:lpstr>
      <vt:lpstr>LU_TOP_ACTV_16_INTRO_RECURRING</vt:lpstr>
      <vt:lpstr>LU_TOP_ACTV_16_PROJECTION_RETROSPECTIVE</vt:lpstr>
      <vt:lpstr>LU_TOP_ACTV_17_Currencies</vt:lpstr>
      <vt:lpstr>LU_TOP_ACTV_17_Detail_or_Freeform</vt:lpstr>
      <vt:lpstr>LU_TOP_ACTV_17_FIN_ECON</vt:lpstr>
      <vt:lpstr>LU_TOP_ACTV_17_INTRO_RECURRING</vt:lpstr>
      <vt:lpstr>LU_TOP_ACTV_17_PROJECTION_RETROSPECTIVE</vt:lpstr>
      <vt:lpstr>LU_TOP_ACTV_18_Currencies</vt:lpstr>
      <vt:lpstr>LU_TOP_ACTV_18_Detail_or_Freeform</vt:lpstr>
      <vt:lpstr>LU_TOP_ACTV_18_FIN_ECON</vt:lpstr>
      <vt:lpstr>LU_TOP_ACTV_18_INTRO_RECURRING</vt:lpstr>
      <vt:lpstr>LU_TOP_ACTV_18_PROJECTION_RETROSPECTIVE</vt:lpstr>
      <vt:lpstr>LU_TOP_ACTV_19_Currencies</vt:lpstr>
      <vt:lpstr>LU_TOP_ACTV_19_Detail_or_Freeform</vt:lpstr>
      <vt:lpstr>LU_TOP_ACTV_19_FIN_ECON</vt:lpstr>
      <vt:lpstr>LU_TOP_ACTV_19_INTRO_RECURRING</vt:lpstr>
      <vt:lpstr>LU_TOP_ACTV_19_PROJECTION_RETROSPECTIVE</vt:lpstr>
      <vt:lpstr>LU_TOP_ACTV_2_Currencies</vt:lpstr>
      <vt:lpstr>LU_TOP_ACTV_2_Detail_or_Freeform</vt:lpstr>
      <vt:lpstr>LU_TOP_ACTV_2_FIN_ECON</vt:lpstr>
      <vt:lpstr>LU_TOP_ACTV_2_INTRO_RECURRING</vt:lpstr>
      <vt:lpstr>LU_TOP_ACTV_2_PROJECTION_RETROSPECTIVE</vt:lpstr>
      <vt:lpstr>LU_TOP_ACTV_20_Currencies</vt:lpstr>
      <vt:lpstr>LU_TOP_ACTV_20_Detail_or_Freeform</vt:lpstr>
      <vt:lpstr>LU_TOP_ACTV_20_FIN_ECON</vt:lpstr>
      <vt:lpstr>LU_TOP_ACTV_20_INTRO_RECURRING</vt:lpstr>
      <vt:lpstr>LU_TOP_ACTV_20_PROJECTION_RETROSPECTIVE</vt:lpstr>
      <vt:lpstr>LU_TOP_ACTV_3_Currencies</vt:lpstr>
      <vt:lpstr>LU_TOP_ACTV_3_Detail_or_Freeform</vt:lpstr>
      <vt:lpstr>LU_TOP_ACTV_3_FIN_ECON</vt:lpstr>
      <vt:lpstr>LU_TOP_ACTV_3_INTRO_RECURRING</vt:lpstr>
      <vt:lpstr>LU_TOP_ACTV_3_PROJECTION_RETROSPECTIVE</vt:lpstr>
      <vt:lpstr>LU_TOP_ACTV_4_Currencies</vt:lpstr>
      <vt:lpstr>LU_TOP_ACTV_4_Detail_or_Freeform</vt:lpstr>
      <vt:lpstr>LU_TOP_ACTV_4_FIN_ECON</vt:lpstr>
      <vt:lpstr>LU_TOP_ACTV_4_INTRO_RECURRING</vt:lpstr>
      <vt:lpstr>LU_TOP_ACTV_4_PROJECTION_RETROSPECTIVE</vt:lpstr>
      <vt:lpstr>LU_TOP_ACTV_5_Currencies</vt:lpstr>
      <vt:lpstr>LU_TOP_ACTV_5_Detail_or_Freeform</vt:lpstr>
      <vt:lpstr>LU_TOP_ACTV_5_FIN_ECON</vt:lpstr>
      <vt:lpstr>LU_TOP_ACTV_5_INTRO_RECURRING</vt:lpstr>
      <vt:lpstr>LU_TOP_ACTV_5_PROJECTION_RETROSPECTIVE</vt:lpstr>
      <vt:lpstr>LU_TOP_ACTV_6_Currencies</vt:lpstr>
      <vt:lpstr>LU_TOP_ACTV_6_Detail_or_Freeform</vt:lpstr>
      <vt:lpstr>LU_TOP_ACTV_6_FIN_ECON</vt:lpstr>
      <vt:lpstr>LU_TOP_ACTV_6_INTRO_RECURRING</vt:lpstr>
      <vt:lpstr>LU_TOP_ACTV_6_PROJECTION_RETROSPECTIVE</vt:lpstr>
      <vt:lpstr>LU_TOP_ACTV_7_Currencies</vt:lpstr>
      <vt:lpstr>LU_TOP_ACTV_7_Detail_or_Freeform</vt:lpstr>
      <vt:lpstr>LU_TOP_ACTV_7_FIN_ECON</vt:lpstr>
      <vt:lpstr>LU_TOP_ACTV_7_INTRO_RECURRING</vt:lpstr>
      <vt:lpstr>LU_TOP_ACTV_7_PROJECTION_RETROSPECTIVE</vt:lpstr>
      <vt:lpstr>LU_TOP_ACTV_8_Currencies</vt:lpstr>
      <vt:lpstr>LU_TOP_ACTV_8_Detail_or_Freeform</vt:lpstr>
      <vt:lpstr>LU_TOP_ACTV_8_FIN_ECON</vt:lpstr>
      <vt:lpstr>LU_TOP_ACTV_8_INTRO_RECURRING</vt:lpstr>
      <vt:lpstr>LU_TOP_ACTV_8_PROJECTION_RETROSPECTIVE</vt:lpstr>
      <vt:lpstr>LU_TOP_ACTV_Currencies</vt:lpstr>
      <vt:lpstr>LU_TOP_ACTV_Detail_or_Freeform</vt:lpstr>
      <vt:lpstr>LU_TOP_ACTV_FIN_ECON</vt:lpstr>
      <vt:lpstr>LU_TOP_ACTV_INTRO_RECURRING</vt:lpstr>
      <vt:lpstr>LU_TOP_ACTV_PROJECTION_RETROSPECTIVE</vt:lpstr>
      <vt:lpstr>LU_TS_Denom</vt:lpstr>
      <vt:lpstr>LU_TS_Denom_Conv</vt:lpstr>
      <vt:lpstr>LU_TS_Mth_Days</vt:lpstr>
      <vt:lpstr>LU_TS_Mth_Names</vt:lpstr>
      <vt:lpstr>LU_TS_PROSPECTIVE_OR_RETROSPECTIVE</vt:lpstr>
      <vt:lpstr>LU_Vacc_Currency</vt:lpstr>
      <vt:lpstr>LVL2_ACTV_10_Cost_Summary</vt:lpstr>
      <vt:lpstr>LVL2_ACTV_10_Exchange_Rate</vt:lpstr>
      <vt:lpstr>LVL2_ACTV_11_Cost_Summary</vt:lpstr>
      <vt:lpstr>LVL2_ACTV_11_Exchange_Rate</vt:lpstr>
      <vt:lpstr>LVL2_ACTV_12_Cost_Summary</vt:lpstr>
      <vt:lpstr>LVL2_ACTV_12_Exchange_Rate</vt:lpstr>
      <vt:lpstr>LVL2_ACTV_13_Cost_Summary</vt:lpstr>
      <vt:lpstr>LVL2_ACTV_13_Exchange_Rate</vt:lpstr>
      <vt:lpstr>LVL2_ACTV_14_Cost_Summary</vt:lpstr>
      <vt:lpstr>LVL2_ACTV_14_Exchange_Rate</vt:lpstr>
      <vt:lpstr>LVL2_ACTV_15_Cost_Summary</vt:lpstr>
      <vt:lpstr>LVL2_ACTV_15_Exchange_Rate</vt:lpstr>
      <vt:lpstr>LVL2_ACTV_16_Cost_Summary</vt:lpstr>
      <vt:lpstr>LVL2_ACTV_16_Exchange_Rate</vt:lpstr>
      <vt:lpstr>LVL2_ACTV_18_Cost_Summary</vt:lpstr>
      <vt:lpstr>LVL2_ACTV_18_Exchange_Rate</vt:lpstr>
      <vt:lpstr>LVL2_ACTV_19_Cost_Summary</vt:lpstr>
      <vt:lpstr>LVL2_ACTV_19_Exchange_Rate</vt:lpstr>
      <vt:lpstr>LVL2_ACTV_2_Cost_Summary</vt:lpstr>
      <vt:lpstr>LVL2_ACTV_2_Exchange_Rate</vt:lpstr>
      <vt:lpstr>LVL2_ACTV_20_Cost_Summary</vt:lpstr>
      <vt:lpstr>LVL2_ACTV_20_Exchange_Rate</vt:lpstr>
      <vt:lpstr>LVL2_ACTV_21_Cost_Summary</vt:lpstr>
      <vt:lpstr>LVL2_ACTV_21_Exchange_Rate</vt:lpstr>
      <vt:lpstr>LVL2_ACTV_3_Cost_Summary</vt:lpstr>
      <vt:lpstr>LVL2_ACTV_3_Exchange_Rate</vt:lpstr>
      <vt:lpstr>LVL2_ACTV_4_Cost_Summary</vt:lpstr>
      <vt:lpstr>LVL2_ACTV_4_Exchange_Rate</vt:lpstr>
      <vt:lpstr>LVL2_ACTV_5_Cost_Summary</vt:lpstr>
      <vt:lpstr>LVL2_ACTV_5_Exchange_Rate</vt:lpstr>
      <vt:lpstr>LVL2_ACTV_6_Cost_Summary</vt:lpstr>
      <vt:lpstr>LVL2_ACTV_6_Exchange_Rate</vt:lpstr>
      <vt:lpstr>LVL2_ACTV_7_Cost_Summary</vt:lpstr>
      <vt:lpstr>LVL2_ACTV_7_Exchange_Rate</vt:lpstr>
      <vt:lpstr>LVL2_ACTV_8_Cost_Summary</vt:lpstr>
      <vt:lpstr>LVL2_ACTV_8_Exchange_Rate</vt:lpstr>
      <vt:lpstr>LVL2_ACTV_9_Cost_Summary</vt:lpstr>
      <vt:lpstr>LVL2_ACTV_9_Exchange_Rate</vt:lpstr>
      <vt:lpstr>LVL2_ACTV_Cost_Summary</vt:lpstr>
      <vt:lpstr>LVL2_ACTV_Exchange_Rate</vt:lpstr>
      <vt:lpstr>Model_Name</vt:lpstr>
      <vt:lpstr>Presentation_Outputs</vt:lpstr>
      <vt:lpstr>'6.3_Variable_Lookups'!Print_Area</vt:lpstr>
      <vt:lpstr>Analy_Lu!Print_Area</vt:lpstr>
      <vt:lpstr>Analysis!Print_Area</vt:lpstr>
      <vt:lpstr>APPENDIX!Print_Area</vt:lpstr>
      <vt:lpstr>Assumptions!Print_Area</vt:lpstr>
      <vt:lpstr>CALCS_Annual!Print_Area</vt:lpstr>
      <vt:lpstr>CALCS_COVERAGE!Print_Area</vt:lpstr>
      <vt:lpstr>CALCS_DETAILED!Print_Area</vt:lpstr>
      <vt:lpstr>CAP_OTH!Print_Area</vt:lpstr>
      <vt:lpstr>CAP_OTH_Lu!Print_Area</vt:lpstr>
      <vt:lpstr>CAPITAL_INVESTS_OTH!Print_Area</vt:lpstr>
      <vt:lpstr>Checks!Print_Area</vt:lpstr>
      <vt:lpstr>COLD_CHAIN!Print_Area</vt:lpstr>
      <vt:lpstr>COLD_CHAIN_EXPANS!Print_Area</vt:lpstr>
      <vt:lpstr>COLD_Lu!Print_Area</vt:lpstr>
      <vt:lpstr>Contents!Print_Area</vt:lpstr>
      <vt:lpstr>COST_SUMMARY!Print_Area</vt:lpstr>
      <vt:lpstr>COSTS_DETAILED_SUMMARY!Print_Area</vt:lpstr>
      <vt:lpstr>Count_Lu!Print_Area</vt:lpstr>
      <vt:lpstr>COUNTS!Print_Area</vt:lpstr>
      <vt:lpstr>COUNTS_and_COVERAGE_Summary!Print_Area</vt:lpstr>
      <vt:lpstr>Cover!Print_Area</vt:lpstr>
      <vt:lpstr>COVERAGE!Print_Area</vt:lpstr>
      <vt:lpstr>CVG_Lu!Print_Area</vt:lpstr>
      <vt:lpstr>Dashboard!Print_Area</vt:lpstr>
      <vt:lpstr>Detailed_Costing_Worksheets!Print_Area</vt:lpstr>
      <vt:lpstr>Developer_Only_To!Print_Area</vt:lpstr>
      <vt:lpstr>DEVELOPER_Sc!Print_Area</vt:lpstr>
      <vt:lpstr>Econ_Lu!Print_Area</vt:lpstr>
      <vt:lpstr>ECONOMICS!Print_Area</vt:lpstr>
      <vt:lpstr>LABELS!Print_Area</vt:lpstr>
      <vt:lpstr>Lbl_Lu!Print_Area</vt:lpstr>
      <vt:lpstr>MICRO_DETAILED_COST_WKSHT!Print_Area</vt:lpstr>
      <vt:lpstr>MICRO_Lu!Print_Area</vt:lpstr>
      <vt:lpstr>MICROPLANNING!Print_Area</vt:lpstr>
      <vt:lpstr>OTHER!Print_Area</vt:lpstr>
      <vt:lpstr>OTHER_DETAILED_COST_WKSHT!Print_Area</vt:lpstr>
      <vt:lpstr>OTHER_Lu!Print_Area</vt:lpstr>
      <vt:lpstr>Outputs!Print_Area</vt:lpstr>
      <vt:lpstr>Pres_Out_Sc!Print_Area</vt:lpstr>
      <vt:lpstr>SD_DETAILED_COST_WKSHT!Print_Area</vt:lpstr>
      <vt:lpstr>SD_Lu!Print_Area</vt:lpstr>
      <vt:lpstr>SENS_DETAILED_COST_WKSHT!Print_Area</vt:lpstr>
      <vt:lpstr>SENS_Lu!Print_Area</vt:lpstr>
      <vt:lpstr>SENSITISATION!Print_Area</vt:lpstr>
      <vt:lpstr>SERVICE_DELIVERY!Print_Area</vt:lpstr>
      <vt:lpstr>SOCIAL_MOBILISATION!Print_Area</vt:lpstr>
      <vt:lpstr>SOCMOB_DETAILED_COST_WKSHT!Print_Area</vt:lpstr>
      <vt:lpstr>SOCMOB_Lu!Print_Area</vt:lpstr>
      <vt:lpstr>SUPERVISION!Print_Area</vt:lpstr>
      <vt:lpstr>SUPV_DETAILED_COST_WKSHT!Print_Area</vt:lpstr>
      <vt:lpstr>SUPV_Lu!Print_Area</vt:lpstr>
      <vt:lpstr>Time_Lu!Print_Area</vt:lpstr>
      <vt:lpstr>TIME_SERIES!Print_Area</vt:lpstr>
      <vt:lpstr>TRAIN_DETAILED_COST_WKSHT!Print_Area</vt:lpstr>
      <vt:lpstr>TRAIN_Lu!Print_Area</vt:lpstr>
      <vt:lpstr>TRAINING!Print_Area</vt:lpstr>
      <vt:lpstr>Vacc_Lu!Print_Area</vt:lpstr>
      <vt:lpstr>'VACCS_&amp;_SUPPLIES'!Print_Area</vt:lpstr>
      <vt:lpstr>'VACCS_&amp;_SUPPLIES_To'!Print_Area</vt:lpstr>
      <vt:lpstr>Analy_Lu!Print_Titles</vt:lpstr>
      <vt:lpstr>Analysis!Print_Titles</vt:lpstr>
      <vt:lpstr>CALCS_Annual!Print_Titles</vt:lpstr>
      <vt:lpstr>CALCS_COVERAGE!Print_Titles</vt:lpstr>
      <vt:lpstr>CALCS_DETAILED!Print_Titles</vt:lpstr>
      <vt:lpstr>CAP_OTH!Print_Titles</vt:lpstr>
      <vt:lpstr>CAP_OTH_Lu!Print_Titles</vt:lpstr>
      <vt:lpstr>CAPITAL_INVESTS_OTH!Print_Titles</vt:lpstr>
      <vt:lpstr>Checks!Print_Titles</vt:lpstr>
      <vt:lpstr>COLD_CHAIN!Print_Titles</vt:lpstr>
      <vt:lpstr>COLD_CHAIN_EXPANS!Print_Titles</vt:lpstr>
      <vt:lpstr>COLD_Lu!Print_Titles</vt:lpstr>
      <vt:lpstr>Contents!Print_Titles</vt:lpstr>
      <vt:lpstr>COST_SUMMARY!Print_Titles</vt:lpstr>
      <vt:lpstr>COSTS_DETAILED_SUMMARY!Print_Titles</vt:lpstr>
      <vt:lpstr>Count_Lu!Print_Titles</vt:lpstr>
      <vt:lpstr>COUNTS!Print_Titles</vt:lpstr>
      <vt:lpstr>COUNTS_and_COVERAGE_Summary!Print_Titles</vt:lpstr>
      <vt:lpstr>COVERAGE!Print_Titles</vt:lpstr>
      <vt:lpstr>CVG_Lu!Print_Titles</vt:lpstr>
      <vt:lpstr>Developer_Only_To!Print_Titles</vt:lpstr>
      <vt:lpstr>Econ_Lu!Print_Titles</vt:lpstr>
      <vt:lpstr>ECONOMICS!Print_Titles</vt:lpstr>
      <vt:lpstr>LABELS!Print_Titles</vt:lpstr>
      <vt:lpstr>Lbl_Lu!Print_Titles</vt:lpstr>
      <vt:lpstr>MICRO_DETAILED_COST_WKSHT!Print_Titles</vt:lpstr>
      <vt:lpstr>MICRO_Lu!Print_Titles</vt:lpstr>
      <vt:lpstr>MICROPLANNING!Print_Titles</vt:lpstr>
      <vt:lpstr>OTHER!Print_Titles</vt:lpstr>
      <vt:lpstr>OTHER_DETAILED_COST_WKSHT!Print_Titles</vt:lpstr>
      <vt:lpstr>OTHER_Lu!Print_Titles</vt:lpstr>
      <vt:lpstr>SD_DETAILED_COST_WKSHT!Print_Titles</vt:lpstr>
      <vt:lpstr>SD_Lu!Print_Titles</vt:lpstr>
      <vt:lpstr>SENS_DETAILED_COST_WKSHT!Print_Titles</vt:lpstr>
      <vt:lpstr>SENS_Lu!Print_Titles</vt:lpstr>
      <vt:lpstr>SENSITISATION!Print_Titles</vt:lpstr>
      <vt:lpstr>SERVICE_DELIVERY!Print_Titles</vt:lpstr>
      <vt:lpstr>SOCIAL_MOBILISATION!Print_Titles</vt:lpstr>
      <vt:lpstr>SOCMOB_DETAILED_COST_WKSHT!Print_Titles</vt:lpstr>
      <vt:lpstr>SOCMOB_Lu!Print_Titles</vt:lpstr>
      <vt:lpstr>SUPERVISION!Print_Titles</vt:lpstr>
      <vt:lpstr>SUPV_DETAILED_COST_WKSHT!Print_Titles</vt:lpstr>
      <vt:lpstr>SUPV_Lu!Print_Titles</vt:lpstr>
      <vt:lpstr>TIME_SERIES!Print_Titles</vt:lpstr>
      <vt:lpstr>TRAIN_DETAILED_COST_WKSHT!Print_Titles</vt:lpstr>
      <vt:lpstr>TRAIN_Lu!Print_Titles</vt:lpstr>
      <vt:lpstr>TRAINING!Print_Titles</vt:lpstr>
      <vt:lpstr>Vacc_Lu!Print_Titles</vt:lpstr>
      <vt:lpstr>'VACCS_&amp;_SUPPLIES'!Print_Titles</vt:lpstr>
      <vt:lpstr>'VACCS_&amp;_SUPPLIES_To'!Print_Titles</vt:lpstr>
      <vt:lpstr>Section_1.</vt:lpstr>
      <vt:lpstr>TOP_ACTV_10_Cost_Summary</vt:lpstr>
      <vt:lpstr>TOP_ACTV_10_Exchange_Rate</vt:lpstr>
      <vt:lpstr>TOP_ACTV_11_Cost_Summary</vt:lpstr>
      <vt:lpstr>TOP_ACTV_11_Exchange_Rate</vt:lpstr>
      <vt:lpstr>TOP_ACTV_13_Cost_Summary</vt:lpstr>
      <vt:lpstr>TOP_ACTV_13_Exchange_Rate</vt:lpstr>
      <vt:lpstr>TOP_ACTV_14_Cost_Summary</vt:lpstr>
      <vt:lpstr>TOP_ACTV_14_Exchange_Rate</vt:lpstr>
      <vt:lpstr>TOP_ACTV_15_Cost_Summary</vt:lpstr>
      <vt:lpstr>TOP_ACTV_15_Exchange_Rate</vt:lpstr>
      <vt:lpstr>TOP_ACTV_16_Cost_Summary</vt:lpstr>
      <vt:lpstr>TOP_ACTV_16_Exchange_Rate</vt:lpstr>
      <vt:lpstr>TOP_ACTV_17_Cost_Summary</vt:lpstr>
      <vt:lpstr>TOP_ACTV_17_Exchange_Rate</vt:lpstr>
      <vt:lpstr>TOP_ACTV_18_Cost_Summary</vt:lpstr>
      <vt:lpstr>TOP_ACTV_18_Exchange_Rate</vt:lpstr>
      <vt:lpstr>TOP_ACTV_19_Cost_Summary</vt:lpstr>
      <vt:lpstr>TOP_ACTV_19_Exchange_Rate</vt:lpstr>
      <vt:lpstr>TOP_ACTV_2_Cost_Summary</vt:lpstr>
      <vt:lpstr>TOP_ACTV_2_Exchange_Rate</vt:lpstr>
      <vt:lpstr>TOP_ACTV_20_Cost_Summary</vt:lpstr>
      <vt:lpstr>TOP_ACTV_20_Exchange_Rate</vt:lpstr>
      <vt:lpstr>TOP_ACTV_3_Cost_Summary</vt:lpstr>
      <vt:lpstr>TOP_ACTV_3_Exchange_Rate</vt:lpstr>
      <vt:lpstr>TOP_ACTV_4_Cost_Summary</vt:lpstr>
      <vt:lpstr>TOP_ACTV_4_Exchange_Rate</vt:lpstr>
      <vt:lpstr>TOP_ACTV_5_Cost_Summary</vt:lpstr>
      <vt:lpstr>TOP_ACTV_5_Exchange_Rate</vt:lpstr>
      <vt:lpstr>TOP_ACTV_6_Cost_Summary</vt:lpstr>
      <vt:lpstr>TOP_ACTV_6_Exchange_Rate</vt:lpstr>
      <vt:lpstr>TOP_ACTV_7_Cost_Summary</vt:lpstr>
      <vt:lpstr>TOP_ACTV_7_Exchange_Rate</vt:lpstr>
      <vt:lpstr>TOP_ACTV_8_Cost_Summary</vt:lpstr>
      <vt:lpstr>TOP_ACTV_8_Exchange_Rate</vt:lpstr>
      <vt:lpstr>TOP_ACTV_Cost_Summary</vt:lpstr>
      <vt:lpstr>TOP_ACTV_Exchange_Rate</vt:lpstr>
      <vt:lpstr>TS_Billion</vt:lpstr>
      <vt:lpstr>TS_Currency</vt:lpstr>
      <vt:lpstr>TS_Days_In_Wk</vt:lpstr>
      <vt:lpstr>TS_Denom_Conv_Fact</vt:lpstr>
      <vt:lpstr>TS_End_Date</vt:lpstr>
      <vt:lpstr>TS_First_Fin_Yr</vt:lpstr>
      <vt:lpstr>TS_Halves_In_Yr</vt:lpstr>
      <vt:lpstr>TS_Hrs_In_Day</vt:lpstr>
      <vt:lpstr>TS_Million</vt:lpstr>
      <vt:lpstr>TS_Mins_In_Hr</vt:lpstr>
      <vt:lpstr>TS_Mths_In_Half</vt:lpstr>
      <vt:lpstr>TS_Mths_In_Qtr</vt:lpstr>
      <vt:lpstr>TS_Mths_In_Yr</vt:lpstr>
      <vt:lpstr>TS_Qtrs_In_Half</vt:lpstr>
      <vt:lpstr>TS_Qtrs_In_Yr</vt:lpstr>
      <vt:lpstr>TS_Secs_In_Min</vt:lpstr>
      <vt:lpstr>TS_Start_Date</vt:lpstr>
      <vt:lpstr>TS_Term</vt:lpstr>
      <vt:lpstr>TS_Thousand</vt:lpstr>
      <vt:lpstr>Vacc_Baseline_Exchange_Rate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Cervical Cancer Prevention and Control Costing (C4P) Tool</dc:title>
  <dc:creator>Winthrop Morgan, MPH</dc:creator>
  <cp:keywords>Costing Tool;Cervical Cancer</cp:keywords>
  <cp:lastModifiedBy>Winthrop Morgan</cp:lastModifiedBy>
  <cp:lastPrinted>2019-07-11T19:08:21Z</cp:lastPrinted>
  <dcterms:created xsi:type="dcterms:W3CDTF">2015-06-01T19:45:01Z</dcterms:created>
  <dcterms:modified xsi:type="dcterms:W3CDTF">2023-11-08T16:09:19Z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XRCK">
    <vt:lpwstr>53|11757824,1|0,52|6780672,51|4204747,49|6697881,55|7929855,11|12632256,56|16777215</vt:lpwstr>
  </property>
  <property fmtid="{D5CDD505-2E9C-101B-9397-08002B2CF9AE}" pid="3" name="TBXBSCK">
    <vt:lpwstr>CO-4142|-4142/COC-4142|-4142/CS1-4142|-4142/S1S2-4142|-4142/S2BA15|-4142/BATA15|-4142/TABO-4142|-4142/BOTO-4142|-4142/TOLU-4142|-4142/LUMS-4142|-4142/MSCH-4142|-4142/CH</vt:lpwstr>
  </property>
</Properties>
</file>